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1.xml" ContentType="application/vnd.openxmlformats-officedocument.drawingml.chartshapes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1.xml" ContentType="application/vnd.openxmlformats-officedocument.themeOverride+xml"/>
  <Override PartName="/xl/drawings/drawing12.xml" ContentType="application/vnd.openxmlformats-officedocument.drawing+xml"/>
  <Override PartName="/xl/comments5.xml" ContentType="application/vnd.openxmlformats-officedocument.spreadsheetml.comments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3.xml" ContentType="application/vnd.openxmlformats-officedocument.drawingml.chartshapes+xml"/>
  <Override PartName="/xl/charts/chart66.xml" ContentType="application/vnd.openxmlformats-officedocument.drawingml.chart+xml"/>
  <Override PartName="/xl/drawings/drawing14.xml" ContentType="application/vnd.openxmlformats-officedocument.drawingml.chartshapes+xml"/>
  <Override PartName="/xl/charts/chart67.xml" ContentType="application/vnd.openxmlformats-officedocument.drawingml.chart+xml"/>
  <Override PartName="/xl/drawings/drawing15.xml" ContentType="application/vnd.openxmlformats-officedocument.drawingml.chartshapes+xml"/>
  <Override PartName="/xl/charts/chart68.xml" ContentType="application/vnd.openxmlformats-officedocument.drawingml.chart+xml"/>
  <Override PartName="/xl/drawings/drawing16.xml" ContentType="application/vnd.openxmlformats-officedocument.drawingml.chartshapes+xml"/>
  <Override PartName="/xl/charts/chart69.xml" ContentType="application/vnd.openxmlformats-officedocument.drawingml.chart+xml"/>
  <Override PartName="/xl/drawings/drawing17.xml" ContentType="application/vnd.openxmlformats-officedocument.drawingml.chartshapes+xml"/>
  <Override PartName="/xl/charts/chart70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18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omments13.xml" ContentType="application/vnd.openxmlformats-officedocument.spreadsheetml.comments+xml"/>
  <Override PartName="/xl/drawings/drawing19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0" yWindow="0" windowWidth="9612" windowHeight="1272" tabRatio="598" firstSheet="2" activeTab="19"/>
  </bookViews>
  <sheets>
    <sheet name="성과개선" sheetId="135" r:id="rId1"/>
    <sheet name="성과개선 요약" sheetId="130" r:id="rId2"/>
    <sheet name="스크" sheetId="69" r:id="rId3"/>
    <sheet name="년간" sheetId="8" r:id="rId4"/>
    <sheet name="L D" sheetId="61" r:id="rId5"/>
    <sheet name="게시판" sheetId="120" r:id="rId6"/>
    <sheet name="종합평가" sheetId="124" r:id="rId7"/>
    <sheet name="종합" sheetId="105" r:id="rId8"/>
    <sheet name="CPL" sheetId="82" r:id="rId9"/>
    <sheet name="CRM" sheetId="85" r:id="rId10"/>
    <sheet name="CGL" sheetId="90" r:id="rId11"/>
    <sheet name="CGL 보정" sheetId="142" r:id="rId12"/>
    <sheet name="#1CCL" sheetId="91" r:id="rId13"/>
    <sheet name="1CCL보정" sheetId="144" r:id="rId14"/>
    <sheet name="#2CCL" sheetId="92" r:id="rId15"/>
    <sheet name="2CCL보정" sheetId="139" r:id="rId16"/>
    <sheet name="비가동" sheetId="132" r:id="rId17"/>
    <sheet name="고장" sheetId="102" r:id="rId18"/>
    <sheet name="협력사" sheetId="93" r:id="rId19"/>
    <sheet name="성과개선 실적" sheetId="95" r:id="rId20"/>
    <sheet name="SSCL" sheetId="119" r:id="rId21"/>
    <sheet name="경쟁사" sheetId="84" r:id="rId22"/>
    <sheet name="20년경영목표" sheetId="136" r:id="rId23"/>
    <sheet name="운영KPI" sheetId="137" r:id="rId24"/>
    <sheet name="설비종합효율" sheetId="138" r:id="rId25"/>
    <sheet name="임원미션" sheetId="141" r:id="rId26"/>
    <sheet name="개선금액" sheetId="140" r:id="rId27"/>
    <sheet name="20년 실질개선금액" sheetId="143" r:id="rId28"/>
    <sheet name="성과개선 과제선정 일정" sheetId="145" r:id="rId29"/>
    <sheet name="GL 공사관련 일정" sheetId="146" r:id="rId30"/>
  </sheets>
  <externalReferences>
    <externalReference r:id="rId31"/>
    <externalReference r:id="rId32"/>
    <externalReference r:id="rId33"/>
  </externalReferences>
  <calcPr calcId="145621"/>
</workbook>
</file>

<file path=xl/calcChain.xml><?xml version="1.0" encoding="utf-8"?>
<calcChain xmlns="http://schemas.openxmlformats.org/spreadsheetml/2006/main">
  <c r="H5" i="95" l="1"/>
  <c r="H6" i="95"/>
  <c r="H10" i="95"/>
  <c r="H4" i="95"/>
  <c r="H7" i="95"/>
  <c r="H11" i="95"/>
  <c r="H12" i="95"/>
  <c r="H15" i="95"/>
  <c r="H16" i="95"/>
  <c r="G17" i="95"/>
  <c r="G20" i="95"/>
  <c r="I3" i="95"/>
  <c r="I4" i="95"/>
  <c r="I5" i="95"/>
  <c r="I6" i="95"/>
  <c r="I7" i="95"/>
  <c r="H8" i="95"/>
  <c r="I8" i="95"/>
  <c r="H9" i="95"/>
  <c r="I9" i="95"/>
  <c r="I10" i="95"/>
  <c r="I11" i="95"/>
  <c r="I12" i="95"/>
  <c r="I13" i="95"/>
  <c r="H14" i="95"/>
  <c r="I14" i="95"/>
  <c r="I17" i="95" s="1"/>
  <c r="I15" i="95"/>
  <c r="I16" i="95"/>
  <c r="H17" i="95"/>
  <c r="H18" i="95"/>
  <c r="I18" i="95"/>
  <c r="I20" i="95" s="1"/>
  <c r="H19" i="95"/>
  <c r="I19" i="95"/>
  <c r="G13" i="95" l="1"/>
  <c r="G21" i="95" s="1"/>
  <c r="H3" i="95"/>
  <c r="I21" i="95"/>
  <c r="H20" i="95"/>
  <c r="T79" i="137"/>
  <c r="T80" i="137"/>
  <c r="T75" i="137"/>
  <c r="T76" i="137"/>
  <c r="V108" i="137"/>
  <c r="T43" i="137"/>
  <c r="BW231" i="105"/>
  <c r="BW230" i="105"/>
  <c r="BW229" i="105"/>
  <c r="BW228" i="105"/>
  <c r="BW227" i="105"/>
  <c r="H21" i="95" l="1"/>
  <c r="H13" i="95"/>
  <c r="Z26" i="90"/>
  <c r="X48" i="105" l="1"/>
  <c r="Z12" i="90" l="1"/>
  <c r="AK58" i="135" l="1"/>
  <c r="AL58" i="135"/>
  <c r="AK60" i="135"/>
  <c r="AL60" i="135"/>
  <c r="AK61" i="135"/>
  <c r="AL61" i="135"/>
  <c r="AK62" i="135"/>
  <c r="AK63" i="135" s="1"/>
  <c r="AL62" i="135"/>
  <c r="AL63" i="135"/>
  <c r="AK64" i="135"/>
  <c r="AL64" i="135"/>
  <c r="AK65" i="135"/>
  <c r="AL65" i="135"/>
  <c r="AK66" i="135"/>
  <c r="AK69" i="135" s="1"/>
  <c r="AL66" i="135"/>
  <c r="AK67" i="135"/>
  <c r="AL67" i="135"/>
  <c r="AK68" i="135"/>
  <c r="AL68" i="135"/>
  <c r="AL69" i="135"/>
  <c r="AK70" i="135"/>
  <c r="AL70" i="135"/>
  <c r="AK71" i="135"/>
  <c r="AL71" i="135"/>
  <c r="AK72" i="135"/>
  <c r="AL72" i="135"/>
  <c r="AK73" i="135"/>
  <c r="AL73" i="135"/>
  <c r="AK74" i="135"/>
  <c r="AL74" i="135"/>
  <c r="AK75" i="135"/>
  <c r="AL75" i="135"/>
  <c r="AK76" i="135"/>
  <c r="AL76" i="135"/>
  <c r="AK77" i="135"/>
  <c r="AL77" i="135"/>
  <c r="AK78" i="135"/>
  <c r="AL78" i="135"/>
  <c r="AK79" i="135"/>
  <c r="AL79" i="135"/>
  <c r="AK80" i="135"/>
  <c r="AL80" i="135"/>
  <c r="AK81" i="135"/>
  <c r="AL81" i="135"/>
  <c r="AK82" i="135"/>
  <c r="AL82" i="135"/>
  <c r="AK83" i="135"/>
  <c r="AL83" i="135"/>
  <c r="AK84" i="135"/>
  <c r="AL84" i="135"/>
  <c r="AK85" i="135"/>
  <c r="AL85" i="135"/>
  <c r="AK86" i="135"/>
  <c r="AL86" i="135"/>
  <c r="AK87" i="135"/>
  <c r="AL87" i="135"/>
  <c r="AK88" i="135"/>
  <c r="AL88" i="135"/>
  <c r="AK89" i="135"/>
  <c r="AL89" i="135"/>
  <c r="AK90" i="135"/>
  <c r="AL90" i="135"/>
  <c r="AK91" i="135"/>
  <c r="AL91" i="135"/>
  <c r="AK92" i="135"/>
  <c r="AL92" i="135"/>
  <c r="AK93" i="135"/>
  <c r="AL93" i="135"/>
  <c r="AK94" i="135"/>
  <c r="AL94" i="135"/>
  <c r="AK95" i="135"/>
  <c r="AL95" i="135"/>
  <c r="AK96" i="135"/>
  <c r="AL96" i="135"/>
  <c r="AK97" i="135"/>
  <c r="AL97" i="135"/>
  <c r="AK98" i="135"/>
  <c r="AL98" i="135"/>
  <c r="AK99" i="135"/>
  <c r="AL99" i="135"/>
  <c r="AK100" i="135"/>
  <c r="AL100" i="135"/>
  <c r="AK101" i="135"/>
  <c r="AL101" i="135"/>
  <c r="AK102" i="135"/>
  <c r="AL102" i="135"/>
  <c r="AK103" i="135"/>
  <c r="AL103" i="135"/>
  <c r="AK104" i="135"/>
  <c r="AL104" i="135"/>
  <c r="AK105" i="135"/>
  <c r="AL105" i="135"/>
  <c r="AK45" i="135"/>
  <c r="AL45" i="135"/>
  <c r="AL54" i="135" s="1"/>
  <c r="AK47" i="135"/>
  <c r="AK54" i="135" s="1"/>
  <c r="AL47" i="135"/>
  <c r="AK49" i="135"/>
  <c r="AL49" i="135"/>
  <c r="AK51" i="135"/>
  <c r="AL51" i="135"/>
  <c r="AK53" i="135"/>
  <c r="AL53" i="135"/>
  <c r="AK38" i="135"/>
  <c r="AL38" i="135"/>
  <c r="AK39" i="135"/>
  <c r="AL39" i="135"/>
  <c r="AL43" i="135" s="1"/>
  <c r="AK41" i="135"/>
  <c r="AK43" i="135" s="1"/>
  <c r="AL41" i="135"/>
  <c r="AK42" i="135"/>
  <c r="AL42" i="135"/>
  <c r="AK24" i="135"/>
  <c r="AL24" i="135"/>
  <c r="AK25" i="135"/>
  <c r="AL25" i="135"/>
  <c r="AK26" i="135"/>
  <c r="AL26" i="135"/>
  <c r="AK27" i="135"/>
  <c r="AK28" i="135" s="1"/>
  <c r="AL27" i="135"/>
  <c r="AL28" i="135" s="1"/>
  <c r="AK29" i="135"/>
  <c r="AL29" i="135"/>
  <c r="AK31" i="135"/>
  <c r="AK32" i="135"/>
  <c r="AK34" i="135" s="1"/>
  <c r="AL32" i="135"/>
  <c r="AK33" i="135"/>
  <c r="AL33" i="135"/>
  <c r="AL34" i="135"/>
  <c r="AL35" i="135" s="1"/>
  <c r="AK17" i="135"/>
  <c r="AL17" i="135"/>
  <c r="AK18" i="135"/>
  <c r="AK22" i="135" s="1"/>
  <c r="AL18" i="135"/>
  <c r="AK19" i="135"/>
  <c r="AL19" i="135"/>
  <c r="AK20" i="135"/>
  <c r="AL20" i="135"/>
  <c r="AK21" i="135"/>
  <c r="AL21" i="135"/>
  <c r="AL22" i="135"/>
  <c r="AK9" i="135"/>
  <c r="AL9" i="135"/>
  <c r="AK10" i="135"/>
  <c r="AK15" i="135" s="1"/>
  <c r="AL10" i="135"/>
  <c r="AK11" i="135"/>
  <c r="AL11" i="135"/>
  <c r="AK12" i="135"/>
  <c r="AL12" i="135"/>
  <c r="AK13" i="135"/>
  <c r="AL13" i="135"/>
  <c r="AK14" i="135"/>
  <c r="AL14" i="135"/>
  <c r="AL15" i="135"/>
  <c r="AK2" i="135"/>
  <c r="AK7" i="135" s="1"/>
  <c r="AL2" i="135"/>
  <c r="AK3" i="135"/>
  <c r="AL3" i="135"/>
  <c r="AK4" i="135"/>
  <c r="AL4" i="135"/>
  <c r="AL7" i="135" s="1"/>
  <c r="AK5" i="135"/>
  <c r="AL5" i="135"/>
  <c r="AK6" i="135"/>
  <c r="AL6" i="135"/>
  <c r="AL36" i="135" l="1"/>
  <c r="AK35" i="135"/>
  <c r="AK36" i="135"/>
  <c r="T8" i="137"/>
  <c r="S8" i="137"/>
  <c r="AN30" i="139" l="1"/>
  <c r="AN29" i="139"/>
  <c r="AN27" i="139"/>
  <c r="AN25" i="139"/>
  <c r="AN22" i="139"/>
  <c r="AN13" i="139"/>
  <c r="AN9" i="139"/>
  <c r="AN8" i="139"/>
  <c r="AN7" i="139"/>
  <c r="AN6" i="139"/>
  <c r="AN27" i="92" l="1"/>
  <c r="AN25" i="92"/>
  <c r="AN22" i="92"/>
  <c r="AN13" i="92"/>
  <c r="AN9" i="92"/>
  <c r="AN8" i="92"/>
  <c r="AN29" i="91"/>
  <c r="AN27" i="91"/>
  <c r="AN25" i="91"/>
  <c r="AN22" i="91"/>
  <c r="AN13" i="91"/>
  <c r="AN9" i="91"/>
  <c r="AN8" i="91"/>
  <c r="AN7" i="91"/>
  <c r="AN6" i="91"/>
  <c r="AN29" i="144"/>
  <c r="AN27" i="144"/>
  <c r="AN25" i="144"/>
  <c r="AN22" i="144"/>
  <c r="AN13" i="144"/>
  <c r="AN9" i="144"/>
  <c r="AN8" i="144"/>
  <c r="AN7" i="144"/>
  <c r="AN6" i="144"/>
  <c r="J19" i="95" l="1"/>
  <c r="J18" i="95"/>
  <c r="J12" i="95"/>
  <c r="J11" i="95"/>
  <c r="J10" i="95"/>
  <c r="J9" i="95"/>
  <c r="J8" i="95"/>
  <c r="J7" i="95"/>
  <c r="J6" i="95"/>
  <c r="J5" i="95"/>
  <c r="J4" i="95"/>
  <c r="J3" i="95"/>
  <c r="P36" i="93" l="1"/>
  <c r="P37" i="93"/>
  <c r="P38" i="93"/>
  <c r="P39" i="93"/>
  <c r="P40" i="93"/>
  <c r="P41" i="93"/>
  <c r="P42" i="93"/>
  <c r="P43" i="93"/>
  <c r="P35" i="93"/>
  <c r="O35" i="93"/>
  <c r="O36" i="93"/>
  <c r="O37" i="93"/>
  <c r="O38" i="93"/>
  <c r="O39" i="93"/>
  <c r="O40" i="93"/>
  <c r="O41" i="93"/>
  <c r="O42" i="93"/>
  <c r="O44" i="93" s="1"/>
  <c r="O43" i="93"/>
  <c r="AC8" i="119"/>
  <c r="AC7" i="119"/>
  <c r="AC12" i="119"/>
  <c r="AC13" i="119"/>
  <c r="AC14" i="119"/>
  <c r="AC15" i="119"/>
  <c r="AC17" i="119"/>
  <c r="AC18" i="119"/>
  <c r="AC19" i="119"/>
  <c r="BI205" i="105" l="1"/>
  <c r="BI204" i="105"/>
  <c r="K11" i="120" l="1"/>
  <c r="L11" i="120"/>
  <c r="M11" i="120"/>
  <c r="N11" i="120"/>
  <c r="Q11" i="120" s="1"/>
  <c r="O11" i="120"/>
  <c r="P11" i="120"/>
  <c r="R11" i="120"/>
  <c r="S11" i="120"/>
  <c r="T11" i="120"/>
  <c r="U11" i="120"/>
  <c r="V11" i="120"/>
  <c r="W11" i="120"/>
  <c r="K12" i="120"/>
  <c r="L12" i="120"/>
  <c r="M12" i="120"/>
  <c r="N12" i="120"/>
  <c r="O12" i="120"/>
  <c r="P12" i="120"/>
  <c r="Q12" i="120"/>
  <c r="R12" i="120"/>
  <c r="Y12" i="120" s="1"/>
  <c r="S12" i="120"/>
  <c r="T12" i="120"/>
  <c r="U12" i="120"/>
  <c r="V12" i="120"/>
  <c r="W12" i="120"/>
  <c r="Y11" i="120"/>
  <c r="Y14" i="120"/>
  <c r="Y22" i="120"/>
  <c r="H22" i="120"/>
  <c r="M61" i="144" l="1"/>
  <c r="CJ31" i="105"/>
  <c r="CJ32" i="105"/>
  <c r="CJ30" i="105"/>
  <c r="X11" i="105"/>
  <c r="AW86" i="105" l="1"/>
  <c r="AW87" i="105"/>
  <c r="AW88" i="105"/>
  <c r="V63" i="8"/>
  <c r="Z6" i="82"/>
  <c r="CJ34" i="105"/>
  <c r="CJ35" i="105"/>
  <c r="CJ33" i="105"/>
  <c r="CI177" i="105" l="1"/>
  <c r="CI51" i="105"/>
  <c r="CI35" i="105"/>
  <c r="R57" i="8" l="1"/>
  <c r="S57" i="8"/>
  <c r="T57" i="8"/>
  <c r="R56" i="8"/>
  <c r="S56" i="8"/>
  <c r="T56" i="8"/>
  <c r="R55" i="8"/>
  <c r="S55" i="8"/>
  <c r="T55" i="8"/>
  <c r="R47" i="8"/>
  <c r="S47" i="8"/>
  <c r="R46" i="8"/>
  <c r="S46" i="8"/>
  <c r="R45" i="8"/>
  <c r="S45" i="8"/>
  <c r="R42" i="8"/>
  <c r="S42" i="8"/>
  <c r="R41" i="8"/>
  <c r="S41" i="8"/>
  <c r="R40" i="8"/>
  <c r="S40" i="8"/>
  <c r="Y39" i="139"/>
  <c r="Y38" i="139"/>
  <c r="Y37" i="139"/>
  <c r="Y36" i="139"/>
  <c r="Y13" i="139"/>
  <c r="Y14" i="139"/>
  <c r="Y15" i="139"/>
  <c r="Y16" i="139"/>
  <c r="Y17" i="139"/>
  <c r="Y18" i="139"/>
  <c r="Y19" i="139"/>
  <c r="Y12" i="139"/>
  <c r="Y8" i="139"/>
  <c r="Y41" i="144"/>
  <c r="Y40" i="144"/>
  <c r="Y39" i="144"/>
  <c r="Y38" i="144"/>
  <c r="Y25" i="144"/>
  <c r="Y24" i="144"/>
  <c r="Y13" i="144"/>
  <c r="Y14" i="144"/>
  <c r="Y15" i="144"/>
  <c r="Y16" i="144"/>
  <c r="Y17" i="144"/>
  <c r="Y18" i="144"/>
  <c r="Y19" i="144"/>
  <c r="Y12" i="144"/>
  <c r="Y8" i="144"/>
  <c r="O22" i="93"/>
  <c r="R37" i="8" l="1"/>
  <c r="S37" i="8"/>
  <c r="T37" i="8"/>
  <c r="R33" i="8"/>
  <c r="S33" i="8"/>
  <c r="R32" i="8"/>
  <c r="S32" i="8"/>
  <c r="R31" i="8"/>
  <c r="S31" i="8"/>
  <c r="R28" i="8"/>
  <c r="S28" i="8"/>
  <c r="R27" i="8"/>
  <c r="S27" i="8"/>
  <c r="R26" i="8"/>
  <c r="S26" i="8"/>
  <c r="Y25" i="92" l="1"/>
  <c r="Y25" i="91"/>
  <c r="R35" i="8"/>
  <c r="S35" i="8"/>
  <c r="R30" i="8"/>
  <c r="S30" i="8"/>
  <c r="Q121" i="8"/>
  <c r="R59" i="8"/>
  <c r="S59" i="8"/>
  <c r="T59" i="8"/>
  <c r="R58" i="8"/>
  <c r="S58" i="8"/>
  <c r="T58" i="8"/>
  <c r="R49" i="8"/>
  <c r="S49" i="8"/>
  <c r="R48" i="8"/>
  <c r="S48" i="8"/>
  <c r="R44" i="8"/>
  <c r="S44" i="8"/>
  <c r="R43" i="8"/>
  <c r="S43" i="8"/>
  <c r="R34" i="8"/>
  <c r="S34" i="8"/>
  <c r="R29" i="8"/>
  <c r="S29" i="8"/>
  <c r="R12" i="119" l="1"/>
  <c r="R7" i="119" l="1"/>
  <c r="R24" i="119" l="1"/>
  <c r="AC8" i="92" l="1"/>
  <c r="AD8" i="92"/>
  <c r="AE8" i="92"/>
  <c r="AF8" i="92"/>
  <c r="AG8" i="92"/>
  <c r="AH8" i="92"/>
  <c r="AI8" i="92"/>
  <c r="AJ8" i="92"/>
  <c r="AK8" i="92"/>
  <c r="AL8" i="92"/>
  <c r="AB8" i="92"/>
  <c r="AA8" i="92"/>
  <c r="AL8" i="91"/>
  <c r="AB8" i="91"/>
  <c r="AC8" i="91"/>
  <c r="AD8" i="91"/>
  <c r="AE8" i="91"/>
  <c r="AF8" i="91"/>
  <c r="AG8" i="91"/>
  <c r="AH8" i="91"/>
  <c r="AI8" i="91"/>
  <c r="AJ8" i="91"/>
  <c r="AK8" i="91"/>
  <c r="AA8" i="91"/>
  <c r="AC8" i="85"/>
  <c r="AD8" i="85"/>
  <c r="AE8" i="85"/>
  <c r="AF8" i="85"/>
  <c r="AG8" i="85"/>
  <c r="AH8" i="85"/>
  <c r="AI8" i="85"/>
  <c r="AJ8" i="85"/>
  <c r="AK8" i="85"/>
  <c r="AL8" i="85"/>
  <c r="AB8" i="85"/>
  <c r="AA8" i="85"/>
  <c r="AL17" i="82"/>
  <c r="AC17" i="82"/>
  <c r="AD17" i="82"/>
  <c r="AE17" i="82"/>
  <c r="AF17" i="82"/>
  <c r="AG17" i="82"/>
  <c r="AH17" i="82"/>
  <c r="AI17" i="82"/>
  <c r="AJ17" i="82"/>
  <c r="AK17" i="82"/>
  <c r="AB17" i="82"/>
  <c r="AA17" i="82"/>
  <c r="AM17" i="82"/>
  <c r="S79" i="137" l="1"/>
  <c r="S80" i="137"/>
  <c r="S75" i="137"/>
  <c r="S76" i="137"/>
  <c r="U108" i="137"/>
  <c r="S43" i="137" l="1"/>
  <c r="BG25" i="120" l="1"/>
  <c r="BG24" i="120"/>
  <c r="AG32" i="69"/>
  <c r="N35" i="93" l="1"/>
  <c r="N36" i="93"/>
  <c r="N37" i="93"/>
  <c r="N38" i="93"/>
  <c r="N39" i="93"/>
  <c r="N40" i="93"/>
  <c r="N41" i="93"/>
  <c r="N42" i="93"/>
  <c r="N43" i="93"/>
  <c r="E39" i="93"/>
  <c r="F39" i="93"/>
  <c r="G39" i="93"/>
  <c r="H39" i="93"/>
  <c r="I39" i="93"/>
  <c r="J39" i="93"/>
  <c r="K39" i="93"/>
  <c r="L39" i="93"/>
  <c r="M39" i="93"/>
  <c r="D38" i="93"/>
  <c r="E37" i="93"/>
  <c r="F37" i="93"/>
  <c r="G37" i="93"/>
  <c r="H37" i="93"/>
  <c r="I37" i="93"/>
  <c r="J37" i="93"/>
  <c r="K37" i="93"/>
  <c r="L37" i="93"/>
  <c r="M37" i="93"/>
  <c r="D37" i="93"/>
  <c r="O19" i="119"/>
  <c r="AA19" i="119"/>
  <c r="AB19" i="119"/>
  <c r="S7" i="119"/>
  <c r="T7" i="119"/>
  <c r="U7" i="119"/>
  <c r="V7" i="119"/>
  <c r="W7" i="119"/>
  <c r="X7" i="119"/>
  <c r="Y7" i="119"/>
  <c r="Z7" i="119"/>
  <c r="AA7" i="119"/>
  <c r="AB7" i="119"/>
  <c r="S8" i="119"/>
  <c r="T8" i="119"/>
  <c r="U8" i="119"/>
  <c r="V8" i="119"/>
  <c r="W8" i="119"/>
  <c r="X8" i="119"/>
  <c r="Y8" i="119"/>
  <c r="Z8" i="119"/>
  <c r="AA8" i="119"/>
  <c r="AB8" i="119"/>
  <c r="AE12" i="119"/>
  <c r="S13" i="119"/>
  <c r="T13" i="119"/>
  <c r="U13" i="119"/>
  <c r="V13" i="119"/>
  <c r="W13" i="119"/>
  <c r="X13" i="119"/>
  <c r="Y13" i="119"/>
  <c r="Z13" i="119"/>
  <c r="AA13" i="119"/>
  <c r="AB13" i="119"/>
  <c r="S14" i="119"/>
  <c r="T14" i="119"/>
  <c r="U14" i="119"/>
  <c r="V14" i="119"/>
  <c r="W14" i="119"/>
  <c r="X14" i="119"/>
  <c r="Y14" i="119"/>
  <c r="Z14" i="119"/>
  <c r="AA14" i="119"/>
  <c r="AB14" i="119"/>
  <c r="S15" i="119"/>
  <c r="T15" i="119"/>
  <c r="U15" i="119"/>
  <c r="V15" i="119"/>
  <c r="W15" i="119"/>
  <c r="X15" i="119"/>
  <c r="Y15" i="119"/>
  <c r="Z15" i="119"/>
  <c r="AA15" i="119"/>
  <c r="AB15" i="119"/>
  <c r="S17" i="119"/>
  <c r="T17" i="119"/>
  <c r="U17" i="119"/>
  <c r="V17" i="119"/>
  <c r="W17" i="119"/>
  <c r="X17" i="119"/>
  <c r="Y17" i="119"/>
  <c r="Z17" i="119"/>
  <c r="AA17" i="119"/>
  <c r="AB17" i="119"/>
  <c r="S18" i="119"/>
  <c r="T18" i="119"/>
  <c r="U18" i="119"/>
  <c r="V18" i="119"/>
  <c r="W18" i="119"/>
  <c r="X18" i="119"/>
  <c r="Y18" i="119"/>
  <c r="Z18" i="119"/>
  <c r="AA18" i="119"/>
  <c r="AB18" i="119"/>
  <c r="S19" i="119"/>
  <c r="T19" i="119"/>
  <c r="U19" i="119"/>
  <c r="V19" i="119"/>
  <c r="W19" i="119"/>
  <c r="X19" i="119"/>
  <c r="Y19" i="119"/>
  <c r="Z19" i="119"/>
  <c r="R19" i="119"/>
  <c r="R18" i="119"/>
  <c r="R17" i="119"/>
  <c r="R15" i="119"/>
  <c r="R14" i="119"/>
  <c r="R13" i="119"/>
  <c r="S12" i="119"/>
  <c r="T12" i="119"/>
  <c r="U12" i="119"/>
  <c r="V12" i="119"/>
  <c r="W12" i="119"/>
  <c r="X12" i="119"/>
  <c r="Y12" i="119"/>
  <c r="Z12" i="119"/>
  <c r="AA12" i="119"/>
  <c r="AB12" i="119"/>
  <c r="R8" i="119"/>
  <c r="H6" i="119"/>
  <c r="I6" i="119"/>
  <c r="J6" i="119"/>
  <c r="K6" i="119"/>
  <c r="L6" i="119"/>
  <c r="M6" i="119"/>
  <c r="N6" i="119"/>
  <c r="O6" i="119"/>
  <c r="P6" i="119"/>
  <c r="G6" i="119"/>
  <c r="F6" i="119"/>
  <c r="N44" i="93" l="1"/>
  <c r="AD12" i="119"/>
  <c r="V16" i="105" l="1"/>
  <c r="O22" i="119"/>
  <c r="K26" i="119"/>
  <c r="P123" i="8"/>
  <c r="P176" i="8"/>
  <c r="W8" i="144" l="1"/>
  <c r="X8" i="144"/>
  <c r="X24" i="144"/>
  <c r="X25" i="144"/>
  <c r="X12" i="144"/>
  <c r="X13" i="144"/>
  <c r="X14" i="144"/>
  <c r="X15" i="144"/>
  <c r="X16" i="144"/>
  <c r="X17" i="144"/>
  <c r="X18" i="144"/>
  <c r="X19" i="144"/>
  <c r="W12" i="144"/>
  <c r="W13" i="144"/>
  <c r="W14" i="144"/>
  <c r="W15" i="144"/>
  <c r="W16" i="144"/>
  <c r="W17" i="144"/>
  <c r="W18" i="144"/>
  <c r="W19" i="144"/>
  <c r="Z30" i="91"/>
  <c r="Z31" i="91"/>
  <c r="Z32" i="91"/>
  <c r="Z33" i="91"/>
  <c r="Z34" i="91"/>
  <c r="Z35" i="91"/>
  <c r="Z36" i="91"/>
  <c r="Z37" i="91"/>
  <c r="CH177" i="105" l="1"/>
  <c r="CH51" i="105" l="1"/>
  <c r="V13" i="105"/>
  <c r="CH35" i="105"/>
  <c r="X58" i="144" l="1"/>
  <c r="G122" i="8"/>
  <c r="H122" i="8"/>
  <c r="I122" i="8"/>
  <c r="J122" i="8"/>
  <c r="K122" i="8"/>
  <c r="L122" i="8"/>
  <c r="M122" i="8"/>
  <c r="N122" i="8"/>
  <c r="O122" i="8"/>
  <c r="N63" i="144"/>
  <c r="F122" i="8"/>
  <c r="N58" i="144"/>
  <c r="P117" i="8"/>
  <c r="X6" i="82"/>
  <c r="R72" i="8" l="1"/>
  <c r="S72" i="8"/>
  <c r="T72" i="8"/>
  <c r="R71" i="8"/>
  <c r="S71" i="8"/>
  <c r="T71" i="8"/>
  <c r="Z42" i="139" l="1"/>
  <c r="U42" i="139"/>
  <c r="V42" i="139"/>
  <c r="W42" i="139"/>
  <c r="X42" i="139"/>
  <c r="X41" i="139"/>
  <c r="X40" i="139"/>
  <c r="X38" i="139"/>
  <c r="X39" i="139"/>
  <c r="X37" i="139"/>
  <c r="X36" i="139"/>
  <c r="X31" i="139"/>
  <c r="X30" i="139"/>
  <c r="X12" i="139"/>
  <c r="X13" i="139"/>
  <c r="X14" i="139"/>
  <c r="X15" i="139"/>
  <c r="X16" i="139"/>
  <c r="X17" i="139"/>
  <c r="X18" i="139"/>
  <c r="X19" i="139"/>
  <c r="N22" i="93" l="1"/>
  <c r="AN23" i="142"/>
  <c r="AN21" i="142"/>
  <c r="AN19" i="142"/>
  <c r="AN18" i="142"/>
  <c r="AN8" i="142"/>
  <c r="AN7" i="142"/>
  <c r="AN6" i="142"/>
  <c r="AN23" i="82"/>
  <c r="AN21" i="82"/>
  <c r="AN19" i="82"/>
  <c r="AN17" i="82"/>
  <c r="AN15" i="82"/>
  <c r="AN8" i="82"/>
  <c r="AN7" i="82"/>
  <c r="X6" i="85"/>
  <c r="AN23" i="85"/>
  <c r="AN21" i="85"/>
  <c r="AN19" i="85"/>
  <c r="AN16" i="85"/>
  <c r="AN9" i="85"/>
  <c r="AN8" i="85"/>
  <c r="AN7" i="85"/>
  <c r="AN6" i="85"/>
  <c r="AN23" i="90"/>
  <c r="AN21" i="90"/>
  <c r="AN19" i="90"/>
  <c r="AN18" i="90"/>
  <c r="AN8" i="90"/>
  <c r="AN7" i="90"/>
  <c r="AN6" i="90"/>
  <c r="AN6" i="92" l="1"/>
  <c r="R67" i="8" l="1"/>
  <c r="S67" i="8"/>
  <c r="R66" i="8"/>
  <c r="S66" i="8"/>
  <c r="R62" i="8"/>
  <c r="S62" i="8"/>
  <c r="AN29" i="92" l="1"/>
  <c r="AN7" i="92"/>
  <c r="X25" i="92"/>
  <c r="X25" i="91"/>
  <c r="BL232" i="105" l="1"/>
  <c r="BM232" i="105"/>
  <c r="BN232" i="105"/>
  <c r="BO232" i="105"/>
  <c r="BP232" i="105"/>
  <c r="BQ232" i="105"/>
  <c r="BR232" i="105"/>
  <c r="BS232" i="105"/>
  <c r="BT232" i="105"/>
  <c r="BU232" i="105"/>
  <c r="BV232" i="105"/>
  <c r="BK232" i="105"/>
  <c r="BC231" i="105"/>
  <c r="BC216" i="105"/>
  <c r="AO98" i="105"/>
  <c r="L16" i="82" l="1"/>
  <c r="D176" i="8" l="1"/>
  <c r="D39" i="8"/>
  <c r="W27" i="8" l="1"/>
  <c r="U22" i="91" l="1"/>
  <c r="I40" i="137" l="1"/>
  <c r="J40" i="137"/>
  <c r="K40" i="137"/>
  <c r="I41" i="137"/>
  <c r="J41" i="137"/>
  <c r="K41" i="137"/>
  <c r="I42" i="137"/>
  <c r="J42" i="137"/>
  <c r="K42" i="137"/>
  <c r="I38" i="137"/>
  <c r="J38" i="137"/>
  <c r="K38" i="137"/>
  <c r="L38" i="137"/>
  <c r="N38" i="137"/>
  <c r="O38" i="137"/>
  <c r="P38" i="137"/>
  <c r="Q38" i="137"/>
  <c r="R38" i="137"/>
  <c r="S38" i="137"/>
  <c r="T38" i="137"/>
  <c r="M38" i="137"/>
  <c r="I37" i="137"/>
  <c r="J37" i="137"/>
  <c r="K37" i="137"/>
  <c r="L37" i="137"/>
  <c r="N37" i="137"/>
  <c r="O37" i="137"/>
  <c r="P37" i="137"/>
  <c r="Q37" i="137"/>
  <c r="R37" i="137"/>
  <c r="S37" i="137"/>
  <c r="T37" i="137"/>
  <c r="M37" i="137"/>
  <c r="I36" i="137"/>
  <c r="J36" i="137"/>
  <c r="K36" i="137"/>
  <c r="M36" i="137"/>
  <c r="N36" i="137"/>
  <c r="O36" i="137"/>
  <c r="P36" i="137"/>
  <c r="Q36" i="137"/>
  <c r="R36" i="137"/>
  <c r="S36" i="137"/>
  <c r="T36" i="137"/>
  <c r="L36" i="137"/>
  <c r="I35" i="137"/>
  <c r="J35" i="137"/>
  <c r="K35" i="137"/>
  <c r="L35" i="137"/>
  <c r="Q79" i="137" l="1"/>
  <c r="R79" i="137"/>
  <c r="Q80" i="137"/>
  <c r="R80" i="137"/>
  <c r="Q75" i="137"/>
  <c r="R75" i="137"/>
  <c r="Q76" i="137"/>
  <c r="R76" i="137"/>
  <c r="K108" i="137" l="1"/>
  <c r="L108" i="137"/>
  <c r="M108" i="137"/>
  <c r="N108" i="137"/>
  <c r="O108" i="137"/>
  <c r="P108" i="137"/>
  <c r="Q108" i="137"/>
  <c r="S108" i="137"/>
  <c r="T108" i="137"/>
  <c r="R108" i="137"/>
  <c r="R43" i="137" l="1"/>
  <c r="Q43" i="137"/>
  <c r="AJ38" i="85" l="1"/>
  <c r="AN138" i="135" l="1"/>
  <c r="Z138" i="135"/>
  <c r="AA146" i="135" l="1"/>
  <c r="AB146" i="135"/>
  <c r="AC146" i="135"/>
  <c r="AD146" i="135"/>
  <c r="AE146" i="135"/>
  <c r="AF146" i="135"/>
  <c r="AG146" i="135"/>
  <c r="AH146" i="135"/>
  <c r="AI146" i="135"/>
  <c r="AJ146" i="135"/>
  <c r="AX111" i="135"/>
  <c r="AX117" i="135"/>
  <c r="AX119" i="135"/>
  <c r="AX123" i="135"/>
  <c r="AX127" i="135"/>
  <c r="AX136" i="135"/>
  <c r="AX138" i="135"/>
  <c r="AX142" i="135"/>
  <c r="AX145" i="135"/>
  <c r="AX155" i="135"/>
  <c r="AX159" i="135"/>
  <c r="AX164" i="135"/>
  <c r="AX172" i="135"/>
  <c r="AX174" i="135"/>
  <c r="AX178" i="135"/>
  <c r="AX182" i="135"/>
  <c r="AX191" i="135"/>
  <c r="AX193" i="135"/>
  <c r="AX197" i="135"/>
  <c r="AX201" i="135"/>
  <c r="AX9" i="135"/>
  <c r="AX38" i="135"/>
  <c r="AX39" i="135"/>
  <c r="AX41" i="135"/>
  <c r="AX42" i="135"/>
  <c r="AX43" i="135"/>
  <c r="AX45" i="135"/>
  <c r="AX47" i="135"/>
  <c r="AX49" i="135"/>
  <c r="AX51" i="135"/>
  <c r="AX53" i="135"/>
  <c r="AX55" i="135"/>
  <c r="AX70" i="135"/>
  <c r="AX71" i="135"/>
  <c r="AX72" i="135"/>
  <c r="AX73" i="135"/>
  <c r="AX74" i="135"/>
  <c r="AX75" i="135"/>
  <c r="AX94" i="135"/>
  <c r="AX95" i="135"/>
  <c r="AX96" i="135"/>
  <c r="AX97" i="135"/>
  <c r="AX98" i="135"/>
  <c r="AX99" i="135"/>
  <c r="AX100" i="135"/>
  <c r="AJ100" i="135" s="1"/>
  <c r="AX101" i="135"/>
  <c r="AJ101" i="135" s="1"/>
  <c r="AX102" i="135"/>
  <c r="AJ102" i="135" s="1"/>
  <c r="AX103" i="135"/>
  <c r="AJ103" i="135" s="1"/>
  <c r="AX104" i="135"/>
  <c r="AK16" i="135"/>
  <c r="AL16" i="135"/>
  <c r="AJ9" i="135"/>
  <c r="AJ38" i="135"/>
  <c r="AJ43" i="135" s="1"/>
  <c r="AJ39" i="135"/>
  <c r="AJ41" i="135"/>
  <c r="AJ42" i="135"/>
  <c r="AJ45" i="135"/>
  <c r="AJ54" i="135" s="1"/>
  <c r="AJ47" i="135"/>
  <c r="AJ49" i="135"/>
  <c r="AJ51" i="135"/>
  <c r="AJ53" i="135"/>
  <c r="AJ58" i="135"/>
  <c r="AX58" i="135" s="1"/>
  <c r="AX120" i="135" s="1"/>
  <c r="AJ60" i="135"/>
  <c r="AX60" i="135" s="1"/>
  <c r="AX156" i="135" s="1"/>
  <c r="AJ61" i="135"/>
  <c r="AX61" i="135" s="1"/>
  <c r="AX175" i="135" s="1"/>
  <c r="AJ62" i="135"/>
  <c r="AX62" i="135" s="1"/>
  <c r="AX194" i="135" s="1"/>
  <c r="AJ64" i="135"/>
  <c r="AX64" i="135" s="1"/>
  <c r="AX121" i="135" s="1"/>
  <c r="AJ65" i="135"/>
  <c r="AX65" i="135" s="1"/>
  <c r="AJ66" i="135"/>
  <c r="AX66" i="135" s="1"/>
  <c r="AX157" i="135" s="1"/>
  <c r="AJ67" i="135"/>
  <c r="AX67" i="135" s="1"/>
  <c r="AX176" i="135" s="1"/>
  <c r="AJ70" i="135"/>
  <c r="AJ75" i="135" s="1"/>
  <c r="AJ71" i="135"/>
  <c r="AJ72" i="135"/>
  <c r="AJ73" i="135"/>
  <c r="AJ74" i="135"/>
  <c r="AJ94" i="135"/>
  <c r="AJ99" i="135" s="1"/>
  <c r="AJ95" i="135"/>
  <c r="AJ96" i="135"/>
  <c r="AJ97" i="135"/>
  <c r="AJ98" i="135"/>
  <c r="AJ104" i="135"/>
  <c r="AJ63" i="135" l="1"/>
  <c r="AX63" i="135" s="1"/>
  <c r="AJ105" i="135"/>
  <c r="AX105" i="135" s="1"/>
  <c r="BE19" i="120" l="1"/>
  <c r="BF19" i="120"/>
  <c r="AG31" i="69" l="1"/>
  <c r="BG23" i="120"/>
  <c r="CG35" i="105"/>
  <c r="V44" i="90" l="1"/>
  <c r="W44" i="90"/>
  <c r="W14" i="142"/>
  <c r="W13" i="142"/>
  <c r="W12" i="142"/>
  <c r="W11" i="142"/>
  <c r="W10" i="142"/>
  <c r="W41" i="139" l="1"/>
  <c r="W40" i="139"/>
  <c r="W39" i="139"/>
  <c r="W38" i="139"/>
  <c r="W37" i="139"/>
  <c r="W36" i="139"/>
  <c r="W31" i="139"/>
  <c r="W30" i="139"/>
  <c r="W5" i="139"/>
  <c r="M36" i="93" l="1"/>
  <c r="M38" i="93"/>
  <c r="M40" i="93"/>
  <c r="W12" i="139" l="1"/>
  <c r="W13" i="139"/>
  <c r="W14" i="139"/>
  <c r="W15" i="139"/>
  <c r="W16" i="139"/>
  <c r="W17" i="139"/>
  <c r="W18" i="139"/>
  <c r="W19" i="139"/>
  <c r="W13" i="90"/>
  <c r="M41" i="93" l="1"/>
  <c r="M42" i="93"/>
  <c r="M43" i="93"/>
  <c r="M35" i="93"/>
  <c r="M44" i="93" s="1"/>
  <c r="BB246" i="105" l="1"/>
  <c r="W25" i="92" l="1"/>
  <c r="W24" i="144"/>
  <c r="W25" i="144"/>
  <c r="W25" i="91"/>
  <c r="W19" i="85"/>
  <c r="V22" i="91" l="1"/>
  <c r="V15" i="82" l="1"/>
  <c r="Q228" i="135" l="1"/>
  <c r="V117" i="135"/>
  <c r="U127" i="135"/>
  <c r="V127" i="135"/>
  <c r="U145" i="135"/>
  <c r="V145" i="135"/>
  <c r="U164" i="135"/>
  <c r="V164" i="135"/>
  <c r="I9" i="105" l="1"/>
  <c r="V22" i="92" l="1"/>
  <c r="AK185" i="135" l="1"/>
  <c r="AL185" i="135"/>
  <c r="E185" i="135"/>
  <c r="AK187" i="135"/>
  <c r="AL187" i="135"/>
  <c r="AK188" i="135"/>
  <c r="AL188" i="135"/>
  <c r="AK189" i="135"/>
  <c r="AL189" i="135"/>
  <c r="AJ191" i="135"/>
  <c r="AK191" i="135"/>
  <c r="AL191" i="135"/>
  <c r="F194" i="135"/>
  <c r="E194" i="135"/>
  <c r="AJ193" i="135"/>
  <c r="AK193" i="135"/>
  <c r="AL193" i="135"/>
  <c r="G194" i="135"/>
  <c r="I194" i="135"/>
  <c r="AJ194" i="135"/>
  <c r="AK194" i="135"/>
  <c r="AL194" i="135"/>
  <c r="E195" i="135"/>
  <c r="F195" i="135"/>
  <c r="G195" i="135"/>
  <c r="I195" i="135"/>
  <c r="AK195" i="135"/>
  <c r="AL195" i="135"/>
  <c r="AJ197" i="135"/>
  <c r="AK197" i="135"/>
  <c r="AL197" i="135"/>
  <c r="AK198" i="135"/>
  <c r="AL198" i="135"/>
  <c r="AK199" i="135"/>
  <c r="AL199" i="135"/>
  <c r="AM30" i="135"/>
  <c r="BX203" i="135"/>
  <c r="BW203" i="135"/>
  <c r="BX184" i="135"/>
  <c r="BW184" i="135"/>
  <c r="BX165" i="135"/>
  <c r="BW165" i="135"/>
  <c r="BX147" i="135"/>
  <c r="BW147" i="135"/>
  <c r="BW129" i="135"/>
  <c r="Q34" i="95"/>
  <c r="R34" i="95"/>
  <c r="S34" i="95"/>
  <c r="T34" i="95"/>
  <c r="U34" i="95"/>
  <c r="BX129" i="135"/>
  <c r="BF27" i="120" l="1"/>
  <c r="N68" i="138" l="1"/>
  <c r="N67" i="138"/>
  <c r="N65" i="138"/>
  <c r="N56" i="138"/>
  <c r="N55" i="138"/>
  <c r="N53" i="138"/>
  <c r="N44" i="138"/>
  <c r="N43" i="138"/>
  <c r="N32" i="138"/>
  <c r="N31" i="138"/>
  <c r="N29" i="138"/>
  <c r="N20" i="138"/>
  <c r="N19" i="138"/>
  <c r="N45" i="138" l="1"/>
  <c r="N69" i="138"/>
  <c r="N57" i="138"/>
  <c r="N33" i="138"/>
  <c r="N21" i="138"/>
  <c r="AR20" i="82"/>
  <c r="AP215" i="135" l="1"/>
  <c r="AP213" i="135" s="1"/>
  <c r="AQ215" i="135"/>
  <c r="AQ216" i="135" s="1"/>
  <c r="AR215" i="135"/>
  <c r="AR216" i="135" s="1"/>
  <c r="AS215" i="135"/>
  <c r="AS216" i="135" s="1"/>
  <c r="AT215" i="135"/>
  <c r="AT216" i="135" s="1"/>
  <c r="AU215" i="135"/>
  <c r="AU216" i="135" s="1"/>
  <c r="AV215" i="135"/>
  <c r="AV216" i="135" s="1"/>
  <c r="AW215" i="135"/>
  <c r="AW213" i="135" s="1"/>
  <c r="AO215" i="135"/>
  <c r="AO213" i="135" s="1"/>
  <c r="O57" i="90"/>
  <c r="P57" i="90"/>
  <c r="Q57" i="90"/>
  <c r="R57" i="90"/>
  <c r="S57" i="90"/>
  <c r="T57" i="90"/>
  <c r="U57" i="90"/>
  <c r="V57" i="90"/>
  <c r="N57" i="90"/>
  <c r="F213" i="135"/>
  <c r="F214" i="135"/>
  <c r="F215" i="135"/>
  <c r="F216" i="135"/>
  <c r="F217" i="135"/>
  <c r="F218" i="135"/>
  <c r="F219" i="135"/>
  <c r="F220" i="135"/>
  <c r="F221" i="135"/>
  <c r="F222" i="135"/>
  <c r="F223" i="135"/>
  <c r="F224" i="135"/>
  <c r="F212" i="135"/>
  <c r="AT213" i="135" l="1"/>
  <c r="AR213" i="135"/>
  <c r="AQ213" i="135"/>
  <c r="AW216" i="135"/>
  <c r="AS213" i="135"/>
  <c r="AP216" i="135"/>
  <c r="AO216" i="135"/>
  <c r="AV213" i="135"/>
  <c r="AU213" i="135"/>
  <c r="N62" i="144" l="1"/>
  <c r="S105" i="135" l="1"/>
  <c r="AW100" i="135" l="1"/>
  <c r="AW101" i="135"/>
  <c r="AW102" i="135"/>
  <c r="AI102" i="135" s="1"/>
  <c r="AW103" i="135"/>
  <c r="AI103" i="135" s="1"/>
  <c r="AW104" i="135"/>
  <c r="AI104" i="135" s="1"/>
  <c r="AI64" i="135"/>
  <c r="AW64" i="135" s="1"/>
  <c r="AW121" i="135" s="1"/>
  <c r="AI65" i="135"/>
  <c r="AW65" i="135" s="1"/>
  <c r="AI94" i="135"/>
  <c r="AW94" i="135" s="1"/>
  <c r="AW127" i="135" s="1"/>
  <c r="AI95" i="135"/>
  <c r="AW95" i="135" s="1"/>
  <c r="AW145" i="135" s="1"/>
  <c r="AI96" i="135"/>
  <c r="AI97" i="135"/>
  <c r="AW97" i="135" s="1"/>
  <c r="AW182" i="135" s="1"/>
  <c r="AI98" i="135"/>
  <c r="AW98" i="135" s="1"/>
  <c r="AW201" i="135" s="1"/>
  <c r="AI101" i="135" l="1"/>
  <c r="AI99" i="135"/>
  <c r="S99" i="135" s="1"/>
  <c r="AW96" i="135"/>
  <c r="AW164" i="135" s="1"/>
  <c r="AI100" i="135"/>
  <c r="AW99" i="135" l="1"/>
  <c r="AI105" i="135"/>
  <c r="AW105" i="135" s="1"/>
  <c r="L38" i="93"/>
  <c r="L40" i="93"/>
  <c r="L35" i="93"/>
  <c r="L36" i="93"/>
  <c r="L41" i="93"/>
  <c r="L42" i="93"/>
  <c r="L43" i="93"/>
  <c r="L44" i="93" l="1"/>
  <c r="Z20" i="119"/>
  <c r="V6" i="144"/>
  <c r="CF35" i="105" l="1"/>
  <c r="AG29" i="69"/>
  <c r="BG22" i="120"/>
  <c r="V41" i="92" l="1"/>
  <c r="V40" i="92"/>
  <c r="V41" i="139"/>
  <c r="V40" i="139"/>
  <c r="V31" i="139"/>
  <c r="V30" i="139"/>
  <c r="V13" i="139"/>
  <c r="V14" i="139"/>
  <c r="V15" i="139"/>
  <c r="V16" i="139"/>
  <c r="V17" i="139"/>
  <c r="V18" i="139"/>
  <c r="V19" i="139"/>
  <c r="V12" i="139"/>
  <c r="V8" i="139"/>
  <c r="V5" i="139"/>
  <c r="V31" i="92"/>
  <c r="V30" i="92"/>
  <c r="H5" i="105" l="1"/>
  <c r="Y5" i="105"/>
  <c r="Z5" i="105"/>
  <c r="AA5" i="105"/>
  <c r="AB5" i="105"/>
  <c r="AC5" i="105"/>
  <c r="AD5" i="105"/>
  <c r="AE5" i="105"/>
  <c r="AF5" i="105"/>
  <c r="AG5" i="105"/>
  <c r="AJ5" i="105"/>
  <c r="AJ10" i="105" s="1"/>
  <c r="AK5" i="105"/>
  <c r="AL5" i="105"/>
  <c r="D6" i="105"/>
  <c r="E6" i="105"/>
  <c r="F6" i="105"/>
  <c r="G6" i="105"/>
  <c r="D7" i="105"/>
  <c r="E7" i="105"/>
  <c r="F7" i="105"/>
  <c r="G7" i="105"/>
  <c r="D8" i="105"/>
  <c r="E8" i="105"/>
  <c r="F8" i="105"/>
  <c r="G8" i="105"/>
  <c r="I8" i="105"/>
  <c r="D9" i="105"/>
  <c r="E9" i="105"/>
  <c r="F9" i="105"/>
  <c r="D11" i="105"/>
  <c r="D5" i="105" s="1"/>
  <c r="E11" i="105"/>
  <c r="E5" i="105" s="1"/>
  <c r="F11" i="105"/>
  <c r="F5" i="105" s="1"/>
  <c r="G11" i="105"/>
  <c r="G5" i="105" s="1"/>
  <c r="I11" i="105"/>
  <c r="I5" i="105" s="1"/>
  <c r="J11" i="105"/>
  <c r="J5" i="105" s="1"/>
  <c r="K5" i="105" s="1"/>
  <c r="L11" i="105"/>
  <c r="L5" i="105" s="1"/>
  <c r="M11" i="105"/>
  <c r="M5" i="105" s="1"/>
  <c r="N11" i="105"/>
  <c r="N5" i="105" s="1"/>
  <c r="O11" i="105"/>
  <c r="O5" i="105" s="1"/>
  <c r="P11" i="105"/>
  <c r="P5" i="105" s="1"/>
  <c r="Q11" i="105"/>
  <c r="Q5" i="105" s="1"/>
  <c r="R11" i="105"/>
  <c r="R5" i="105" s="1"/>
  <c r="S11" i="105"/>
  <c r="S5" i="105" s="1"/>
  <c r="T11" i="105"/>
  <c r="T5" i="105" s="1"/>
  <c r="W11" i="105"/>
  <c r="W5" i="105" s="1"/>
  <c r="Y11" i="105"/>
  <c r="Z11" i="105"/>
  <c r="AA11" i="105"/>
  <c r="AB11" i="105"/>
  <c r="AC11" i="105"/>
  <c r="AD11" i="105"/>
  <c r="AE11" i="105"/>
  <c r="AF11" i="105"/>
  <c r="AG11" i="105"/>
  <c r="AJ11" i="105"/>
  <c r="AK11" i="105"/>
  <c r="D12" i="105"/>
  <c r="E12" i="105"/>
  <c r="F12" i="105"/>
  <c r="G12" i="105"/>
  <c r="I12" i="105"/>
  <c r="J12" i="105"/>
  <c r="K12" i="105" s="1"/>
  <c r="L12" i="105"/>
  <c r="M12" i="105"/>
  <c r="N12" i="105"/>
  <c r="O12" i="105"/>
  <c r="P12" i="105"/>
  <c r="Q12" i="105"/>
  <c r="R12" i="105"/>
  <c r="S12" i="105"/>
  <c r="T12" i="105"/>
  <c r="W12" i="105"/>
  <c r="Y12" i="105"/>
  <c r="Z12" i="105"/>
  <c r="AA12" i="105"/>
  <c r="AB12" i="105"/>
  <c r="AC12" i="105"/>
  <c r="AD12" i="105"/>
  <c r="AE12" i="105"/>
  <c r="AF12" i="105"/>
  <c r="AG12" i="105"/>
  <c r="AJ12" i="105"/>
  <c r="AK12" i="105"/>
  <c r="AK16" i="105" s="1"/>
  <c r="D13" i="105"/>
  <c r="E13" i="105"/>
  <c r="F13" i="105"/>
  <c r="G13" i="105"/>
  <c r="I13" i="105"/>
  <c r="J13" i="105"/>
  <c r="K13" i="105"/>
  <c r="L13" i="105"/>
  <c r="M13" i="105"/>
  <c r="N13" i="105"/>
  <c r="O13" i="105"/>
  <c r="P13" i="105"/>
  <c r="Q13" i="105"/>
  <c r="R13" i="105"/>
  <c r="S13" i="105"/>
  <c r="T13" i="105"/>
  <c r="W13" i="105"/>
  <c r="Y13" i="105"/>
  <c r="Z13" i="105"/>
  <c r="AA13" i="105"/>
  <c r="AB13" i="105"/>
  <c r="AC13" i="105"/>
  <c r="AD13" i="105"/>
  <c r="AE13" i="105"/>
  <c r="AF13" i="105"/>
  <c r="AG13" i="105"/>
  <c r="AJ13" i="105"/>
  <c r="AK13" i="105"/>
  <c r="D14" i="105"/>
  <c r="E14" i="105"/>
  <c r="F14" i="105"/>
  <c r="G14" i="105"/>
  <c r="I14" i="105"/>
  <c r="J14" i="105"/>
  <c r="K14" i="105" s="1"/>
  <c r="L14" i="105"/>
  <c r="M14" i="105"/>
  <c r="N14" i="105"/>
  <c r="O14" i="105"/>
  <c r="P14" i="105"/>
  <c r="Q14" i="105"/>
  <c r="R14" i="105"/>
  <c r="S14" i="105"/>
  <c r="T14" i="105"/>
  <c r="Y14" i="105"/>
  <c r="Z14" i="105"/>
  <c r="AA14" i="105"/>
  <c r="AB14" i="105"/>
  <c r="AC14" i="105"/>
  <c r="AC16" i="105" s="1"/>
  <c r="AD14" i="105"/>
  <c r="AE14" i="105"/>
  <c r="AF14" i="105"/>
  <c r="AG14" i="105"/>
  <c r="AK14" i="105"/>
  <c r="D15" i="105"/>
  <c r="E15" i="105"/>
  <c r="F15" i="105"/>
  <c r="G15" i="105"/>
  <c r="I15" i="105"/>
  <c r="J15" i="105"/>
  <c r="K15" i="105" s="1"/>
  <c r="L15" i="105"/>
  <c r="M15" i="105"/>
  <c r="N15" i="105"/>
  <c r="O15" i="105"/>
  <c r="P15" i="105"/>
  <c r="Q15" i="105"/>
  <c r="R15" i="105"/>
  <c r="S15" i="105"/>
  <c r="T15" i="105"/>
  <c r="Y15" i="105"/>
  <c r="Z15" i="105"/>
  <c r="AA15" i="105"/>
  <c r="AB15" i="105"/>
  <c r="AC15" i="105"/>
  <c r="AD15" i="105"/>
  <c r="AE15" i="105"/>
  <c r="AF15" i="105"/>
  <c r="AG15" i="105"/>
  <c r="AK15" i="105"/>
  <c r="F16" i="105"/>
  <c r="H16" i="105"/>
  <c r="J16" i="105"/>
  <c r="K16" i="105" s="1"/>
  <c r="L16" i="105"/>
  <c r="M16" i="105"/>
  <c r="N16" i="105"/>
  <c r="O16" i="105"/>
  <c r="P16" i="105"/>
  <c r="Q16" i="105"/>
  <c r="R16" i="105"/>
  <c r="S16" i="105"/>
  <c r="T16" i="105"/>
  <c r="Y16" i="105"/>
  <c r="Z16" i="105"/>
  <c r="AD16" i="105"/>
  <c r="AG16" i="105"/>
  <c r="AJ16" i="105"/>
  <c r="D17" i="105"/>
  <c r="E17" i="105"/>
  <c r="F17" i="105"/>
  <c r="G17" i="105"/>
  <c r="H17" i="105"/>
  <c r="H22" i="105" s="1"/>
  <c r="H23" i="105" s="1"/>
  <c r="I17" i="105"/>
  <c r="Z17" i="105" s="1"/>
  <c r="J17" i="105"/>
  <c r="K17" i="105" s="1"/>
  <c r="L17" i="105"/>
  <c r="M17" i="105"/>
  <c r="N17" i="105"/>
  <c r="O17" i="105"/>
  <c r="Q17" i="105"/>
  <c r="R17" i="105"/>
  <c r="R22" i="105" s="1"/>
  <c r="R3" i="120" s="1"/>
  <c r="S17" i="105"/>
  <c r="T17" i="105"/>
  <c r="W17" i="105"/>
  <c r="Y17" i="105"/>
  <c r="D18" i="105"/>
  <c r="E18" i="105"/>
  <c r="F18" i="105"/>
  <c r="G18" i="105"/>
  <c r="H18" i="105"/>
  <c r="I18" i="105"/>
  <c r="AK18" i="105" s="1"/>
  <c r="J18" i="105"/>
  <c r="K18" i="105" s="1"/>
  <c r="L18" i="105"/>
  <c r="M18" i="105"/>
  <c r="N18" i="105"/>
  <c r="O18" i="105"/>
  <c r="P18" i="105"/>
  <c r="Q18" i="105"/>
  <c r="R18" i="105"/>
  <c r="S18" i="105"/>
  <c r="T18" i="105"/>
  <c r="W18" i="105"/>
  <c r="Y18" i="105"/>
  <c r="AD18" i="105"/>
  <c r="AG18" i="105"/>
  <c r="D19" i="105"/>
  <c r="E19" i="105"/>
  <c r="F19" i="105"/>
  <c r="G19" i="105"/>
  <c r="H19" i="105"/>
  <c r="I19" i="105"/>
  <c r="AC19" i="105" s="1"/>
  <c r="J19" i="105"/>
  <c r="K19" i="105" s="1"/>
  <c r="L19" i="105"/>
  <c r="M19" i="105"/>
  <c r="N19" i="105"/>
  <c r="O19" i="105"/>
  <c r="O22" i="105" s="1"/>
  <c r="N3" i="120" s="1"/>
  <c r="P19" i="105"/>
  <c r="R19" i="105"/>
  <c r="S19" i="105"/>
  <c r="T19" i="105"/>
  <c r="W19" i="105"/>
  <c r="Z19" i="105"/>
  <c r="D20" i="105"/>
  <c r="E20" i="105"/>
  <c r="F20" i="105"/>
  <c r="G20" i="105"/>
  <c r="H20" i="105"/>
  <c r="I20" i="105"/>
  <c r="J20" i="105"/>
  <c r="K20" i="105" s="1"/>
  <c r="L20" i="105"/>
  <c r="Y20" i="105" s="1"/>
  <c r="M20" i="105"/>
  <c r="N20" i="105"/>
  <c r="O20" i="105"/>
  <c r="P20" i="105"/>
  <c r="Q20" i="105"/>
  <c r="R20" i="105"/>
  <c r="S20" i="105"/>
  <c r="T20" i="105"/>
  <c r="AG20" i="105" s="1"/>
  <c r="Z20" i="105"/>
  <c r="AC20" i="105"/>
  <c r="AD20" i="105"/>
  <c r="D21" i="105"/>
  <c r="E21" i="105"/>
  <c r="F21" i="105"/>
  <c r="G21" i="105"/>
  <c r="H21" i="105"/>
  <c r="I21" i="105"/>
  <c r="AC21" i="105" s="1"/>
  <c r="J21" i="105"/>
  <c r="K21" i="105" s="1"/>
  <c r="L21" i="105"/>
  <c r="M21" i="105"/>
  <c r="Z21" i="105" s="1"/>
  <c r="N21" i="105"/>
  <c r="O21" i="105"/>
  <c r="P21" i="105"/>
  <c r="Q21" i="105"/>
  <c r="R21" i="105"/>
  <c r="S21" i="105"/>
  <c r="T21" i="105"/>
  <c r="Y21" i="105"/>
  <c r="G22" i="105"/>
  <c r="G23" i="105" s="1"/>
  <c r="S22" i="105"/>
  <c r="S3" i="120" s="1"/>
  <c r="T22" i="105"/>
  <c r="T3" i="120" s="1"/>
  <c r="D24" i="105"/>
  <c r="E24" i="105"/>
  <c r="F24" i="105"/>
  <c r="G24" i="105"/>
  <c r="I24" i="105"/>
  <c r="J24" i="105"/>
  <c r="K24" i="105" s="1"/>
  <c r="L24" i="105"/>
  <c r="M24" i="105"/>
  <c r="N24" i="105"/>
  <c r="O24" i="105"/>
  <c r="P24" i="105"/>
  <c r="Q24" i="105"/>
  <c r="R24" i="105"/>
  <c r="S24" i="105"/>
  <c r="T24" i="105"/>
  <c r="Y24" i="105"/>
  <c r="Z24" i="105"/>
  <c r="AA24" i="105"/>
  <c r="AB24" i="105"/>
  <c r="AC24" i="105"/>
  <c r="AD24" i="105"/>
  <c r="AE24" i="105"/>
  <c r="AF24" i="105"/>
  <c r="AG24" i="105"/>
  <c r="AK24" i="105"/>
  <c r="E25" i="105"/>
  <c r="F25" i="105"/>
  <c r="G25" i="105"/>
  <c r="I25" i="105"/>
  <c r="J25" i="105"/>
  <c r="K25" i="105"/>
  <c r="L25" i="105"/>
  <c r="M25" i="105"/>
  <c r="N25" i="105"/>
  <c r="O25" i="105"/>
  <c r="P25" i="105"/>
  <c r="Q25" i="105"/>
  <c r="R25" i="105"/>
  <c r="S25" i="105"/>
  <c r="S29" i="105" s="1"/>
  <c r="T25" i="105"/>
  <c r="Y25" i="105"/>
  <c r="Z25" i="105"/>
  <c r="AA25" i="105"/>
  <c r="AA29" i="105" s="1"/>
  <c r="AB25" i="105"/>
  <c r="AC25" i="105"/>
  <c r="AD25" i="105"/>
  <c r="AE25" i="105"/>
  <c r="AE29" i="105" s="1"/>
  <c r="AF25" i="105"/>
  <c r="AG25" i="105"/>
  <c r="AK25" i="105"/>
  <c r="E26" i="105"/>
  <c r="E29" i="105" s="1"/>
  <c r="F26" i="105"/>
  <c r="G26" i="105"/>
  <c r="I26" i="105"/>
  <c r="J26" i="105"/>
  <c r="K26" i="105" s="1"/>
  <c r="L26" i="105"/>
  <c r="M26" i="105"/>
  <c r="N26" i="105"/>
  <c r="O26" i="105"/>
  <c r="P26" i="105"/>
  <c r="R26" i="105"/>
  <c r="S26" i="105"/>
  <c r="T26" i="105"/>
  <c r="Y26" i="105"/>
  <c r="Z26" i="105"/>
  <c r="AA26" i="105"/>
  <c r="AB26" i="105"/>
  <c r="AC26" i="105"/>
  <c r="AE26" i="105"/>
  <c r="AF26" i="105"/>
  <c r="AG26" i="105"/>
  <c r="AK26" i="105"/>
  <c r="AK29" i="105" s="1"/>
  <c r="E27" i="105"/>
  <c r="F27" i="105"/>
  <c r="G27" i="105"/>
  <c r="I27" i="105"/>
  <c r="J27" i="105"/>
  <c r="K27" i="105" s="1"/>
  <c r="L27" i="105"/>
  <c r="M27" i="105"/>
  <c r="N27" i="105"/>
  <c r="O27" i="105"/>
  <c r="P27" i="105"/>
  <c r="Q27" i="105"/>
  <c r="R27" i="105"/>
  <c r="S27" i="105"/>
  <c r="T27" i="105"/>
  <c r="Y27" i="105"/>
  <c r="Z27" i="105"/>
  <c r="AA27" i="105"/>
  <c r="AB27" i="105"/>
  <c r="AC27" i="105"/>
  <c r="AD27" i="105"/>
  <c r="AE27" i="105"/>
  <c r="AF27" i="105"/>
  <c r="AG27" i="105"/>
  <c r="AK27" i="105"/>
  <c r="E28" i="105"/>
  <c r="F28" i="105"/>
  <c r="G28" i="105"/>
  <c r="I28" i="105"/>
  <c r="J28" i="105"/>
  <c r="K28" i="105" s="1"/>
  <c r="L28" i="105"/>
  <c r="M28" i="105"/>
  <c r="N28" i="105"/>
  <c r="O28" i="105"/>
  <c r="P28" i="105"/>
  <c r="Q28" i="105"/>
  <c r="R28" i="105"/>
  <c r="S28" i="105"/>
  <c r="T28" i="105"/>
  <c r="Y28" i="105"/>
  <c r="Z28" i="105"/>
  <c r="AA28" i="105"/>
  <c r="AB28" i="105"/>
  <c r="AC28" i="105"/>
  <c r="AD28" i="105"/>
  <c r="AE28" i="105"/>
  <c r="AF28" i="105"/>
  <c r="AG28" i="105"/>
  <c r="AK28" i="105"/>
  <c r="F29" i="105"/>
  <c r="H29" i="105"/>
  <c r="N29" i="105"/>
  <c r="R29" i="105"/>
  <c r="Z29" i="105"/>
  <c r="D30" i="105"/>
  <c r="E30" i="105"/>
  <c r="F30" i="105"/>
  <c r="F35" i="105" s="1"/>
  <c r="G30" i="105"/>
  <c r="I30" i="105"/>
  <c r="J30" i="105"/>
  <c r="K30" i="105"/>
  <c r="L30" i="105"/>
  <c r="M30" i="105"/>
  <c r="N30" i="105"/>
  <c r="O30" i="105"/>
  <c r="O35" i="105" s="1"/>
  <c r="P30" i="105"/>
  <c r="Q30" i="105"/>
  <c r="R30" i="105"/>
  <c r="S30" i="105"/>
  <c r="S35" i="105" s="1"/>
  <c r="T30" i="105"/>
  <c r="Y30" i="105"/>
  <c r="Z30" i="105"/>
  <c r="AA30" i="105"/>
  <c r="AB30" i="105"/>
  <c r="AC30" i="105"/>
  <c r="AD30" i="105"/>
  <c r="AE30" i="105"/>
  <c r="AE35" i="105" s="1"/>
  <c r="AF30" i="105"/>
  <c r="AG30" i="105"/>
  <c r="AK30" i="105"/>
  <c r="E31" i="105"/>
  <c r="E35" i="105" s="1"/>
  <c r="F31" i="105"/>
  <c r="G31" i="105"/>
  <c r="I31" i="105"/>
  <c r="J31" i="105"/>
  <c r="J35" i="105" s="1"/>
  <c r="L31" i="105"/>
  <c r="M31" i="105"/>
  <c r="N31" i="105"/>
  <c r="N35" i="105" s="1"/>
  <c r="O31" i="105"/>
  <c r="P31" i="105"/>
  <c r="Q31" i="105"/>
  <c r="R31" i="105"/>
  <c r="R35" i="105" s="1"/>
  <c r="S31" i="105"/>
  <c r="T31" i="105"/>
  <c r="Y31" i="105"/>
  <c r="Z31" i="105"/>
  <c r="AA31" i="105"/>
  <c r="AB31" i="105"/>
  <c r="AC31" i="105"/>
  <c r="AD31" i="105"/>
  <c r="AD35" i="105" s="1"/>
  <c r="AE31" i="105"/>
  <c r="AF31" i="105"/>
  <c r="AG31" i="105"/>
  <c r="AK31" i="105"/>
  <c r="AK35" i="105" s="1"/>
  <c r="E32" i="105"/>
  <c r="F32" i="105"/>
  <c r="G32" i="105"/>
  <c r="I32" i="105"/>
  <c r="J32" i="105"/>
  <c r="K32" i="105" s="1"/>
  <c r="L32" i="105"/>
  <c r="M32" i="105"/>
  <c r="N32" i="105"/>
  <c r="O32" i="105"/>
  <c r="P32" i="105"/>
  <c r="Q32" i="105"/>
  <c r="R32" i="105"/>
  <c r="S32" i="105"/>
  <c r="T32" i="105"/>
  <c r="Y32" i="105"/>
  <c r="Z32" i="105"/>
  <c r="AA32" i="105"/>
  <c r="AB32" i="105"/>
  <c r="AC32" i="105"/>
  <c r="AD32" i="105"/>
  <c r="AE32" i="105"/>
  <c r="AF32" i="105"/>
  <c r="AG32" i="105"/>
  <c r="AK32" i="105"/>
  <c r="D33" i="105"/>
  <c r="E33" i="105"/>
  <c r="F33" i="105"/>
  <c r="G33" i="105"/>
  <c r="I33" i="105"/>
  <c r="J33" i="105"/>
  <c r="K33" i="105"/>
  <c r="L33" i="105"/>
  <c r="M33" i="105"/>
  <c r="N33" i="105"/>
  <c r="O33" i="105"/>
  <c r="P33" i="105"/>
  <c r="Q33" i="105"/>
  <c r="R33" i="105"/>
  <c r="S33" i="105"/>
  <c r="T33" i="105"/>
  <c r="Y33" i="105"/>
  <c r="Z33" i="105"/>
  <c r="AA33" i="105"/>
  <c r="AB33" i="105"/>
  <c r="AC33" i="105"/>
  <c r="AD33" i="105"/>
  <c r="AE33" i="105"/>
  <c r="AF33" i="105"/>
  <c r="AG33" i="105"/>
  <c r="AK33" i="105"/>
  <c r="D34" i="105"/>
  <c r="E34" i="105"/>
  <c r="F34" i="105"/>
  <c r="G34" i="105"/>
  <c r="I34" i="105"/>
  <c r="J34" i="105"/>
  <c r="K34" i="105" s="1"/>
  <c r="L34" i="105"/>
  <c r="M34" i="105"/>
  <c r="N34" i="105"/>
  <c r="O34" i="105"/>
  <c r="P34" i="105"/>
  <c r="Q34" i="105"/>
  <c r="R34" i="105"/>
  <c r="S34" i="105"/>
  <c r="T34" i="105"/>
  <c r="Y34" i="105"/>
  <c r="Z34" i="105"/>
  <c r="AA34" i="105"/>
  <c r="AB34" i="105"/>
  <c r="AC34" i="105"/>
  <c r="AD34" i="105"/>
  <c r="AE34" i="105"/>
  <c r="AF34" i="105"/>
  <c r="AG34" i="105"/>
  <c r="AK34" i="105"/>
  <c r="H35" i="105"/>
  <c r="Z35" i="105"/>
  <c r="L22" i="93"/>
  <c r="F127" i="8"/>
  <c r="AE8" i="82"/>
  <c r="K31" i="105" l="1"/>
  <c r="AG29" i="105"/>
  <c r="AG19" i="105"/>
  <c r="K35" i="105"/>
  <c r="T29" i="105"/>
  <c r="AC35" i="105"/>
  <c r="Q35" i="105"/>
  <c r="I35" i="105"/>
  <c r="AK20" i="105"/>
  <c r="AA20" i="105"/>
  <c r="Y19" i="105"/>
  <c r="AG17" i="105"/>
  <c r="L29" i="105"/>
  <c r="AB35" i="105"/>
  <c r="P35" i="105"/>
  <c r="G35" i="105"/>
  <c r="J29" i="105"/>
  <c r="I29" i="105"/>
  <c r="L22" i="105"/>
  <c r="K3" i="120" s="1"/>
  <c r="AD17" i="105"/>
  <c r="F22" i="105"/>
  <c r="F23" i="105" s="1"/>
  <c r="AB16" i="105"/>
  <c r="AF29" i="105"/>
  <c r="AA16" i="105"/>
  <c r="AC29" i="105"/>
  <c r="G29" i="105"/>
  <c r="AA18" i="105"/>
  <c r="N22" i="105"/>
  <c r="M3" i="120" s="1"/>
  <c r="AE16" i="105"/>
  <c r="AA35" i="105"/>
  <c r="O29" i="105"/>
  <c r="AB29" i="105"/>
  <c r="Y22" i="105"/>
  <c r="AG35" i="105"/>
  <c r="M35" i="105"/>
  <c r="AG21" i="105"/>
  <c r="AC18" i="105"/>
  <c r="P29" i="105"/>
  <c r="M22" i="105"/>
  <c r="L3" i="120" s="1"/>
  <c r="AF35" i="105"/>
  <c r="T35" i="105"/>
  <c r="L35" i="105"/>
  <c r="M29" i="105"/>
  <c r="AD21" i="105"/>
  <c r="Z18" i="105"/>
  <c r="Z22" i="105" s="1"/>
  <c r="AF16" i="105"/>
  <c r="AM5" i="105"/>
  <c r="K29" i="105"/>
  <c r="K22" i="105"/>
  <c r="Y35" i="105"/>
  <c r="Y29" i="105"/>
  <c r="J22" i="105"/>
  <c r="AB21" i="105"/>
  <c r="AF20" i="105"/>
  <c r="AJ19" i="105"/>
  <c r="AB19" i="105"/>
  <c r="AF18" i="105"/>
  <c r="AJ17" i="105"/>
  <c r="AB17" i="105"/>
  <c r="I22" i="105"/>
  <c r="I23" i="105" s="1"/>
  <c r="AA21" i="105"/>
  <c r="AE20" i="105"/>
  <c r="AA19" i="105"/>
  <c r="AE18" i="105"/>
  <c r="AA17" i="105"/>
  <c r="K11" i="105"/>
  <c r="AF21" i="105"/>
  <c r="AB20" i="105"/>
  <c r="AF19" i="105"/>
  <c r="AJ18" i="105"/>
  <c r="AB18" i="105"/>
  <c r="AF17" i="105"/>
  <c r="AE21" i="105"/>
  <c r="AE19" i="105"/>
  <c r="AE17" i="105"/>
  <c r="AK21" i="105"/>
  <c r="AK19" i="105"/>
  <c r="AK17" i="105"/>
  <c r="AG22" i="105" l="1"/>
  <c r="AA22" i="105"/>
  <c r="AB22" i="105"/>
  <c r="AF22" i="105"/>
  <c r="AE22" i="105"/>
  <c r="AK22" i="105"/>
  <c r="V25" i="144" l="1"/>
  <c r="V24" i="144"/>
  <c r="V13" i="144"/>
  <c r="V14" i="144"/>
  <c r="V15" i="144"/>
  <c r="V16" i="144"/>
  <c r="V17" i="144"/>
  <c r="V18" i="144"/>
  <c r="V19" i="144"/>
  <c r="V12" i="144"/>
  <c r="V8" i="144"/>
  <c r="V12" i="142"/>
  <c r="V13" i="142"/>
  <c r="V14" i="142"/>
  <c r="V10" i="142"/>
  <c r="N68" i="8" l="1"/>
  <c r="V25" i="92"/>
  <c r="V25" i="91" l="1"/>
  <c r="V19" i="85"/>
  <c r="O72" i="138" l="1"/>
  <c r="O71" i="138"/>
  <c r="O69" i="138"/>
  <c r="O66" i="138"/>
  <c r="O60" i="138"/>
  <c r="O59" i="138"/>
  <c r="O57" i="138"/>
  <c r="O54" i="138"/>
  <c r="O48" i="138"/>
  <c r="O47" i="138"/>
  <c r="O45" i="138"/>
  <c r="O42" i="138"/>
  <c r="O49" i="138" s="1"/>
  <c r="O36" i="138"/>
  <c r="O35" i="138"/>
  <c r="O33" i="138"/>
  <c r="O37" i="138" s="1"/>
  <c r="O30" i="138"/>
  <c r="O24" i="138"/>
  <c r="O23" i="138"/>
  <c r="O21" i="138"/>
  <c r="O18" i="138"/>
  <c r="O61" i="138" l="1"/>
  <c r="O25" i="138"/>
  <c r="O73" i="138"/>
  <c r="O80" i="137"/>
  <c r="P80" i="137"/>
  <c r="O76" i="137"/>
  <c r="P76" i="137"/>
  <c r="P43" i="137"/>
  <c r="O43" i="137"/>
  <c r="I29" i="138"/>
  <c r="I53" i="138"/>
  <c r="I65" i="138"/>
  <c r="AK110" i="135" l="1"/>
  <c r="AL110" i="135"/>
  <c r="AJ111" i="135"/>
  <c r="AK111" i="135"/>
  <c r="AK112" i="135"/>
  <c r="AK113" i="135"/>
  <c r="AK115" i="135"/>
  <c r="AJ117" i="135"/>
  <c r="AK117" i="135"/>
  <c r="AL117" i="135"/>
  <c r="AJ119" i="135"/>
  <c r="AK119" i="135"/>
  <c r="AL119" i="135"/>
  <c r="AJ120" i="135"/>
  <c r="AK120" i="135"/>
  <c r="AL120" i="135"/>
  <c r="AI121" i="135"/>
  <c r="AJ121" i="135"/>
  <c r="AK121" i="135"/>
  <c r="AL121" i="135"/>
  <c r="AJ123" i="135"/>
  <c r="AK123" i="135"/>
  <c r="AK124" i="135"/>
  <c r="AL124" i="135"/>
  <c r="AK125" i="135"/>
  <c r="AL125" i="135"/>
  <c r="AK126" i="135"/>
  <c r="AL126" i="135"/>
  <c r="AI127" i="135"/>
  <c r="AJ127" i="135"/>
  <c r="AK127" i="135"/>
  <c r="AL127" i="135"/>
  <c r="AH128" i="135"/>
  <c r="AL128" i="135"/>
  <c r="AK130" i="135"/>
  <c r="AL130" i="135"/>
  <c r="AK131" i="135"/>
  <c r="AK132" i="135"/>
  <c r="AJ136" i="135"/>
  <c r="AK136" i="135"/>
  <c r="AL136" i="135"/>
  <c r="AJ138" i="135"/>
  <c r="AK138" i="135"/>
  <c r="AL138" i="135"/>
  <c r="AJ142" i="135"/>
  <c r="AK143" i="135"/>
  <c r="AL143" i="135"/>
  <c r="AK144" i="135"/>
  <c r="AL144" i="135"/>
  <c r="AI145" i="135"/>
  <c r="AJ145" i="135"/>
  <c r="AK145" i="135"/>
  <c r="AL145" i="135"/>
  <c r="AV146" i="135"/>
  <c r="AW146" i="135"/>
  <c r="AX146" i="135"/>
  <c r="AK146" i="135"/>
  <c r="AL146" i="135"/>
  <c r="AK148" i="135"/>
  <c r="AL148" i="135"/>
  <c r="AK149" i="135"/>
  <c r="AK150" i="135"/>
  <c r="AK151" i="135"/>
  <c r="AK152" i="135"/>
  <c r="AJ155" i="135"/>
  <c r="AK155" i="135"/>
  <c r="AL155" i="135"/>
  <c r="AJ156" i="135"/>
  <c r="AK156" i="135"/>
  <c r="AL156" i="135"/>
  <c r="AJ157" i="135"/>
  <c r="AK157" i="135"/>
  <c r="AL157" i="135"/>
  <c r="AJ159" i="135"/>
  <c r="AK159" i="135"/>
  <c r="AK160" i="135"/>
  <c r="AL160" i="135"/>
  <c r="AK161" i="135"/>
  <c r="AL161" i="135"/>
  <c r="AK162" i="135"/>
  <c r="AL162" i="135"/>
  <c r="AK163" i="135"/>
  <c r="AL163" i="135"/>
  <c r="AI164" i="135"/>
  <c r="AJ164" i="135"/>
  <c r="AK164" i="135"/>
  <c r="AL164" i="135"/>
  <c r="AK166" i="135"/>
  <c r="AL166" i="135"/>
  <c r="AK167" i="135"/>
  <c r="AL167" i="135"/>
  <c r="AK168" i="135"/>
  <c r="AL168" i="135"/>
  <c r="AK169" i="135"/>
  <c r="AL169" i="135"/>
  <c r="AK170" i="135"/>
  <c r="AL170" i="135"/>
  <c r="AJ172" i="135"/>
  <c r="AK172" i="135"/>
  <c r="AL172" i="135"/>
  <c r="AJ174" i="135"/>
  <c r="AK174" i="135"/>
  <c r="AL174" i="135"/>
  <c r="AJ175" i="135"/>
  <c r="AK175" i="135"/>
  <c r="AL175" i="135"/>
  <c r="AJ176" i="135"/>
  <c r="AK176" i="135"/>
  <c r="AL176" i="135"/>
  <c r="AJ178" i="135"/>
  <c r="AK178" i="135"/>
  <c r="AL178" i="135"/>
  <c r="AK179" i="135"/>
  <c r="AL179" i="135"/>
  <c r="AK180" i="135"/>
  <c r="AL180" i="135"/>
  <c r="AK181" i="135"/>
  <c r="AL181" i="135"/>
  <c r="AI182" i="135"/>
  <c r="AJ182" i="135"/>
  <c r="AK182" i="135"/>
  <c r="AL182" i="135"/>
  <c r="AH183" i="135"/>
  <c r="AV183" i="135" s="1"/>
  <c r="AK186" i="135"/>
  <c r="AL186" i="135"/>
  <c r="AK200" i="135"/>
  <c r="AL200" i="135"/>
  <c r="AI201" i="135"/>
  <c r="AJ201" i="135"/>
  <c r="AK201" i="135"/>
  <c r="AL201" i="135"/>
  <c r="AH202" i="135"/>
  <c r="AV202" i="135" s="1"/>
  <c r="R105" i="135"/>
  <c r="AL158" i="135" l="1"/>
  <c r="AL165" i="135" s="1"/>
  <c r="AL190" i="135"/>
  <c r="AL196" i="135" s="1"/>
  <c r="AK190" i="135"/>
  <c r="AK153" i="135"/>
  <c r="AK158" i="135" s="1"/>
  <c r="AK165" i="135" s="1"/>
  <c r="AK171" i="135"/>
  <c r="AK177" i="135" s="1"/>
  <c r="AK196" i="135"/>
  <c r="AL135" i="135"/>
  <c r="AL141" i="135" s="1"/>
  <c r="AL147" i="135" s="1"/>
  <c r="AK116" i="135"/>
  <c r="AK122" i="135" s="1"/>
  <c r="AL122" i="135"/>
  <c r="AK135" i="135"/>
  <c r="AK141" i="135" s="1"/>
  <c r="AK147" i="135" s="1"/>
  <c r="AL171" i="135"/>
  <c r="AL177" i="135" s="1"/>
  <c r="AV128" i="135"/>
  <c r="AK205" i="135" l="1"/>
  <c r="AL205" i="135"/>
  <c r="AK204" i="135"/>
  <c r="AL129" i="135"/>
  <c r="AL207" i="135" s="1"/>
  <c r="AL204" i="135"/>
  <c r="AL206" i="135" s="1"/>
  <c r="AZ206" i="135" s="1"/>
  <c r="AB63" i="144"/>
  <c r="AK206" i="135" l="1"/>
  <c r="AY206" i="135" s="1"/>
  <c r="AV100" i="135"/>
  <c r="AV101" i="135"/>
  <c r="AV102" i="135"/>
  <c r="AV103" i="135"/>
  <c r="AV104" i="135"/>
  <c r="U15" i="82"/>
  <c r="AH64" i="135"/>
  <c r="AH65" i="135"/>
  <c r="AV65" i="135" s="1"/>
  <c r="AH94" i="135"/>
  <c r="AH127" i="135" s="1"/>
  <c r="AH95" i="135"/>
  <c r="AH145" i="135" s="1"/>
  <c r="AH96" i="135"/>
  <c r="AH164" i="135" s="1"/>
  <c r="AH97" i="135"/>
  <c r="AH182" i="135" s="1"/>
  <c r="AH98" i="135"/>
  <c r="AH201" i="135" s="1"/>
  <c r="AH103" i="135"/>
  <c r="V61" i="144"/>
  <c r="W61" i="144"/>
  <c r="X61" i="144"/>
  <c r="Y61" i="144"/>
  <c r="O64" i="144"/>
  <c r="P64" i="144"/>
  <c r="Q64" i="144"/>
  <c r="R64" i="144"/>
  <c r="S64" i="144"/>
  <c r="T64" i="144"/>
  <c r="U64" i="144"/>
  <c r="N64" i="144"/>
  <c r="O58" i="144"/>
  <c r="P58" i="144"/>
  <c r="Q58" i="144"/>
  <c r="R58" i="144"/>
  <c r="S58" i="144"/>
  <c r="T58" i="144"/>
  <c r="U58" i="144"/>
  <c r="R9" i="135"/>
  <c r="R111" i="135" s="1"/>
  <c r="R24" i="135"/>
  <c r="V24" i="135"/>
  <c r="R25" i="135"/>
  <c r="R169" i="135" s="1"/>
  <c r="R26" i="135"/>
  <c r="R188" i="135" s="1"/>
  <c r="R29" i="135"/>
  <c r="R115" i="135" s="1"/>
  <c r="V29" i="135"/>
  <c r="R31" i="135"/>
  <c r="V31" i="135"/>
  <c r="R32" i="135"/>
  <c r="R170" i="135" s="1"/>
  <c r="R33" i="135"/>
  <c r="R189" i="135" s="1"/>
  <c r="R38" i="135"/>
  <c r="R117" i="135" s="1"/>
  <c r="S38" i="135"/>
  <c r="S117" i="135" s="1"/>
  <c r="T38" i="135"/>
  <c r="T117" i="135" s="1"/>
  <c r="U38" i="135"/>
  <c r="U117" i="135" s="1"/>
  <c r="V38" i="135"/>
  <c r="R39" i="135"/>
  <c r="S39" i="135"/>
  <c r="S136" i="135" s="1"/>
  <c r="T39" i="135"/>
  <c r="T136" i="135" s="1"/>
  <c r="U39" i="135"/>
  <c r="U136" i="135" s="1"/>
  <c r="V39" i="135"/>
  <c r="V136" i="135" s="1"/>
  <c r="R41" i="135"/>
  <c r="R172" i="135" s="1"/>
  <c r="S41" i="135"/>
  <c r="S172" i="135" s="1"/>
  <c r="T41" i="135"/>
  <c r="T172" i="135" s="1"/>
  <c r="U41" i="135"/>
  <c r="U172" i="135" s="1"/>
  <c r="V41" i="135"/>
  <c r="V172" i="135" s="1"/>
  <c r="R42" i="135"/>
  <c r="R191" i="135" s="1"/>
  <c r="S42" i="135"/>
  <c r="S191" i="135" s="1"/>
  <c r="T42" i="135"/>
  <c r="T191" i="135" s="1"/>
  <c r="U42" i="135"/>
  <c r="U191" i="135" s="1"/>
  <c r="V42" i="135"/>
  <c r="V191" i="135" s="1"/>
  <c r="R44" i="135"/>
  <c r="R118" i="135" s="1"/>
  <c r="R45" i="135"/>
  <c r="R119" i="135" s="1"/>
  <c r="R46" i="135"/>
  <c r="R137" i="135" s="1"/>
  <c r="R47" i="135"/>
  <c r="R138" i="135" s="1"/>
  <c r="R48" i="135"/>
  <c r="R154" i="135" s="1"/>
  <c r="R49" i="135"/>
  <c r="R155" i="135" s="1"/>
  <c r="R50" i="135"/>
  <c r="R173" i="135" s="1"/>
  <c r="R51" i="135"/>
  <c r="R174" i="135" s="1"/>
  <c r="R52" i="135"/>
  <c r="R192" i="135" s="1"/>
  <c r="R53" i="135"/>
  <c r="R193" i="135" s="1"/>
  <c r="R58" i="135"/>
  <c r="S58" i="135"/>
  <c r="S120" i="135" s="1"/>
  <c r="T58" i="135"/>
  <c r="T120" i="135" s="1"/>
  <c r="U58" i="135"/>
  <c r="U120" i="135" s="1"/>
  <c r="V58" i="135"/>
  <c r="V120" i="135" s="1"/>
  <c r="R59" i="135"/>
  <c r="S59" i="135"/>
  <c r="T59" i="135"/>
  <c r="U59" i="135"/>
  <c r="V59" i="135"/>
  <c r="R60" i="135"/>
  <c r="R156" i="135" s="1"/>
  <c r="S60" i="135"/>
  <c r="S156" i="135" s="1"/>
  <c r="T60" i="135"/>
  <c r="T156" i="135" s="1"/>
  <c r="U60" i="135"/>
  <c r="U156" i="135" s="1"/>
  <c r="V60" i="135"/>
  <c r="V156" i="135" s="1"/>
  <c r="R61" i="135"/>
  <c r="R175" i="135" s="1"/>
  <c r="S61" i="135"/>
  <c r="S175" i="135" s="1"/>
  <c r="T61" i="135"/>
  <c r="T175" i="135" s="1"/>
  <c r="U61" i="135"/>
  <c r="U175" i="135" s="1"/>
  <c r="V61" i="135"/>
  <c r="V175" i="135" s="1"/>
  <c r="R62" i="135"/>
  <c r="R194" i="135" s="1"/>
  <c r="S62" i="135"/>
  <c r="S194" i="135" s="1"/>
  <c r="T62" i="135"/>
  <c r="T194" i="135" s="1"/>
  <c r="U62" i="135"/>
  <c r="U194" i="135" s="1"/>
  <c r="V62" i="135"/>
  <c r="V194" i="135" s="1"/>
  <c r="R64" i="135"/>
  <c r="S64" i="135"/>
  <c r="S121" i="135" s="1"/>
  <c r="T64" i="135"/>
  <c r="T121" i="135" s="1"/>
  <c r="U64" i="135"/>
  <c r="U121" i="135" s="1"/>
  <c r="V64" i="135"/>
  <c r="V121" i="135" s="1"/>
  <c r="R65" i="135"/>
  <c r="S65" i="135"/>
  <c r="T65" i="135"/>
  <c r="U65" i="135"/>
  <c r="V65" i="135"/>
  <c r="R66" i="135"/>
  <c r="R157" i="135" s="1"/>
  <c r="S66" i="135"/>
  <c r="S157" i="135" s="1"/>
  <c r="T66" i="135"/>
  <c r="T157" i="135" s="1"/>
  <c r="U66" i="135"/>
  <c r="U157" i="135" s="1"/>
  <c r="V66" i="135"/>
  <c r="V157" i="135" s="1"/>
  <c r="R67" i="135"/>
  <c r="R176" i="135" s="1"/>
  <c r="S67" i="135"/>
  <c r="S176" i="135" s="1"/>
  <c r="T67" i="135"/>
  <c r="T176" i="135" s="1"/>
  <c r="U67" i="135"/>
  <c r="U176" i="135" s="1"/>
  <c r="V67" i="135"/>
  <c r="V176" i="135" s="1"/>
  <c r="R68" i="135"/>
  <c r="R195" i="135" s="1"/>
  <c r="S68" i="135"/>
  <c r="S195" i="135" s="1"/>
  <c r="T68" i="135"/>
  <c r="T195" i="135" s="1"/>
  <c r="U68" i="135"/>
  <c r="U195" i="135" s="1"/>
  <c r="V68" i="135"/>
  <c r="V195" i="135" s="1"/>
  <c r="R70" i="135"/>
  <c r="R71" i="135"/>
  <c r="R142" i="135" s="1"/>
  <c r="R72" i="135"/>
  <c r="R159" i="135" s="1"/>
  <c r="R73" i="135"/>
  <c r="R178" i="135" s="1"/>
  <c r="R74" i="135"/>
  <c r="R197" i="135" s="1"/>
  <c r="R94" i="135"/>
  <c r="R127" i="135" s="1"/>
  <c r="S94" i="135"/>
  <c r="S127" i="135" s="1"/>
  <c r="T94" i="135"/>
  <c r="T127" i="135" s="1"/>
  <c r="U94" i="135"/>
  <c r="V94" i="135"/>
  <c r="R95" i="135"/>
  <c r="R145" i="135" s="1"/>
  <c r="S95" i="135"/>
  <c r="S145" i="135" s="1"/>
  <c r="T95" i="135"/>
  <c r="T145" i="135" s="1"/>
  <c r="U95" i="135"/>
  <c r="V95" i="135"/>
  <c r="R96" i="135"/>
  <c r="R164" i="135" s="1"/>
  <c r="S96" i="135"/>
  <c r="S164" i="135" s="1"/>
  <c r="T96" i="135"/>
  <c r="T164" i="135" s="1"/>
  <c r="U96" i="135"/>
  <c r="V96" i="135"/>
  <c r="R97" i="135"/>
  <c r="R182" i="135" s="1"/>
  <c r="S97" i="135"/>
  <c r="S182" i="135" s="1"/>
  <c r="T97" i="135"/>
  <c r="T182" i="135" s="1"/>
  <c r="U97" i="135"/>
  <c r="U182" i="135" s="1"/>
  <c r="V97" i="135"/>
  <c r="V182" i="135" s="1"/>
  <c r="R98" i="135"/>
  <c r="R201" i="135" s="1"/>
  <c r="S98" i="135"/>
  <c r="S201" i="135" s="1"/>
  <c r="T98" i="135"/>
  <c r="T201" i="135" s="1"/>
  <c r="U98" i="135"/>
  <c r="U201" i="135" s="1"/>
  <c r="V98" i="135"/>
  <c r="V201" i="135" s="1"/>
  <c r="R2" i="135"/>
  <c r="V2" i="135"/>
  <c r="V110" i="135" s="1"/>
  <c r="R3" i="135"/>
  <c r="R130" i="135" s="1"/>
  <c r="V3" i="135"/>
  <c r="V130" i="135" s="1"/>
  <c r="R4" i="135"/>
  <c r="R148" i="135" s="1"/>
  <c r="V4" i="135"/>
  <c r="V148" i="135" s="1"/>
  <c r="R5" i="135"/>
  <c r="R166" i="135" s="1"/>
  <c r="R6" i="135"/>
  <c r="R185" i="135" s="1"/>
  <c r="V152" i="135" l="1"/>
  <c r="AL31" i="135"/>
  <c r="V34" i="135"/>
  <c r="V35" i="135" s="1"/>
  <c r="V115" i="135"/>
  <c r="V27" i="135"/>
  <c r="V28" i="135" s="1"/>
  <c r="V151" i="135"/>
  <c r="R54" i="135"/>
  <c r="R55" i="135"/>
  <c r="U69" i="135"/>
  <c r="T63" i="135"/>
  <c r="T43" i="135"/>
  <c r="U99" i="135"/>
  <c r="AH104" i="135"/>
  <c r="AH102" i="135"/>
  <c r="AH101" i="135"/>
  <c r="T69" i="135"/>
  <c r="U63" i="135"/>
  <c r="R63" i="135"/>
  <c r="R120" i="135"/>
  <c r="AV98" i="135"/>
  <c r="AV201" i="135" s="1"/>
  <c r="T99" i="135"/>
  <c r="V43" i="135"/>
  <c r="AV97" i="135"/>
  <c r="AV182" i="135" s="1"/>
  <c r="V69" i="135"/>
  <c r="AH99" i="135"/>
  <c r="AH121" i="135"/>
  <c r="AV96" i="135"/>
  <c r="AV164" i="135" s="1"/>
  <c r="AV64" i="135"/>
  <c r="AV121" i="135" s="1"/>
  <c r="AV95" i="135"/>
  <c r="AV145" i="135" s="1"/>
  <c r="V99" i="135"/>
  <c r="R75" i="135"/>
  <c r="R123" i="135"/>
  <c r="V63" i="135"/>
  <c r="R27" i="135"/>
  <c r="R151" i="135"/>
  <c r="AV94" i="135"/>
  <c r="AV127" i="135" s="1"/>
  <c r="U43" i="135"/>
  <c r="R43" i="135"/>
  <c r="R136" i="135"/>
  <c r="R69" i="135"/>
  <c r="R121" i="135"/>
  <c r="R110" i="135"/>
  <c r="R7" i="135"/>
  <c r="S43" i="135"/>
  <c r="S69" i="135"/>
  <c r="S63" i="135"/>
  <c r="R34" i="135"/>
  <c r="R152" i="135"/>
  <c r="AH100" i="135"/>
  <c r="U12" i="85"/>
  <c r="R28" i="135" l="1"/>
  <c r="R57" i="135"/>
  <c r="R8" i="135"/>
  <c r="R56" i="135"/>
  <c r="R35" i="135"/>
  <c r="R99" i="135"/>
  <c r="AV99" i="135"/>
  <c r="AH105" i="135"/>
  <c r="AV105" i="135" s="1"/>
  <c r="K36" i="93" l="1"/>
  <c r="K38" i="93"/>
  <c r="K40" i="93"/>
  <c r="K35" i="93"/>
  <c r="K41" i="93"/>
  <c r="K42" i="93"/>
  <c r="K43" i="93"/>
  <c r="K44" i="93" l="1"/>
  <c r="Y20" i="119"/>
  <c r="AI8" i="119"/>
  <c r="AI9" i="119"/>
  <c r="AI13" i="119"/>
  <c r="AI14" i="119"/>
  <c r="AI15" i="119"/>
  <c r="AI16" i="119"/>
  <c r="AI17" i="119"/>
  <c r="AI18" i="119"/>
  <c r="AI19" i="119"/>
  <c r="AI20" i="119"/>
  <c r="AI7" i="119"/>
  <c r="AI6" i="119"/>
  <c r="F35" i="93"/>
  <c r="E36" i="93"/>
  <c r="F36" i="93"/>
  <c r="G36" i="93"/>
  <c r="H36" i="93"/>
  <c r="I36" i="93"/>
  <c r="J36" i="93"/>
  <c r="E38" i="93"/>
  <c r="F38" i="93"/>
  <c r="G38" i="93"/>
  <c r="H38" i="93"/>
  <c r="I38" i="93"/>
  <c r="J38" i="93"/>
  <c r="E40" i="93"/>
  <c r="F40" i="93"/>
  <c r="G40" i="93"/>
  <c r="H40" i="93"/>
  <c r="I40" i="93"/>
  <c r="J40" i="93"/>
  <c r="E42" i="93"/>
  <c r="E43" i="93"/>
  <c r="D41" i="93"/>
  <c r="D36" i="93"/>
  <c r="D39" i="93"/>
  <c r="D40" i="93"/>
  <c r="AE13" i="119"/>
  <c r="AE14" i="119"/>
  <c r="AE15" i="119"/>
  <c r="F43" i="93"/>
  <c r="G43" i="93"/>
  <c r="H43" i="93"/>
  <c r="I43" i="93"/>
  <c r="J43" i="93"/>
  <c r="F42" i="93"/>
  <c r="G42" i="93"/>
  <c r="H42" i="93"/>
  <c r="I42" i="93"/>
  <c r="J42" i="93"/>
  <c r="D42" i="93"/>
  <c r="E41" i="93"/>
  <c r="F41" i="93"/>
  <c r="G41" i="93"/>
  <c r="H41" i="93"/>
  <c r="I41" i="93"/>
  <c r="J41" i="93"/>
  <c r="E35" i="93"/>
  <c r="G35" i="93"/>
  <c r="H35" i="93"/>
  <c r="I35" i="93"/>
  <c r="J35" i="93"/>
  <c r="J44" i="93" s="1"/>
  <c r="X29" i="119"/>
  <c r="W29" i="119"/>
  <c r="V29" i="119"/>
  <c r="U29" i="119"/>
  <c r="T29" i="119"/>
  <c r="S29" i="119"/>
  <c r="R29" i="119"/>
  <c r="X28" i="119"/>
  <c r="W28" i="119"/>
  <c r="V28" i="119"/>
  <c r="U28" i="119"/>
  <c r="T28" i="119"/>
  <c r="S28" i="119"/>
  <c r="R28" i="119"/>
  <c r="X24" i="119"/>
  <c r="W24" i="119"/>
  <c r="V24" i="119"/>
  <c r="U24" i="119"/>
  <c r="T24" i="119"/>
  <c r="S24" i="119"/>
  <c r="G44" i="93" l="1"/>
  <c r="F44" i="93"/>
  <c r="E44" i="93"/>
  <c r="I44" i="93"/>
  <c r="H44" i="93"/>
  <c r="D44" i="93"/>
  <c r="P44" i="93" s="1"/>
  <c r="AE19" i="119"/>
  <c r="AE18" i="119"/>
  <c r="AE9" i="119"/>
  <c r="AE17" i="119"/>
  <c r="D43" i="93"/>
  <c r="AE7" i="119"/>
  <c r="D35" i="93"/>
  <c r="U20" i="119"/>
  <c r="X20" i="119"/>
  <c r="S20" i="119"/>
  <c r="T20" i="119"/>
  <c r="V20" i="119"/>
  <c r="W20" i="119"/>
  <c r="R20" i="119"/>
  <c r="Q62" i="144" l="1"/>
  <c r="R62" i="144"/>
  <c r="R63" i="144" s="1"/>
  <c r="R65" i="144" s="1"/>
  <c r="AE6" i="144" s="1"/>
  <c r="V62" i="144"/>
  <c r="W62" i="144"/>
  <c r="X62" i="144"/>
  <c r="Y62" i="144"/>
  <c r="O61" i="144"/>
  <c r="O62" i="144" s="1"/>
  <c r="P61" i="144"/>
  <c r="P62" i="144" s="1"/>
  <c r="P63" i="144" s="1"/>
  <c r="P65" i="144" s="1"/>
  <c r="AC6" i="144" s="1"/>
  <c r="Q61" i="144"/>
  <c r="R61" i="144"/>
  <c r="S61" i="144"/>
  <c r="S62" i="144" s="1"/>
  <c r="S63" i="144" s="1"/>
  <c r="S65" i="144" s="1"/>
  <c r="AF6" i="144" s="1"/>
  <c r="T61" i="144"/>
  <c r="U61" i="144"/>
  <c r="N65" i="144"/>
  <c r="M63" i="144"/>
  <c r="N61" i="144"/>
  <c r="Z60" i="144"/>
  <c r="Z59" i="144"/>
  <c r="M47" i="144"/>
  <c r="T51" i="144"/>
  <c r="AA6" i="144" l="1"/>
  <c r="Z61" i="144"/>
  <c r="Z62" i="144" s="1"/>
  <c r="U62" i="144"/>
  <c r="U63" i="144" s="1"/>
  <c r="U65" i="144" s="1"/>
  <c r="AH6" i="144" s="1"/>
  <c r="T62" i="144"/>
  <c r="T63" i="144" s="1"/>
  <c r="T65" i="144" s="1"/>
  <c r="AG6" i="144" s="1"/>
  <c r="Q63" i="144"/>
  <c r="Q65" i="144" s="1"/>
  <c r="AD6" i="144" s="1"/>
  <c r="O63" i="144"/>
  <c r="O65" i="144" s="1"/>
  <c r="AB6" i="144" s="1"/>
  <c r="G151" i="8" l="1"/>
  <c r="H151" i="8"/>
  <c r="I151" i="8"/>
  <c r="J151" i="8"/>
  <c r="K151" i="8"/>
  <c r="L151" i="8"/>
  <c r="M151" i="8"/>
  <c r="F151" i="8"/>
  <c r="G150" i="8"/>
  <c r="H150" i="8"/>
  <c r="I150" i="8"/>
  <c r="J150" i="8"/>
  <c r="K150" i="8"/>
  <c r="L150" i="8"/>
  <c r="M150" i="8"/>
  <c r="F150" i="8"/>
  <c r="G135" i="8"/>
  <c r="H135" i="8"/>
  <c r="I135" i="8"/>
  <c r="J135" i="8"/>
  <c r="K135" i="8"/>
  <c r="L135" i="8"/>
  <c r="M135" i="8"/>
  <c r="F135" i="8"/>
  <c r="G129" i="8"/>
  <c r="H129" i="8"/>
  <c r="I129" i="8"/>
  <c r="J129" i="8"/>
  <c r="K129" i="8"/>
  <c r="L129" i="8"/>
  <c r="M129" i="8"/>
  <c r="F129" i="8"/>
  <c r="G144" i="8"/>
  <c r="H144" i="8"/>
  <c r="I144" i="8"/>
  <c r="J144" i="8"/>
  <c r="L144" i="8"/>
  <c r="M144" i="8"/>
  <c r="Q144" i="8"/>
  <c r="F144" i="8"/>
  <c r="G143" i="8"/>
  <c r="H143" i="8"/>
  <c r="I143" i="8"/>
  <c r="J143" i="8"/>
  <c r="L143" i="8"/>
  <c r="M143" i="8"/>
  <c r="F143" i="8"/>
  <c r="F121" i="8"/>
  <c r="G121" i="8"/>
  <c r="H121" i="8"/>
  <c r="I121" i="8"/>
  <c r="J121" i="8"/>
  <c r="K121" i="8"/>
  <c r="L121" i="8"/>
  <c r="M121" i="8"/>
  <c r="O6" i="144"/>
  <c r="P6" i="144"/>
  <c r="Q6" i="144"/>
  <c r="R6" i="144"/>
  <c r="S6" i="144"/>
  <c r="T6" i="144"/>
  <c r="U6" i="144"/>
  <c r="W6" i="144"/>
  <c r="N6" i="144"/>
  <c r="F158" i="8" l="1"/>
  <c r="H44" i="144"/>
  <c r="G44" i="144"/>
  <c r="F44" i="144"/>
  <c r="E44" i="144"/>
  <c r="D44" i="144"/>
  <c r="Z42" i="144"/>
  <c r="L42" i="144"/>
  <c r="M42" i="144" s="1"/>
  <c r="Z41" i="144"/>
  <c r="M41" i="144"/>
  <c r="Z40" i="144"/>
  <c r="M40" i="144"/>
  <c r="Z39" i="144"/>
  <c r="M39" i="144"/>
  <c r="Z38" i="144"/>
  <c r="M38" i="144"/>
  <c r="Z37" i="144"/>
  <c r="M37" i="144"/>
  <c r="Z36" i="144"/>
  <c r="M36" i="144"/>
  <c r="Z35" i="144"/>
  <c r="Z34" i="144"/>
  <c r="Z33" i="144"/>
  <c r="Z32" i="144"/>
  <c r="Z31" i="144"/>
  <c r="Z30" i="144"/>
  <c r="L30" i="144"/>
  <c r="Y29" i="144"/>
  <c r="X29" i="144"/>
  <c r="W29" i="144"/>
  <c r="V29" i="144"/>
  <c r="U29" i="144"/>
  <c r="T29" i="144"/>
  <c r="S29" i="144"/>
  <c r="R29" i="144"/>
  <c r="Q29" i="144"/>
  <c r="P29" i="144"/>
  <c r="O29" i="144"/>
  <c r="N29" i="144"/>
  <c r="L29" i="144"/>
  <c r="M29" i="144" s="1"/>
  <c r="Y28" i="144"/>
  <c r="X28" i="144"/>
  <c r="W28" i="144"/>
  <c r="V28" i="144"/>
  <c r="U28" i="144"/>
  <c r="T28" i="144"/>
  <c r="S28" i="144"/>
  <c r="R28" i="144"/>
  <c r="Q28" i="144"/>
  <c r="P28" i="144"/>
  <c r="O28" i="144"/>
  <c r="N28" i="144"/>
  <c r="L28" i="144"/>
  <c r="M28" i="144" s="1"/>
  <c r="AH27" i="144"/>
  <c r="AG27" i="144"/>
  <c r="AF27" i="144"/>
  <c r="AE27" i="144"/>
  <c r="AD27" i="144"/>
  <c r="AC27" i="144"/>
  <c r="AB27" i="144"/>
  <c r="AA27" i="144"/>
  <c r="Y27" i="144"/>
  <c r="X27" i="144"/>
  <c r="W27" i="144"/>
  <c r="V27" i="144"/>
  <c r="U27" i="144"/>
  <c r="T27" i="144"/>
  <c r="S27" i="144"/>
  <c r="R27" i="144"/>
  <c r="Q27" i="144"/>
  <c r="P27" i="144"/>
  <c r="O27" i="144"/>
  <c r="N27" i="144"/>
  <c r="L27" i="144"/>
  <c r="M27" i="144" s="1"/>
  <c r="Y26" i="144"/>
  <c r="X26" i="144"/>
  <c r="W26" i="144"/>
  <c r="V26" i="144"/>
  <c r="U26" i="144"/>
  <c r="T26" i="144"/>
  <c r="S26" i="144"/>
  <c r="R26" i="144"/>
  <c r="Q26" i="144"/>
  <c r="P26" i="144"/>
  <c r="O26" i="144"/>
  <c r="N26" i="144"/>
  <c r="L26" i="144"/>
  <c r="AM25" i="144"/>
  <c r="AL25" i="144"/>
  <c r="AK25" i="144"/>
  <c r="AJ25" i="144"/>
  <c r="AI25" i="144"/>
  <c r="AA25" i="144"/>
  <c r="U25" i="144"/>
  <c r="AH25" i="144" s="1"/>
  <c r="T25" i="144"/>
  <c r="AG25" i="144" s="1"/>
  <c r="S25" i="144"/>
  <c r="AF25" i="144" s="1"/>
  <c r="R25" i="144"/>
  <c r="AE25" i="144" s="1"/>
  <c r="Q25" i="144"/>
  <c r="AD25" i="144" s="1"/>
  <c r="P25" i="144"/>
  <c r="AC25" i="144" s="1"/>
  <c r="O25" i="144"/>
  <c r="AB25" i="144" s="1"/>
  <c r="N25" i="144"/>
  <c r="AQ25" i="144" s="1"/>
  <c r="M25" i="144"/>
  <c r="Z24" i="144"/>
  <c r="M24" i="144"/>
  <c r="U23" i="144"/>
  <c r="T23" i="144"/>
  <c r="S23" i="144"/>
  <c r="R23" i="144"/>
  <c r="Q23" i="144"/>
  <c r="P23" i="144"/>
  <c r="O23" i="144"/>
  <c r="K23" i="144"/>
  <c r="J23" i="144"/>
  <c r="I23" i="144"/>
  <c r="H23" i="144"/>
  <c r="G23" i="144"/>
  <c r="F23" i="144"/>
  <c r="E23" i="144"/>
  <c r="D23" i="144"/>
  <c r="J22" i="144"/>
  <c r="I22" i="144"/>
  <c r="K21" i="144"/>
  <c r="J21" i="144"/>
  <c r="I21" i="144"/>
  <c r="Y20" i="144"/>
  <c r="Y21" i="144" s="1"/>
  <c r="X20" i="144"/>
  <c r="X21" i="144" s="1"/>
  <c r="W20" i="144"/>
  <c r="W21" i="144" s="1"/>
  <c r="V20" i="144"/>
  <c r="V21" i="144" s="1"/>
  <c r="U20" i="144"/>
  <c r="U21" i="144" s="1"/>
  <c r="T20" i="144"/>
  <c r="T21" i="144" s="1"/>
  <c r="S20" i="144"/>
  <c r="S21" i="144" s="1"/>
  <c r="R20" i="144"/>
  <c r="R21" i="144" s="1"/>
  <c r="Q20" i="144"/>
  <c r="P20" i="144"/>
  <c r="P21" i="144" s="1"/>
  <c r="O20" i="144"/>
  <c r="O21" i="144" s="1"/>
  <c r="N20" i="144"/>
  <c r="N21" i="144" s="1"/>
  <c r="L20" i="144"/>
  <c r="M20" i="144" s="1"/>
  <c r="Z19" i="144"/>
  <c r="L19" i="144"/>
  <c r="M19" i="144" s="1"/>
  <c r="Z18" i="144"/>
  <c r="L18" i="144"/>
  <c r="M18" i="144" s="1"/>
  <c r="Z17" i="144"/>
  <c r="Z16" i="144"/>
  <c r="L16" i="144"/>
  <c r="M16" i="144" s="1"/>
  <c r="Z15" i="144"/>
  <c r="M15" i="144"/>
  <c r="L15" i="144"/>
  <c r="Z14" i="144"/>
  <c r="L14" i="144"/>
  <c r="H14" i="144"/>
  <c r="AM13" i="144"/>
  <c r="AL13" i="144"/>
  <c r="AK13" i="144"/>
  <c r="AJ13" i="144"/>
  <c r="AI13" i="144"/>
  <c r="AH13" i="144"/>
  <c r="AG13" i="144"/>
  <c r="AF13" i="144"/>
  <c r="AE13" i="144"/>
  <c r="AC13" i="144"/>
  <c r="AB13" i="144"/>
  <c r="AA13" i="144"/>
  <c r="Q13" i="144"/>
  <c r="AD13" i="144" s="1"/>
  <c r="M13" i="144"/>
  <c r="H13" i="144"/>
  <c r="H22" i="144" s="1"/>
  <c r="G13" i="144"/>
  <c r="G22" i="144" s="1"/>
  <c r="F13" i="144"/>
  <c r="F22" i="144" s="1"/>
  <c r="E13" i="144"/>
  <c r="E22" i="144" s="1"/>
  <c r="Z12" i="144"/>
  <c r="M12" i="144"/>
  <c r="Y11" i="144"/>
  <c r="X11" i="144"/>
  <c r="W11" i="144"/>
  <c r="V11" i="144"/>
  <c r="U11" i="144"/>
  <c r="T11" i="144"/>
  <c r="S11" i="144"/>
  <c r="R11" i="144"/>
  <c r="Q11" i="144"/>
  <c r="P11" i="144"/>
  <c r="O11" i="144"/>
  <c r="N11" i="144"/>
  <c r="L11" i="144"/>
  <c r="M11" i="144" s="1"/>
  <c r="J11" i="144"/>
  <c r="I11" i="144"/>
  <c r="H11" i="144"/>
  <c r="G11" i="144"/>
  <c r="F11" i="144"/>
  <c r="E11" i="144"/>
  <c r="D11" i="144"/>
  <c r="L10" i="144"/>
  <c r="M10" i="144" s="1"/>
  <c r="K10" i="144"/>
  <c r="L9" i="144"/>
  <c r="M9" i="144" s="1"/>
  <c r="AM8" i="144"/>
  <c r="AL8" i="144"/>
  <c r="AK8" i="144"/>
  <c r="AJ8" i="144"/>
  <c r="AI8" i="144"/>
  <c r="AH8" i="144"/>
  <c r="AG8" i="144"/>
  <c r="AF8" i="144"/>
  <c r="AE8" i="144"/>
  <c r="AD8" i="144"/>
  <c r="AC8" i="144"/>
  <c r="AB8" i="144"/>
  <c r="AA8" i="144"/>
  <c r="Z8" i="144"/>
  <c r="M8" i="144"/>
  <c r="AM7" i="144"/>
  <c r="AH7" i="144"/>
  <c r="AG7" i="144"/>
  <c r="AF7" i="144"/>
  <c r="AE7" i="144"/>
  <c r="AD7" i="144"/>
  <c r="AC7" i="144"/>
  <c r="AB7" i="144"/>
  <c r="AA7" i="144"/>
  <c r="U7" i="144"/>
  <c r="T7" i="144"/>
  <c r="S7" i="144"/>
  <c r="R7" i="144"/>
  <c r="Q7" i="144"/>
  <c r="P7" i="144"/>
  <c r="O7" i="144"/>
  <c r="N7" i="144"/>
  <c r="L7" i="144"/>
  <c r="M7" i="144" s="1"/>
  <c r="K7" i="144"/>
  <c r="AM6" i="144"/>
  <c r="L6" i="144"/>
  <c r="M6" i="144" s="1"/>
  <c r="K6" i="144"/>
  <c r="L5" i="144"/>
  <c r="AM40" i="144" s="1"/>
  <c r="K5" i="144"/>
  <c r="K22" i="144" s="1"/>
  <c r="L21" i="144" l="1"/>
  <c r="M21" i="144" s="1"/>
  <c r="AO8" i="144"/>
  <c r="Z11" i="144"/>
  <c r="AO7" i="144"/>
  <c r="Z29" i="144"/>
  <c r="Z27" i="144"/>
  <c r="Z28" i="144"/>
  <c r="Z26" i="144"/>
  <c r="AO25" i="144"/>
  <c r="AO13" i="144"/>
  <c r="Z13" i="144"/>
  <c r="G21" i="144"/>
  <c r="H21" i="144"/>
  <c r="L23" i="144"/>
  <c r="M14" i="144"/>
  <c r="Q21" i="144"/>
  <c r="Z21" i="144" s="1"/>
  <c r="L22" i="144"/>
  <c r="M22" i="144" s="1"/>
  <c r="Z25" i="144"/>
  <c r="AM30" i="144"/>
  <c r="AM37" i="144"/>
  <c r="AM38" i="144"/>
  <c r="M5" i="144"/>
  <c r="M23" i="144" s="1"/>
  <c r="Z20" i="144"/>
  <c r="AM22" i="144" l="1"/>
  <c r="CE35" i="105" l="1"/>
  <c r="BG21" i="120" l="1"/>
  <c r="AG27" i="69"/>
  <c r="U10" i="142" l="1"/>
  <c r="U12" i="142"/>
  <c r="U13" i="142"/>
  <c r="U14" i="142"/>
  <c r="U19" i="139"/>
  <c r="U12" i="139"/>
  <c r="U13" i="139"/>
  <c r="U14" i="139"/>
  <c r="U15" i="139"/>
  <c r="U16" i="139"/>
  <c r="U17" i="139"/>
  <c r="U18" i="139"/>
  <c r="N80" i="61" l="1"/>
  <c r="U54" i="90" l="1"/>
  <c r="V54" i="90"/>
  <c r="W54" i="90"/>
  <c r="X54" i="90"/>
  <c r="Y54" i="90"/>
  <c r="U25" i="92"/>
  <c r="U25" i="91"/>
  <c r="U19" i="85"/>
  <c r="U19" i="82"/>
  <c r="AA42" i="82" l="1"/>
  <c r="AB42" i="82"/>
  <c r="AC42" i="82"/>
  <c r="AD42" i="82"/>
  <c r="Z41" i="82"/>
  <c r="AN40" i="135" l="1"/>
  <c r="AN37" i="135"/>
  <c r="AN30" i="135"/>
  <c r="AN23" i="135"/>
  <c r="L5" i="139" l="1"/>
  <c r="L5" i="92"/>
  <c r="L5" i="91"/>
  <c r="L5" i="142"/>
  <c r="L5" i="90"/>
  <c r="L5" i="85"/>
  <c r="L5" i="82"/>
  <c r="H9" i="135"/>
  <c r="J68" i="135"/>
  <c r="J195" i="135" s="1"/>
  <c r="Z65" i="135"/>
  <c r="AN65" i="135" s="1"/>
  <c r="Z59" i="135"/>
  <c r="D23" i="135"/>
  <c r="D16" i="135"/>
  <c r="K55" i="105"/>
  <c r="E9" i="135"/>
  <c r="F9" i="135"/>
  <c r="G9" i="135"/>
  <c r="AH9" i="135" l="1"/>
  <c r="R53" i="105"/>
  <c r="BG20" i="120"/>
  <c r="AH111" i="135" l="1"/>
  <c r="AV9" i="135"/>
  <c r="AG128" i="135"/>
  <c r="AG183" i="135"/>
  <c r="AG202" i="135"/>
  <c r="AU100" i="135"/>
  <c r="AU101" i="135"/>
  <c r="AU102" i="135"/>
  <c r="AU103" i="135"/>
  <c r="AU104" i="135"/>
  <c r="AG64" i="135"/>
  <c r="AG65" i="135"/>
  <c r="AV111" i="135" l="1"/>
  <c r="AG121" i="135"/>
  <c r="Q105" i="135" l="1"/>
  <c r="Q38" i="135"/>
  <c r="Q117" i="135" s="1"/>
  <c r="Q39" i="135"/>
  <c r="Q136" i="135" s="1"/>
  <c r="Q41" i="135"/>
  <c r="Q172" i="135" s="1"/>
  <c r="Q42" i="135"/>
  <c r="Q191" i="135" s="1"/>
  <c r="Q58" i="135"/>
  <c r="Q59" i="135"/>
  <c r="Q60" i="135"/>
  <c r="Q156" i="135" s="1"/>
  <c r="Q61" i="135"/>
  <c r="Q175" i="135" s="1"/>
  <c r="Q62" i="135"/>
  <c r="Q194" i="135" s="1"/>
  <c r="Q64" i="135"/>
  <c r="Q121" i="135" s="1"/>
  <c r="Q65" i="135"/>
  <c r="Q66" i="135"/>
  <c r="Q157" i="135" s="1"/>
  <c r="Q67" i="135"/>
  <c r="Q176" i="135" s="1"/>
  <c r="Q68" i="135"/>
  <c r="Q195" i="135" s="1"/>
  <c r="Q94" i="135"/>
  <c r="Q127" i="135" s="1"/>
  <c r="Q95" i="135"/>
  <c r="Q145" i="135" s="1"/>
  <c r="Q96" i="135"/>
  <c r="Q164" i="135" s="1"/>
  <c r="Q97" i="135"/>
  <c r="Q182" i="135" s="1"/>
  <c r="Q69" i="135" l="1"/>
  <c r="Q63" i="135"/>
  <c r="Q120" i="135"/>
  <c r="Q43" i="135"/>
  <c r="CD35" i="105"/>
  <c r="T31" i="139" l="1"/>
  <c r="T32" i="139"/>
  <c r="T33" i="139"/>
  <c r="T34" i="139"/>
  <c r="T35" i="139"/>
  <c r="T36" i="139"/>
  <c r="T37" i="139"/>
  <c r="T38" i="139"/>
  <c r="T39" i="139"/>
  <c r="T42" i="139"/>
  <c r="T30" i="139"/>
  <c r="T10" i="142" l="1"/>
  <c r="T11" i="142"/>
  <c r="T12" i="142"/>
  <c r="T13" i="142"/>
  <c r="T14" i="142"/>
  <c r="T12" i="139"/>
  <c r="T13" i="139"/>
  <c r="T14" i="139"/>
  <c r="T15" i="139"/>
  <c r="T16" i="139"/>
  <c r="T17" i="139"/>
  <c r="T18" i="139"/>
  <c r="T19" i="139"/>
  <c r="T55" i="142" l="1"/>
  <c r="T56" i="142"/>
  <c r="T54" i="142"/>
  <c r="T54" i="90"/>
  <c r="T25" i="92"/>
  <c r="T25" i="91"/>
  <c r="T19" i="85"/>
  <c r="N35" i="143" l="1"/>
  <c r="N34" i="143"/>
  <c r="N32" i="143"/>
  <c r="N30" i="143"/>
  <c r="N28" i="143"/>
  <c r="N27" i="143"/>
  <c r="N26" i="143"/>
  <c r="N25" i="143"/>
  <c r="I36" i="143"/>
  <c r="D36" i="143"/>
  <c r="N20" i="143"/>
  <c r="I15" i="143"/>
  <c r="D15" i="143"/>
  <c r="L13" i="95"/>
  <c r="AC18" i="95"/>
  <c r="AC17" i="95"/>
  <c r="N36" i="143" l="1"/>
  <c r="T74" i="105" l="1"/>
  <c r="U74" i="105"/>
  <c r="V74" i="105"/>
  <c r="W74" i="105"/>
  <c r="S74" i="105"/>
  <c r="R21" i="135" s="1"/>
  <c r="R187" i="135" s="1"/>
  <c r="R74" i="105"/>
  <c r="Q74" i="105"/>
  <c r="P74" i="105"/>
  <c r="O74" i="105"/>
  <c r="N74" i="105"/>
  <c r="M74" i="105"/>
  <c r="T73" i="105"/>
  <c r="U73" i="105"/>
  <c r="V73" i="105"/>
  <c r="W73" i="105"/>
  <c r="S73" i="105"/>
  <c r="R20" i="135" s="1"/>
  <c r="R168" i="135" s="1"/>
  <c r="R73" i="105"/>
  <c r="Q73" i="105"/>
  <c r="P73" i="105"/>
  <c r="O73" i="105"/>
  <c r="N73" i="105"/>
  <c r="M73" i="105"/>
  <c r="L17" i="85"/>
  <c r="S17" i="85"/>
  <c r="L15" i="82"/>
  <c r="P3" i="93"/>
  <c r="D3" i="93" s="1"/>
  <c r="B55" i="93"/>
  <c r="P23" i="93" l="1"/>
  <c r="C218" i="8" l="1"/>
  <c r="AS100" i="135" l="1"/>
  <c r="BG19" i="120" l="1"/>
  <c r="BG18" i="120"/>
  <c r="AF128" i="135" l="1"/>
  <c r="AF183" i="135"/>
  <c r="AF202" i="135"/>
  <c r="AT100" i="135"/>
  <c r="AT101" i="135"/>
  <c r="AT102" i="135"/>
  <c r="AT103" i="135"/>
  <c r="AT104" i="135"/>
  <c r="AF64" i="135"/>
  <c r="AF121" i="135" s="1"/>
  <c r="AF65" i="135"/>
  <c r="P38" i="135"/>
  <c r="P117" i="135" s="1"/>
  <c r="P39" i="135"/>
  <c r="P136" i="135" s="1"/>
  <c r="P41" i="135"/>
  <c r="P172" i="135" s="1"/>
  <c r="P42" i="135"/>
  <c r="P191" i="135" s="1"/>
  <c r="P58" i="135"/>
  <c r="P120" i="135" s="1"/>
  <c r="P59" i="135"/>
  <c r="P60" i="135"/>
  <c r="P156" i="135" s="1"/>
  <c r="P61" i="135"/>
  <c r="P175" i="135" s="1"/>
  <c r="P62" i="135"/>
  <c r="P194" i="135" s="1"/>
  <c r="P64" i="135"/>
  <c r="P121" i="135" s="1"/>
  <c r="P65" i="135"/>
  <c r="P66" i="135"/>
  <c r="P157" i="135" s="1"/>
  <c r="P67" i="135"/>
  <c r="P176" i="135" s="1"/>
  <c r="P68" i="135"/>
  <c r="P195" i="135" s="1"/>
  <c r="P94" i="135"/>
  <c r="P95" i="135"/>
  <c r="P145" i="135" s="1"/>
  <c r="P96" i="135"/>
  <c r="P164" i="135" s="1"/>
  <c r="P97" i="135"/>
  <c r="P182" i="135" s="1"/>
  <c r="P98" i="135"/>
  <c r="P201" i="135" s="1"/>
  <c r="P105" i="135"/>
  <c r="P69" i="135" l="1"/>
  <c r="P63" i="135"/>
  <c r="P43" i="135"/>
  <c r="E21" i="102"/>
  <c r="F21" i="102"/>
  <c r="E22" i="102"/>
  <c r="F22" i="102"/>
  <c r="E23" i="102"/>
  <c r="F23" i="102"/>
  <c r="E24" i="102"/>
  <c r="F24" i="102"/>
  <c r="E25" i="102"/>
  <c r="F25" i="102"/>
  <c r="E51" i="102"/>
  <c r="F26" i="102" l="1"/>
  <c r="E26" i="102"/>
  <c r="K80" i="137"/>
  <c r="L80" i="137"/>
  <c r="M80" i="137"/>
  <c r="N80" i="137"/>
  <c r="J80" i="137"/>
  <c r="I80" i="137"/>
  <c r="L43" i="137"/>
  <c r="M43" i="137"/>
  <c r="N43" i="137"/>
  <c r="S54" i="142" l="1"/>
  <c r="CC35" i="105" l="1"/>
  <c r="S30" i="142" l="1"/>
  <c r="S31" i="142"/>
  <c r="S32" i="142"/>
  <c r="S33" i="142"/>
  <c r="S34" i="142"/>
  <c r="S35" i="142"/>
  <c r="S36" i="142"/>
  <c r="S37" i="142"/>
  <c r="S38" i="142"/>
  <c r="S39" i="142"/>
  <c r="S40" i="142"/>
  <c r="S41" i="142"/>
  <c r="R41" i="142"/>
  <c r="R40" i="142"/>
  <c r="R39" i="142"/>
  <c r="R38" i="142"/>
  <c r="R37" i="142"/>
  <c r="R36" i="142"/>
  <c r="R35" i="142"/>
  <c r="R34" i="142"/>
  <c r="R33" i="142"/>
  <c r="R32" i="142"/>
  <c r="R31" i="142"/>
  <c r="R30" i="142"/>
  <c r="S24" i="142"/>
  <c r="S25" i="142"/>
  <c r="S26" i="142"/>
  <c r="S27" i="142"/>
  <c r="S28" i="142"/>
  <c r="S29" i="142"/>
  <c r="S12" i="142"/>
  <c r="S13" i="142"/>
  <c r="S14" i="142"/>
  <c r="S10" i="142"/>
  <c r="S42" i="139"/>
  <c r="R42" i="139"/>
  <c r="S12" i="139"/>
  <c r="S13" i="139"/>
  <c r="S14" i="139"/>
  <c r="S15" i="139"/>
  <c r="S16" i="139"/>
  <c r="S17" i="139"/>
  <c r="S18" i="139"/>
  <c r="S19" i="139"/>
  <c r="S8" i="139"/>
  <c r="W34" i="69" l="1"/>
  <c r="W30" i="69"/>
  <c r="W25" i="69"/>
  <c r="AA25" i="69" s="1"/>
  <c r="Q34" i="69"/>
  <c r="Q30" i="69"/>
  <c r="Q25" i="69"/>
  <c r="U25" i="69" s="1"/>
  <c r="AD33" i="69"/>
  <c r="AD32" i="69"/>
  <c r="AD31" i="69"/>
  <c r="AD29" i="69"/>
  <c r="AD28" i="69"/>
  <c r="AG28" i="69" s="1"/>
  <c r="AD27" i="69"/>
  <c r="AD24" i="69"/>
  <c r="AD23" i="69"/>
  <c r="AD22" i="69"/>
  <c r="AD20" i="69"/>
  <c r="AD21" i="69"/>
  <c r="AC34" i="69"/>
  <c r="AC25" i="69"/>
  <c r="AC26" i="69"/>
  <c r="AC30" i="69"/>
  <c r="AA33" i="69"/>
  <c r="AA32" i="69"/>
  <c r="AA31" i="69"/>
  <c r="AA29" i="69"/>
  <c r="AA28" i="69"/>
  <c r="AA27" i="69"/>
  <c r="AA24" i="69"/>
  <c r="AA23" i="69"/>
  <c r="AA22" i="69"/>
  <c r="U32" i="69"/>
  <c r="X23" i="144" s="1"/>
  <c r="U33" i="69"/>
  <c r="Y23" i="144" s="1"/>
  <c r="U31" i="69"/>
  <c r="W23" i="144" s="1"/>
  <c r="U28" i="69"/>
  <c r="U29" i="69"/>
  <c r="V23" i="144" s="1"/>
  <c r="U27" i="69"/>
  <c r="U23" i="69"/>
  <c r="U24" i="69"/>
  <c r="U22" i="69"/>
  <c r="D34" i="69"/>
  <c r="E34" i="69"/>
  <c r="D30" i="69"/>
  <c r="E30" i="69"/>
  <c r="G25" i="69"/>
  <c r="G33" i="69"/>
  <c r="G32" i="69"/>
  <c r="G31" i="69"/>
  <c r="G29" i="69"/>
  <c r="G28" i="69"/>
  <c r="G27" i="69"/>
  <c r="G24" i="69"/>
  <c r="G23" i="69"/>
  <c r="G22" i="69"/>
  <c r="D26" i="69"/>
  <c r="E26" i="69"/>
  <c r="D25" i="69"/>
  <c r="E25" i="69"/>
  <c r="AC35" i="69" l="1"/>
  <c r="AC36" i="69" s="1"/>
  <c r="E35" i="69"/>
  <c r="E36" i="69" s="1"/>
  <c r="D35" i="69"/>
  <c r="D36" i="69" s="1"/>
  <c r="Q35" i="69"/>
  <c r="Q36" i="69" s="1"/>
  <c r="W35" i="69"/>
  <c r="W36" i="69" s="1"/>
  <c r="W26" i="69"/>
  <c r="Q26" i="69"/>
  <c r="AD25" i="69"/>
  <c r="AD26" i="69" l="1"/>
  <c r="P29" i="93" l="1"/>
  <c r="P28" i="93"/>
  <c r="N50" i="61"/>
  <c r="S54" i="90"/>
  <c r="S25" i="92"/>
  <c r="S25" i="91"/>
  <c r="S19" i="85"/>
  <c r="S19" i="82"/>
  <c r="K23" i="69" l="1"/>
  <c r="O17" i="85"/>
  <c r="P17" i="85"/>
  <c r="Q17" i="85"/>
  <c r="R17" i="85"/>
  <c r="M76" i="137" l="1"/>
  <c r="AE128" i="135" l="1"/>
  <c r="AE183" i="135"/>
  <c r="AE202" i="135"/>
  <c r="O105" i="135" l="1"/>
  <c r="O38" i="135"/>
  <c r="O117" i="135" s="1"/>
  <c r="O39" i="135"/>
  <c r="O136" i="135" s="1"/>
  <c r="O41" i="135"/>
  <c r="O172" i="135" s="1"/>
  <c r="O42" i="135"/>
  <c r="O191" i="135" s="1"/>
  <c r="O58" i="135"/>
  <c r="O59" i="135"/>
  <c r="O60" i="135"/>
  <c r="O156" i="135" s="1"/>
  <c r="O61" i="135"/>
  <c r="O175" i="135" s="1"/>
  <c r="O62" i="135"/>
  <c r="O194" i="135" s="1"/>
  <c r="O64" i="135"/>
  <c r="O121" i="135" s="1"/>
  <c r="O65" i="135"/>
  <c r="O66" i="135"/>
  <c r="O157" i="135" s="1"/>
  <c r="O67" i="135"/>
  <c r="O176" i="135" s="1"/>
  <c r="O68" i="135"/>
  <c r="O195" i="135" s="1"/>
  <c r="O94" i="135"/>
  <c r="O127" i="135" s="1"/>
  <c r="O95" i="135"/>
  <c r="O145" i="135" s="1"/>
  <c r="O96" i="135"/>
  <c r="O164" i="135" s="1"/>
  <c r="O97" i="135"/>
  <c r="O182" i="135" s="1"/>
  <c r="O98" i="135"/>
  <c r="O201" i="135" s="1"/>
  <c r="AS101" i="135"/>
  <c r="AS102" i="135"/>
  <c r="AS103" i="135"/>
  <c r="AS104" i="135"/>
  <c r="AE64" i="135"/>
  <c r="AE121" i="135" s="1"/>
  <c r="AE65" i="135"/>
  <c r="O43" i="135" l="1"/>
  <c r="O63" i="135"/>
  <c r="O120" i="135"/>
  <c r="O69" i="135"/>
  <c r="BG17" i="120" l="1"/>
  <c r="AF23" i="69"/>
  <c r="AD18" i="69"/>
  <c r="Z6" i="142" l="1"/>
  <c r="R54" i="142" l="1"/>
  <c r="R25" i="142"/>
  <c r="R24" i="142"/>
  <c r="CB35" i="105" l="1"/>
  <c r="Z18" i="85" l="1"/>
  <c r="P11" i="93" l="1"/>
  <c r="H30" i="93"/>
  <c r="R8" i="139" l="1"/>
  <c r="R13" i="92"/>
  <c r="R29" i="142" l="1"/>
  <c r="R28" i="142"/>
  <c r="R27" i="142"/>
  <c r="R26" i="142"/>
  <c r="R38" i="139"/>
  <c r="R39" i="139"/>
  <c r="R37" i="139"/>
  <c r="R36" i="139"/>
  <c r="R54" i="90" l="1"/>
  <c r="R13" i="142"/>
  <c r="R14" i="142"/>
  <c r="R12" i="142"/>
  <c r="R14" i="139"/>
  <c r="R15" i="139"/>
  <c r="R16" i="139"/>
  <c r="R17" i="139"/>
  <c r="R18" i="139"/>
  <c r="R19" i="139"/>
  <c r="R13" i="139"/>
  <c r="R12" i="139"/>
  <c r="R10" i="142"/>
  <c r="U24" i="139" l="1"/>
  <c r="V24" i="139"/>
  <c r="W24" i="139"/>
  <c r="X24" i="139"/>
  <c r="Y24" i="139"/>
  <c r="U25" i="139"/>
  <c r="V25" i="139"/>
  <c r="W25" i="139"/>
  <c r="X25" i="139"/>
  <c r="Y25" i="139"/>
  <c r="S24" i="139"/>
  <c r="T24" i="139"/>
  <c r="S25" i="139"/>
  <c r="T25" i="139"/>
  <c r="R25" i="139"/>
  <c r="R24" i="139"/>
  <c r="R25" i="92"/>
  <c r="R25" i="91"/>
  <c r="R19" i="82"/>
  <c r="M35" i="137" l="1"/>
  <c r="N35" i="137"/>
  <c r="O35" i="137"/>
  <c r="P35" i="137"/>
  <c r="Q35" i="137"/>
  <c r="R35" i="137"/>
  <c r="S35" i="137"/>
  <c r="S34" i="137" s="1"/>
  <c r="T35" i="137"/>
  <c r="T34" i="137" s="1"/>
  <c r="M40" i="137"/>
  <c r="N40" i="137"/>
  <c r="O40" i="137"/>
  <c r="P40" i="137"/>
  <c r="Q40" i="137"/>
  <c r="R40" i="137"/>
  <c r="S40" i="137"/>
  <c r="T40" i="137"/>
  <c r="M41" i="137"/>
  <c r="N41" i="137"/>
  <c r="O41" i="137"/>
  <c r="P41" i="137"/>
  <c r="Q41" i="137"/>
  <c r="R41" i="137"/>
  <c r="S41" i="137"/>
  <c r="T41" i="137"/>
  <c r="M42" i="137"/>
  <c r="N42" i="137"/>
  <c r="O42" i="137"/>
  <c r="P42" i="137"/>
  <c r="Q42" i="137"/>
  <c r="R42" i="137"/>
  <c r="S42" i="137"/>
  <c r="T42" i="137"/>
  <c r="J34" i="137"/>
  <c r="K34" i="137"/>
  <c r="L41" i="137"/>
  <c r="L42" i="137"/>
  <c r="L40" i="137"/>
  <c r="T39" i="137" l="1"/>
  <c r="T33" i="137" s="1"/>
  <c r="T44" i="137" s="1"/>
  <c r="S39" i="137"/>
  <c r="S33" i="137" s="1"/>
  <c r="S44" i="137" s="1"/>
  <c r="R34" i="137"/>
  <c r="R39" i="137"/>
  <c r="Q39" i="137"/>
  <c r="Q34" i="137"/>
  <c r="P39" i="137"/>
  <c r="P34" i="137"/>
  <c r="O34" i="137"/>
  <c r="O39" i="137"/>
  <c r="N34" i="137"/>
  <c r="M34" i="137"/>
  <c r="N39" i="137"/>
  <c r="M39" i="137"/>
  <c r="L34" i="137"/>
  <c r="M33" i="137" l="1"/>
  <c r="M44" i="137" s="1"/>
  <c r="R33" i="137"/>
  <c r="R44" i="137" s="1"/>
  <c r="Q33" i="137"/>
  <c r="Q44" i="137" s="1"/>
  <c r="N33" i="137"/>
  <c r="N44" i="137" s="1"/>
  <c r="O33" i="137"/>
  <c r="O44" i="137" s="1"/>
  <c r="P33" i="137"/>
  <c r="P44" i="137" s="1"/>
  <c r="Z42" i="91"/>
  <c r="P34" i="95"/>
  <c r="AD128" i="135" l="1"/>
  <c r="AD183" i="135"/>
  <c r="AD202" i="135"/>
  <c r="P127" i="135"/>
  <c r="J38" i="135"/>
  <c r="J117" i="135" s="1"/>
  <c r="K38" i="135"/>
  <c r="K117" i="135" s="1"/>
  <c r="L38" i="135"/>
  <c r="M38" i="135"/>
  <c r="M117" i="135" s="1"/>
  <c r="K39" i="135"/>
  <c r="K136" i="135" s="1"/>
  <c r="L39" i="135"/>
  <c r="L136" i="135" s="1"/>
  <c r="M39" i="135"/>
  <c r="M136" i="135" s="1"/>
  <c r="K41" i="135"/>
  <c r="L41" i="135"/>
  <c r="L172" i="135" s="1"/>
  <c r="M41" i="135"/>
  <c r="M172" i="135" s="1"/>
  <c r="K42" i="135"/>
  <c r="K191" i="135" s="1"/>
  <c r="L42" i="135"/>
  <c r="L191" i="135" s="1"/>
  <c r="M42" i="135"/>
  <c r="M191" i="135" s="1"/>
  <c r="K58" i="135"/>
  <c r="K120" i="135" s="1"/>
  <c r="L58" i="135"/>
  <c r="L120" i="135" s="1"/>
  <c r="M58" i="135"/>
  <c r="M120" i="135" s="1"/>
  <c r="K59" i="135"/>
  <c r="L59" i="135"/>
  <c r="M59" i="135"/>
  <c r="K60" i="135"/>
  <c r="K156" i="135" s="1"/>
  <c r="L60" i="135"/>
  <c r="L156" i="135" s="1"/>
  <c r="M60" i="135"/>
  <c r="M156" i="135" s="1"/>
  <c r="K61" i="135"/>
  <c r="K175" i="135" s="1"/>
  <c r="L61" i="135"/>
  <c r="M61" i="135"/>
  <c r="M175" i="135" s="1"/>
  <c r="J62" i="135"/>
  <c r="J194" i="135" s="1"/>
  <c r="K62" i="135"/>
  <c r="K194" i="135" s="1"/>
  <c r="L62" i="135"/>
  <c r="L194" i="135" s="1"/>
  <c r="M62" i="135"/>
  <c r="M194" i="135" s="1"/>
  <c r="K64" i="135"/>
  <c r="K121" i="135" s="1"/>
  <c r="L64" i="135"/>
  <c r="L121" i="135" s="1"/>
  <c r="M64" i="135"/>
  <c r="M121" i="135" s="1"/>
  <c r="K65" i="135"/>
  <c r="L65" i="135"/>
  <c r="M65" i="135"/>
  <c r="K66" i="135"/>
  <c r="L66" i="135"/>
  <c r="L157" i="135" s="1"/>
  <c r="M66" i="135"/>
  <c r="M157" i="135" s="1"/>
  <c r="K67" i="135"/>
  <c r="L67" i="135"/>
  <c r="L176" i="135" s="1"/>
  <c r="M67" i="135"/>
  <c r="M176" i="135" s="1"/>
  <c r="K68" i="135"/>
  <c r="K195" i="135" s="1"/>
  <c r="L68" i="135"/>
  <c r="L195" i="135" s="1"/>
  <c r="M68" i="135"/>
  <c r="M195" i="135" s="1"/>
  <c r="J94" i="135"/>
  <c r="J127" i="135" s="1"/>
  <c r="K94" i="135"/>
  <c r="K127" i="135" s="1"/>
  <c r="L94" i="135"/>
  <c r="L127" i="135" s="1"/>
  <c r="M94" i="135"/>
  <c r="M127" i="135" s="1"/>
  <c r="J95" i="135"/>
  <c r="J145" i="135" s="1"/>
  <c r="K95" i="135"/>
  <c r="K145" i="135" s="1"/>
  <c r="L95" i="135"/>
  <c r="L145" i="135" s="1"/>
  <c r="M95" i="135"/>
  <c r="M145" i="135" s="1"/>
  <c r="K96" i="135"/>
  <c r="K164" i="135" s="1"/>
  <c r="L96" i="135"/>
  <c r="L164" i="135" s="1"/>
  <c r="M96" i="135"/>
  <c r="M164" i="135" s="1"/>
  <c r="J97" i="135"/>
  <c r="K97" i="135"/>
  <c r="K182" i="135" s="1"/>
  <c r="L97" i="135"/>
  <c r="L182" i="135" s="1"/>
  <c r="M97" i="135"/>
  <c r="M182" i="135" s="1"/>
  <c r="J98" i="135"/>
  <c r="J201" i="135" s="1"/>
  <c r="K98" i="135"/>
  <c r="K201" i="135" s="1"/>
  <c r="M98" i="135"/>
  <c r="M201" i="135" s="1"/>
  <c r="J105" i="135"/>
  <c r="K105" i="135"/>
  <c r="L105" i="135"/>
  <c r="M105" i="135"/>
  <c r="K157" i="135"/>
  <c r="K172" i="135"/>
  <c r="L175" i="135"/>
  <c r="J182" i="135"/>
  <c r="L69" i="135" l="1"/>
  <c r="K69" i="135"/>
  <c r="M43" i="135"/>
  <c r="K63" i="135"/>
  <c r="L43" i="135"/>
  <c r="L117" i="135"/>
  <c r="M63" i="135"/>
  <c r="L63" i="135"/>
  <c r="K176" i="135"/>
  <c r="M69" i="135"/>
  <c r="K43" i="135"/>
  <c r="BG16" i="120" l="1"/>
  <c r="AR100" i="135" l="1"/>
  <c r="AR101" i="135"/>
  <c r="AR102" i="135"/>
  <c r="AR103" i="135"/>
  <c r="AR104" i="135"/>
  <c r="AD64" i="135"/>
  <c r="AD121" i="135" s="1"/>
  <c r="AD65" i="135"/>
  <c r="N38" i="135"/>
  <c r="N117" i="135" s="1"/>
  <c r="N39" i="135"/>
  <c r="N136" i="135" s="1"/>
  <c r="N41" i="135"/>
  <c r="N172" i="135" s="1"/>
  <c r="N42" i="135"/>
  <c r="N191" i="135" s="1"/>
  <c r="N58" i="135"/>
  <c r="N59" i="135"/>
  <c r="N60" i="135"/>
  <c r="N156" i="135" s="1"/>
  <c r="N61" i="135"/>
  <c r="N175" i="135" s="1"/>
  <c r="N62" i="135"/>
  <c r="N194" i="135" s="1"/>
  <c r="N64" i="135"/>
  <c r="N65" i="135"/>
  <c r="N66" i="135"/>
  <c r="N157" i="135" s="1"/>
  <c r="N67" i="135"/>
  <c r="N176" i="135" s="1"/>
  <c r="N68" i="135"/>
  <c r="N195" i="135" s="1"/>
  <c r="N94" i="135"/>
  <c r="N127" i="135" s="1"/>
  <c r="N95" i="135"/>
  <c r="N145" i="135" s="1"/>
  <c r="N96" i="135"/>
  <c r="N164" i="135" s="1"/>
  <c r="N97" i="135"/>
  <c r="N182" i="135" s="1"/>
  <c r="N98" i="135"/>
  <c r="N201" i="135" s="1"/>
  <c r="N105" i="135"/>
  <c r="N43" i="135" l="1"/>
  <c r="N63" i="135"/>
  <c r="N120" i="135"/>
  <c r="N69" i="135"/>
  <c r="N121" i="135"/>
  <c r="AU25" i="102"/>
  <c r="AV25" i="102" s="1"/>
  <c r="AU24" i="102"/>
  <c r="AV24" i="102" s="1"/>
  <c r="AU23" i="102"/>
  <c r="AV23" i="102" s="1"/>
  <c r="AU22" i="102"/>
  <c r="AV22" i="102" s="1"/>
  <c r="AU21" i="102"/>
  <c r="AV21" i="102" s="1"/>
  <c r="AW4" i="102"/>
  <c r="AV4" i="102"/>
  <c r="AU4" i="102"/>
  <c r="AT4" i="102"/>
  <c r="AS4" i="102"/>
  <c r="AW3" i="102"/>
  <c r="AV3" i="102"/>
  <c r="AU3" i="102"/>
  <c r="AT3" i="102"/>
  <c r="AS3" i="102"/>
  <c r="Q54" i="142" l="1"/>
  <c r="Q31" i="142" l="1"/>
  <c r="Q32" i="142"/>
  <c r="Q33" i="142"/>
  <c r="Q34" i="142"/>
  <c r="Q35" i="142"/>
  <c r="Q36" i="142"/>
  <c r="Q37" i="142"/>
  <c r="Q38" i="142"/>
  <c r="Q39" i="142"/>
  <c r="Q40" i="142"/>
  <c r="Q41" i="142"/>
  <c r="Q30" i="142"/>
  <c r="Q25" i="142"/>
  <c r="Q24" i="142"/>
  <c r="M24" i="91" l="1"/>
  <c r="Q54" i="90" l="1"/>
  <c r="Z36" i="85" l="1"/>
  <c r="Q8" i="139" l="1"/>
  <c r="Q42" i="139"/>
  <c r="P6" i="142" l="1"/>
  <c r="Q6" i="142"/>
  <c r="R6" i="142"/>
  <c r="S6" i="142"/>
  <c r="T6" i="142"/>
  <c r="U6" i="142"/>
  <c r="V6" i="142"/>
  <c r="W6" i="142"/>
  <c r="X6" i="142"/>
  <c r="Y6" i="142"/>
  <c r="O6" i="142"/>
  <c r="N6" i="142"/>
  <c r="K6" i="142"/>
  <c r="Q13" i="139" l="1"/>
  <c r="Q14" i="139"/>
  <c r="Q15" i="139"/>
  <c r="Q16" i="139"/>
  <c r="Q17" i="139"/>
  <c r="Q18" i="139"/>
  <c r="Q19" i="139"/>
  <c r="Q12" i="139"/>
  <c r="Q13" i="91"/>
  <c r="Q13" i="142"/>
  <c r="Q14" i="142"/>
  <c r="Q12" i="142"/>
  <c r="Q10" i="142"/>
  <c r="CA35" i="105" l="1"/>
  <c r="Q25" i="139"/>
  <c r="Q24" i="139"/>
  <c r="Q25" i="92"/>
  <c r="Q25" i="91"/>
  <c r="Q19" i="82"/>
  <c r="BJ201" i="105" l="1"/>
  <c r="K42" i="132"/>
  <c r="K43" i="132"/>
  <c r="K43" i="137" l="1"/>
  <c r="K39" i="137" l="1"/>
  <c r="BK4" i="120" l="1"/>
  <c r="BF10" i="120" s="1"/>
  <c r="BK5" i="120"/>
  <c r="BF11" i="120" s="1"/>
  <c r="BK6" i="120"/>
  <c r="BF12" i="120" s="1"/>
  <c r="D228" i="135" s="1"/>
  <c r="BK3" i="120"/>
  <c r="BF9" i="120" s="1"/>
  <c r="BG15" i="120"/>
  <c r="N36" i="95" l="1"/>
  <c r="O36" i="95"/>
  <c r="P36" i="95"/>
  <c r="Q36" i="95"/>
  <c r="R36" i="95"/>
  <c r="S36" i="95"/>
  <c r="T36" i="95"/>
  <c r="U36" i="95"/>
  <c r="V36" i="95"/>
  <c r="W36" i="95"/>
  <c r="X36" i="95"/>
  <c r="M36" i="95"/>
  <c r="X34" i="95"/>
  <c r="N34" i="95"/>
  <c r="O34" i="95"/>
  <c r="V34" i="95"/>
  <c r="W34" i="95"/>
  <c r="M34" i="95"/>
  <c r="N33" i="95"/>
  <c r="P33" i="95"/>
  <c r="S33" i="95"/>
  <c r="T33" i="95"/>
  <c r="U33" i="95"/>
  <c r="V33" i="95"/>
  <c r="W33" i="95"/>
  <c r="X33" i="95"/>
  <c r="N31" i="95"/>
  <c r="O31" i="95"/>
  <c r="P31" i="95"/>
  <c r="Q31" i="95"/>
  <c r="R31" i="95"/>
  <c r="S31" i="95"/>
  <c r="T31" i="95"/>
  <c r="U31" i="95"/>
  <c r="V31" i="95"/>
  <c r="W31" i="95"/>
  <c r="X31" i="95"/>
  <c r="N29" i="95"/>
  <c r="O29" i="95"/>
  <c r="Q29" i="95"/>
  <c r="R29" i="95"/>
  <c r="S29" i="95"/>
  <c r="T29" i="95"/>
  <c r="U29" i="95"/>
  <c r="V29" i="95"/>
  <c r="W29" i="95"/>
  <c r="X29" i="95"/>
  <c r="AC128" i="135" l="1"/>
  <c r="AC183" i="135"/>
  <c r="AC202" i="135"/>
  <c r="BZ35" i="105" l="1"/>
  <c r="Q22" i="8" l="1"/>
  <c r="P22" i="8"/>
  <c r="O22" i="8"/>
  <c r="N22" i="8"/>
  <c r="M22" i="8"/>
  <c r="L22" i="8"/>
  <c r="K22" i="8"/>
  <c r="J22" i="8"/>
  <c r="I22" i="8"/>
  <c r="H22" i="8"/>
  <c r="F22" i="8"/>
  <c r="K144" i="8" l="1"/>
  <c r="E120" i="8"/>
  <c r="AK61" i="142" l="1"/>
  <c r="AK60" i="142"/>
  <c r="AK59" i="142"/>
  <c r="Z54" i="142"/>
  <c r="Y54" i="142"/>
  <c r="P54" i="142"/>
  <c r="AC35" i="142" s="1"/>
  <c r="O54" i="142"/>
  <c r="N54" i="142"/>
  <c r="Z42" i="142"/>
  <c r="L42" i="142"/>
  <c r="M42" i="142" s="1"/>
  <c r="AL41" i="142"/>
  <c r="AK41" i="142"/>
  <c r="AJ41" i="142"/>
  <c r="AI41" i="142"/>
  <c r="AH41" i="142"/>
  <c r="AG41" i="142"/>
  <c r="AF41" i="142"/>
  <c r="AE41" i="142"/>
  <c r="AD41" i="142"/>
  <c r="AC41" i="142"/>
  <c r="AB41" i="142"/>
  <c r="AA41" i="142"/>
  <c r="Z41" i="142"/>
  <c r="M41" i="142"/>
  <c r="AL40" i="142"/>
  <c r="AK40" i="142"/>
  <c r="AJ40" i="142"/>
  <c r="AI40" i="142"/>
  <c r="AH40" i="142"/>
  <c r="AG40" i="142"/>
  <c r="AF40" i="142"/>
  <c r="AE40" i="142"/>
  <c r="AD40" i="142"/>
  <c r="AC40" i="142"/>
  <c r="AB40" i="142"/>
  <c r="AA40" i="142"/>
  <c r="Z40" i="142"/>
  <c r="M40" i="142"/>
  <c r="AL39" i="142"/>
  <c r="AK39" i="142"/>
  <c r="AJ39" i="142"/>
  <c r="AI39" i="142"/>
  <c r="AH39" i="142"/>
  <c r="AG39" i="142"/>
  <c r="AF39" i="142"/>
  <c r="AE39" i="142"/>
  <c r="AD39" i="142"/>
  <c r="AC39" i="142"/>
  <c r="AB39" i="142"/>
  <c r="AA39" i="142"/>
  <c r="Z39" i="142"/>
  <c r="M39" i="142"/>
  <c r="Z38" i="142"/>
  <c r="M38" i="142"/>
  <c r="Z37" i="142"/>
  <c r="M37" i="142"/>
  <c r="AL36" i="142"/>
  <c r="AK36" i="142"/>
  <c r="AJ36" i="142"/>
  <c r="AI36" i="142"/>
  <c r="AH36" i="142"/>
  <c r="AG36" i="142"/>
  <c r="AF36" i="142"/>
  <c r="AE36" i="142"/>
  <c r="AD36" i="142"/>
  <c r="AC36" i="142"/>
  <c r="AB36" i="142"/>
  <c r="AA36" i="142"/>
  <c r="Z36" i="142"/>
  <c r="M36" i="142"/>
  <c r="AL35" i="142"/>
  <c r="AK35" i="142"/>
  <c r="AJ35" i="142"/>
  <c r="AI35" i="142"/>
  <c r="AH35" i="142"/>
  <c r="AG35" i="142"/>
  <c r="AF35" i="142"/>
  <c r="AE35" i="142"/>
  <c r="AD35" i="142"/>
  <c r="AB35" i="142"/>
  <c r="AA35" i="142"/>
  <c r="Z35" i="142"/>
  <c r="M35" i="142"/>
  <c r="Z34" i="142"/>
  <c r="M34" i="142"/>
  <c r="Z33" i="142"/>
  <c r="M33" i="142"/>
  <c r="Z32" i="142"/>
  <c r="M32" i="142"/>
  <c r="Z31" i="142"/>
  <c r="M31" i="142"/>
  <c r="Z30" i="142"/>
  <c r="M30" i="142"/>
  <c r="Z29" i="142"/>
  <c r="L29" i="142"/>
  <c r="M29" i="142" s="1"/>
  <c r="Z28" i="142"/>
  <c r="M28" i="142"/>
  <c r="L28" i="142"/>
  <c r="Z27" i="142"/>
  <c r="M27" i="142"/>
  <c r="Z26" i="142"/>
  <c r="M26" i="142"/>
  <c r="Z25" i="142"/>
  <c r="M25" i="142"/>
  <c r="Z24" i="142"/>
  <c r="M24" i="142"/>
  <c r="Y23" i="142"/>
  <c r="X23" i="142"/>
  <c r="W23" i="142"/>
  <c r="V23" i="142"/>
  <c r="U23" i="142"/>
  <c r="T23" i="142"/>
  <c r="S23" i="142"/>
  <c r="R23" i="142"/>
  <c r="Q23" i="142"/>
  <c r="P23" i="142"/>
  <c r="O23" i="142"/>
  <c r="N23" i="142"/>
  <c r="L23" i="142"/>
  <c r="M23" i="142" s="1"/>
  <c r="Y22" i="142"/>
  <c r="X22" i="142"/>
  <c r="W22" i="142"/>
  <c r="V22" i="142"/>
  <c r="U22" i="142"/>
  <c r="T22" i="142"/>
  <c r="S22" i="142"/>
  <c r="R22" i="142"/>
  <c r="Q22" i="142"/>
  <c r="P22" i="142"/>
  <c r="O22" i="142"/>
  <c r="N22" i="142"/>
  <c r="L22" i="142"/>
  <c r="M22" i="142" s="1"/>
  <c r="Y21" i="142"/>
  <c r="X21" i="142"/>
  <c r="W21" i="142"/>
  <c r="V21" i="142"/>
  <c r="U21" i="142"/>
  <c r="T21" i="142"/>
  <c r="S21" i="142"/>
  <c r="R21" i="142"/>
  <c r="Q21" i="142"/>
  <c r="P21" i="142"/>
  <c r="O21" i="142"/>
  <c r="N21" i="142"/>
  <c r="L21" i="142"/>
  <c r="M21" i="142" s="1"/>
  <c r="Y20" i="142"/>
  <c r="X20" i="142"/>
  <c r="W20" i="142"/>
  <c r="V20" i="142"/>
  <c r="U20" i="142"/>
  <c r="T20" i="142"/>
  <c r="S20" i="142"/>
  <c r="R20" i="142"/>
  <c r="Q20" i="142"/>
  <c r="P20" i="142"/>
  <c r="O20" i="142"/>
  <c r="N20" i="142"/>
  <c r="L20" i="142"/>
  <c r="M20" i="142" s="1"/>
  <c r="AM19" i="142"/>
  <c r="AC19" i="142"/>
  <c r="AB19" i="142"/>
  <c r="AA19" i="142"/>
  <c r="Y19" i="142"/>
  <c r="X19" i="142"/>
  <c r="W19" i="142"/>
  <c r="V19" i="142"/>
  <c r="U19" i="142"/>
  <c r="T19" i="142"/>
  <c r="S19" i="142"/>
  <c r="R19" i="142"/>
  <c r="Q19" i="142"/>
  <c r="P19" i="142"/>
  <c r="O19" i="142"/>
  <c r="N19" i="142"/>
  <c r="M19" i="142"/>
  <c r="AM18" i="142"/>
  <c r="AC18" i="142"/>
  <c r="AB18" i="142"/>
  <c r="AA18" i="142"/>
  <c r="Y18" i="142"/>
  <c r="X18" i="142"/>
  <c r="W18" i="142"/>
  <c r="V18" i="142"/>
  <c r="U18" i="142"/>
  <c r="T18" i="142"/>
  <c r="S18" i="142"/>
  <c r="R18" i="142"/>
  <c r="Q18" i="142"/>
  <c r="P18" i="142"/>
  <c r="O18" i="142"/>
  <c r="N18" i="142"/>
  <c r="M18" i="142"/>
  <c r="K17" i="142"/>
  <c r="J17" i="142"/>
  <c r="I17" i="142"/>
  <c r="G16" i="142"/>
  <c r="F16" i="142"/>
  <c r="L15" i="142"/>
  <c r="K15" i="142"/>
  <c r="Z14" i="142"/>
  <c r="M14" i="142"/>
  <c r="O13" i="142"/>
  <c r="Z13" i="142" s="1"/>
  <c r="M13" i="142"/>
  <c r="Z12" i="142"/>
  <c r="M12" i="142"/>
  <c r="Y11" i="142"/>
  <c r="Y15" i="142" s="1"/>
  <c r="X11" i="142"/>
  <c r="X15" i="142" s="1"/>
  <c r="V11" i="142"/>
  <c r="V15" i="142" s="1"/>
  <c r="U11" i="142"/>
  <c r="U15" i="142" s="1"/>
  <c r="T15" i="142"/>
  <c r="S11" i="142"/>
  <c r="S15" i="142" s="1"/>
  <c r="R11" i="142"/>
  <c r="R15" i="142" s="1"/>
  <c r="Q11" i="142"/>
  <c r="P11" i="142"/>
  <c r="P15" i="142" s="1"/>
  <c r="O11" i="142"/>
  <c r="N11" i="142"/>
  <c r="N15" i="142" s="1"/>
  <c r="M11" i="142"/>
  <c r="J11" i="142"/>
  <c r="J15" i="142" s="1"/>
  <c r="I11" i="142"/>
  <c r="I15" i="142" s="1"/>
  <c r="H11" i="142"/>
  <c r="H16" i="142" s="1"/>
  <c r="Z10" i="142"/>
  <c r="M10" i="142"/>
  <c r="L9" i="142"/>
  <c r="M9" i="142" s="1"/>
  <c r="K9" i="142"/>
  <c r="L8" i="142"/>
  <c r="M8" i="142" s="1"/>
  <c r="AM7" i="142"/>
  <c r="AC7" i="142"/>
  <c r="AB7" i="142"/>
  <c r="AA7" i="142"/>
  <c r="P7" i="142"/>
  <c r="O7" i="142"/>
  <c r="N7" i="142"/>
  <c r="L7" i="142"/>
  <c r="M7" i="142" s="1"/>
  <c r="K7" i="142"/>
  <c r="AM6" i="142"/>
  <c r="L6" i="142"/>
  <c r="M6" i="142" s="1"/>
  <c r="AM41" i="142"/>
  <c r="K5" i="142"/>
  <c r="M15" i="142" l="1"/>
  <c r="Z11" i="142"/>
  <c r="Q15" i="142"/>
  <c r="AN39" i="142"/>
  <c r="AN41" i="142"/>
  <c r="AO41" i="142" s="1"/>
  <c r="AN36" i="142"/>
  <c r="AN40" i="142"/>
  <c r="AN35" i="142"/>
  <c r="Z20" i="142"/>
  <c r="Z22" i="142"/>
  <c r="Z19" i="142"/>
  <c r="AM24" i="142"/>
  <c r="AM25" i="142"/>
  <c r="AM28" i="142"/>
  <c r="AM33" i="142"/>
  <c r="AM42" i="142"/>
  <c r="M5" i="142"/>
  <c r="Z18" i="142"/>
  <c r="Z21" i="142"/>
  <c r="Z23" i="142"/>
  <c r="AM31" i="142"/>
  <c r="I16" i="142"/>
  <c r="AM34" i="142"/>
  <c r="H15" i="142"/>
  <c r="O15" i="142"/>
  <c r="W15" i="142"/>
  <c r="AM35" i="142"/>
  <c r="AM36" i="142"/>
  <c r="AM37" i="142"/>
  <c r="AM38" i="142"/>
  <c r="AM26" i="142"/>
  <c r="AM30" i="142"/>
  <c r="AM39" i="142"/>
  <c r="AM40" i="142"/>
  <c r="AM32" i="142"/>
  <c r="AO36" i="142" l="1"/>
  <c r="AO39" i="142"/>
  <c r="Z15" i="142"/>
  <c r="AO40" i="142"/>
  <c r="AQ100" i="135" l="1"/>
  <c r="AQ101" i="135"/>
  <c r="AQ102" i="135"/>
  <c r="AQ103" i="135"/>
  <c r="AQ104" i="135"/>
  <c r="AC64" i="135"/>
  <c r="AC121" i="135" s="1"/>
  <c r="AC65" i="135"/>
  <c r="P49" i="93" l="1"/>
  <c r="D30" i="93" l="1"/>
  <c r="P54" i="90" l="1"/>
  <c r="AA20" i="69" l="1"/>
  <c r="U20" i="69"/>
  <c r="G20" i="69"/>
  <c r="D21" i="69" l="1"/>
  <c r="E21" i="69"/>
  <c r="Q21" i="69"/>
  <c r="W21" i="69"/>
  <c r="AC21" i="69"/>
  <c r="R50" i="8" l="1"/>
  <c r="P25" i="91"/>
  <c r="J96" i="141" l="1"/>
  <c r="I96" i="141"/>
  <c r="T94" i="141"/>
  <c r="S94" i="141"/>
  <c r="R94" i="141"/>
  <c r="Q94" i="141"/>
  <c r="P94" i="141"/>
  <c r="O94" i="141"/>
  <c r="N94" i="141"/>
  <c r="M94" i="141"/>
  <c r="L94" i="141"/>
  <c r="K94" i="141"/>
  <c r="J94" i="141"/>
  <c r="I94" i="141"/>
  <c r="U93" i="141"/>
  <c r="U92" i="141"/>
  <c r="Q85" i="141"/>
  <c r="R85" i="141"/>
  <c r="S85" i="141"/>
  <c r="T85" i="141"/>
  <c r="M86" i="141"/>
  <c r="O86" i="141"/>
  <c r="P86" i="141"/>
  <c r="Q86" i="141"/>
  <c r="R86" i="141"/>
  <c r="S86" i="141"/>
  <c r="T86" i="141"/>
  <c r="J86" i="141"/>
  <c r="I86" i="141"/>
  <c r="B88" i="141"/>
  <c r="H87" i="141"/>
  <c r="H88" i="141" s="1"/>
  <c r="B87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T65" i="141"/>
  <c r="T67" i="141" s="1"/>
  <c r="S65" i="141"/>
  <c r="S67" i="141" s="1"/>
  <c r="R65" i="141"/>
  <c r="R67" i="141" s="1"/>
  <c r="Q65" i="141"/>
  <c r="Q67" i="141" s="1"/>
  <c r="P65" i="141"/>
  <c r="P67" i="141" s="1"/>
  <c r="O65" i="141"/>
  <c r="O67" i="141" s="1"/>
  <c r="N65" i="141"/>
  <c r="N67" i="141" s="1"/>
  <c r="M65" i="141"/>
  <c r="M67" i="141" s="1"/>
  <c r="L65" i="141"/>
  <c r="L67" i="141" s="1"/>
  <c r="K65" i="141"/>
  <c r="K67" i="141" s="1"/>
  <c r="J65" i="141"/>
  <c r="J67" i="141" s="1"/>
  <c r="I65" i="141"/>
  <c r="I67" i="141" s="1"/>
  <c r="T58" i="141"/>
  <c r="S58" i="141"/>
  <c r="R58" i="141"/>
  <c r="Q58" i="141"/>
  <c r="P58" i="141"/>
  <c r="O58" i="141"/>
  <c r="N58" i="141"/>
  <c r="M58" i="141"/>
  <c r="L58" i="141"/>
  <c r="K58" i="141"/>
  <c r="J58" i="141"/>
  <c r="I58" i="141"/>
  <c r="T53" i="141"/>
  <c r="T55" i="141" s="1"/>
  <c r="S53" i="141"/>
  <c r="S55" i="141" s="1"/>
  <c r="R53" i="141"/>
  <c r="R55" i="141" s="1"/>
  <c r="Q53" i="141"/>
  <c r="Q55" i="141" s="1"/>
  <c r="P53" i="141"/>
  <c r="P55" i="141" s="1"/>
  <c r="O53" i="141"/>
  <c r="O55" i="141" s="1"/>
  <c r="N53" i="141"/>
  <c r="N55" i="141" s="1"/>
  <c r="M53" i="141"/>
  <c r="M55" i="141" s="1"/>
  <c r="L53" i="141"/>
  <c r="L55" i="141" s="1"/>
  <c r="K53" i="141"/>
  <c r="K55" i="141" s="1"/>
  <c r="J53" i="141"/>
  <c r="J55" i="141" s="1"/>
  <c r="I53" i="141"/>
  <c r="I55" i="141" s="1"/>
  <c r="T46" i="141"/>
  <c r="S46" i="141"/>
  <c r="R46" i="141"/>
  <c r="Q46" i="141"/>
  <c r="P46" i="141"/>
  <c r="O46" i="141"/>
  <c r="N46" i="141"/>
  <c r="M46" i="141"/>
  <c r="L46" i="141"/>
  <c r="K46" i="141"/>
  <c r="J46" i="141"/>
  <c r="I46" i="141"/>
  <c r="T41" i="141"/>
  <c r="S41" i="141"/>
  <c r="R41" i="141"/>
  <c r="Q41" i="141"/>
  <c r="P41" i="141"/>
  <c r="O41" i="141"/>
  <c r="N41" i="141"/>
  <c r="M41" i="141"/>
  <c r="L41" i="141"/>
  <c r="K41" i="141"/>
  <c r="J41" i="141"/>
  <c r="I41" i="141"/>
  <c r="T34" i="141"/>
  <c r="S34" i="141"/>
  <c r="R34" i="141"/>
  <c r="Q34" i="141"/>
  <c r="P34" i="141"/>
  <c r="O34" i="141"/>
  <c r="N34" i="141"/>
  <c r="M34" i="141"/>
  <c r="L34" i="141"/>
  <c r="K34" i="141"/>
  <c r="J34" i="141"/>
  <c r="I34" i="141"/>
  <c r="T29" i="141"/>
  <c r="T31" i="141" s="1"/>
  <c r="S29" i="141"/>
  <c r="S31" i="141" s="1"/>
  <c r="R29" i="141"/>
  <c r="R31" i="141" s="1"/>
  <c r="Q29" i="141"/>
  <c r="P29" i="141"/>
  <c r="P31" i="141" s="1"/>
  <c r="O29" i="141"/>
  <c r="O31" i="141" s="1"/>
  <c r="N29" i="141"/>
  <c r="N31" i="141" s="1"/>
  <c r="M29" i="141"/>
  <c r="M31" i="141" s="1"/>
  <c r="L29" i="141"/>
  <c r="L31" i="141" s="1"/>
  <c r="K29" i="141"/>
  <c r="J29" i="141"/>
  <c r="J31" i="141" s="1"/>
  <c r="I29" i="141"/>
  <c r="T22" i="141"/>
  <c r="S22" i="141"/>
  <c r="R22" i="141"/>
  <c r="Q22" i="141"/>
  <c r="P22" i="141"/>
  <c r="O22" i="141"/>
  <c r="N22" i="141"/>
  <c r="M22" i="141"/>
  <c r="L22" i="141"/>
  <c r="K22" i="141"/>
  <c r="J22" i="141"/>
  <c r="I22" i="141"/>
  <c r="T17" i="141"/>
  <c r="S17" i="141"/>
  <c r="R17" i="141"/>
  <c r="Q17" i="141"/>
  <c r="P17" i="141"/>
  <c r="O17" i="141"/>
  <c r="N17" i="141"/>
  <c r="M17" i="141"/>
  <c r="L17" i="141"/>
  <c r="K17" i="141"/>
  <c r="J17" i="141"/>
  <c r="I17" i="141"/>
  <c r="I19" i="141" s="1"/>
  <c r="H11" i="141"/>
  <c r="F10" i="141"/>
  <c r="F11" i="141" s="1"/>
  <c r="E10" i="141"/>
  <c r="E11" i="141" s="1"/>
  <c r="D10" i="141"/>
  <c r="D11" i="141" s="1"/>
  <c r="C10" i="141"/>
  <c r="C11" i="141" s="1"/>
  <c r="B10" i="141"/>
  <c r="B11" i="141" s="1"/>
  <c r="G9" i="141"/>
  <c r="H8" i="141"/>
  <c r="F8" i="141"/>
  <c r="E8" i="141"/>
  <c r="D8" i="141"/>
  <c r="C8" i="141"/>
  <c r="B8" i="141"/>
  <c r="T7" i="141"/>
  <c r="S7" i="141"/>
  <c r="R7" i="141"/>
  <c r="Q7" i="141"/>
  <c r="P7" i="141"/>
  <c r="O7" i="141"/>
  <c r="N7" i="141"/>
  <c r="M7" i="141"/>
  <c r="L7" i="141"/>
  <c r="K7" i="141"/>
  <c r="J7" i="141"/>
  <c r="I7" i="141"/>
  <c r="G7" i="141"/>
  <c r="T6" i="141"/>
  <c r="S6" i="141"/>
  <c r="R6" i="141"/>
  <c r="Q6" i="141"/>
  <c r="P6" i="141"/>
  <c r="O6" i="141"/>
  <c r="N6" i="141"/>
  <c r="M6" i="141"/>
  <c r="L6" i="141"/>
  <c r="K6" i="141"/>
  <c r="J6" i="141"/>
  <c r="I6" i="141"/>
  <c r="G6" i="141"/>
  <c r="H5" i="141"/>
  <c r="F5" i="141"/>
  <c r="E5" i="141"/>
  <c r="D5" i="141"/>
  <c r="C5" i="141"/>
  <c r="B5" i="141"/>
  <c r="G4" i="141"/>
  <c r="G3" i="141"/>
  <c r="U99" i="137"/>
  <c r="T87" i="141" l="1"/>
  <c r="T88" i="141" s="1"/>
  <c r="R91" i="141"/>
  <c r="K91" i="141"/>
  <c r="K95" i="141" s="1"/>
  <c r="O8" i="141"/>
  <c r="E12" i="141"/>
  <c r="S87" i="141"/>
  <c r="S88" i="141" s="1"/>
  <c r="R87" i="141"/>
  <c r="R88" i="141" s="1"/>
  <c r="O91" i="141"/>
  <c r="O95" i="141" s="1"/>
  <c r="U94" i="141"/>
  <c r="G8" i="141"/>
  <c r="M91" i="141"/>
  <c r="M95" i="141" s="1"/>
  <c r="N91" i="141"/>
  <c r="N95" i="141" s="1"/>
  <c r="S91" i="141"/>
  <c r="U91" i="141" s="1"/>
  <c r="T91" i="141"/>
  <c r="T95" i="141" s="1"/>
  <c r="G5" i="141"/>
  <c r="L91" i="141"/>
  <c r="L95" i="141" s="1"/>
  <c r="R95" i="141"/>
  <c r="P91" i="141"/>
  <c r="I91" i="141"/>
  <c r="Q91" i="141"/>
  <c r="J91" i="141"/>
  <c r="Q87" i="141"/>
  <c r="Q88" i="141" s="1"/>
  <c r="C12" i="141"/>
  <c r="K3" i="141"/>
  <c r="L3" i="141"/>
  <c r="B12" i="141"/>
  <c r="F12" i="141"/>
  <c r="H12" i="141"/>
  <c r="O3" i="141"/>
  <c r="D12" i="141"/>
  <c r="J3" i="141"/>
  <c r="T3" i="141"/>
  <c r="P3" i="141"/>
  <c r="I3" i="141"/>
  <c r="Q3" i="141"/>
  <c r="N3" i="141"/>
  <c r="R3" i="141"/>
  <c r="P8" i="141"/>
  <c r="Q8" i="141"/>
  <c r="L8" i="141"/>
  <c r="T8" i="141"/>
  <c r="M8" i="141"/>
  <c r="U6" i="141"/>
  <c r="J8" i="141"/>
  <c r="R8" i="141"/>
  <c r="K8" i="141"/>
  <c r="S8" i="141"/>
  <c r="N8" i="141"/>
  <c r="U7" i="141"/>
  <c r="I8" i="141"/>
  <c r="G10" i="141"/>
  <c r="G11" i="141" s="1"/>
  <c r="I31" i="141"/>
  <c r="Q31" i="141"/>
  <c r="S3" i="141"/>
  <c r="M3" i="141"/>
  <c r="K31" i="141"/>
  <c r="G12" i="141" l="1"/>
  <c r="S95" i="141"/>
  <c r="Q95" i="141"/>
  <c r="J95" i="141"/>
  <c r="I95" i="141"/>
  <c r="P95" i="141"/>
  <c r="U95" i="141"/>
  <c r="U8" i="141"/>
  <c r="U3" i="141"/>
  <c r="M99" i="137" l="1"/>
  <c r="H77" i="137" l="1"/>
  <c r="P25" i="92" l="1"/>
  <c r="P19" i="85"/>
  <c r="J28" i="137" l="1"/>
  <c r="J43" i="137" l="1"/>
  <c r="L39" i="137"/>
  <c r="L33" i="137" s="1"/>
  <c r="L44" i="137" s="1"/>
  <c r="J39" i="137"/>
  <c r="X104" i="137"/>
  <c r="W104" i="137"/>
  <c r="V102" i="137"/>
  <c r="V106" i="137" s="1"/>
  <c r="U102" i="137"/>
  <c r="U106" i="137" s="1"/>
  <c r="T102" i="137"/>
  <c r="T106" i="137" s="1"/>
  <c r="S102" i="137"/>
  <c r="S106" i="137" s="1"/>
  <c r="R102" i="137"/>
  <c r="R106" i="137" s="1"/>
  <c r="Q102" i="137"/>
  <c r="Q106" i="137" s="1"/>
  <c r="P102" i="137"/>
  <c r="O102" i="137"/>
  <c r="O106" i="137" s="1"/>
  <c r="N102" i="137"/>
  <c r="M102" i="137"/>
  <c r="L102" i="137"/>
  <c r="L106" i="137" s="1"/>
  <c r="K102" i="137"/>
  <c r="K106" i="137" s="1"/>
  <c r="J102" i="137"/>
  <c r="J106" i="137" s="1"/>
  <c r="W101" i="137"/>
  <c r="W100" i="137"/>
  <c r="J99" i="137"/>
  <c r="J105" i="137" s="1"/>
  <c r="P106" i="137" l="1"/>
  <c r="N76" i="137"/>
  <c r="N86" i="141" s="1"/>
  <c r="N106" i="137"/>
  <c r="L76" i="137"/>
  <c r="L86" i="141" s="1"/>
  <c r="K75" i="137"/>
  <c r="K85" i="141" s="1"/>
  <c r="K79" i="137"/>
  <c r="K99" i="137"/>
  <c r="K105" i="137" s="1"/>
  <c r="T99" i="137"/>
  <c r="T105" i="137" s="1"/>
  <c r="O99" i="137"/>
  <c r="P99" i="137"/>
  <c r="Q99" i="137"/>
  <c r="J107" i="137"/>
  <c r="R99" i="137"/>
  <c r="X102" i="137"/>
  <c r="S99" i="137"/>
  <c r="S105" i="137" s="1"/>
  <c r="L99" i="137"/>
  <c r="L103" i="137" s="1"/>
  <c r="U103" i="137"/>
  <c r="J76" i="137"/>
  <c r="M106" i="137"/>
  <c r="M107" i="137" s="1"/>
  <c r="K76" i="137"/>
  <c r="K86" i="141" s="1"/>
  <c r="N99" i="137"/>
  <c r="V99" i="137"/>
  <c r="V107" i="137" s="1"/>
  <c r="M103" i="137"/>
  <c r="I76" i="137"/>
  <c r="W99" i="137"/>
  <c r="W105" i="137" s="1"/>
  <c r="X99" i="137"/>
  <c r="X105" i="137" s="1"/>
  <c r="W102" i="137"/>
  <c r="W106" i="137" s="1"/>
  <c r="U107" i="137"/>
  <c r="J103" i="137"/>
  <c r="M105" i="137"/>
  <c r="U105" i="137"/>
  <c r="Q105" i="137" l="1"/>
  <c r="O75" i="137"/>
  <c r="O85" i="141" s="1"/>
  <c r="O87" i="141" s="1"/>
  <c r="O88" i="141" s="1"/>
  <c r="O79" i="137"/>
  <c r="R105" i="137"/>
  <c r="P75" i="137"/>
  <c r="P85" i="141" s="1"/>
  <c r="P87" i="141" s="1"/>
  <c r="P88" i="141" s="1"/>
  <c r="P79" i="137"/>
  <c r="I79" i="137"/>
  <c r="I82" i="137" s="1"/>
  <c r="I75" i="137"/>
  <c r="I85" i="141" s="1"/>
  <c r="I87" i="141" s="1"/>
  <c r="I88" i="141" s="1"/>
  <c r="K103" i="137"/>
  <c r="K107" i="137"/>
  <c r="L107" i="137"/>
  <c r="S103" i="137"/>
  <c r="P103" i="137"/>
  <c r="N79" i="137"/>
  <c r="N75" i="137"/>
  <c r="N85" i="141" s="1"/>
  <c r="N87" i="141" s="1"/>
  <c r="N88" i="141" s="1"/>
  <c r="S107" i="137"/>
  <c r="U86" i="141"/>
  <c r="O103" i="137"/>
  <c r="M79" i="137"/>
  <c r="M75" i="137"/>
  <c r="M85" i="141" s="1"/>
  <c r="M87" i="141" s="1"/>
  <c r="M88" i="141" s="1"/>
  <c r="N105" i="137"/>
  <c r="L79" i="137"/>
  <c r="L75" i="137"/>
  <c r="L85" i="141" s="1"/>
  <c r="L87" i="141" s="1"/>
  <c r="L88" i="141" s="1"/>
  <c r="T103" i="137"/>
  <c r="P105" i="137"/>
  <c r="V103" i="137"/>
  <c r="V105" i="137"/>
  <c r="K87" i="141"/>
  <c r="K88" i="141" s="1"/>
  <c r="O107" i="137"/>
  <c r="O105" i="137"/>
  <c r="P107" i="137"/>
  <c r="Q103" i="137"/>
  <c r="N103" i="137"/>
  <c r="R107" i="137"/>
  <c r="L105" i="137"/>
  <c r="J75" i="137"/>
  <c r="J85" i="141" s="1"/>
  <c r="J87" i="141" s="1"/>
  <c r="J88" i="141" s="1"/>
  <c r="J79" i="137"/>
  <c r="Q107" i="137"/>
  <c r="N107" i="137"/>
  <c r="T107" i="137"/>
  <c r="R103" i="137"/>
  <c r="X103" i="137"/>
  <c r="W103" i="137"/>
  <c r="W107" i="137"/>
  <c r="U85" i="141" l="1"/>
  <c r="U87" i="141" s="1"/>
  <c r="U88" i="141" s="1"/>
  <c r="M96" i="105"/>
  <c r="L90" i="135" s="1"/>
  <c r="L163" i="135" s="1"/>
  <c r="AP100" i="135" l="1"/>
  <c r="AP101" i="135"/>
  <c r="AP102" i="135"/>
  <c r="AP103" i="135"/>
  <c r="AP104" i="135"/>
  <c r="AO104" i="135"/>
  <c r="AO103" i="135"/>
  <c r="AO102" i="135"/>
  <c r="AO101" i="135"/>
  <c r="AO100" i="135"/>
  <c r="AA103" i="102" l="1"/>
  <c r="E4" i="93" l="1"/>
  <c r="D4" i="93"/>
  <c r="D5" i="93" s="1"/>
  <c r="O3" i="93"/>
  <c r="N3" i="93"/>
  <c r="M3" i="93"/>
  <c r="L3" i="93"/>
  <c r="K3" i="93"/>
  <c r="J3" i="93"/>
  <c r="I3" i="93"/>
  <c r="H3" i="93"/>
  <c r="G3" i="93"/>
  <c r="F3" i="93"/>
  <c r="E3" i="93"/>
  <c r="E53" i="93"/>
  <c r="E54" i="93"/>
  <c r="D54" i="93"/>
  <c r="D53" i="93"/>
  <c r="E5" i="93" l="1"/>
  <c r="Z42" i="90"/>
  <c r="O13" i="90"/>
  <c r="BY35" i="105" l="1"/>
  <c r="AB128" i="135" l="1"/>
  <c r="AB183" i="135"/>
  <c r="AB202" i="135"/>
  <c r="AB64" i="135"/>
  <c r="AB121" i="135" s="1"/>
  <c r="AB65" i="135"/>
  <c r="Z42" i="92"/>
  <c r="Z35" i="82" l="1"/>
  <c r="O42" i="139" l="1"/>
  <c r="O26" i="92" l="1"/>
  <c r="BG14" i="120" l="1"/>
  <c r="J33" i="137" l="1"/>
  <c r="J44" i="137" s="1"/>
  <c r="K33" i="137"/>
  <c r="K44" i="137" s="1"/>
  <c r="E30" i="93"/>
  <c r="F30" i="93"/>
  <c r="G30" i="93"/>
  <c r="I30" i="93"/>
  <c r="J30" i="93"/>
  <c r="K30" i="93"/>
  <c r="L30" i="93"/>
  <c r="M30" i="93"/>
  <c r="N30" i="93"/>
  <c r="O30" i="93"/>
  <c r="E24" i="93"/>
  <c r="L24" i="93"/>
  <c r="N24" i="93"/>
  <c r="AK183" i="135" s="1"/>
  <c r="AK184" i="135" s="1"/>
  <c r="O24" i="93"/>
  <c r="AL183" i="135" l="1"/>
  <c r="AL184" i="135" s="1"/>
  <c r="AI183" i="135"/>
  <c r="G36" i="8"/>
  <c r="AW183" i="135" l="1"/>
  <c r="O25" i="92"/>
  <c r="O25" i="91"/>
  <c r="O19" i="85"/>
  <c r="G24" i="8" l="1"/>
  <c r="G23" i="8"/>
  <c r="O10" i="144" s="1"/>
  <c r="F20" i="8"/>
  <c r="G21" i="8"/>
  <c r="G20" i="8"/>
  <c r="G22" i="8"/>
  <c r="O9" i="142" s="1"/>
  <c r="O54" i="90"/>
  <c r="O19" i="82"/>
  <c r="R12" i="61"/>
  <c r="O9" i="90" l="1"/>
  <c r="J48" i="141" s="1"/>
  <c r="F74" i="105" l="1"/>
  <c r="E21" i="135" s="1"/>
  <c r="E187" i="135" s="1"/>
  <c r="G74" i="105"/>
  <c r="F21" i="135" s="1"/>
  <c r="F187" i="135" s="1"/>
  <c r="H74" i="105"/>
  <c r="G21" i="135" s="1"/>
  <c r="G187" i="135" s="1"/>
  <c r="I74" i="105"/>
  <c r="H21" i="135" s="1"/>
  <c r="J74" i="105"/>
  <c r="K74" i="105"/>
  <c r="L74" i="105"/>
  <c r="F73" i="105"/>
  <c r="E20" i="135" s="1"/>
  <c r="G73" i="105"/>
  <c r="F20" i="135" s="1"/>
  <c r="H73" i="105"/>
  <c r="G20" i="135" s="1"/>
  <c r="I73" i="105"/>
  <c r="H20" i="135" s="1"/>
  <c r="AH20" i="135" s="1"/>
  <c r="J73" i="105"/>
  <c r="K73" i="105"/>
  <c r="L73" i="105"/>
  <c r="M11" i="85"/>
  <c r="H187" i="135" l="1"/>
  <c r="AH21" i="135"/>
  <c r="AH168" i="135"/>
  <c r="AV20" i="135"/>
  <c r="AV168" i="135" s="1"/>
  <c r="W53" i="8"/>
  <c r="W54" i="8"/>
  <c r="W51" i="8" s="1"/>
  <c r="AH187" i="135" l="1"/>
  <c r="AV21" i="135"/>
  <c r="AV187" i="135" s="1"/>
  <c r="Z100" i="135"/>
  <c r="AN100" i="135" l="1"/>
  <c r="X100" i="135"/>
  <c r="Y100" i="135" s="1"/>
  <c r="BR101" i="135"/>
  <c r="BR103" i="135" s="1"/>
  <c r="BR102" i="135"/>
  <c r="BR106" i="135" s="1"/>
  <c r="BS102" i="135"/>
  <c r="BS104" i="135" s="1"/>
  <c r="BS101" i="135"/>
  <c r="BS103" i="135" s="1"/>
  <c r="AA202" i="135"/>
  <c r="AA183" i="135"/>
  <c r="AM146" i="135"/>
  <c r="AA128" i="135"/>
  <c r="D189" i="8"/>
  <c r="BE10" i="120"/>
  <c r="BG10" i="120" s="1"/>
  <c r="E14" i="120" s="1"/>
  <c r="BE9" i="120"/>
  <c r="BG9" i="120" s="1"/>
  <c r="D14" i="120" s="1"/>
  <c r="BS105" i="135" l="1"/>
  <c r="BR105" i="135"/>
  <c r="BR104" i="135"/>
  <c r="BS106" i="135"/>
  <c r="W35" i="8"/>
  <c r="W36" i="8"/>
  <c r="W37" i="8"/>
  <c r="Y121" i="135"/>
  <c r="Z101" i="135"/>
  <c r="Z102" i="135"/>
  <c r="Z103" i="135"/>
  <c r="Z104" i="135"/>
  <c r="X104" i="135" l="1"/>
  <c r="Y104" i="135" s="1"/>
  <c r="AN104" i="135"/>
  <c r="X103" i="135"/>
  <c r="Y103" i="135" s="1"/>
  <c r="AN103" i="135"/>
  <c r="X102" i="135"/>
  <c r="Y102" i="135" s="1"/>
  <c r="AN102" i="135"/>
  <c r="X101" i="135"/>
  <c r="Y101" i="135" s="1"/>
  <c r="AN101" i="135"/>
  <c r="Z105" i="135"/>
  <c r="X105" i="135" l="1"/>
  <c r="AN105" i="135" s="1"/>
  <c r="AA65" i="135" l="1"/>
  <c r="AM65" i="135" s="1"/>
  <c r="AA64" i="135"/>
  <c r="AM64" i="135" s="1"/>
  <c r="BW223" i="105"/>
  <c r="BW222" i="105"/>
  <c r="BW221" i="105"/>
  <c r="BW220" i="105"/>
  <c r="BW219" i="105"/>
  <c r="BW232" i="105" l="1"/>
  <c r="AA121" i="135"/>
  <c r="AM121" i="135" s="1"/>
  <c r="BW215" i="105" l="1"/>
  <c r="BW214" i="105"/>
  <c r="BW213" i="105"/>
  <c r="BW212" i="105"/>
  <c r="BW211" i="105"/>
  <c r="BE12" i="120"/>
  <c r="BG12" i="120" s="1"/>
  <c r="G14" i="120" s="1"/>
  <c r="BW216" i="105" l="1"/>
  <c r="I41" i="105"/>
  <c r="N93" i="105"/>
  <c r="M87" i="135" s="1"/>
  <c r="M126" i="135" s="1"/>
  <c r="O93" i="105"/>
  <c r="N87" i="135" s="1"/>
  <c r="N126" i="135" s="1"/>
  <c r="P93" i="105"/>
  <c r="O87" i="135" s="1"/>
  <c r="O126" i="135" s="1"/>
  <c r="Q93" i="105"/>
  <c r="P87" i="135" s="1"/>
  <c r="P126" i="135" s="1"/>
  <c r="R93" i="105"/>
  <c r="Q87" i="135" s="1"/>
  <c r="S93" i="105"/>
  <c r="R87" i="135" s="1"/>
  <c r="R126" i="135" s="1"/>
  <c r="T93" i="105"/>
  <c r="S87" i="135" s="1"/>
  <c r="S126" i="135" s="1"/>
  <c r="U93" i="105"/>
  <c r="T87" i="135" s="1"/>
  <c r="T126" i="135" s="1"/>
  <c r="V93" i="105"/>
  <c r="U87" i="135" s="1"/>
  <c r="U126" i="135" s="1"/>
  <c r="W93" i="105"/>
  <c r="V87" i="135" s="1"/>
  <c r="V126" i="135" s="1"/>
  <c r="N94" i="105"/>
  <c r="M88" i="135" s="1"/>
  <c r="M144" i="135" s="1"/>
  <c r="O94" i="105"/>
  <c r="N88" i="135" s="1"/>
  <c r="N144" i="135" s="1"/>
  <c r="P94" i="105"/>
  <c r="O88" i="135" s="1"/>
  <c r="O144" i="135" s="1"/>
  <c r="Q94" i="105"/>
  <c r="P88" i="135" s="1"/>
  <c r="P144" i="135" s="1"/>
  <c r="R94" i="105"/>
  <c r="Q88" i="135" s="1"/>
  <c r="Q144" i="135" s="1"/>
  <c r="S94" i="105"/>
  <c r="R88" i="135" s="1"/>
  <c r="R144" i="135" s="1"/>
  <c r="T94" i="105"/>
  <c r="S88" i="135" s="1"/>
  <c r="S144" i="135" s="1"/>
  <c r="U94" i="105"/>
  <c r="T88" i="135" s="1"/>
  <c r="V94" i="105"/>
  <c r="U88" i="135" s="1"/>
  <c r="U144" i="135" s="1"/>
  <c r="W94" i="105"/>
  <c r="V88" i="135" s="1"/>
  <c r="V144" i="135" s="1"/>
  <c r="N95" i="105"/>
  <c r="M89" i="135" s="1"/>
  <c r="O95" i="105"/>
  <c r="N89" i="135" s="1"/>
  <c r="P95" i="105"/>
  <c r="O89" i="135" s="1"/>
  <c r="Q95" i="105"/>
  <c r="P89" i="135" s="1"/>
  <c r="R95" i="105"/>
  <c r="Q89" i="135" s="1"/>
  <c r="Q162" i="135" s="1"/>
  <c r="S95" i="105"/>
  <c r="R89" i="135" s="1"/>
  <c r="R162" i="135" s="1"/>
  <c r="T95" i="105"/>
  <c r="S89" i="135" s="1"/>
  <c r="S162" i="135" s="1"/>
  <c r="U95" i="105"/>
  <c r="T89" i="135" s="1"/>
  <c r="T162" i="135" s="1"/>
  <c r="V95" i="105"/>
  <c r="U89" i="135" s="1"/>
  <c r="U162" i="135" s="1"/>
  <c r="W95" i="105"/>
  <c r="V89" i="135" s="1"/>
  <c r="V162" i="135" s="1"/>
  <c r="N96" i="105"/>
  <c r="M90" i="135" s="1"/>
  <c r="M163" i="135" s="1"/>
  <c r="O96" i="105"/>
  <c r="N90" i="135" s="1"/>
  <c r="N163" i="135" s="1"/>
  <c r="P96" i="105"/>
  <c r="O90" i="135" s="1"/>
  <c r="O163" i="135" s="1"/>
  <c r="Q96" i="105"/>
  <c r="P90" i="135" s="1"/>
  <c r="P163" i="135" s="1"/>
  <c r="R96" i="105"/>
  <c r="Q90" i="135" s="1"/>
  <c r="Q163" i="135" s="1"/>
  <c r="S96" i="105"/>
  <c r="R90" i="135" s="1"/>
  <c r="R163" i="135" s="1"/>
  <c r="T96" i="105"/>
  <c r="S90" i="135" s="1"/>
  <c r="S163" i="135" s="1"/>
  <c r="U96" i="105"/>
  <c r="T90" i="135" s="1"/>
  <c r="T163" i="135" s="1"/>
  <c r="V96" i="105"/>
  <c r="U90" i="135" s="1"/>
  <c r="U163" i="135" s="1"/>
  <c r="W96" i="105"/>
  <c r="V90" i="135" s="1"/>
  <c r="V163" i="135" s="1"/>
  <c r="N97" i="105"/>
  <c r="M91" i="135" s="1"/>
  <c r="M181" i="135" s="1"/>
  <c r="O97" i="105"/>
  <c r="N91" i="135" s="1"/>
  <c r="N181" i="135" s="1"/>
  <c r="P97" i="105"/>
  <c r="O91" i="135" s="1"/>
  <c r="O181" i="135" s="1"/>
  <c r="Q97" i="105"/>
  <c r="P91" i="135" s="1"/>
  <c r="P181" i="135" s="1"/>
  <c r="R97" i="105"/>
  <c r="Q91" i="135" s="1"/>
  <c r="Q181" i="135" s="1"/>
  <c r="S97" i="105"/>
  <c r="R91" i="135" s="1"/>
  <c r="R181" i="135" s="1"/>
  <c r="T97" i="105"/>
  <c r="S91" i="135" s="1"/>
  <c r="S181" i="135" s="1"/>
  <c r="U97" i="105"/>
  <c r="T91" i="135" s="1"/>
  <c r="T181" i="135" s="1"/>
  <c r="V97" i="105"/>
  <c r="U91" i="135" s="1"/>
  <c r="W97" i="105"/>
  <c r="V91" i="135" s="1"/>
  <c r="N98" i="105"/>
  <c r="M92" i="135" s="1"/>
  <c r="M200" i="135" s="1"/>
  <c r="O98" i="105"/>
  <c r="N92" i="135" s="1"/>
  <c r="N200" i="135" s="1"/>
  <c r="P98" i="105"/>
  <c r="O92" i="135" s="1"/>
  <c r="O200" i="135" s="1"/>
  <c r="Q98" i="105"/>
  <c r="P92" i="135" s="1"/>
  <c r="P200" i="135" s="1"/>
  <c r="R98" i="105"/>
  <c r="Q92" i="135" s="1"/>
  <c r="Q200" i="135" s="1"/>
  <c r="S98" i="105"/>
  <c r="R92" i="135" s="1"/>
  <c r="R200" i="135" s="1"/>
  <c r="T98" i="105"/>
  <c r="S92" i="135" s="1"/>
  <c r="S200" i="135" s="1"/>
  <c r="U98" i="105"/>
  <c r="T92" i="135" s="1"/>
  <c r="T200" i="135" s="1"/>
  <c r="V98" i="105"/>
  <c r="U92" i="135" s="1"/>
  <c r="U200" i="135" s="1"/>
  <c r="W98" i="105"/>
  <c r="V92" i="135" s="1"/>
  <c r="V200" i="135" s="1"/>
  <c r="M93" i="105"/>
  <c r="L87" i="135" s="1"/>
  <c r="L126" i="135" s="1"/>
  <c r="M94" i="105"/>
  <c r="L88" i="135" s="1"/>
  <c r="L144" i="135" s="1"/>
  <c r="M95" i="105"/>
  <c r="L89" i="135" s="1"/>
  <c r="M97" i="105"/>
  <c r="L91" i="135" s="1"/>
  <c r="L181" i="135" s="1"/>
  <c r="M98" i="105"/>
  <c r="L92" i="135" s="1"/>
  <c r="L200" i="135" s="1"/>
  <c r="L93" i="105"/>
  <c r="K87" i="135" s="1"/>
  <c r="K126" i="135" s="1"/>
  <c r="L94" i="105"/>
  <c r="K88" i="135" s="1"/>
  <c r="K144" i="135" s="1"/>
  <c r="L95" i="105"/>
  <c r="K89" i="135" s="1"/>
  <c r="L96" i="105"/>
  <c r="K90" i="135" s="1"/>
  <c r="K163" i="135" s="1"/>
  <c r="L97" i="105"/>
  <c r="K91" i="135" s="1"/>
  <c r="K181" i="135" s="1"/>
  <c r="L98" i="105"/>
  <c r="K92" i="135" s="1"/>
  <c r="K200" i="135" s="1"/>
  <c r="E41" i="105"/>
  <c r="F41" i="105"/>
  <c r="G41" i="105"/>
  <c r="H41" i="105"/>
  <c r="D41" i="105"/>
  <c r="V181" i="135" l="1"/>
  <c r="V93" i="135"/>
  <c r="U181" i="135"/>
  <c r="U93" i="135"/>
  <c r="T144" i="135"/>
  <c r="T93" i="135"/>
  <c r="Q126" i="135"/>
  <c r="N93" i="135"/>
  <c r="N162" i="135"/>
  <c r="K162" i="135"/>
  <c r="K93" i="135"/>
  <c r="P93" i="135"/>
  <c r="P162" i="135"/>
  <c r="M162" i="135"/>
  <c r="M93" i="135"/>
  <c r="L162" i="135"/>
  <c r="L93" i="135"/>
  <c r="O162" i="135"/>
  <c r="O93" i="135"/>
  <c r="J53" i="105"/>
  <c r="E53" i="105"/>
  <c r="M12" i="85"/>
  <c r="K53" i="105" s="1"/>
  <c r="K12" i="85"/>
  <c r="I53" i="105" s="1"/>
  <c r="J12" i="85"/>
  <c r="H53" i="105" s="1"/>
  <c r="I12" i="85"/>
  <c r="G53" i="105" s="1"/>
  <c r="F11" i="135" s="1"/>
  <c r="H12" i="85"/>
  <c r="F53" i="105" s="1"/>
  <c r="E11" i="135" s="1"/>
  <c r="G12" i="85"/>
  <c r="F12" i="85"/>
  <c r="D53" i="105" s="1"/>
  <c r="E12" i="85"/>
  <c r="D12" i="85"/>
  <c r="D16" i="85" s="1"/>
  <c r="AO208" i="105" l="1"/>
  <c r="AP208" i="105"/>
  <c r="AQ208" i="105"/>
  <c r="AR208" i="105"/>
  <c r="AP207" i="105"/>
  <c r="AQ207" i="105"/>
  <c r="AR207" i="105"/>
  <c r="AO207" i="105"/>
  <c r="AS86" i="105" l="1"/>
  <c r="AT86" i="105"/>
  <c r="AU86" i="105"/>
  <c r="AV86" i="105"/>
  <c r="AS87" i="105"/>
  <c r="AT87" i="105"/>
  <c r="AU87" i="105"/>
  <c r="AV87" i="105"/>
  <c r="AS88" i="105"/>
  <c r="AT88" i="105"/>
  <c r="AU88" i="105"/>
  <c r="AV88" i="105"/>
  <c r="AR87" i="105"/>
  <c r="AR88" i="105"/>
  <c r="AR86" i="105"/>
  <c r="AZ83" i="105"/>
  <c r="AZ84" i="105"/>
  <c r="AZ82" i="105"/>
  <c r="BX35" i="105" l="1"/>
  <c r="J22" i="91" l="1"/>
  <c r="Y12" i="85"/>
  <c r="W53" i="105" s="1"/>
  <c r="X12" i="85"/>
  <c r="V53" i="105" s="1"/>
  <c r="W12" i="85"/>
  <c r="U53" i="105" s="1"/>
  <c r="V12" i="85"/>
  <c r="T53" i="105" s="1"/>
  <c r="S53" i="105"/>
  <c r="T12" i="85"/>
  <c r="S12" i="85"/>
  <c r="Q53" i="105" s="1"/>
  <c r="R12" i="85"/>
  <c r="P53" i="105" s="1"/>
  <c r="Q12" i="85"/>
  <c r="O53" i="105" s="1"/>
  <c r="P12" i="85"/>
  <c r="N53" i="105" s="1"/>
  <c r="O12" i="85"/>
  <c r="M53" i="105" s="1"/>
  <c r="N12" i="85"/>
  <c r="L53" i="105" s="1"/>
  <c r="T67" i="8"/>
  <c r="T66" i="8"/>
  <c r="T62" i="8"/>
  <c r="T61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5" i="8"/>
  <c r="T34" i="8"/>
  <c r="T33" i="8"/>
  <c r="T32" i="8"/>
  <c r="T31" i="8"/>
  <c r="U30" i="8"/>
  <c r="T30" i="8"/>
  <c r="U29" i="8"/>
  <c r="T29" i="8"/>
  <c r="U28" i="8"/>
  <c r="T28" i="8"/>
  <c r="U27" i="8"/>
  <c r="T27" i="8"/>
  <c r="U26" i="8"/>
  <c r="T26" i="8"/>
  <c r="Z12" i="85" l="1"/>
  <c r="X53" i="105" s="1"/>
  <c r="L30" i="92" l="1"/>
  <c r="L30" i="91"/>
  <c r="T53" i="93" l="1"/>
  <c r="M33" i="95" l="1"/>
  <c r="M31" i="95"/>
  <c r="M29" i="95"/>
  <c r="L42" i="139" l="1"/>
  <c r="M42" i="139" s="1"/>
  <c r="AM41" i="139"/>
  <c r="M41" i="139"/>
  <c r="M40" i="139"/>
  <c r="M39" i="139"/>
  <c r="AM38" i="139"/>
  <c r="M38" i="139"/>
  <c r="M37" i="139"/>
  <c r="AM36" i="139"/>
  <c r="M36" i="139"/>
  <c r="M32" i="139"/>
  <c r="AN31" i="139"/>
  <c r="AM30" i="139"/>
  <c r="Y29" i="139"/>
  <c r="X29" i="139"/>
  <c r="W29" i="139"/>
  <c r="V29" i="139"/>
  <c r="U29" i="139"/>
  <c r="T29" i="139"/>
  <c r="S29" i="139"/>
  <c r="R29" i="139"/>
  <c r="Q29" i="139"/>
  <c r="P29" i="139"/>
  <c r="O29" i="139"/>
  <c r="N29" i="139"/>
  <c r="L29" i="139"/>
  <c r="M29" i="139" s="1"/>
  <c r="Y28" i="139"/>
  <c r="X28" i="139"/>
  <c r="W28" i="139"/>
  <c r="V28" i="139"/>
  <c r="U28" i="139"/>
  <c r="T28" i="139"/>
  <c r="S28" i="139"/>
  <c r="R28" i="139"/>
  <c r="Q28" i="139"/>
  <c r="P28" i="139"/>
  <c r="N28" i="139"/>
  <c r="L28" i="139"/>
  <c r="M28" i="139" s="1"/>
  <c r="Y27" i="139"/>
  <c r="X27" i="139"/>
  <c r="W27" i="139"/>
  <c r="V27" i="139"/>
  <c r="U27" i="139"/>
  <c r="T27" i="139"/>
  <c r="S27" i="139"/>
  <c r="R27" i="139"/>
  <c r="Q27" i="139"/>
  <c r="P27" i="139"/>
  <c r="O27" i="139"/>
  <c r="N27" i="139"/>
  <c r="L27" i="139"/>
  <c r="M27" i="139" s="1"/>
  <c r="Y26" i="139"/>
  <c r="X26" i="139"/>
  <c r="W26" i="139"/>
  <c r="V26" i="139"/>
  <c r="U26" i="139"/>
  <c r="T26" i="139"/>
  <c r="S26" i="139"/>
  <c r="R26" i="139"/>
  <c r="Q26" i="139"/>
  <c r="P26" i="139"/>
  <c r="N26" i="139"/>
  <c r="L26" i="139"/>
  <c r="M26" i="139" s="1"/>
  <c r="AM25" i="139"/>
  <c r="AL25" i="139"/>
  <c r="AK25" i="139"/>
  <c r="AJ25" i="139"/>
  <c r="AI25" i="139"/>
  <c r="AH25" i="139"/>
  <c r="AG25" i="139"/>
  <c r="AF25" i="139"/>
  <c r="AE25" i="139"/>
  <c r="AD25" i="139"/>
  <c r="AC25" i="139"/>
  <c r="AB25" i="139"/>
  <c r="AA25" i="139"/>
  <c r="Z25" i="139"/>
  <c r="N25" i="139"/>
  <c r="M25" i="139"/>
  <c r="Z24" i="139"/>
  <c r="M24" i="139"/>
  <c r="L23" i="139"/>
  <c r="K23" i="139"/>
  <c r="J23" i="139"/>
  <c r="I23" i="139"/>
  <c r="L22" i="139"/>
  <c r="J22" i="139"/>
  <c r="F22" i="139"/>
  <c r="L21" i="139"/>
  <c r="M21" i="139" s="1"/>
  <c r="K21" i="139"/>
  <c r="J21" i="139"/>
  <c r="G21" i="139"/>
  <c r="F21" i="139"/>
  <c r="E21" i="139"/>
  <c r="D21" i="139"/>
  <c r="Y20" i="139"/>
  <c r="Y21" i="139" s="1"/>
  <c r="X20" i="139"/>
  <c r="X21" i="139" s="1"/>
  <c r="W20" i="139"/>
  <c r="W21" i="139" s="1"/>
  <c r="V20" i="139"/>
  <c r="V21" i="139" s="1"/>
  <c r="U20" i="139"/>
  <c r="U21" i="139" s="1"/>
  <c r="T20" i="139"/>
  <c r="T21" i="139" s="1"/>
  <c r="S20" i="139"/>
  <c r="S21" i="139" s="1"/>
  <c r="R20" i="139"/>
  <c r="R21" i="139" s="1"/>
  <c r="Q20" i="139"/>
  <c r="Q21" i="139" s="1"/>
  <c r="P20" i="139"/>
  <c r="P21" i="139" s="1"/>
  <c r="O20" i="139"/>
  <c r="O21" i="139" s="1"/>
  <c r="N20" i="139"/>
  <c r="M20" i="139"/>
  <c r="Z19" i="139"/>
  <c r="M19" i="139"/>
  <c r="Z18" i="139"/>
  <c r="M18" i="139"/>
  <c r="Z17" i="139"/>
  <c r="M17" i="139"/>
  <c r="Z16" i="139"/>
  <c r="M16" i="139"/>
  <c r="Z15" i="139"/>
  <c r="M15" i="139"/>
  <c r="Z14" i="139"/>
  <c r="M14" i="139"/>
  <c r="H14" i="139"/>
  <c r="AM13" i="139"/>
  <c r="AL13" i="139"/>
  <c r="AK13" i="139"/>
  <c r="AJ13" i="139"/>
  <c r="AI13" i="139"/>
  <c r="AH13" i="139"/>
  <c r="AG13" i="139"/>
  <c r="AF13" i="139"/>
  <c r="AE13" i="139"/>
  <c r="AD13" i="139"/>
  <c r="AC13" i="139"/>
  <c r="AB13" i="139"/>
  <c r="AA13" i="139"/>
  <c r="Z13" i="139"/>
  <c r="M13" i="139"/>
  <c r="I13" i="139"/>
  <c r="I21" i="139" s="1"/>
  <c r="H13" i="139"/>
  <c r="H21" i="139" s="1"/>
  <c r="G13" i="139"/>
  <c r="G22" i="139" s="1"/>
  <c r="Z12" i="139"/>
  <c r="M12" i="139"/>
  <c r="Y11" i="139"/>
  <c r="X11" i="139"/>
  <c r="W11" i="139"/>
  <c r="V11" i="139"/>
  <c r="U11" i="139"/>
  <c r="T11" i="139"/>
  <c r="S11" i="139"/>
  <c r="R11" i="139"/>
  <c r="Q11" i="139"/>
  <c r="P11" i="139"/>
  <c r="O11" i="139"/>
  <c r="N11" i="139"/>
  <c r="M11" i="139"/>
  <c r="I11" i="139"/>
  <c r="H11" i="139"/>
  <c r="G11" i="139"/>
  <c r="F11" i="139"/>
  <c r="E11" i="139"/>
  <c r="D11" i="139"/>
  <c r="M10" i="139"/>
  <c r="M9" i="139"/>
  <c r="AM8" i="139"/>
  <c r="AL8" i="139"/>
  <c r="AK8" i="139"/>
  <c r="AJ8" i="139"/>
  <c r="AI8" i="139"/>
  <c r="AH8" i="139"/>
  <c r="AG8" i="139"/>
  <c r="AF8" i="139"/>
  <c r="AE8" i="139"/>
  <c r="AD8" i="139"/>
  <c r="AC8" i="139"/>
  <c r="AB8" i="139"/>
  <c r="AA8" i="139"/>
  <c r="Z8" i="139"/>
  <c r="M8" i="139"/>
  <c r="AM7" i="139"/>
  <c r="AA7" i="139"/>
  <c r="N7" i="139"/>
  <c r="M7" i="139"/>
  <c r="K7" i="139"/>
  <c r="AM6" i="139"/>
  <c r="M6" i="139"/>
  <c r="K6" i="139"/>
  <c r="M5" i="139"/>
  <c r="K5" i="139"/>
  <c r="K22" i="139" s="1"/>
  <c r="M23" i="139" l="1"/>
  <c r="M22" i="139"/>
  <c r="AO13" i="139"/>
  <c r="AO8" i="139"/>
  <c r="Z29" i="139"/>
  <c r="AO25" i="139"/>
  <c r="Z11" i="139"/>
  <c r="Z20" i="139"/>
  <c r="Z28" i="139"/>
  <c r="Z26" i="139"/>
  <c r="Z27" i="139"/>
  <c r="AM22" i="139"/>
  <c r="H22" i="139"/>
  <c r="N21" i="139"/>
  <c r="Z21" i="139" s="1"/>
  <c r="I22" i="139"/>
  <c r="L21" i="91" l="1"/>
  <c r="T95" i="137" l="1"/>
  <c r="S95" i="137"/>
  <c r="R95" i="137"/>
  <c r="Q95" i="137"/>
  <c r="P95" i="137"/>
  <c r="O95" i="137"/>
  <c r="N95" i="137"/>
  <c r="M95" i="137"/>
  <c r="L95" i="137"/>
  <c r="K95" i="137"/>
  <c r="J95" i="137"/>
  <c r="I95" i="137"/>
  <c r="H95" i="137"/>
  <c r="H96" i="137" s="1"/>
  <c r="G95" i="137"/>
  <c r="G96" i="137" s="1"/>
  <c r="U94" i="137"/>
  <c r="U93" i="137"/>
  <c r="T91" i="137"/>
  <c r="S91" i="137"/>
  <c r="R91" i="137"/>
  <c r="Q91" i="137"/>
  <c r="P91" i="137"/>
  <c r="O91" i="137"/>
  <c r="N91" i="137"/>
  <c r="M91" i="137"/>
  <c r="L91" i="137"/>
  <c r="K91" i="137"/>
  <c r="J91" i="137"/>
  <c r="I91" i="137"/>
  <c r="H91" i="137"/>
  <c r="H92" i="137" s="1"/>
  <c r="G91" i="137"/>
  <c r="G92" i="137" s="1"/>
  <c r="U90" i="137"/>
  <c r="U89" i="137"/>
  <c r="P96" i="137" l="1"/>
  <c r="P84" i="137"/>
  <c r="M96" i="137"/>
  <c r="M84" i="137"/>
  <c r="N96" i="137"/>
  <c r="N84" i="137"/>
  <c r="O96" i="137"/>
  <c r="O84" i="137"/>
  <c r="Q96" i="137"/>
  <c r="Q84" i="137"/>
  <c r="S96" i="137"/>
  <c r="S84" i="137"/>
  <c r="I96" i="137"/>
  <c r="I84" i="137"/>
  <c r="J96" i="137"/>
  <c r="J84" i="137"/>
  <c r="R96" i="137"/>
  <c r="R84" i="137"/>
  <c r="K96" i="137"/>
  <c r="K84" i="137"/>
  <c r="L96" i="137"/>
  <c r="L84" i="137"/>
  <c r="T96" i="137"/>
  <c r="T84" i="137"/>
  <c r="N92" i="137"/>
  <c r="N81" i="137"/>
  <c r="O92" i="137"/>
  <c r="O81" i="137"/>
  <c r="I92" i="137"/>
  <c r="I81" i="137"/>
  <c r="J92" i="137"/>
  <c r="J81" i="137"/>
  <c r="S92" i="137"/>
  <c r="S81" i="137"/>
  <c r="M92" i="137"/>
  <c r="M81" i="137"/>
  <c r="P92" i="137"/>
  <c r="P81" i="137"/>
  <c r="Q92" i="137"/>
  <c r="Q81" i="137"/>
  <c r="R92" i="137"/>
  <c r="R81" i="137"/>
  <c r="K92" i="137"/>
  <c r="K81" i="137"/>
  <c r="L92" i="137"/>
  <c r="L81" i="137"/>
  <c r="T92" i="137"/>
  <c r="T81" i="137"/>
  <c r="U91" i="137"/>
  <c r="U92" i="137" s="1"/>
  <c r="U95" i="137"/>
  <c r="U96" i="137" l="1"/>
  <c r="U84" i="137"/>
  <c r="Z17" i="91"/>
  <c r="H60" i="137" l="1"/>
  <c r="G60" i="137"/>
  <c r="J45" i="137" l="1"/>
  <c r="K45" i="137"/>
  <c r="L45" i="137"/>
  <c r="M45" i="137"/>
  <c r="N45" i="137"/>
  <c r="O45" i="137"/>
  <c r="P45" i="137"/>
  <c r="Q45" i="137"/>
  <c r="R45" i="137"/>
  <c r="S45" i="137"/>
  <c r="T45" i="137"/>
  <c r="U43" i="137"/>
  <c r="W44" i="137" s="1"/>
  <c r="J82" i="137" l="1"/>
  <c r="J83" i="137" s="1"/>
  <c r="K82" i="137"/>
  <c r="K83" i="137" s="1"/>
  <c r="L82" i="137"/>
  <c r="L83" i="137" s="1"/>
  <c r="M82" i="137"/>
  <c r="M83" i="137" s="1"/>
  <c r="N82" i="137"/>
  <c r="N83" i="137" s="1"/>
  <c r="O82" i="137"/>
  <c r="O83" i="137" s="1"/>
  <c r="P82" i="137"/>
  <c r="P83" i="137" s="1"/>
  <c r="Q82" i="137"/>
  <c r="Q83" i="137" s="1"/>
  <c r="R82" i="137"/>
  <c r="R83" i="137" s="1"/>
  <c r="S82" i="137"/>
  <c r="S83" i="137" s="1"/>
  <c r="T82" i="137"/>
  <c r="T83" i="137" s="1"/>
  <c r="U80" i="137"/>
  <c r="U79" i="137"/>
  <c r="I77" i="137"/>
  <c r="I78" i="137" s="1"/>
  <c r="J77" i="137"/>
  <c r="J78" i="137" s="1"/>
  <c r="K77" i="137"/>
  <c r="K78" i="137" s="1"/>
  <c r="L77" i="137"/>
  <c r="L78" i="137" s="1"/>
  <c r="M77" i="137"/>
  <c r="M78" i="137" s="1"/>
  <c r="N77" i="137"/>
  <c r="N78" i="137" s="1"/>
  <c r="O77" i="137"/>
  <c r="O78" i="137" s="1"/>
  <c r="P77" i="137"/>
  <c r="P78" i="137" s="1"/>
  <c r="Q77" i="137"/>
  <c r="Q78" i="137" s="1"/>
  <c r="R77" i="137"/>
  <c r="R78" i="137" s="1"/>
  <c r="S77" i="137"/>
  <c r="S78" i="137" s="1"/>
  <c r="T77" i="137"/>
  <c r="T78" i="137" s="1"/>
  <c r="H78" i="137"/>
  <c r="G77" i="137"/>
  <c r="G78" i="137" s="1"/>
  <c r="U76" i="137"/>
  <c r="U75" i="137"/>
  <c r="J23" i="137"/>
  <c r="K23" i="137"/>
  <c r="L23" i="137"/>
  <c r="M23" i="137"/>
  <c r="N23" i="137"/>
  <c r="O23" i="137"/>
  <c r="P23" i="137"/>
  <c r="Q23" i="137"/>
  <c r="R23" i="137"/>
  <c r="S23" i="137"/>
  <c r="T23" i="137"/>
  <c r="J24" i="137"/>
  <c r="K24" i="137"/>
  <c r="L24" i="137"/>
  <c r="M24" i="137"/>
  <c r="N24" i="137"/>
  <c r="O24" i="137"/>
  <c r="P24" i="137"/>
  <c r="Q24" i="137"/>
  <c r="R24" i="137"/>
  <c r="S24" i="137"/>
  <c r="T24" i="137"/>
  <c r="J25" i="137"/>
  <c r="K25" i="137"/>
  <c r="L25" i="137"/>
  <c r="M25" i="137"/>
  <c r="N25" i="137"/>
  <c r="O25" i="137"/>
  <c r="P25" i="137"/>
  <c r="Q25" i="137"/>
  <c r="R25" i="137"/>
  <c r="S25" i="137"/>
  <c r="T25" i="137"/>
  <c r="J26" i="137"/>
  <c r="K26" i="137"/>
  <c r="L26" i="137"/>
  <c r="M26" i="137"/>
  <c r="N26" i="137"/>
  <c r="O26" i="137"/>
  <c r="P26" i="137"/>
  <c r="Q26" i="137"/>
  <c r="R26" i="137"/>
  <c r="S26" i="137"/>
  <c r="T26" i="137"/>
  <c r="J27" i="137"/>
  <c r="K27" i="137"/>
  <c r="L27" i="137"/>
  <c r="M27" i="137"/>
  <c r="N27" i="137"/>
  <c r="O27" i="137"/>
  <c r="P27" i="137"/>
  <c r="Q27" i="137"/>
  <c r="R27" i="137"/>
  <c r="S27" i="137"/>
  <c r="T27" i="137"/>
  <c r="K28" i="137"/>
  <c r="L28" i="137"/>
  <c r="M28" i="137"/>
  <c r="N28" i="137"/>
  <c r="O28" i="137"/>
  <c r="P28" i="137"/>
  <c r="Q28" i="137"/>
  <c r="R28" i="137"/>
  <c r="S28" i="137"/>
  <c r="T28" i="137"/>
  <c r="M19" i="90"/>
  <c r="M18" i="90"/>
  <c r="M14" i="90"/>
  <c r="M13" i="90"/>
  <c r="M12" i="90"/>
  <c r="M11" i="90"/>
  <c r="M10" i="90"/>
  <c r="K54" i="105" s="1"/>
  <c r="M19" i="85"/>
  <c r="M18" i="85"/>
  <c r="M14" i="85"/>
  <c r="M13" i="85"/>
  <c r="M8" i="85"/>
  <c r="J39" i="135" s="1"/>
  <c r="M19" i="82"/>
  <c r="M18" i="82"/>
  <c r="M17" i="82"/>
  <c r="M13" i="82"/>
  <c r="M12" i="82"/>
  <c r="M11" i="82"/>
  <c r="M10" i="82"/>
  <c r="I83" i="137"/>
  <c r="H34" i="137"/>
  <c r="I30" i="137" s="1"/>
  <c r="H35" i="137"/>
  <c r="H36" i="137"/>
  <c r="H37" i="137"/>
  <c r="H38" i="137"/>
  <c r="H39" i="137"/>
  <c r="H40" i="137"/>
  <c r="H41" i="137"/>
  <c r="H42" i="137"/>
  <c r="H43" i="137"/>
  <c r="H33" i="137"/>
  <c r="H30" i="137" s="1"/>
  <c r="U42" i="137"/>
  <c r="U41" i="137"/>
  <c r="U40" i="137"/>
  <c r="U38" i="137"/>
  <c r="U36" i="137"/>
  <c r="U35" i="137"/>
  <c r="H82" i="137"/>
  <c r="H83" i="137" s="1"/>
  <c r="G82" i="137"/>
  <c r="G83" i="137" s="1"/>
  <c r="J136" i="135" l="1"/>
  <c r="U39" i="137"/>
  <c r="U77" i="137"/>
  <c r="U78" i="137" s="1"/>
  <c r="U82" i="137"/>
  <c r="U83" i="137" s="1"/>
  <c r="J29" i="137"/>
  <c r="K29" i="137"/>
  <c r="L29" i="137"/>
  <c r="M29" i="137"/>
  <c r="N29" i="137"/>
  <c r="O29" i="137"/>
  <c r="P29" i="137"/>
  <c r="Q29" i="137"/>
  <c r="R29" i="137"/>
  <c r="S29" i="137"/>
  <c r="T29" i="137"/>
  <c r="I28" i="137"/>
  <c r="I29" i="137" s="1"/>
  <c r="I24" i="137"/>
  <c r="I25" i="137"/>
  <c r="I26" i="137"/>
  <c r="I27" i="137"/>
  <c r="I23" i="137"/>
  <c r="D27" i="137"/>
  <c r="C27" i="137"/>
  <c r="B27" i="137"/>
  <c r="H27" i="137" s="1"/>
  <c r="D26" i="137"/>
  <c r="C26" i="137"/>
  <c r="B26" i="137"/>
  <c r="H26" i="137" s="1"/>
  <c r="D25" i="137"/>
  <c r="C25" i="137"/>
  <c r="B25" i="137"/>
  <c r="H25" i="137" s="1"/>
  <c r="D24" i="137"/>
  <c r="C24" i="137"/>
  <c r="B24" i="137"/>
  <c r="H24" i="137" s="1"/>
  <c r="D23" i="137"/>
  <c r="C23" i="137"/>
  <c r="B23" i="137"/>
  <c r="G34" i="137"/>
  <c r="J30" i="137" s="1"/>
  <c r="G35" i="137"/>
  <c r="G36" i="137"/>
  <c r="G37" i="137"/>
  <c r="G38" i="137"/>
  <c r="G39" i="137"/>
  <c r="G40" i="137"/>
  <c r="G41" i="137"/>
  <c r="G42" i="137"/>
  <c r="G43" i="137"/>
  <c r="G33" i="137"/>
  <c r="G30" i="137" s="1"/>
  <c r="I39" i="137"/>
  <c r="B52" i="137"/>
  <c r="C52" i="137"/>
  <c r="D52" i="137"/>
  <c r="E52" i="137"/>
  <c r="F52" i="137"/>
  <c r="B55" i="137"/>
  <c r="C55" i="137"/>
  <c r="D55" i="137"/>
  <c r="E55" i="137"/>
  <c r="F55" i="137"/>
  <c r="B57" i="137"/>
  <c r="B58" i="137" s="1"/>
  <c r="C57" i="137"/>
  <c r="C58" i="137" s="1"/>
  <c r="D57" i="137"/>
  <c r="D58" i="137" s="1"/>
  <c r="E57" i="137"/>
  <c r="E58" i="137" s="1"/>
  <c r="F57" i="137"/>
  <c r="F58" i="137" s="1"/>
  <c r="G9" i="137"/>
  <c r="C7" i="138"/>
  <c r="J53" i="137" s="1"/>
  <c r="D7" i="138"/>
  <c r="E7" i="138"/>
  <c r="F7" i="138"/>
  <c r="M53" i="137" s="1"/>
  <c r="G7" i="138"/>
  <c r="N53" i="137" s="1"/>
  <c r="N55" i="137" s="1"/>
  <c r="H7" i="138"/>
  <c r="I7" i="138"/>
  <c r="J7" i="138"/>
  <c r="Q53" i="137" s="1"/>
  <c r="K7" i="138"/>
  <c r="R53" i="137" s="1"/>
  <c r="L7" i="138"/>
  <c r="M7" i="138"/>
  <c r="C8" i="138"/>
  <c r="J54" i="137" s="1"/>
  <c r="D8" i="138"/>
  <c r="K54" i="137" s="1"/>
  <c r="E8" i="138"/>
  <c r="L54" i="137" s="1"/>
  <c r="F8" i="138"/>
  <c r="G8" i="138"/>
  <c r="N54" i="137" s="1"/>
  <c r="H8" i="138"/>
  <c r="O54" i="137" s="1"/>
  <c r="I8" i="138"/>
  <c r="P54" i="137" s="1"/>
  <c r="J8" i="138"/>
  <c r="K8" i="138"/>
  <c r="R54" i="137" s="1"/>
  <c r="L8" i="138"/>
  <c r="S54" i="137" s="1"/>
  <c r="M8" i="138"/>
  <c r="T54" i="137" s="1"/>
  <c r="O12" i="138"/>
  <c r="O9" i="138"/>
  <c r="O6" i="138"/>
  <c r="B8" i="138"/>
  <c r="I54" i="137" s="1"/>
  <c r="B7" i="138"/>
  <c r="B9" i="138" s="1"/>
  <c r="C64" i="138"/>
  <c r="D64" i="138"/>
  <c r="E64" i="138"/>
  <c r="F64" i="138"/>
  <c r="G64" i="138"/>
  <c r="H64" i="138"/>
  <c r="H66" i="138" s="1"/>
  <c r="I64" i="138"/>
  <c r="I66" i="138" s="1"/>
  <c r="J64" i="138"/>
  <c r="J66" i="138" s="1"/>
  <c r="K64" i="138"/>
  <c r="L64" i="138"/>
  <c r="M64" i="138"/>
  <c r="F66" i="138"/>
  <c r="G66" i="138"/>
  <c r="C69" i="138"/>
  <c r="D69" i="138"/>
  <c r="E69" i="138"/>
  <c r="F69" i="138"/>
  <c r="G69" i="138"/>
  <c r="H69" i="138"/>
  <c r="I69" i="138"/>
  <c r="J69" i="138"/>
  <c r="K69" i="138"/>
  <c r="L69" i="138"/>
  <c r="M69" i="138"/>
  <c r="C52" i="138"/>
  <c r="D52" i="138"/>
  <c r="E52" i="138"/>
  <c r="F52" i="138"/>
  <c r="G52" i="138"/>
  <c r="H52" i="138"/>
  <c r="I52" i="138"/>
  <c r="J52" i="138"/>
  <c r="K52" i="138"/>
  <c r="L52" i="138"/>
  <c r="M52" i="138"/>
  <c r="C57" i="138"/>
  <c r="D57" i="138"/>
  <c r="E57" i="138"/>
  <c r="F57" i="138"/>
  <c r="G57" i="138"/>
  <c r="H57" i="138"/>
  <c r="I57" i="138"/>
  <c r="J57" i="138"/>
  <c r="K57" i="138"/>
  <c r="L57" i="138"/>
  <c r="M57" i="138"/>
  <c r="C40" i="138"/>
  <c r="D40" i="138"/>
  <c r="E40" i="138"/>
  <c r="F40" i="138"/>
  <c r="G40" i="138"/>
  <c r="H40" i="138"/>
  <c r="I40" i="138"/>
  <c r="J40" i="138"/>
  <c r="K40" i="138"/>
  <c r="L40" i="138"/>
  <c r="M40" i="138"/>
  <c r="C45" i="138"/>
  <c r="D45" i="138"/>
  <c r="E45" i="138"/>
  <c r="F45" i="138"/>
  <c r="G45" i="138"/>
  <c r="H45" i="138"/>
  <c r="I45" i="138"/>
  <c r="J45" i="138"/>
  <c r="K45" i="138"/>
  <c r="L45" i="138"/>
  <c r="M45" i="138"/>
  <c r="C28" i="138"/>
  <c r="D28" i="138"/>
  <c r="E28" i="138"/>
  <c r="F28" i="138"/>
  <c r="G28" i="138"/>
  <c r="H28" i="138"/>
  <c r="I28" i="138"/>
  <c r="J28" i="138"/>
  <c r="K28" i="138"/>
  <c r="N28" i="138" s="1"/>
  <c r="N30" i="138" s="1"/>
  <c r="L28" i="138"/>
  <c r="M28" i="138"/>
  <c r="C33" i="138"/>
  <c r="D33" i="138"/>
  <c r="E33" i="138"/>
  <c r="F33" i="138"/>
  <c r="G33" i="138"/>
  <c r="H33" i="138"/>
  <c r="I33" i="138"/>
  <c r="J33" i="138"/>
  <c r="K33" i="138"/>
  <c r="L33" i="138"/>
  <c r="M33" i="138"/>
  <c r="C16" i="138"/>
  <c r="D16" i="138"/>
  <c r="E16" i="138"/>
  <c r="F16" i="138"/>
  <c r="G16" i="138"/>
  <c r="H16" i="138"/>
  <c r="I16" i="138"/>
  <c r="J16" i="138"/>
  <c r="K16" i="138"/>
  <c r="M16" i="138"/>
  <c r="C21" i="138"/>
  <c r="D21" i="138"/>
  <c r="E21" i="138"/>
  <c r="F21" i="138"/>
  <c r="G21" i="138"/>
  <c r="H21" i="138"/>
  <c r="I21" i="138"/>
  <c r="J21" i="138"/>
  <c r="K21" i="138"/>
  <c r="L21" i="138"/>
  <c r="M21" i="138"/>
  <c r="B64" i="138"/>
  <c r="B52" i="138"/>
  <c r="B40" i="138"/>
  <c r="B28" i="138"/>
  <c r="B16" i="138"/>
  <c r="B69" i="138"/>
  <c r="B57" i="138"/>
  <c r="B45" i="138"/>
  <c r="B33" i="138"/>
  <c r="B21" i="138"/>
  <c r="U11" i="138"/>
  <c r="U12" i="138" s="1"/>
  <c r="T11" i="138"/>
  <c r="T12" i="138" s="1"/>
  <c r="S11" i="138"/>
  <c r="S12" i="138" s="1"/>
  <c r="R11" i="138"/>
  <c r="R12" i="138" s="1"/>
  <c r="Q11" i="138"/>
  <c r="Q12" i="138" s="1"/>
  <c r="V10" i="138"/>
  <c r="U9" i="138"/>
  <c r="T9" i="138"/>
  <c r="S9" i="138"/>
  <c r="R9" i="138"/>
  <c r="Q9" i="138"/>
  <c r="V8" i="138"/>
  <c r="V7" i="138"/>
  <c r="U6" i="138"/>
  <c r="T6" i="138"/>
  <c r="S6" i="138"/>
  <c r="R6" i="138"/>
  <c r="Q6" i="138"/>
  <c r="V5" i="138"/>
  <c r="V4" i="138"/>
  <c r="N52" i="138" l="1"/>
  <c r="N54" i="138" s="1"/>
  <c r="N40" i="138"/>
  <c r="N16" i="138"/>
  <c r="K66" i="138"/>
  <c r="N64" i="138"/>
  <c r="N66" i="138" s="1"/>
  <c r="B4" i="138"/>
  <c r="I50" i="137" s="1"/>
  <c r="K9" i="138"/>
  <c r="R55" i="137"/>
  <c r="J55" i="137"/>
  <c r="J9" i="138"/>
  <c r="Q54" i="137"/>
  <c r="Q55" i="137" s="1"/>
  <c r="M9" i="138"/>
  <c r="T53" i="137"/>
  <c r="T55" i="137" s="1"/>
  <c r="L9" i="138"/>
  <c r="S53" i="137"/>
  <c r="S55" i="137" s="1"/>
  <c r="U13" i="138"/>
  <c r="V6" i="138"/>
  <c r="S13" i="138"/>
  <c r="O13" i="138"/>
  <c r="T13" i="138"/>
  <c r="I9" i="138"/>
  <c r="P53" i="137"/>
  <c r="P55" i="137" s="1"/>
  <c r="H9" i="138"/>
  <c r="O53" i="137"/>
  <c r="O55" i="137" s="1"/>
  <c r="G9" i="138"/>
  <c r="E9" i="138"/>
  <c r="L53" i="137"/>
  <c r="L55" i="137" s="1"/>
  <c r="F9" i="138"/>
  <c r="M54" i="137"/>
  <c r="M55" i="137" s="1"/>
  <c r="F4" i="138"/>
  <c r="M50" i="137" s="1"/>
  <c r="E4" i="138"/>
  <c r="L50" i="137" s="1"/>
  <c r="L4" i="138"/>
  <c r="S50" i="137" s="1"/>
  <c r="K4" i="138"/>
  <c r="R50" i="137" s="1"/>
  <c r="M4" i="138"/>
  <c r="T50" i="137" s="1"/>
  <c r="J4" i="138"/>
  <c r="Q50" i="137" s="1"/>
  <c r="I4" i="138"/>
  <c r="P50" i="137" s="1"/>
  <c r="H4" i="138"/>
  <c r="O50" i="137" s="1"/>
  <c r="N8" i="138"/>
  <c r="U54" i="137" s="1"/>
  <c r="D9" i="138"/>
  <c r="K53" i="137"/>
  <c r="K55" i="137" s="1"/>
  <c r="D4" i="138"/>
  <c r="K50" i="137" s="1"/>
  <c r="C9" i="138"/>
  <c r="C4" i="138"/>
  <c r="J50" i="137" s="1"/>
  <c r="V9" i="138"/>
  <c r="G44" i="137"/>
  <c r="G45" i="137" s="1"/>
  <c r="G25" i="137"/>
  <c r="E66" i="138"/>
  <c r="L66" i="138"/>
  <c r="D66" i="138"/>
  <c r="G4" i="138"/>
  <c r="N50" i="137" s="1"/>
  <c r="N7" i="138"/>
  <c r="I53" i="137"/>
  <c r="I34" i="137"/>
  <c r="I33" i="137" s="1"/>
  <c r="U37" i="137"/>
  <c r="U34" i="137" s="1"/>
  <c r="G26" i="137"/>
  <c r="D59" i="137"/>
  <c r="D28" i="137"/>
  <c r="G24" i="137"/>
  <c r="B28" i="137"/>
  <c r="H28" i="137" s="1"/>
  <c r="H29" i="137" s="1"/>
  <c r="C28" i="137"/>
  <c r="G27" i="137"/>
  <c r="H23" i="137"/>
  <c r="G23" i="137"/>
  <c r="F59" i="137"/>
  <c r="E59" i="137"/>
  <c r="C59" i="137"/>
  <c r="B59" i="137"/>
  <c r="B66" i="138"/>
  <c r="B18" i="138"/>
  <c r="Q13" i="138"/>
  <c r="R13" i="138"/>
  <c r="V11" i="138"/>
  <c r="V12" i="138" s="1"/>
  <c r="D44" i="137"/>
  <c r="B44" i="137"/>
  <c r="G16" i="137"/>
  <c r="N4" i="138" l="1"/>
  <c r="N9" i="138"/>
  <c r="U53" i="137"/>
  <c r="U55" i="137" s="1"/>
  <c r="V13" i="138"/>
  <c r="G28" i="137"/>
  <c r="G29" i="137" s="1"/>
  <c r="I55" i="137"/>
  <c r="I44" i="137"/>
  <c r="I45" i="137" s="1"/>
  <c r="U33" i="137"/>
  <c r="U44" i="137" s="1"/>
  <c r="U45" i="137" s="1"/>
  <c r="C44" i="137"/>
  <c r="F4" i="137"/>
  <c r="F5" i="137"/>
  <c r="F6" i="137"/>
  <c r="F7" i="137"/>
  <c r="F3" i="137"/>
  <c r="H19" i="137"/>
  <c r="E18" i="137"/>
  <c r="D18" i="137"/>
  <c r="C18" i="137"/>
  <c r="B18" i="137"/>
  <c r="G17" i="137"/>
  <c r="G15" i="137"/>
  <c r="G14" i="137"/>
  <c r="G13" i="137"/>
  <c r="U50" i="137" l="1"/>
  <c r="B19" i="137"/>
  <c r="C19" i="137" s="1"/>
  <c r="G18" i="137"/>
  <c r="G19" i="137" s="1"/>
  <c r="H44" i="137" l="1"/>
  <c r="H45" i="137" s="1"/>
  <c r="H6" i="137" l="1"/>
  <c r="H8" i="137" s="1"/>
  <c r="H9" i="137" s="1"/>
  <c r="BG13" i="120" l="1"/>
  <c r="BF26" i="120"/>
  <c r="BE26" i="120"/>
  <c r="BE11" i="120"/>
  <c r="BG11" i="120" s="1"/>
  <c r="F14" i="120" s="1"/>
  <c r="H14" i="120" s="1"/>
  <c r="AT231" i="105" l="1"/>
  <c r="AU231" i="105"/>
  <c r="AV231" i="105"/>
  <c r="AW231" i="105"/>
  <c r="AX231" i="105"/>
  <c r="AY231" i="105"/>
  <c r="AZ231" i="105"/>
  <c r="BA231" i="105"/>
  <c r="BB231" i="105"/>
  <c r="BD231" i="105"/>
  <c r="AS231" i="105"/>
  <c r="N54" i="90" l="1"/>
  <c r="F64" i="8"/>
  <c r="N25" i="92"/>
  <c r="N25" i="91"/>
  <c r="N19" i="85"/>
  <c r="N19" i="82"/>
  <c r="F112" i="136" l="1"/>
  <c r="D112" i="136"/>
  <c r="C112" i="136"/>
  <c r="F111" i="136"/>
  <c r="F110" i="136"/>
  <c r="F109" i="136"/>
  <c r="D109" i="136"/>
  <c r="D113" i="136" s="1"/>
  <c r="C109" i="136"/>
  <c r="C113" i="136" s="1"/>
  <c r="F108" i="136"/>
  <c r="F107" i="136"/>
  <c r="F106" i="136"/>
  <c r="F74" i="136"/>
  <c r="D74" i="136"/>
  <c r="C74" i="136"/>
  <c r="F73" i="136"/>
  <c r="F72" i="136"/>
  <c r="F71" i="136"/>
  <c r="D71" i="136"/>
  <c r="D75" i="136" s="1"/>
  <c r="C71" i="136"/>
  <c r="C75" i="136" s="1"/>
  <c r="F70" i="136"/>
  <c r="F69" i="136"/>
  <c r="F68" i="136"/>
  <c r="F31" i="136"/>
  <c r="F32" i="136"/>
  <c r="F34" i="136"/>
  <c r="F35" i="136"/>
  <c r="F30" i="136"/>
  <c r="E36" i="136"/>
  <c r="E33" i="136"/>
  <c r="D36" i="136"/>
  <c r="D33" i="136"/>
  <c r="C36" i="136"/>
  <c r="C33" i="136"/>
  <c r="F113" i="136" l="1"/>
  <c r="F75" i="136"/>
  <c r="D37" i="136"/>
  <c r="F36" i="136"/>
  <c r="F33" i="136"/>
  <c r="C37" i="136"/>
  <c r="E37" i="136"/>
  <c r="F37" i="136" l="1"/>
  <c r="F111" i="135"/>
  <c r="G111" i="135"/>
  <c r="E111" i="135" l="1"/>
  <c r="H111" i="135"/>
  <c r="C24" i="93" l="1"/>
  <c r="F31" i="93"/>
  <c r="G31" i="93"/>
  <c r="H31" i="93"/>
  <c r="I31" i="93"/>
  <c r="J31" i="93"/>
  <c r="K31" i="93"/>
  <c r="L31" i="93"/>
  <c r="M31" i="93"/>
  <c r="AJ202" i="135" s="1"/>
  <c r="AX202" i="135" s="1"/>
  <c r="N31" i="93"/>
  <c r="AK202" i="135" s="1"/>
  <c r="AK203" i="135" s="1"/>
  <c r="AK208" i="135" s="1"/>
  <c r="O31" i="93"/>
  <c r="AL202" i="135" l="1"/>
  <c r="AL203" i="135" s="1"/>
  <c r="AL208" i="135" s="1"/>
  <c r="AL209" i="135" s="1"/>
  <c r="AI202" i="135"/>
  <c r="J16" i="85"/>
  <c r="AM202" i="135" l="1"/>
  <c r="AW202" i="135"/>
  <c r="O10" i="132"/>
  <c r="P10" i="132"/>
  <c r="Q10" i="132"/>
  <c r="R10" i="132"/>
  <c r="S10" i="132"/>
  <c r="T10" i="132"/>
  <c r="U10" i="132"/>
  <c r="V10" i="132"/>
  <c r="W10" i="132"/>
  <c r="X10" i="132"/>
  <c r="Y10" i="132"/>
  <c r="N10" i="132"/>
  <c r="O217" i="8" l="1"/>
  <c r="O216" i="8"/>
  <c r="O215" i="8"/>
  <c r="O214" i="8"/>
  <c r="O213" i="8"/>
  <c r="F16" i="90" l="1"/>
  <c r="G16" i="90"/>
  <c r="L21" i="92"/>
  <c r="M21" i="92" s="1"/>
  <c r="K21" i="92"/>
  <c r="H21" i="92"/>
  <c r="I21" i="92"/>
  <c r="J21" i="92"/>
  <c r="G21" i="92"/>
  <c r="F21" i="92"/>
  <c r="E21" i="92"/>
  <c r="D21" i="92"/>
  <c r="F22" i="92"/>
  <c r="G22" i="92"/>
  <c r="H22" i="92"/>
  <c r="I22" i="92"/>
  <c r="J22" i="92"/>
  <c r="L22" i="92"/>
  <c r="E22" i="91"/>
  <c r="F22" i="91"/>
  <c r="G22" i="91"/>
  <c r="H22" i="91"/>
  <c r="I22" i="91"/>
  <c r="K23" i="92"/>
  <c r="J23" i="92"/>
  <c r="I23" i="92"/>
  <c r="AM30" i="92"/>
  <c r="AK98" i="105" s="1"/>
  <c r="H21" i="91" l="1"/>
  <c r="I21" i="91"/>
  <c r="J21" i="91"/>
  <c r="K21" i="91"/>
  <c r="G21" i="91"/>
  <c r="K23" i="91"/>
  <c r="J23" i="91"/>
  <c r="I23" i="91"/>
  <c r="L20" i="91" l="1"/>
  <c r="K17" i="90"/>
  <c r="J17" i="90"/>
  <c r="I17" i="90"/>
  <c r="M16" i="82"/>
  <c r="K16" i="82"/>
  <c r="J16" i="82"/>
  <c r="I16" i="82"/>
  <c r="D57" i="8" l="1"/>
  <c r="D56" i="8"/>
  <c r="D55" i="8"/>
  <c r="D52" i="8"/>
  <c r="D51" i="8"/>
  <c r="D50" i="8"/>
  <c r="AA117" i="102" l="1"/>
  <c r="AA116" i="102"/>
  <c r="AA114" i="102"/>
  <c r="AA106" i="102"/>
  <c r="AA135" i="102"/>
  <c r="AA137" i="102"/>
  <c r="AA136" i="102"/>
  <c r="AA129" i="102"/>
  <c r="AA126" i="102"/>
  <c r="AA128" i="102"/>
  <c r="AA127" i="102"/>
  <c r="AA125" i="102"/>
  <c r="BQ102" i="135" l="1"/>
  <c r="BQ101" i="135"/>
  <c r="BQ103" i="135" s="1"/>
  <c r="X202" i="135"/>
  <c r="Y202" i="135" s="1"/>
  <c r="X183" i="135"/>
  <c r="Z183" i="135" l="1"/>
  <c r="Y183" i="135"/>
  <c r="BQ106" i="135"/>
  <c r="BQ104" i="135"/>
  <c r="Z202" i="135"/>
  <c r="BQ105" i="135"/>
  <c r="X146" i="135"/>
  <c r="X128" i="135"/>
  <c r="L15" i="90"/>
  <c r="K15" i="90"/>
  <c r="L15" i="85"/>
  <c r="J15" i="85"/>
  <c r="K15" i="85"/>
  <c r="L14" i="82"/>
  <c r="J14" i="82"/>
  <c r="K14" i="82"/>
  <c r="Z128" i="135" l="1"/>
  <c r="Y128" i="135"/>
  <c r="Z146" i="135"/>
  <c r="Y146" i="135"/>
  <c r="M21" i="91"/>
  <c r="AN146" i="135" l="1"/>
  <c r="D72" i="105"/>
  <c r="E72" i="105"/>
  <c r="D71" i="105"/>
  <c r="E71" i="105"/>
  <c r="D70" i="105"/>
  <c r="D93" i="105"/>
  <c r="E93" i="105"/>
  <c r="F98" i="135"/>
  <c r="F201" i="135" s="1"/>
  <c r="G98" i="135"/>
  <c r="G201" i="135" s="1"/>
  <c r="H98" i="135"/>
  <c r="I98" i="135"/>
  <c r="I201" i="135" s="1"/>
  <c r="E98" i="135"/>
  <c r="E201" i="135" s="1"/>
  <c r="F97" i="135"/>
  <c r="F182" i="135" s="1"/>
  <c r="G97" i="135"/>
  <c r="G182" i="135" s="1"/>
  <c r="H97" i="135"/>
  <c r="I97" i="135"/>
  <c r="I182" i="135" s="1"/>
  <c r="E97" i="135"/>
  <c r="E182" i="135" s="1"/>
  <c r="F96" i="135"/>
  <c r="F164" i="135" s="1"/>
  <c r="G96" i="135"/>
  <c r="G164" i="135" s="1"/>
  <c r="H96" i="135"/>
  <c r="I96" i="135"/>
  <c r="I164" i="135" s="1"/>
  <c r="E96" i="135"/>
  <c r="E164" i="135" s="1"/>
  <c r="F95" i="135"/>
  <c r="F145" i="135" s="1"/>
  <c r="G95" i="135"/>
  <c r="G145" i="135" s="1"/>
  <c r="H95" i="135"/>
  <c r="I95" i="135"/>
  <c r="I145" i="135" s="1"/>
  <c r="E95" i="135"/>
  <c r="E145" i="135" s="1"/>
  <c r="F94" i="135"/>
  <c r="F127" i="135" s="1"/>
  <c r="G94" i="135"/>
  <c r="G127" i="135" s="1"/>
  <c r="H94" i="135"/>
  <c r="I94" i="135"/>
  <c r="E94" i="135"/>
  <c r="E127" i="135" s="1"/>
  <c r="F70" i="135"/>
  <c r="G70" i="135"/>
  <c r="F71" i="135"/>
  <c r="F142" i="135" s="1"/>
  <c r="G71" i="135"/>
  <c r="G142" i="135" s="1"/>
  <c r="F72" i="135"/>
  <c r="F159" i="135" s="1"/>
  <c r="G72" i="135"/>
  <c r="G159" i="135" s="1"/>
  <c r="F73" i="135"/>
  <c r="F178" i="135" s="1"/>
  <c r="G73" i="135"/>
  <c r="G178" i="135" s="1"/>
  <c r="F74" i="135"/>
  <c r="F197" i="135" s="1"/>
  <c r="G74" i="135"/>
  <c r="G197" i="135" s="1"/>
  <c r="I74" i="135"/>
  <c r="I197" i="135" s="1"/>
  <c r="E74" i="135"/>
  <c r="E197" i="135" s="1"/>
  <c r="E73" i="135"/>
  <c r="E178" i="135" s="1"/>
  <c r="E72" i="135"/>
  <c r="E159" i="135" s="1"/>
  <c r="E71" i="135"/>
  <c r="E142" i="135" s="1"/>
  <c r="E70" i="135"/>
  <c r="F42" i="135"/>
  <c r="F191" i="135" s="1"/>
  <c r="G42" i="135"/>
  <c r="G191" i="135" s="1"/>
  <c r="H42" i="135"/>
  <c r="H191" i="135" s="1"/>
  <c r="I42" i="135"/>
  <c r="I191" i="135" s="1"/>
  <c r="E42" i="135"/>
  <c r="E191" i="135" s="1"/>
  <c r="F41" i="135"/>
  <c r="F172" i="135" s="1"/>
  <c r="G41" i="135"/>
  <c r="G172" i="135" s="1"/>
  <c r="H41" i="135"/>
  <c r="I41" i="135"/>
  <c r="I172" i="135" s="1"/>
  <c r="E41" i="135"/>
  <c r="E172" i="135" s="1"/>
  <c r="F39" i="135"/>
  <c r="F136" i="135" s="1"/>
  <c r="G39" i="135"/>
  <c r="G136" i="135" s="1"/>
  <c r="H39" i="135"/>
  <c r="I39" i="135"/>
  <c r="I136" i="135" s="1"/>
  <c r="E39" i="135"/>
  <c r="E136" i="135" s="1"/>
  <c r="F38" i="135"/>
  <c r="F117" i="135" s="1"/>
  <c r="G38" i="135"/>
  <c r="G117" i="135" s="1"/>
  <c r="H38" i="135"/>
  <c r="I38" i="135"/>
  <c r="I117" i="135" s="1"/>
  <c r="E38" i="135"/>
  <c r="AI39" i="135" l="1"/>
  <c r="AH39" i="135"/>
  <c r="AG39" i="135"/>
  <c r="AG136" i="135" s="1"/>
  <c r="AF39" i="135"/>
  <c r="AF136" i="135" s="1"/>
  <c r="AE39" i="135"/>
  <c r="AE136" i="135" s="1"/>
  <c r="AB39" i="135"/>
  <c r="AC39" i="135"/>
  <c r="AD39" i="135"/>
  <c r="AD136" i="135" s="1"/>
  <c r="AA39" i="135"/>
  <c r="Y39" i="135"/>
  <c r="AI42" i="135"/>
  <c r="AI191" i="135" s="1"/>
  <c r="AH42" i="135"/>
  <c r="AH191" i="135" s="1"/>
  <c r="AG42" i="135"/>
  <c r="AG191" i="135" s="1"/>
  <c r="AF42" i="135"/>
  <c r="AF191" i="135" s="1"/>
  <c r="AE42" i="135"/>
  <c r="AE191" i="135" s="1"/>
  <c r="AD42" i="135"/>
  <c r="AD191" i="135" s="1"/>
  <c r="AC42" i="135"/>
  <c r="AC191" i="135" s="1"/>
  <c r="AB42" i="135"/>
  <c r="AB191" i="135" s="1"/>
  <c r="AI38" i="135"/>
  <c r="AH38" i="135"/>
  <c r="AI41" i="135"/>
  <c r="AH41" i="135"/>
  <c r="AG41" i="135"/>
  <c r="AG172" i="135" s="1"/>
  <c r="AF41" i="135"/>
  <c r="AF172" i="135" s="1"/>
  <c r="AE41" i="135"/>
  <c r="AE172" i="135" s="1"/>
  <c r="AD41" i="135"/>
  <c r="AD172" i="135" s="1"/>
  <c r="AC41" i="135"/>
  <c r="AC172" i="135" s="1"/>
  <c r="AB41" i="135"/>
  <c r="AB172" i="135" s="1"/>
  <c r="AG38" i="135"/>
  <c r="Y38" i="135"/>
  <c r="AF38" i="135"/>
  <c r="AE38" i="135"/>
  <c r="AC38" i="135"/>
  <c r="AC117" i="135" s="1"/>
  <c r="AD38" i="135"/>
  <c r="AA38" i="135"/>
  <c r="AB38" i="135"/>
  <c r="AB117" i="135" s="1"/>
  <c r="AA42" i="135"/>
  <c r="AA191" i="135" s="1"/>
  <c r="AA41" i="135"/>
  <c r="H164" i="135"/>
  <c r="X96" i="135"/>
  <c r="H201" i="135"/>
  <c r="X98" i="135"/>
  <c r="H145" i="135"/>
  <c r="X95" i="135"/>
  <c r="H182" i="135"/>
  <c r="X97" i="135"/>
  <c r="H127" i="135"/>
  <c r="X94" i="135"/>
  <c r="X38" i="135"/>
  <c r="X42" i="135"/>
  <c r="X191" i="135" s="1"/>
  <c r="H172" i="135"/>
  <c r="X41" i="135"/>
  <c r="H136" i="135"/>
  <c r="X39" i="135"/>
  <c r="Z39" i="135" s="1"/>
  <c r="AN39" i="135" s="1"/>
  <c r="I127" i="135"/>
  <c r="G99" i="135"/>
  <c r="F99" i="135"/>
  <c r="E99" i="135"/>
  <c r="H99" i="135"/>
  <c r="E75" i="135"/>
  <c r="E123" i="135"/>
  <c r="F75" i="135"/>
  <c r="F123" i="135"/>
  <c r="G75" i="135"/>
  <c r="G123" i="135"/>
  <c r="G43" i="135"/>
  <c r="E43" i="135"/>
  <c r="H43" i="135"/>
  <c r="F43" i="135"/>
  <c r="H117" i="135"/>
  <c r="E117" i="135"/>
  <c r="I43" i="135"/>
  <c r="AM191" i="135" l="1"/>
  <c r="AM41" i="135"/>
  <c r="AM42" i="135"/>
  <c r="AM38" i="135"/>
  <c r="AM39" i="135"/>
  <c r="AH172" i="135"/>
  <c r="AV41" i="135"/>
  <c r="AV172" i="135" s="1"/>
  <c r="AW41" i="135"/>
  <c r="AW172" i="135" s="1"/>
  <c r="AI172" i="135"/>
  <c r="AH43" i="135"/>
  <c r="AH117" i="135"/>
  <c r="AV38" i="135"/>
  <c r="AV117" i="135" s="1"/>
  <c r="AV42" i="135"/>
  <c r="AV191" i="135" s="1"/>
  <c r="AI43" i="135"/>
  <c r="AW38" i="135"/>
  <c r="AW117" i="135" s="1"/>
  <c r="AI117" i="135"/>
  <c r="AW42" i="135"/>
  <c r="AW191" i="135" s="1"/>
  <c r="AH136" i="135"/>
  <c r="AV39" i="135"/>
  <c r="AV136" i="135" s="1"/>
  <c r="AW39" i="135"/>
  <c r="AW136" i="135" s="1"/>
  <c r="AI136" i="135"/>
  <c r="Z95" i="135"/>
  <c r="AN95" i="135" s="1"/>
  <c r="Y95" i="135"/>
  <c r="Y98" i="135"/>
  <c r="Y201" i="135" s="1"/>
  <c r="Y96" i="135"/>
  <c r="Y164" i="135" s="1"/>
  <c r="Y97" i="135"/>
  <c r="Y182" i="135" s="1"/>
  <c r="AE117" i="135"/>
  <c r="AE43" i="135"/>
  <c r="AD117" i="135"/>
  <c r="AD43" i="135"/>
  <c r="AF43" i="135"/>
  <c r="AF117" i="135"/>
  <c r="Y94" i="135"/>
  <c r="Y127" i="135" s="1"/>
  <c r="AG117" i="135"/>
  <c r="AG43" i="135"/>
  <c r="AB136" i="135"/>
  <c r="AB43" i="135"/>
  <c r="AC136" i="135"/>
  <c r="AC43" i="135"/>
  <c r="AA117" i="135"/>
  <c r="AM117" i="135" s="1"/>
  <c r="AN136" i="135"/>
  <c r="Y136" i="135"/>
  <c r="AA136" i="135"/>
  <c r="AA172" i="135"/>
  <c r="AM172" i="135" s="1"/>
  <c r="Y117" i="135"/>
  <c r="AA43" i="135"/>
  <c r="X99" i="135"/>
  <c r="I99" i="135" s="1"/>
  <c r="X182" i="135"/>
  <c r="X201" i="135"/>
  <c r="X172" i="135"/>
  <c r="X164" i="135"/>
  <c r="X145" i="135"/>
  <c r="X127" i="135"/>
  <c r="Z136" i="135"/>
  <c r="X136" i="135"/>
  <c r="X117" i="135"/>
  <c r="X43" i="135"/>
  <c r="AM136" i="135" l="1"/>
  <c r="Z145" i="135"/>
  <c r="AM43" i="135"/>
  <c r="AV43" i="135"/>
  <c r="AW43" i="135"/>
  <c r="L93" i="102" l="1"/>
  <c r="L94" i="102"/>
  <c r="L95" i="102"/>
  <c r="L96" i="102"/>
  <c r="L92" i="102"/>
  <c r="L57" i="102"/>
  <c r="M57" i="102" s="1"/>
  <c r="L58" i="102"/>
  <c r="M58" i="102" s="1"/>
  <c r="L59" i="102"/>
  <c r="L60" i="102"/>
  <c r="L56" i="102"/>
  <c r="M56" i="102" s="1"/>
  <c r="N56" i="102"/>
  <c r="AB93" i="102"/>
  <c r="AC93" i="102"/>
  <c r="AD93" i="102"/>
  <c r="AE93" i="102"/>
  <c r="AF93" i="102"/>
  <c r="AG93" i="102"/>
  <c r="AH93" i="102"/>
  <c r="AI93" i="102"/>
  <c r="AJ93" i="102"/>
  <c r="AK93" i="102"/>
  <c r="AL93" i="102"/>
  <c r="AM93" i="102"/>
  <c r="AB94" i="102"/>
  <c r="AC94" i="102"/>
  <c r="AD94" i="102"/>
  <c r="AE94" i="102"/>
  <c r="AF94" i="102"/>
  <c r="AG94" i="102"/>
  <c r="AH94" i="102"/>
  <c r="AI94" i="102"/>
  <c r="AJ94" i="102"/>
  <c r="AK94" i="102"/>
  <c r="AL94" i="102"/>
  <c r="AM94" i="102"/>
  <c r="AB95" i="102"/>
  <c r="AC95" i="102"/>
  <c r="AD95" i="102"/>
  <c r="AE95" i="102"/>
  <c r="AF95" i="102"/>
  <c r="AG95" i="102"/>
  <c r="AH95" i="102"/>
  <c r="AI95" i="102"/>
  <c r="AJ95" i="102"/>
  <c r="AK95" i="102"/>
  <c r="AL95" i="102"/>
  <c r="AM95" i="102"/>
  <c r="AB96" i="102"/>
  <c r="AC96" i="102"/>
  <c r="AD96" i="102"/>
  <c r="AE96" i="102"/>
  <c r="AF96" i="102"/>
  <c r="AG96" i="102"/>
  <c r="AH96" i="102"/>
  <c r="AI96" i="102"/>
  <c r="AJ96" i="102"/>
  <c r="AK96" i="102"/>
  <c r="AL96" i="102"/>
  <c r="AM96" i="102"/>
  <c r="AC92" i="102"/>
  <c r="AD92" i="102"/>
  <c r="AE92" i="102"/>
  <c r="AF92" i="102"/>
  <c r="AG92" i="102"/>
  <c r="AH92" i="102"/>
  <c r="AI92" i="102"/>
  <c r="AJ92" i="102"/>
  <c r="AK92" i="102"/>
  <c r="AL92" i="102"/>
  <c r="AM92" i="102"/>
  <c r="AB92" i="102"/>
  <c r="O92" i="102"/>
  <c r="P92" i="102"/>
  <c r="Q92" i="102"/>
  <c r="R92" i="102"/>
  <c r="S92" i="102"/>
  <c r="T92" i="102"/>
  <c r="U92" i="102"/>
  <c r="V92" i="102"/>
  <c r="W92" i="102"/>
  <c r="X92" i="102"/>
  <c r="Y92" i="102"/>
  <c r="O93" i="102"/>
  <c r="P93" i="102"/>
  <c r="Q93" i="102"/>
  <c r="R93" i="102"/>
  <c r="S93" i="102"/>
  <c r="T93" i="102"/>
  <c r="U93" i="102"/>
  <c r="V93" i="102"/>
  <c r="W93" i="102"/>
  <c r="X93" i="102"/>
  <c r="Y93" i="102"/>
  <c r="O94" i="102"/>
  <c r="P94" i="102"/>
  <c r="Q94" i="102"/>
  <c r="R94" i="102"/>
  <c r="S94" i="102"/>
  <c r="T94" i="102"/>
  <c r="U94" i="102"/>
  <c r="V94" i="102"/>
  <c r="W94" i="102"/>
  <c r="X94" i="102"/>
  <c r="Y94" i="102"/>
  <c r="O95" i="102"/>
  <c r="P95" i="102"/>
  <c r="Q95" i="102"/>
  <c r="R95" i="102"/>
  <c r="S95" i="102"/>
  <c r="U95" i="102"/>
  <c r="V95" i="102"/>
  <c r="W95" i="102"/>
  <c r="X95" i="102"/>
  <c r="Y95" i="102"/>
  <c r="O96" i="102"/>
  <c r="P96" i="102"/>
  <c r="Q96" i="102"/>
  <c r="R96" i="102"/>
  <c r="S96" i="102"/>
  <c r="U96" i="102"/>
  <c r="V96" i="102"/>
  <c r="W96" i="102"/>
  <c r="X96" i="102"/>
  <c r="Y96" i="102"/>
  <c r="N93" i="102"/>
  <c r="N94" i="102"/>
  <c r="N95" i="102"/>
  <c r="N96" i="102"/>
  <c r="N92" i="102"/>
  <c r="I61" i="102"/>
  <c r="J61" i="102"/>
  <c r="K61" i="102"/>
  <c r="AM119" i="102"/>
  <c r="AL119" i="102"/>
  <c r="AK119" i="102"/>
  <c r="AJ119" i="102"/>
  <c r="AI119" i="102"/>
  <c r="AH119" i="102"/>
  <c r="AG119" i="102"/>
  <c r="AF119" i="102"/>
  <c r="AE119" i="102"/>
  <c r="AD119" i="102"/>
  <c r="AC119" i="102"/>
  <c r="AB119" i="102"/>
  <c r="AA119" i="102"/>
  <c r="Y119" i="102"/>
  <c r="X119" i="102"/>
  <c r="W119" i="102"/>
  <c r="V119" i="102"/>
  <c r="U119" i="102"/>
  <c r="T119" i="102"/>
  <c r="S119" i="102"/>
  <c r="R119" i="102"/>
  <c r="Q119" i="102"/>
  <c r="P119" i="102"/>
  <c r="O119" i="102"/>
  <c r="N119" i="102"/>
  <c r="L119" i="102"/>
  <c r="K119" i="102"/>
  <c r="J119" i="102"/>
  <c r="I119" i="102"/>
  <c r="H119" i="102"/>
  <c r="AN118" i="102"/>
  <c r="AO118" i="102" s="1"/>
  <c r="Z118" i="102"/>
  <c r="M118" i="102"/>
  <c r="AN117" i="102"/>
  <c r="AO117" i="102" s="1"/>
  <c r="Z117" i="102"/>
  <c r="M117" i="102"/>
  <c r="AN116" i="102"/>
  <c r="AO116" i="102" s="1"/>
  <c r="Z116" i="102"/>
  <c r="M116" i="102"/>
  <c r="AN115" i="102"/>
  <c r="AO115" i="102" s="1"/>
  <c r="Z115" i="102"/>
  <c r="M115" i="102"/>
  <c r="AN114" i="102"/>
  <c r="Z114" i="102"/>
  <c r="M114" i="102"/>
  <c r="G111" i="102"/>
  <c r="F111" i="102"/>
  <c r="AM108" i="102"/>
  <c r="AL108" i="102"/>
  <c r="AK108" i="102"/>
  <c r="AJ108" i="102"/>
  <c r="AI108" i="102"/>
  <c r="AH108" i="102"/>
  <c r="AG108" i="102"/>
  <c r="AF108" i="102"/>
  <c r="AE108" i="102"/>
  <c r="AD108" i="102"/>
  <c r="AC108" i="102"/>
  <c r="AB108" i="102"/>
  <c r="AA108" i="102"/>
  <c r="D171" i="8" s="1"/>
  <c r="Y108" i="102"/>
  <c r="X108" i="102"/>
  <c r="W108" i="102"/>
  <c r="V108" i="102"/>
  <c r="U108" i="102"/>
  <c r="T108" i="102"/>
  <c r="S108" i="102"/>
  <c r="R108" i="102"/>
  <c r="Q108" i="102"/>
  <c r="P108" i="102"/>
  <c r="O108" i="102"/>
  <c r="N108" i="102"/>
  <c r="L108" i="102"/>
  <c r="K108" i="102"/>
  <c r="J108" i="102"/>
  <c r="I108" i="102"/>
  <c r="H108" i="102"/>
  <c r="AN107" i="102"/>
  <c r="AO107" i="102" s="1"/>
  <c r="Z107" i="102"/>
  <c r="M107" i="102"/>
  <c r="AN106" i="102"/>
  <c r="AO106" i="102" s="1"/>
  <c r="Z106" i="102"/>
  <c r="M106" i="102"/>
  <c r="AN105" i="102"/>
  <c r="AO105" i="102" s="1"/>
  <c r="Z105" i="102"/>
  <c r="M105" i="102"/>
  <c r="AN104" i="102"/>
  <c r="AO104" i="102" s="1"/>
  <c r="Z104" i="102"/>
  <c r="M104" i="102"/>
  <c r="AN103" i="102"/>
  <c r="Z103" i="102"/>
  <c r="M103" i="102"/>
  <c r="G100" i="102"/>
  <c r="F100" i="102"/>
  <c r="M119" i="102" l="1"/>
  <c r="Z108" i="102"/>
  <c r="M108" i="102"/>
  <c r="AN108" i="102"/>
  <c r="AO108" i="102" s="1"/>
  <c r="AN119" i="102"/>
  <c r="AO119" i="102" s="1"/>
  <c r="Z119" i="102"/>
  <c r="AO114" i="102"/>
  <c r="AO103" i="102"/>
  <c r="L61" i="102"/>
  <c r="L16" i="91" l="1"/>
  <c r="Z30" i="69"/>
  <c r="L29" i="90" l="1"/>
  <c r="BC105" i="135" l="1"/>
  <c r="BC102" i="135"/>
  <c r="BB104" i="135" l="1"/>
  <c r="BB103" i="135"/>
  <c r="BB100" i="135" l="1"/>
  <c r="K68" i="102"/>
  <c r="K70" i="102"/>
  <c r="K72" i="102"/>
  <c r="K74" i="102"/>
  <c r="K76" i="102"/>
  <c r="K32" i="102"/>
  <c r="K34" i="102"/>
  <c r="K36" i="102"/>
  <c r="K38" i="102"/>
  <c r="K40" i="102"/>
  <c r="K9" i="102" l="1"/>
  <c r="K41" i="102"/>
  <c r="K13" i="102"/>
  <c r="K11" i="102"/>
  <c r="K15" i="102"/>
  <c r="K7" i="102"/>
  <c r="D10" i="8" l="1"/>
  <c r="K10" i="85"/>
  <c r="K77" i="102" l="1"/>
  <c r="M92" i="102"/>
  <c r="M93" i="102"/>
  <c r="M94" i="102"/>
  <c r="M95" i="102"/>
  <c r="M96" i="102"/>
  <c r="I97" i="102"/>
  <c r="J97" i="102"/>
  <c r="K97" i="102"/>
  <c r="L97" i="102"/>
  <c r="M125" i="102"/>
  <c r="M126" i="102"/>
  <c r="M127" i="102"/>
  <c r="M128" i="102"/>
  <c r="M129" i="102"/>
  <c r="I130" i="102"/>
  <c r="J130" i="102"/>
  <c r="K130" i="102"/>
  <c r="L130" i="102"/>
  <c r="M135" i="102"/>
  <c r="M136" i="102"/>
  <c r="M137" i="102"/>
  <c r="M138" i="102"/>
  <c r="M139" i="102"/>
  <c r="I140" i="102"/>
  <c r="J140" i="102"/>
  <c r="K140" i="102"/>
  <c r="L140" i="102"/>
  <c r="M97" i="102" l="1"/>
  <c r="M140" i="102"/>
  <c r="M130" i="102"/>
  <c r="L28" i="90"/>
  <c r="L26" i="82"/>
  <c r="H66" i="135" l="1"/>
  <c r="I66" i="135" s="1"/>
  <c r="J66" i="135" s="1"/>
  <c r="J157" i="135" s="1"/>
  <c r="H67" i="135"/>
  <c r="I67" i="135" s="1"/>
  <c r="J67" i="135" s="1"/>
  <c r="J176" i="135" s="1"/>
  <c r="H68" i="135"/>
  <c r="H195" i="135" s="1"/>
  <c r="H65" i="135"/>
  <c r="I65" i="135" s="1"/>
  <c r="J65" i="135" s="1"/>
  <c r="H64" i="135"/>
  <c r="H59" i="135"/>
  <c r="I59" i="135" s="1"/>
  <c r="J59" i="135" s="1"/>
  <c r="H60" i="135"/>
  <c r="I60" i="135" s="1"/>
  <c r="J60" i="135" s="1"/>
  <c r="J156" i="135" s="1"/>
  <c r="H61" i="135"/>
  <c r="I61" i="135" s="1"/>
  <c r="J61" i="135" s="1"/>
  <c r="J175" i="135" s="1"/>
  <c r="H62" i="135"/>
  <c r="H58" i="135"/>
  <c r="I58" i="135" s="1"/>
  <c r="J58" i="135" s="1"/>
  <c r="H53" i="135"/>
  <c r="H193" i="135" s="1"/>
  <c r="H51" i="135"/>
  <c r="H49" i="135"/>
  <c r="H47" i="135"/>
  <c r="H45" i="135"/>
  <c r="H70" i="105"/>
  <c r="I70" i="105"/>
  <c r="H71" i="105"/>
  <c r="G18" i="135" s="1"/>
  <c r="I71" i="105"/>
  <c r="H18" i="135" s="1"/>
  <c r="I72" i="105"/>
  <c r="H19" i="135" s="1"/>
  <c r="G49" i="105"/>
  <c r="G50" i="105"/>
  <c r="F49" i="105"/>
  <c r="F50" i="105"/>
  <c r="H46" i="105"/>
  <c r="H50" i="105"/>
  <c r="G14" i="135" s="1"/>
  <c r="G186" i="135" s="1"/>
  <c r="H49" i="105"/>
  <c r="G13" i="135" s="1"/>
  <c r="H47" i="105"/>
  <c r="G11" i="135" s="1"/>
  <c r="H48" i="105"/>
  <c r="G12" i="135" l="1"/>
  <c r="J16" i="142"/>
  <c r="H6" i="105"/>
  <c r="G10" i="135"/>
  <c r="BH61" i="135"/>
  <c r="H194" i="135"/>
  <c r="AH51" i="135"/>
  <c r="AH45" i="135"/>
  <c r="AH47" i="135"/>
  <c r="AH53" i="135"/>
  <c r="AH193" i="135" s="1"/>
  <c r="AH49" i="135"/>
  <c r="J63" i="135"/>
  <c r="J120" i="135"/>
  <c r="G17" i="135"/>
  <c r="H17" i="135"/>
  <c r="I75" i="105"/>
  <c r="H69" i="135"/>
  <c r="I69" i="135" s="1"/>
  <c r="I64" i="135"/>
  <c r="J64" i="135" s="1"/>
  <c r="I63" i="135"/>
  <c r="E12" i="120"/>
  <c r="F12" i="120"/>
  <c r="D12" i="120"/>
  <c r="E11" i="120"/>
  <c r="F11" i="120"/>
  <c r="D11" i="120"/>
  <c r="H58" i="105"/>
  <c r="C3" i="120"/>
  <c r="F3" i="135"/>
  <c r="G3" i="135"/>
  <c r="F4" i="135"/>
  <c r="G4" i="135"/>
  <c r="F5" i="135"/>
  <c r="G5" i="135"/>
  <c r="F6" i="135"/>
  <c r="F185" i="135" s="1"/>
  <c r="G6" i="135"/>
  <c r="G185" i="135" s="1"/>
  <c r="F2" i="135"/>
  <c r="G2" i="135"/>
  <c r="AH119" i="135" l="1"/>
  <c r="AV45" i="135"/>
  <c r="AV119" i="135" s="1"/>
  <c r="AH54" i="135"/>
  <c r="AV53" i="135"/>
  <c r="AV193" i="135" s="1"/>
  <c r="AH138" i="135"/>
  <c r="AV138" i="135" s="1"/>
  <c r="AV47" i="135"/>
  <c r="J69" i="135"/>
  <c r="J121" i="135"/>
  <c r="AH174" i="135"/>
  <c r="AV51" i="135"/>
  <c r="AV174" i="135" s="1"/>
  <c r="AH155" i="135"/>
  <c r="AV49" i="135"/>
  <c r="AV155" i="135" s="1"/>
  <c r="H22" i="135"/>
  <c r="G8" i="120"/>
  <c r="I76" i="105"/>
  <c r="H3" i="135"/>
  <c r="H6" i="135"/>
  <c r="C79" i="8"/>
  <c r="K37" i="102" s="1"/>
  <c r="H185" i="135" l="1"/>
  <c r="H23" i="135"/>
  <c r="AH6" i="135"/>
  <c r="AH185" i="135" s="1"/>
  <c r="AH3" i="135"/>
  <c r="AH130" i="135" s="1"/>
  <c r="AV55" i="135"/>
  <c r="AA13" i="92"/>
  <c r="AL13" i="92"/>
  <c r="AM8" i="92"/>
  <c r="AM13" i="92"/>
  <c r="AB13" i="91"/>
  <c r="AC13" i="91"/>
  <c r="AD13" i="91"/>
  <c r="AE13" i="91"/>
  <c r="AF13" i="91"/>
  <c r="AG13" i="91"/>
  <c r="AH13" i="91"/>
  <c r="AI13" i="91"/>
  <c r="AJ13" i="91"/>
  <c r="AK13" i="91"/>
  <c r="AL13" i="91"/>
  <c r="AA13" i="91"/>
  <c r="AL36" i="90"/>
  <c r="AA36" i="90"/>
  <c r="AM19" i="90"/>
  <c r="AV6" i="135" l="1"/>
  <c r="AV185" i="135" s="1"/>
  <c r="AV3" i="135"/>
  <c r="AV130" i="135"/>
  <c r="D193" i="8"/>
  <c r="D65" i="8"/>
  <c r="D70" i="8"/>
  <c r="D75" i="8"/>
  <c r="D68" i="8"/>
  <c r="D63" i="8"/>
  <c r="AM8" i="91"/>
  <c r="AM36" i="92" l="1"/>
  <c r="AM38" i="92"/>
  <c r="AN31" i="92"/>
  <c r="L42" i="92" l="1"/>
  <c r="L36" i="85"/>
  <c r="M36" i="85" s="1"/>
  <c r="L23" i="92" l="1"/>
  <c r="R85" i="105" l="1"/>
  <c r="Q79" i="135" s="1"/>
  <c r="Q198" i="135" s="1"/>
  <c r="S85" i="105"/>
  <c r="R79" i="135" s="1"/>
  <c r="R198" i="135" s="1"/>
  <c r="T85" i="105"/>
  <c r="S79" i="135" s="1"/>
  <c r="S198" i="135" s="1"/>
  <c r="U85" i="105"/>
  <c r="T79" i="135" s="1"/>
  <c r="T198" i="135" s="1"/>
  <c r="V85" i="105"/>
  <c r="U79" i="135" s="1"/>
  <c r="U198" i="135" s="1"/>
  <c r="U91" i="105"/>
  <c r="T85" i="135" s="1"/>
  <c r="T199" i="135" s="1"/>
  <c r="R91" i="105"/>
  <c r="Q85" i="135" s="1"/>
  <c r="Q199" i="135" s="1"/>
  <c r="H52" i="135" l="1"/>
  <c r="H192" i="135" s="1"/>
  <c r="H50" i="135"/>
  <c r="H48" i="135"/>
  <c r="H46" i="135"/>
  <c r="H44" i="135"/>
  <c r="H118" i="135" l="1"/>
  <c r="D8" i="8" l="1"/>
  <c r="H105" i="135" l="1"/>
  <c r="I105" i="135"/>
  <c r="G105" i="135"/>
  <c r="I93" i="105"/>
  <c r="F96" i="105"/>
  <c r="F95" i="105"/>
  <c r="F94" i="105"/>
  <c r="F62" i="135"/>
  <c r="F61" i="135"/>
  <c r="E62" i="135"/>
  <c r="E61" i="135"/>
  <c r="J21" i="102" l="1"/>
  <c r="J22" i="102"/>
  <c r="J23" i="102"/>
  <c r="J24" i="102"/>
  <c r="J25" i="102"/>
  <c r="I64" i="105" l="1"/>
  <c r="H29" i="135" s="1"/>
  <c r="I66" i="105"/>
  <c r="H31" i="135" s="1"/>
  <c r="AH31" i="135" s="1"/>
  <c r="I67" i="105"/>
  <c r="H32" i="135" s="1"/>
  <c r="AH32" i="135" s="1"/>
  <c r="I68" i="105"/>
  <c r="H33" i="135" s="1"/>
  <c r="I60" i="105"/>
  <c r="H24" i="135" s="1"/>
  <c r="AH24" i="135" s="1"/>
  <c r="I61" i="105"/>
  <c r="H25" i="135" s="1"/>
  <c r="AH25" i="135" s="1"/>
  <c r="I62" i="105"/>
  <c r="H26" i="135" s="1"/>
  <c r="AH169" i="135" l="1"/>
  <c r="AV25" i="135"/>
  <c r="AV169" i="135" s="1"/>
  <c r="H189" i="135"/>
  <c r="AH33" i="135"/>
  <c r="AH151" i="135"/>
  <c r="AV24" i="135"/>
  <c r="AV151" i="135" s="1"/>
  <c r="AH27" i="135"/>
  <c r="AH170" i="135"/>
  <c r="AV32" i="135"/>
  <c r="AV170" i="135" s="1"/>
  <c r="H188" i="135"/>
  <c r="AH26" i="135"/>
  <c r="AV31" i="135"/>
  <c r="AV152" i="135" s="1"/>
  <c r="AH152" i="135"/>
  <c r="AH29" i="135"/>
  <c r="E148" i="135"/>
  <c r="E88" i="135"/>
  <c r="F98" i="105"/>
  <c r="E92" i="135" s="1"/>
  <c r="E200" i="135" s="1"/>
  <c r="F97" i="105"/>
  <c r="E91" i="135" s="1"/>
  <c r="E181" i="135" s="1"/>
  <c r="F93" i="105"/>
  <c r="E87" i="135" s="1"/>
  <c r="E126" i="135" s="1"/>
  <c r="AH189" i="135" l="1"/>
  <c r="AV33" i="135"/>
  <c r="AV189" i="135" s="1"/>
  <c r="AH28" i="135"/>
  <c r="AV27" i="135"/>
  <c r="AV28" i="135" s="1"/>
  <c r="AH188" i="135"/>
  <c r="AV26" i="135"/>
  <c r="AV188" i="135" s="1"/>
  <c r="AH115" i="135"/>
  <c r="AV29" i="135"/>
  <c r="AV115" i="135" s="1"/>
  <c r="AH34" i="135"/>
  <c r="E144" i="135"/>
  <c r="L47" i="102"/>
  <c r="M47" i="102" s="1"/>
  <c r="L48" i="102"/>
  <c r="M48" i="102" s="1"/>
  <c r="L49" i="102"/>
  <c r="L50" i="102"/>
  <c r="L46" i="102"/>
  <c r="M46" i="102" s="1"/>
  <c r="H82" i="105"/>
  <c r="G76" i="135" s="1"/>
  <c r="I82" i="105"/>
  <c r="H76" i="135" s="1"/>
  <c r="H83" i="105"/>
  <c r="G77" i="135" s="1"/>
  <c r="I83" i="105"/>
  <c r="H77" i="135" s="1"/>
  <c r="H84" i="105"/>
  <c r="G78" i="135" s="1"/>
  <c r="G179" i="135" s="1"/>
  <c r="I84" i="105"/>
  <c r="H78" i="135" s="1"/>
  <c r="H179" i="135" s="1"/>
  <c r="H85" i="105"/>
  <c r="G79" i="135" s="1"/>
  <c r="G198" i="135" s="1"/>
  <c r="I85" i="105"/>
  <c r="H79" i="135" s="1"/>
  <c r="H198" i="135" s="1"/>
  <c r="H88" i="105"/>
  <c r="G82" i="135" s="1"/>
  <c r="G143" i="135" s="1"/>
  <c r="H89" i="105"/>
  <c r="G83" i="135" s="1"/>
  <c r="H90" i="105"/>
  <c r="G84" i="135" s="1"/>
  <c r="G180" i="135" s="1"/>
  <c r="H91" i="105"/>
  <c r="G85" i="135" s="1"/>
  <c r="G199" i="135" s="1"/>
  <c r="H87" i="105"/>
  <c r="AH35" i="135" l="1"/>
  <c r="AV34" i="135"/>
  <c r="H92" i="105"/>
  <c r="G81" i="135"/>
  <c r="H124" i="135"/>
  <c r="H80" i="135"/>
  <c r="G124" i="135"/>
  <c r="G80" i="135"/>
  <c r="I86" i="105"/>
  <c r="H86" i="105"/>
  <c r="AV35" i="135" l="1"/>
  <c r="G86" i="135"/>
  <c r="G125" i="135"/>
  <c r="H93" i="105" l="1"/>
  <c r="G87" i="135" s="1"/>
  <c r="H87" i="135"/>
  <c r="J93" i="105"/>
  <c r="I87" i="135" s="1"/>
  <c r="K93" i="105"/>
  <c r="J87" i="135" s="1"/>
  <c r="J126" i="135" s="1"/>
  <c r="G93" i="105"/>
  <c r="F87" i="135" s="1"/>
  <c r="F126" i="135" l="1"/>
  <c r="I126" i="135"/>
  <c r="G126" i="135"/>
  <c r="H126" i="135"/>
  <c r="H98" i="105"/>
  <c r="G92" i="135" s="1"/>
  <c r="G200" i="135" s="1"/>
  <c r="I98" i="105"/>
  <c r="H92" i="135" s="1"/>
  <c r="H200" i="135" s="1"/>
  <c r="J98" i="105"/>
  <c r="I92" i="135" s="1"/>
  <c r="I200" i="135" s="1"/>
  <c r="G98" i="105"/>
  <c r="F92" i="135" s="1"/>
  <c r="F200" i="135" s="1"/>
  <c r="H97" i="105"/>
  <c r="G91" i="135" s="1"/>
  <c r="G181" i="135" s="1"/>
  <c r="I97" i="105"/>
  <c r="H91" i="135" s="1"/>
  <c r="H181" i="135" s="1"/>
  <c r="J97" i="105"/>
  <c r="I91" i="135" s="1"/>
  <c r="I181" i="135" s="1"/>
  <c r="G97" i="105"/>
  <c r="F91" i="135" s="1"/>
  <c r="F181" i="135" s="1"/>
  <c r="H96" i="105"/>
  <c r="G90" i="135" s="1"/>
  <c r="I96" i="105"/>
  <c r="H90" i="135" s="1"/>
  <c r="J96" i="105"/>
  <c r="I90" i="135" s="1"/>
  <c r="I163" i="135" s="1"/>
  <c r="G96" i="105"/>
  <c r="F90" i="135" s="1"/>
  <c r="H95" i="105"/>
  <c r="G89" i="135" s="1"/>
  <c r="I95" i="105"/>
  <c r="H89" i="135" s="1"/>
  <c r="J95" i="105"/>
  <c r="I89" i="135" s="1"/>
  <c r="I162" i="135" s="1"/>
  <c r="G95" i="105"/>
  <c r="F89" i="135" s="1"/>
  <c r="H94" i="105"/>
  <c r="G88" i="135" s="1"/>
  <c r="G144" i="135" s="1"/>
  <c r="I94" i="105"/>
  <c r="H88" i="135" s="1"/>
  <c r="H144" i="135" s="1"/>
  <c r="J94" i="105"/>
  <c r="I88" i="135" s="1"/>
  <c r="I144" i="135" s="1"/>
  <c r="G94" i="105"/>
  <c r="F88" i="135" s="1"/>
  <c r="F144" i="135" s="1"/>
  <c r="I69" i="105"/>
  <c r="J68" i="105"/>
  <c r="K68" i="105" s="1"/>
  <c r="J66" i="105"/>
  <c r="K66" i="105" s="1"/>
  <c r="J64" i="105"/>
  <c r="I63" i="105"/>
  <c r="M19" i="92"/>
  <c r="M16" i="92"/>
  <c r="J62" i="105"/>
  <c r="K62" i="105" s="1"/>
  <c r="L19" i="91"/>
  <c r="L18" i="91"/>
  <c r="L15" i="91"/>
  <c r="J67" i="105" s="1"/>
  <c r="K67" i="105" s="1"/>
  <c r="L14" i="91"/>
  <c r="L11" i="91"/>
  <c r="T51" i="91"/>
  <c r="M47" i="91"/>
  <c r="K64" i="105" l="1"/>
  <c r="G93" i="135"/>
  <c r="H93" i="135"/>
  <c r="F93" i="135"/>
  <c r="J69" i="105"/>
  <c r="K69" i="105"/>
  <c r="X5" i="120" s="1"/>
  <c r="M16" i="91"/>
  <c r="J61" i="105"/>
  <c r="K61" i="105" s="1"/>
  <c r="J60" i="105"/>
  <c r="K60" i="105" s="1"/>
  <c r="G22" i="120"/>
  <c r="G20" i="120"/>
  <c r="G6" i="120"/>
  <c r="J63" i="105" l="1"/>
  <c r="K63" i="105" s="1"/>
  <c r="X6" i="120" s="1"/>
  <c r="AQ23" i="105" l="1"/>
  <c r="J49" i="105"/>
  <c r="K49" i="105" s="1"/>
  <c r="J50" i="105"/>
  <c r="K50" i="105" s="1"/>
  <c r="I50" i="105" l="1"/>
  <c r="I49" i="105"/>
  <c r="I48" i="105"/>
  <c r="I47" i="105"/>
  <c r="I46" i="105"/>
  <c r="I6" i="105" s="1"/>
  <c r="F3" i="120"/>
  <c r="I7" i="105" l="1"/>
  <c r="H11" i="135"/>
  <c r="K16" i="142"/>
  <c r="G21" i="120"/>
  <c r="G19" i="120"/>
  <c r="AQ50" i="105"/>
  <c r="AQ49" i="105"/>
  <c r="BC14" i="105"/>
  <c r="BD14" i="105"/>
  <c r="BF10" i="105"/>
  <c r="BF11" i="105"/>
  <c r="BF12" i="105"/>
  <c r="BF13" i="105"/>
  <c r="BF9" i="105"/>
  <c r="I10" i="105" l="1"/>
  <c r="BF14" i="105"/>
  <c r="AA97" i="102"/>
  <c r="BD54" i="135" l="1"/>
  <c r="Y58" i="135" s="1"/>
  <c r="BD55" i="135"/>
  <c r="Y60" i="135" s="1"/>
  <c r="BD56" i="135"/>
  <c r="BD57" i="135"/>
  <c r="BD59" i="135"/>
  <c r="BD60" i="135"/>
  <c r="BD61" i="135"/>
  <c r="BD63" i="135"/>
  <c r="BD62" i="135" s="1"/>
  <c r="BD64" i="135"/>
  <c r="BD65" i="135"/>
  <c r="BD66" i="135"/>
  <c r="G69" i="135"/>
  <c r="F69" i="135"/>
  <c r="E69" i="135"/>
  <c r="G63" i="135"/>
  <c r="F63" i="135"/>
  <c r="E63" i="135"/>
  <c r="G53" i="135"/>
  <c r="G193" i="135" s="1"/>
  <c r="F53" i="135"/>
  <c r="F193" i="135" s="1"/>
  <c r="E53" i="135"/>
  <c r="E193" i="135" s="1"/>
  <c r="G52" i="135"/>
  <c r="G192" i="135" s="1"/>
  <c r="F52" i="135"/>
  <c r="F192" i="135" s="1"/>
  <c r="E52" i="135"/>
  <c r="E192" i="135" s="1"/>
  <c r="H174" i="135"/>
  <c r="G51" i="135"/>
  <c r="G174" i="135" s="1"/>
  <c r="F51" i="135"/>
  <c r="F174" i="135" s="1"/>
  <c r="E51" i="135"/>
  <c r="E174" i="135" s="1"/>
  <c r="H173" i="135"/>
  <c r="G50" i="135"/>
  <c r="G173" i="135" s="1"/>
  <c r="F50" i="135"/>
  <c r="F173" i="135" s="1"/>
  <c r="E50" i="135"/>
  <c r="E173" i="135" s="1"/>
  <c r="G49" i="135"/>
  <c r="G155" i="135" s="1"/>
  <c r="F49" i="135"/>
  <c r="F155" i="135" s="1"/>
  <c r="E49" i="135"/>
  <c r="E155" i="135" s="1"/>
  <c r="G176" i="135"/>
  <c r="F176" i="135"/>
  <c r="E176" i="135"/>
  <c r="H154" i="135"/>
  <c r="G48" i="135"/>
  <c r="G154" i="135" s="1"/>
  <c r="F48" i="135"/>
  <c r="F154" i="135" s="1"/>
  <c r="E48" i="135"/>
  <c r="E154" i="135" s="1"/>
  <c r="G175" i="135"/>
  <c r="F175" i="135"/>
  <c r="E175" i="135"/>
  <c r="H138" i="135"/>
  <c r="G47" i="135"/>
  <c r="G138" i="135" s="1"/>
  <c r="F47" i="135"/>
  <c r="F138" i="135" s="1"/>
  <c r="E47" i="135"/>
  <c r="E138" i="135" s="1"/>
  <c r="H137" i="135"/>
  <c r="G46" i="135"/>
  <c r="G137" i="135" s="1"/>
  <c r="F46" i="135"/>
  <c r="F137" i="135" s="1"/>
  <c r="E46" i="135"/>
  <c r="E137" i="135" s="1"/>
  <c r="G45" i="135"/>
  <c r="G119" i="135" s="1"/>
  <c r="F45" i="135"/>
  <c r="E45" i="135"/>
  <c r="E119" i="135" s="1"/>
  <c r="G44" i="135"/>
  <c r="G118" i="135" s="1"/>
  <c r="F44" i="135"/>
  <c r="E44" i="135"/>
  <c r="E118" i="135" s="1"/>
  <c r="G168" i="135"/>
  <c r="F168" i="135"/>
  <c r="E168" i="135"/>
  <c r="G166" i="135"/>
  <c r="F166" i="135"/>
  <c r="E166" i="135"/>
  <c r="G157" i="135"/>
  <c r="F157" i="135"/>
  <c r="E157" i="135"/>
  <c r="H170" i="135"/>
  <c r="G156" i="135"/>
  <c r="F156" i="135"/>
  <c r="E156" i="135"/>
  <c r="H152" i="135"/>
  <c r="H115" i="135"/>
  <c r="H169" i="135"/>
  <c r="G148" i="135"/>
  <c r="F148" i="135"/>
  <c r="G132" i="135"/>
  <c r="G130" i="135"/>
  <c r="F130" i="135"/>
  <c r="E130" i="135"/>
  <c r="X121" i="135"/>
  <c r="G121" i="135"/>
  <c r="F121" i="135"/>
  <c r="E121" i="135"/>
  <c r="G120" i="135"/>
  <c r="F120" i="135"/>
  <c r="E120" i="135"/>
  <c r="G8" i="135"/>
  <c r="F8" i="135"/>
  <c r="E8" i="135"/>
  <c r="G113" i="135"/>
  <c r="H130" i="135"/>
  <c r="G110" i="135"/>
  <c r="F110" i="135"/>
  <c r="E110" i="135"/>
  <c r="BF56" i="135" l="1"/>
  <c r="X61" i="135" s="1"/>
  <c r="X58" i="135"/>
  <c r="BD53" i="135"/>
  <c r="BF53" i="135" s="1"/>
  <c r="BF55" i="135"/>
  <c r="X60" i="135" s="1"/>
  <c r="BF61" i="135"/>
  <c r="BF57" i="135"/>
  <c r="Y62" i="135" s="1"/>
  <c r="Y194" i="135" s="1"/>
  <c r="BF60" i="135"/>
  <c r="X67" i="135" s="1"/>
  <c r="BD58" i="135"/>
  <c r="BF58" i="135" s="1"/>
  <c r="H132" i="135"/>
  <c r="H55" i="135"/>
  <c r="E54" i="135"/>
  <c r="H113" i="135"/>
  <c r="F55" i="135"/>
  <c r="F54" i="135"/>
  <c r="BF59" i="135"/>
  <c r="X66" i="135" s="1"/>
  <c r="F119" i="135"/>
  <c r="H119" i="135"/>
  <c r="H54" i="135"/>
  <c r="H27" i="135"/>
  <c r="H34" i="135"/>
  <c r="E55" i="135"/>
  <c r="F118" i="135"/>
  <c r="H155" i="135"/>
  <c r="G55" i="135"/>
  <c r="H151" i="135"/>
  <c r="G54" i="135"/>
  <c r="H168" i="135"/>
  <c r="H150" i="135"/>
  <c r="H35" i="135" l="1"/>
  <c r="H28" i="135"/>
  <c r="Y61" i="135"/>
  <c r="Y175" i="135" s="1"/>
  <c r="AI61" i="135"/>
  <c r="AH61" i="135"/>
  <c r="AI66" i="135"/>
  <c r="AH66" i="135"/>
  <c r="X62" i="135"/>
  <c r="Y66" i="135"/>
  <c r="Y157" i="135" s="1"/>
  <c r="AI60" i="135"/>
  <c r="AH60" i="135"/>
  <c r="AI58" i="135"/>
  <c r="AH58" i="135"/>
  <c r="AI67" i="135"/>
  <c r="AH67" i="135"/>
  <c r="Y67" i="135"/>
  <c r="Y176" i="135" s="1"/>
  <c r="X68" i="135"/>
  <c r="Y68" i="135"/>
  <c r="Y195" i="135" s="1"/>
  <c r="AG61" i="135"/>
  <c r="AF61" i="135"/>
  <c r="AE61" i="135"/>
  <c r="AD61" i="135"/>
  <c r="AG60" i="135"/>
  <c r="AF60" i="135"/>
  <c r="AE60" i="135"/>
  <c r="AD60" i="135"/>
  <c r="AC60" i="135"/>
  <c r="AC156" i="135" s="1"/>
  <c r="AG67" i="135"/>
  <c r="AF67" i="135"/>
  <c r="AE67" i="135"/>
  <c r="AD67" i="135"/>
  <c r="AG66" i="135"/>
  <c r="AF66" i="135"/>
  <c r="AE66" i="135"/>
  <c r="AD66" i="135"/>
  <c r="AG58" i="135"/>
  <c r="AF58" i="135"/>
  <c r="AE58" i="135"/>
  <c r="AD58" i="135"/>
  <c r="AC66" i="135"/>
  <c r="AC157" i="135" s="1"/>
  <c r="AA66" i="135"/>
  <c r="AB66" i="135"/>
  <c r="AC61" i="135"/>
  <c r="AC175" i="135" s="1"/>
  <c r="AB61" i="135"/>
  <c r="AA61" i="135"/>
  <c r="AC67" i="135"/>
  <c r="AC176" i="135" s="1"/>
  <c r="AB67" i="135"/>
  <c r="AA67" i="135"/>
  <c r="AB60" i="135"/>
  <c r="AB156" i="135" s="1"/>
  <c r="AA60" i="135"/>
  <c r="AC58" i="135"/>
  <c r="AC120" i="135" s="1"/>
  <c r="AA58" i="135"/>
  <c r="AB58" i="135"/>
  <c r="X120" i="135"/>
  <c r="X176" i="135"/>
  <c r="Y120" i="135"/>
  <c r="X175" i="135"/>
  <c r="Y156" i="135"/>
  <c r="BD52" i="135"/>
  <c r="BD67" i="135" s="1"/>
  <c r="X157" i="135"/>
  <c r="X156" i="135"/>
  <c r="E57" i="135"/>
  <c r="H57" i="135"/>
  <c r="H56" i="135"/>
  <c r="F56" i="135"/>
  <c r="E56" i="135"/>
  <c r="G56" i="135"/>
  <c r="G57" i="135"/>
  <c r="F57" i="135"/>
  <c r="X195" i="135" l="1"/>
  <c r="AJ68" i="135"/>
  <c r="AM60" i="135"/>
  <c r="AM67" i="135"/>
  <c r="AD62" i="135"/>
  <c r="AD194" i="135" s="1"/>
  <c r="X194" i="135"/>
  <c r="AM61" i="135"/>
  <c r="AM66" i="135"/>
  <c r="AM58" i="135"/>
  <c r="Y63" i="135"/>
  <c r="AG62" i="135"/>
  <c r="AG194" i="135" s="1"/>
  <c r="Y69" i="135"/>
  <c r="AD68" i="135"/>
  <c r="AD195" i="135" s="1"/>
  <c r="X69" i="135"/>
  <c r="AA62" i="135"/>
  <c r="AA194" i="135" s="1"/>
  <c r="AE68" i="135"/>
  <c r="AE195" i="135" s="1"/>
  <c r="AB62" i="135"/>
  <c r="AC62" i="135"/>
  <c r="AC194" i="135" s="1"/>
  <c r="AF68" i="135"/>
  <c r="AG68" i="135"/>
  <c r="AG195" i="135" s="1"/>
  <c r="AI62" i="135"/>
  <c r="AH62" i="135"/>
  <c r="AH157" i="135"/>
  <c r="AV66" i="135"/>
  <c r="AV157" i="135" s="1"/>
  <c r="AW67" i="135"/>
  <c r="AW176" i="135" s="1"/>
  <c r="AI176" i="135"/>
  <c r="AW66" i="135"/>
  <c r="AW157" i="135" s="1"/>
  <c r="AI157" i="135"/>
  <c r="AA68" i="135"/>
  <c r="AA195" i="135" s="1"/>
  <c r="AC68" i="135"/>
  <c r="AC195" i="135" s="1"/>
  <c r="AE62" i="135"/>
  <c r="AE194" i="135" s="1"/>
  <c r="AV58" i="135"/>
  <c r="AV120" i="135" s="1"/>
  <c r="AH120" i="135"/>
  <c r="AH175" i="135"/>
  <c r="AV61" i="135"/>
  <c r="AV175" i="135" s="1"/>
  <c r="AH156" i="135"/>
  <c r="AV60" i="135"/>
  <c r="AV156" i="135" s="1"/>
  <c r="AW60" i="135"/>
  <c r="AW156" i="135" s="1"/>
  <c r="AI156" i="135"/>
  <c r="AB68" i="135"/>
  <c r="AH176" i="135"/>
  <c r="AV67" i="135"/>
  <c r="AV176" i="135" s="1"/>
  <c r="AF62" i="135"/>
  <c r="AF194" i="135" s="1"/>
  <c r="AW58" i="135"/>
  <c r="AW120" i="135" s="1"/>
  <c r="AI120" i="135"/>
  <c r="AW61" i="135"/>
  <c r="AW175" i="135" s="1"/>
  <c r="AI175" i="135"/>
  <c r="AI68" i="135"/>
  <c r="AI195" i="135" s="1"/>
  <c r="AH68" i="135"/>
  <c r="AH195" i="135" s="1"/>
  <c r="AF176" i="135"/>
  <c r="AF175" i="135"/>
  <c r="AD156" i="135"/>
  <c r="AG175" i="135"/>
  <c r="AE157" i="135"/>
  <c r="AE156" i="135"/>
  <c r="AG176" i="135"/>
  <c r="AF157" i="135"/>
  <c r="AF156" i="135"/>
  <c r="AD120" i="135"/>
  <c r="AG157" i="135"/>
  <c r="AG156" i="135"/>
  <c r="AE120" i="135"/>
  <c r="AF120" i="135"/>
  <c r="AD176" i="135"/>
  <c r="AD175" i="135"/>
  <c r="AD157" i="135"/>
  <c r="AG120" i="135"/>
  <c r="AE176" i="135"/>
  <c r="AE175" i="135"/>
  <c r="AB175" i="135"/>
  <c r="AB120" i="135"/>
  <c r="AB157" i="135"/>
  <c r="AB176" i="135"/>
  <c r="AA176" i="135"/>
  <c r="AA175" i="135"/>
  <c r="AA157" i="135"/>
  <c r="AA156" i="135"/>
  <c r="AA120" i="135"/>
  <c r="AD63" i="135" l="1"/>
  <c r="AD69" i="135"/>
  <c r="AX68" i="135"/>
  <c r="AX195" i="135" s="1"/>
  <c r="AJ69" i="135"/>
  <c r="AX69" i="135" s="1"/>
  <c r="AJ195" i="135"/>
  <c r="AM120" i="135"/>
  <c r="AM156" i="135"/>
  <c r="AM175" i="135"/>
  <c r="AM157" i="135"/>
  <c r="AM176" i="135"/>
  <c r="AH63" i="135"/>
  <c r="AV63" i="135" s="1"/>
  <c r="AH194" i="135"/>
  <c r="AB63" i="135"/>
  <c r="AB194" i="135"/>
  <c r="AI63" i="135"/>
  <c r="AW63" i="135" s="1"/>
  <c r="AI194" i="135"/>
  <c r="AB69" i="135"/>
  <c r="AB195" i="135"/>
  <c r="AF69" i="135"/>
  <c r="AF195" i="135"/>
  <c r="AA69" i="135"/>
  <c r="AM68" i="135"/>
  <c r="AA63" i="135"/>
  <c r="AM62" i="135"/>
  <c r="AG63" i="135"/>
  <c r="AE69" i="135"/>
  <c r="AG69" i="135"/>
  <c r="AF63" i="135"/>
  <c r="AE63" i="135"/>
  <c r="AC63" i="135"/>
  <c r="AC69" i="135"/>
  <c r="AV62" i="135"/>
  <c r="AV194" i="135" s="1"/>
  <c r="AW62" i="135"/>
  <c r="AW194" i="135" s="1"/>
  <c r="AW68" i="135"/>
  <c r="AW195" i="135" s="1"/>
  <c r="AI69" i="135"/>
  <c r="AV68" i="135"/>
  <c r="AV195" i="135" s="1"/>
  <c r="AH69" i="135"/>
  <c r="J87" i="102"/>
  <c r="H61" i="102"/>
  <c r="M59" i="102"/>
  <c r="M60" i="102"/>
  <c r="K46" i="102"/>
  <c r="K47" i="102"/>
  <c r="K48" i="102"/>
  <c r="K49" i="102"/>
  <c r="K50" i="102"/>
  <c r="J41" i="102"/>
  <c r="AM195" i="135" l="1"/>
  <c r="AM194" i="135"/>
  <c r="AM63" i="135"/>
  <c r="AM69" i="135"/>
  <c r="AV69" i="135"/>
  <c r="AW69" i="135"/>
  <c r="M61" i="102"/>
  <c r="J51" i="102"/>
  <c r="F10" i="120" s="1"/>
  <c r="J77" i="102"/>
  <c r="F9" i="120" s="1"/>
  <c r="K16" i="102" l="1"/>
  <c r="D59" i="8"/>
  <c r="L29" i="92" l="1"/>
  <c r="L28" i="92"/>
  <c r="L27" i="92"/>
  <c r="L26" i="92"/>
  <c r="L29" i="91"/>
  <c r="L28" i="91"/>
  <c r="L27" i="91"/>
  <c r="L26" i="91"/>
  <c r="L20" i="90"/>
  <c r="M20" i="90" s="1"/>
  <c r="L23" i="85"/>
  <c r="M23" i="85" s="1"/>
  <c r="L22" i="85"/>
  <c r="M22" i="85" s="1"/>
  <c r="L21" i="85"/>
  <c r="M21" i="85" s="1"/>
  <c r="L20" i="85"/>
  <c r="M20" i="85" s="1"/>
  <c r="L23" i="82"/>
  <c r="M23" i="82" s="1"/>
  <c r="L22" i="82"/>
  <c r="M22" i="82" s="1"/>
  <c r="L21" i="82"/>
  <c r="M21" i="82" s="1"/>
  <c r="L20" i="82"/>
  <c r="M20" i="82" s="1"/>
  <c r="L23" i="90"/>
  <c r="M23" i="90" s="1"/>
  <c r="L22" i="90"/>
  <c r="M22" i="90" s="1"/>
  <c r="L21" i="90"/>
  <c r="M21" i="90" s="1"/>
  <c r="L10" i="85" l="1"/>
  <c r="M10" i="85" s="1"/>
  <c r="H44" i="105" l="1"/>
  <c r="H43" i="105"/>
  <c r="H40" i="105"/>
  <c r="I40" i="105"/>
  <c r="G15" i="120" s="1"/>
  <c r="BA10" i="105"/>
  <c r="BA13" i="105"/>
  <c r="H9" i="105" s="1"/>
  <c r="BA12" i="105"/>
  <c r="H8" i="105" s="1"/>
  <c r="BA11" i="105"/>
  <c r="H7" i="105" s="1"/>
  <c r="U72" i="8"/>
  <c r="U71" i="8"/>
  <c r="U67" i="8"/>
  <c r="U66" i="8"/>
  <c r="U62" i="8"/>
  <c r="U61" i="8"/>
  <c r="S61" i="8"/>
  <c r="R61" i="8"/>
  <c r="C76" i="8"/>
  <c r="K31" i="102" s="1"/>
  <c r="Z139" i="102"/>
  <c r="Z138" i="102"/>
  <c r="Z137" i="102"/>
  <c r="Z136" i="102"/>
  <c r="Z135" i="102"/>
  <c r="Z129" i="102"/>
  <c r="Z128" i="102"/>
  <c r="Z127" i="102"/>
  <c r="Z126" i="102"/>
  <c r="Z125" i="102"/>
  <c r="Z93" i="102"/>
  <c r="Z94" i="102"/>
  <c r="Z95" i="102"/>
  <c r="Z96" i="102"/>
  <c r="Z92" i="102"/>
  <c r="R76" i="8"/>
  <c r="AD17" i="69"/>
  <c r="AB17" i="69"/>
  <c r="Z17" i="69"/>
  <c r="Y17" i="69"/>
  <c r="X17" i="69"/>
  <c r="V17" i="69"/>
  <c r="T17" i="69"/>
  <c r="S17" i="69"/>
  <c r="R17" i="69"/>
  <c r="P17" i="69"/>
  <c r="N17" i="69"/>
  <c r="M17" i="69"/>
  <c r="L17" i="69"/>
  <c r="J17" i="69"/>
  <c r="I17" i="69"/>
  <c r="H17" i="69"/>
  <c r="F17" i="69"/>
  <c r="C17" i="69"/>
  <c r="B17" i="69"/>
  <c r="G17" i="69" s="1"/>
  <c r="J11" i="91"/>
  <c r="J11" i="90"/>
  <c r="H45" i="105" s="1"/>
  <c r="F13" i="120" s="1"/>
  <c r="Z34" i="82"/>
  <c r="U74" i="8" l="1"/>
  <c r="Z140" i="102"/>
  <c r="Z130" i="102"/>
  <c r="J16" i="90"/>
  <c r="H42" i="105" s="1"/>
  <c r="J15" i="90"/>
  <c r="H72" i="105"/>
  <c r="G19" i="135" s="1"/>
  <c r="Z97" i="102"/>
  <c r="G22" i="135" l="1"/>
  <c r="G23" i="135" s="1"/>
  <c r="G150" i="135"/>
  <c r="N110" i="61"/>
  <c r="C98" i="8"/>
  <c r="C94" i="8"/>
  <c r="C95" i="8"/>
  <c r="C96" i="8"/>
  <c r="C97" i="8"/>
  <c r="D32" i="8" l="1"/>
  <c r="F76" i="8" l="1"/>
  <c r="J81" i="130" l="1"/>
  <c r="I93" i="130" l="1"/>
  <c r="H93" i="130"/>
  <c r="G93" i="130"/>
  <c r="H92" i="130" l="1"/>
  <c r="G92" i="130"/>
  <c r="H91" i="130"/>
  <c r="G91" i="130"/>
  <c r="H90" i="130"/>
  <c r="G90" i="130"/>
  <c r="X57" i="105" l="1"/>
  <c r="K92" i="130"/>
  <c r="K93" i="130"/>
  <c r="K82" i="130"/>
  <c r="K90" i="130"/>
  <c r="K91" i="130"/>
  <c r="K81" i="130"/>
  <c r="K80" i="130"/>
  <c r="L81" i="130"/>
  <c r="V95" i="130" l="1"/>
  <c r="V94" i="130"/>
  <c r="V93" i="130"/>
  <c r="U95" i="130"/>
  <c r="U94" i="130"/>
  <c r="U93" i="130"/>
  <c r="T95" i="130"/>
  <c r="T94" i="130"/>
  <c r="T93" i="130"/>
  <c r="T92" i="130"/>
  <c r="S94" i="130"/>
  <c r="S93" i="130"/>
  <c r="S92" i="130"/>
  <c r="V90" i="130"/>
  <c r="V89" i="130"/>
  <c r="V88" i="130"/>
  <c r="V87" i="130"/>
  <c r="U90" i="130"/>
  <c r="U89" i="130"/>
  <c r="U88" i="130"/>
  <c r="T90" i="130"/>
  <c r="T89" i="130"/>
  <c r="T88" i="130"/>
  <c r="T87" i="130"/>
  <c r="S90" i="130"/>
  <c r="S89" i="130"/>
  <c r="S88" i="130"/>
  <c r="S87" i="130"/>
  <c r="BE238" i="105"/>
  <c r="BE237" i="105"/>
  <c r="BH237" i="105" s="1"/>
  <c r="BE236" i="105"/>
  <c r="BH236" i="105" s="1"/>
  <c r="BE235" i="105"/>
  <c r="BH235" i="105" s="1"/>
  <c r="BE234" i="105"/>
  <c r="BH234" i="105" s="1"/>
  <c r="BE233" i="105"/>
  <c r="BH233" i="105" s="1"/>
  <c r="BE232" i="105"/>
  <c r="BH232" i="105" s="1"/>
  <c r="BE218" i="105"/>
  <c r="BH218" i="105" s="1"/>
  <c r="BE219" i="105"/>
  <c r="BH219" i="105" s="1"/>
  <c r="BE220" i="105"/>
  <c r="BH220" i="105" s="1"/>
  <c r="BE221" i="105"/>
  <c r="BH221" i="105" s="1"/>
  <c r="BE222" i="105"/>
  <c r="BH222" i="105" s="1"/>
  <c r="BE223" i="105"/>
  <c r="BH223" i="105" s="1"/>
  <c r="BE217" i="105"/>
  <c r="BH217" i="105" s="1"/>
  <c r="I11" i="92"/>
  <c r="H11" i="92"/>
  <c r="I11" i="91"/>
  <c r="H11" i="91"/>
  <c r="I11" i="90"/>
  <c r="H11" i="90"/>
  <c r="I11" i="85"/>
  <c r="H11" i="85"/>
  <c r="H15" i="85" s="1"/>
  <c r="I11" i="82"/>
  <c r="N75" i="130"/>
  <c r="N74" i="130"/>
  <c r="N73" i="130"/>
  <c r="N72" i="130"/>
  <c r="N71" i="130"/>
  <c r="L71" i="130"/>
  <c r="M71" i="130"/>
  <c r="L72" i="130"/>
  <c r="M72" i="130"/>
  <c r="L73" i="130"/>
  <c r="M73" i="130"/>
  <c r="L74" i="130"/>
  <c r="M74" i="130"/>
  <c r="L75" i="130"/>
  <c r="M75" i="130"/>
  <c r="K75" i="130"/>
  <c r="K74" i="130"/>
  <c r="K73" i="130"/>
  <c r="K72" i="130"/>
  <c r="K71" i="130"/>
  <c r="V101" i="130"/>
  <c r="T101" i="130"/>
  <c r="U101" i="130"/>
  <c r="S101" i="130"/>
  <c r="V100" i="130"/>
  <c r="T100" i="130"/>
  <c r="U100" i="130"/>
  <c r="S100" i="130"/>
  <c r="T78" i="130"/>
  <c r="T79" i="130" s="1"/>
  <c r="U78" i="130"/>
  <c r="U79" i="130" s="1"/>
  <c r="V78" i="130"/>
  <c r="V79" i="130" s="1"/>
  <c r="S78" i="130"/>
  <c r="S79" i="130" s="1"/>
  <c r="U27" i="130"/>
  <c r="U28" i="130"/>
  <c r="U29" i="130"/>
  <c r="U30" i="130"/>
  <c r="U31" i="130"/>
  <c r="U32" i="130"/>
  <c r="U33" i="130"/>
  <c r="U34" i="130"/>
  <c r="U35" i="130"/>
  <c r="U36" i="130"/>
  <c r="U37" i="130"/>
  <c r="U38" i="130"/>
  <c r="U39" i="130"/>
  <c r="U40" i="130"/>
  <c r="U41" i="130"/>
  <c r="U42" i="130"/>
  <c r="U43" i="130"/>
  <c r="U44" i="130"/>
  <c r="U45" i="130"/>
  <c r="U46" i="130"/>
  <c r="U47" i="130"/>
  <c r="U48" i="130"/>
  <c r="U49" i="130"/>
  <c r="U50" i="130"/>
  <c r="U51" i="130"/>
  <c r="U52" i="130"/>
  <c r="U53" i="130"/>
  <c r="U54" i="130"/>
  <c r="U55" i="130"/>
  <c r="U56" i="130"/>
  <c r="T27" i="130"/>
  <c r="T28" i="130"/>
  <c r="T29" i="130"/>
  <c r="T30" i="130"/>
  <c r="T31" i="130"/>
  <c r="T32" i="130"/>
  <c r="T33" i="130"/>
  <c r="T34" i="130"/>
  <c r="T35" i="130"/>
  <c r="T36" i="130"/>
  <c r="T37" i="130"/>
  <c r="T38" i="130"/>
  <c r="T39" i="130"/>
  <c r="T40" i="130"/>
  <c r="T41" i="130"/>
  <c r="T42" i="130"/>
  <c r="T43" i="130"/>
  <c r="T44" i="130"/>
  <c r="T45" i="130"/>
  <c r="T46" i="130"/>
  <c r="T47" i="130"/>
  <c r="T48" i="130"/>
  <c r="T49" i="130"/>
  <c r="T50" i="130"/>
  <c r="T51" i="130"/>
  <c r="T52" i="130"/>
  <c r="T53" i="130"/>
  <c r="T54" i="130"/>
  <c r="T55" i="130"/>
  <c r="T56" i="130"/>
  <c r="S33" i="130"/>
  <c r="S34" i="130"/>
  <c r="S35" i="130"/>
  <c r="S36" i="130"/>
  <c r="S37" i="130"/>
  <c r="S38" i="130"/>
  <c r="S39" i="130"/>
  <c r="S40" i="130"/>
  <c r="S41" i="130"/>
  <c r="S42" i="130"/>
  <c r="S43" i="130"/>
  <c r="S44" i="130"/>
  <c r="S45" i="130"/>
  <c r="S46" i="130"/>
  <c r="S47" i="130"/>
  <c r="S48" i="130"/>
  <c r="S49" i="130"/>
  <c r="S50" i="130"/>
  <c r="S51" i="130"/>
  <c r="S52" i="130"/>
  <c r="S53" i="130"/>
  <c r="S54" i="130"/>
  <c r="S55" i="130"/>
  <c r="S56" i="130"/>
  <c r="S29" i="130"/>
  <c r="S30" i="130"/>
  <c r="S31" i="130"/>
  <c r="S32" i="130"/>
  <c r="S28" i="130"/>
  <c r="S27" i="130"/>
  <c r="V24" i="130"/>
  <c r="T24" i="130"/>
  <c r="U24" i="130"/>
  <c r="S24" i="130"/>
  <c r="I14" i="82" l="1"/>
  <c r="G45" i="105"/>
  <c r="E13" i="120" s="1"/>
  <c r="I16" i="85"/>
  <c r="I15" i="85"/>
  <c r="H16" i="90"/>
  <c r="H15" i="90"/>
  <c r="I16" i="90"/>
  <c r="I15" i="90"/>
  <c r="S96" i="130"/>
  <c r="U96" i="130"/>
  <c r="V91" i="130"/>
  <c r="N76" i="130"/>
  <c r="K76" i="130"/>
  <c r="U91" i="130"/>
  <c r="M76" i="130"/>
  <c r="L76" i="130"/>
  <c r="S91" i="130"/>
  <c r="V96" i="130"/>
  <c r="T96" i="130"/>
  <c r="U59" i="130"/>
  <c r="T91" i="130"/>
  <c r="T58" i="130"/>
  <c r="U57" i="130"/>
  <c r="T57" i="130"/>
  <c r="T62" i="130"/>
  <c r="U62" i="130"/>
  <c r="S61" i="130"/>
  <c r="T59" i="130"/>
  <c r="U61" i="130"/>
  <c r="U60" i="130"/>
  <c r="T61" i="130"/>
  <c r="T60" i="130"/>
  <c r="U58" i="130"/>
  <c r="S57" i="130"/>
  <c r="S58" i="130"/>
  <c r="S62" i="130"/>
  <c r="S60" i="130"/>
  <c r="S59" i="130"/>
  <c r="T64" i="130" l="1"/>
  <c r="T63" i="130"/>
  <c r="U64" i="130"/>
  <c r="U63" i="130"/>
  <c r="S64" i="130"/>
  <c r="S63" i="130"/>
  <c r="J46" i="105"/>
  <c r="K46" i="105" s="1"/>
  <c r="L46" i="105"/>
  <c r="L6" i="105" s="1"/>
  <c r="M46" i="105"/>
  <c r="M6" i="105" s="1"/>
  <c r="N46" i="105"/>
  <c r="N6" i="105" s="1"/>
  <c r="O46" i="105"/>
  <c r="O6" i="105" s="1"/>
  <c r="P46" i="105"/>
  <c r="P6" i="105" s="1"/>
  <c r="Q46" i="105"/>
  <c r="Q6" i="105" s="1"/>
  <c r="R46" i="105"/>
  <c r="R6" i="105" s="1"/>
  <c r="S46" i="105"/>
  <c r="T46" i="105"/>
  <c r="T6" i="105" s="1"/>
  <c r="U46" i="105"/>
  <c r="V46" i="105"/>
  <c r="W46" i="105"/>
  <c r="J47" i="105"/>
  <c r="K47" i="105" s="1"/>
  <c r="L47" i="105"/>
  <c r="L7" i="105" s="1"/>
  <c r="M47" i="105"/>
  <c r="M7" i="105" s="1"/>
  <c r="N47" i="105"/>
  <c r="N7" i="105" s="1"/>
  <c r="O47" i="105"/>
  <c r="O7" i="105" s="1"/>
  <c r="P47" i="105"/>
  <c r="P7" i="105" s="1"/>
  <c r="Q47" i="105"/>
  <c r="Q7" i="105" s="1"/>
  <c r="R47" i="105"/>
  <c r="R7" i="105" s="1"/>
  <c r="S47" i="105"/>
  <c r="T47" i="105"/>
  <c r="T7" i="105" s="1"/>
  <c r="U47" i="105"/>
  <c r="V47" i="105"/>
  <c r="W47" i="105"/>
  <c r="J48" i="105"/>
  <c r="L49" i="105"/>
  <c r="L8" i="105" s="1"/>
  <c r="M49" i="105"/>
  <c r="N49" i="105"/>
  <c r="N8" i="105" s="1"/>
  <c r="O49" i="105"/>
  <c r="O8" i="105" s="1"/>
  <c r="P49" i="105"/>
  <c r="P8" i="105" s="1"/>
  <c r="Q49" i="105"/>
  <c r="Q8" i="105" s="1"/>
  <c r="R49" i="105"/>
  <c r="S49" i="105"/>
  <c r="T49" i="105"/>
  <c r="T8" i="105" s="1"/>
  <c r="U49" i="105"/>
  <c r="V49" i="105"/>
  <c r="W49" i="105"/>
  <c r="AR49" i="105"/>
  <c r="AS49" i="105"/>
  <c r="AT49" i="105"/>
  <c r="AU49" i="105"/>
  <c r="AV49" i="105"/>
  <c r="AW49" i="105"/>
  <c r="AX49" i="105"/>
  <c r="AY49" i="105"/>
  <c r="AZ49" i="105"/>
  <c r="BA49" i="105"/>
  <c r="BB49" i="105"/>
  <c r="BC49" i="105"/>
  <c r="D50" i="105"/>
  <c r="L50" i="105"/>
  <c r="M50" i="105"/>
  <c r="M9" i="105" s="1"/>
  <c r="N50" i="105"/>
  <c r="N9" i="105" s="1"/>
  <c r="O50" i="105"/>
  <c r="O9" i="105" s="1"/>
  <c r="P50" i="105"/>
  <c r="P9" i="105" s="1"/>
  <c r="Q50" i="105"/>
  <c r="R50" i="105"/>
  <c r="S50" i="105"/>
  <c r="T50" i="105"/>
  <c r="U50" i="105"/>
  <c r="V50" i="105"/>
  <c r="W50" i="105"/>
  <c r="AR50" i="105"/>
  <c r="AS50" i="105"/>
  <c r="AT50" i="105"/>
  <c r="AU50" i="105"/>
  <c r="AV50" i="105"/>
  <c r="AW50" i="105"/>
  <c r="AX50" i="105"/>
  <c r="AY50" i="105"/>
  <c r="AZ50" i="105"/>
  <c r="BA50" i="105"/>
  <c r="BB50" i="105"/>
  <c r="BC50" i="105"/>
  <c r="D51" i="105"/>
  <c r="E51" i="105"/>
  <c r="C4" i="120" s="1"/>
  <c r="C7" i="120" s="1"/>
  <c r="AB51" i="105"/>
  <c r="AC51" i="105"/>
  <c r="AD51" i="105"/>
  <c r="AE51" i="105"/>
  <c r="AF51" i="105"/>
  <c r="AG51" i="105"/>
  <c r="AH51" i="105"/>
  <c r="AI51" i="105"/>
  <c r="AJ51" i="105"/>
  <c r="AQ51" i="105"/>
  <c r="F52" i="105"/>
  <c r="E10" i="135" s="1"/>
  <c r="G52" i="105"/>
  <c r="F10" i="135" s="1"/>
  <c r="I52" i="105"/>
  <c r="H10" i="135" s="1"/>
  <c r="J52" i="105"/>
  <c r="L52" i="105"/>
  <c r="M52" i="105"/>
  <c r="N52" i="105"/>
  <c r="O52" i="105"/>
  <c r="P52" i="105"/>
  <c r="Q52" i="105"/>
  <c r="R52" i="105"/>
  <c r="S52" i="105"/>
  <c r="T52" i="105"/>
  <c r="U52" i="105"/>
  <c r="V52" i="105"/>
  <c r="W52" i="105"/>
  <c r="E131" i="135"/>
  <c r="F131" i="135"/>
  <c r="F54" i="105"/>
  <c r="G54" i="105"/>
  <c r="I54" i="105"/>
  <c r="H12" i="135" s="1"/>
  <c r="J54" i="105"/>
  <c r="L54" i="105"/>
  <c r="M54" i="105"/>
  <c r="N54" i="105"/>
  <c r="O54" i="105"/>
  <c r="P54" i="105"/>
  <c r="Q54" i="105"/>
  <c r="R54" i="105"/>
  <c r="S54" i="105"/>
  <c r="T54" i="105"/>
  <c r="U54" i="105"/>
  <c r="V54" i="105"/>
  <c r="W54" i="105"/>
  <c r="F55" i="105"/>
  <c r="E13" i="135" s="1"/>
  <c r="G55" i="105"/>
  <c r="F13" i="135" s="1"/>
  <c r="I55" i="105"/>
  <c r="H13" i="135" s="1"/>
  <c r="J55" i="105"/>
  <c r="L55" i="105"/>
  <c r="M55" i="105"/>
  <c r="N55" i="105"/>
  <c r="O55" i="105"/>
  <c r="P55" i="105"/>
  <c r="Q55" i="105"/>
  <c r="R55" i="105"/>
  <c r="S55" i="105"/>
  <c r="T55" i="105"/>
  <c r="U55" i="105"/>
  <c r="V55" i="105"/>
  <c r="W55" i="105"/>
  <c r="F56" i="105"/>
  <c r="E14" i="135" s="1"/>
  <c r="E186" i="135" s="1"/>
  <c r="G56" i="105"/>
  <c r="F14" i="135" s="1"/>
  <c r="F186" i="135" s="1"/>
  <c r="I56" i="105"/>
  <c r="H14" i="135" s="1"/>
  <c r="J56" i="105"/>
  <c r="L56" i="105"/>
  <c r="M56" i="105"/>
  <c r="N56" i="105"/>
  <c r="O56" i="105"/>
  <c r="P56" i="105"/>
  <c r="Q56" i="105"/>
  <c r="R56" i="105"/>
  <c r="S56" i="105"/>
  <c r="T56" i="105"/>
  <c r="U56" i="105"/>
  <c r="V56" i="105"/>
  <c r="W56" i="105"/>
  <c r="L60" i="105"/>
  <c r="M60" i="105"/>
  <c r="N60" i="105"/>
  <c r="O60" i="105"/>
  <c r="P60" i="105"/>
  <c r="Q60" i="105"/>
  <c r="R60" i="105"/>
  <c r="S60" i="105"/>
  <c r="T60" i="105"/>
  <c r="U60" i="105"/>
  <c r="V60" i="105"/>
  <c r="W60" i="105"/>
  <c r="L61" i="105"/>
  <c r="M61" i="105"/>
  <c r="N61" i="105"/>
  <c r="O61" i="105"/>
  <c r="P61" i="105"/>
  <c r="Q61" i="105"/>
  <c r="R61" i="105"/>
  <c r="S61" i="105"/>
  <c r="T61" i="105"/>
  <c r="U61" i="105"/>
  <c r="V61" i="105"/>
  <c r="W61" i="105"/>
  <c r="L62" i="105"/>
  <c r="M62" i="105"/>
  <c r="N62" i="105"/>
  <c r="O62" i="105"/>
  <c r="P62" i="105"/>
  <c r="Q62" i="105"/>
  <c r="R62" i="105"/>
  <c r="S62" i="105"/>
  <c r="T62" i="105"/>
  <c r="U62" i="105"/>
  <c r="V62" i="105"/>
  <c r="W62" i="105"/>
  <c r="L64" i="105"/>
  <c r="M64" i="105"/>
  <c r="N64" i="105"/>
  <c r="O64" i="105"/>
  <c r="P64" i="105"/>
  <c r="Q64" i="105"/>
  <c r="R64" i="105"/>
  <c r="S64" i="105"/>
  <c r="T64" i="105"/>
  <c r="U64" i="105"/>
  <c r="V64" i="105"/>
  <c r="W64" i="105"/>
  <c r="L66" i="105"/>
  <c r="M66" i="105"/>
  <c r="N66" i="105"/>
  <c r="O66" i="105"/>
  <c r="P66" i="105"/>
  <c r="Q66" i="105"/>
  <c r="R66" i="105"/>
  <c r="S66" i="105"/>
  <c r="T66" i="105"/>
  <c r="U66" i="105"/>
  <c r="V66" i="105"/>
  <c r="W66" i="105"/>
  <c r="L67" i="105"/>
  <c r="M67" i="105"/>
  <c r="N67" i="105"/>
  <c r="O67" i="105"/>
  <c r="P67" i="105"/>
  <c r="Q67" i="105"/>
  <c r="R67" i="105"/>
  <c r="S67" i="105"/>
  <c r="T67" i="105"/>
  <c r="U67" i="105"/>
  <c r="V67" i="105"/>
  <c r="W67" i="105"/>
  <c r="L68" i="105"/>
  <c r="M68" i="105"/>
  <c r="N68" i="105"/>
  <c r="O68" i="105"/>
  <c r="P68" i="105"/>
  <c r="Q68" i="105"/>
  <c r="R68" i="105"/>
  <c r="S68" i="105"/>
  <c r="T68" i="105"/>
  <c r="U68" i="105"/>
  <c r="V68" i="105"/>
  <c r="W68" i="105"/>
  <c r="G70" i="105"/>
  <c r="F17" i="135" s="1"/>
  <c r="J70" i="105"/>
  <c r="F71" i="105"/>
  <c r="E18" i="135" s="1"/>
  <c r="E132" i="135" s="1"/>
  <c r="G71" i="105"/>
  <c r="F18" i="135" s="1"/>
  <c r="F132" i="135" s="1"/>
  <c r="J71" i="105"/>
  <c r="F72" i="105"/>
  <c r="E19" i="135" s="1"/>
  <c r="E150" i="135" s="1"/>
  <c r="G72" i="105"/>
  <c r="F19" i="135" s="1"/>
  <c r="F150" i="135" s="1"/>
  <c r="J72" i="105"/>
  <c r="D75" i="105"/>
  <c r="D76" i="105" s="1"/>
  <c r="BT11" i="105"/>
  <c r="BU11" i="105"/>
  <c r="BV11" i="105"/>
  <c r="AZ13" i="105"/>
  <c r="AZ14" i="105" s="1"/>
  <c r="AS14" i="105"/>
  <c r="AT14" i="105"/>
  <c r="D10" i="105" s="1"/>
  <c r="AU14" i="105"/>
  <c r="AV14" i="105"/>
  <c r="E10" i="105" s="1"/>
  <c r="AW14" i="105"/>
  <c r="AX14" i="105"/>
  <c r="F10" i="105" s="1"/>
  <c r="BB14" i="105"/>
  <c r="F12" i="135" l="1"/>
  <c r="F149" i="135" s="1"/>
  <c r="F153" i="135" s="1"/>
  <c r="E135" i="135"/>
  <c r="S6" i="105"/>
  <c r="R10" i="135"/>
  <c r="S7" i="105"/>
  <c r="R11" i="135"/>
  <c r="H186" i="135"/>
  <c r="T9" i="105"/>
  <c r="L9" i="105"/>
  <c r="M8" i="105"/>
  <c r="E149" i="135"/>
  <c r="E153" i="135" s="1"/>
  <c r="E12" i="135"/>
  <c r="R9" i="105"/>
  <c r="S8" i="105"/>
  <c r="R13" i="135"/>
  <c r="R167" i="135" s="1"/>
  <c r="R171" i="135" s="1"/>
  <c r="K48" i="105"/>
  <c r="L16" i="90"/>
  <c r="L16" i="142"/>
  <c r="S9" i="105"/>
  <c r="R14" i="135"/>
  <c r="R186" i="135" s="1"/>
  <c r="R190" i="135" s="1"/>
  <c r="F135" i="135"/>
  <c r="Q9" i="105"/>
  <c r="R8" i="105"/>
  <c r="W7" i="105"/>
  <c r="V11" i="135"/>
  <c r="V131" i="135" s="1"/>
  <c r="V135" i="135" s="1"/>
  <c r="W6" i="105"/>
  <c r="V10" i="135"/>
  <c r="AH10" i="135"/>
  <c r="F22" i="135"/>
  <c r="F113" i="135"/>
  <c r="BD49" i="105"/>
  <c r="J76" i="105"/>
  <c r="G18" i="120"/>
  <c r="E112" i="135"/>
  <c r="F58" i="105"/>
  <c r="J58" i="105"/>
  <c r="I58" i="105"/>
  <c r="F112" i="135"/>
  <c r="G58" i="105"/>
  <c r="H167" i="135"/>
  <c r="H171" i="135" s="1"/>
  <c r="H131" i="135"/>
  <c r="H135" i="135" s="1"/>
  <c r="M69" i="105"/>
  <c r="L5" i="120" s="1"/>
  <c r="U63" i="105"/>
  <c r="U6" i="120" s="1"/>
  <c r="R63" i="105"/>
  <c r="R6" i="120" s="1"/>
  <c r="G112" i="135"/>
  <c r="G116" i="135" s="1"/>
  <c r="AZ51" i="105"/>
  <c r="AR51" i="105"/>
  <c r="AU51" i="105"/>
  <c r="S48" i="105"/>
  <c r="R12" i="135" s="1"/>
  <c r="R149" i="135" s="1"/>
  <c r="G149" i="135"/>
  <c r="G153" i="135" s="1"/>
  <c r="AT51" i="105"/>
  <c r="AX51" i="105"/>
  <c r="AW51" i="105"/>
  <c r="G131" i="135"/>
  <c r="G135" i="135" s="1"/>
  <c r="G167" i="135"/>
  <c r="G171" i="135" s="1"/>
  <c r="F167" i="135"/>
  <c r="F171" i="135" s="1"/>
  <c r="V84" i="130"/>
  <c r="V82" i="130"/>
  <c r="V80" i="130"/>
  <c r="V83" i="130"/>
  <c r="V81" i="130"/>
  <c r="J75" i="105"/>
  <c r="T58" i="105"/>
  <c r="Q63" i="105"/>
  <c r="P6" i="120" s="1"/>
  <c r="N69" i="105"/>
  <c r="M5" i="120" s="1"/>
  <c r="L69" i="105"/>
  <c r="K5" i="120" s="1"/>
  <c r="H51" i="105"/>
  <c r="F4" i="120" s="1"/>
  <c r="F7" i="120" s="1"/>
  <c r="M63" i="105"/>
  <c r="L6" i="120" s="1"/>
  <c r="BC51" i="105"/>
  <c r="S69" i="105"/>
  <c r="S5" i="120" s="1"/>
  <c r="N63" i="105"/>
  <c r="M6" i="120" s="1"/>
  <c r="T63" i="105"/>
  <c r="T6" i="120" s="1"/>
  <c r="L63" i="105"/>
  <c r="K6" i="120" s="1"/>
  <c r="AV51" i="105"/>
  <c r="T69" i="105"/>
  <c r="T5" i="120" s="1"/>
  <c r="L58" i="105"/>
  <c r="P63" i="105"/>
  <c r="O6" i="120" s="1"/>
  <c r="U69" i="105"/>
  <c r="U5" i="120" s="1"/>
  <c r="J51" i="105"/>
  <c r="R58" i="105"/>
  <c r="P58" i="105"/>
  <c r="Q58" i="105"/>
  <c r="T80" i="130"/>
  <c r="R69" i="105"/>
  <c r="R5" i="120" s="1"/>
  <c r="S63" i="105"/>
  <c r="S6" i="120" s="1"/>
  <c r="AY51" i="105"/>
  <c r="R48" i="105"/>
  <c r="U80" i="130"/>
  <c r="Q69" i="105"/>
  <c r="P5" i="120" s="1"/>
  <c r="U58" i="105"/>
  <c r="Q48" i="105"/>
  <c r="U84" i="130"/>
  <c r="P69" i="105"/>
  <c r="O5" i="120" s="1"/>
  <c r="M58" i="105"/>
  <c r="P48" i="105"/>
  <c r="T84" i="130"/>
  <c r="W69" i="105"/>
  <c r="W5" i="120" s="1"/>
  <c r="O69" i="105"/>
  <c r="N5" i="120" s="1"/>
  <c r="S58" i="105"/>
  <c r="W48" i="105"/>
  <c r="V12" i="135" s="1"/>
  <c r="V149" i="135" s="1"/>
  <c r="V153" i="135" s="1"/>
  <c r="O48" i="105"/>
  <c r="U83" i="130"/>
  <c r="W63" i="105"/>
  <c r="W6" i="120" s="1"/>
  <c r="O63" i="105"/>
  <c r="N6" i="120" s="1"/>
  <c r="N48" i="105"/>
  <c r="W58" i="105"/>
  <c r="O58" i="105"/>
  <c r="U48" i="105"/>
  <c r="W16" i="90" s="1"/>
  <c r="M48" i="105"/>
  <c r="T83" i="130"/>
  <c r="U82" i="130"/>
  <c r="U81" i="130"/>
  <c r="T82" i="130"/>
  <c r="T81" i="130"/>
  <c r="N58" i="105"/>
  <c r="T48" i="105"/>
  <c r="V16" i="90" s="1"/>
  <c r="L48" i="105"/>
  <c r="V69" i="105"/>
  <c r="V63" i="105"/>
  <c r="BD50" i="105"/>
  <c r="V48" i="105"/>
  <c r="V58" i="105"/>
  <c r="BB51" i="105"/>
  <c r="S84" i="130"/>
  <c r="S83" i="130"/>
  <c r="S82" i="130"/>
  <c r="S81" i="130"/>
  <c r="G75" i="105"/>
  <c r="H75" i="105"/>
  <c r="BA51" i="105"/>
  <c r="AS51" i="105"/>
  <c r="R131" i="135" l="1"/>
  <c r="AH11" i="135"/>
  <c r="Q5" i="120"/>
  <c r="M16" i="142"/>
  <c r="AM16" i="142"/>
  <c r="Q6" i="120"/>
  <c r="R15" i="135"/>
  <c r="R112" i="135"/>
  <c r="AH12" i="135"/>
  <c r="M86" i="130"/>
  <c r="V6" i="120"/>
  <c r="Y6" i="120" s="1"/>
  <c r="AH13" i="135"/>
  <c r="AH15" i="135" s="1"/>
  <c r="M87" i="130"/>
  <c r="V5" i="120"/>
  <c r="Y5" i="120" s="1"/>
  <c r="AH14" i="135"/>
  <c r="V15" i="135"/>
  <c r="V16" i="135" s="1"/>
  <c r="V112" i="135"/>
  <c r="F116" i="135"/>
  <c r="AH112" i="135"/>
  <c r="AV10" i="135"/>
  <c r="AV112" i="135" s="1"/>
  <c r="F23" i="135"/>
  <c r="F8" i="120"/>
  <c r="E8" i="120"/>
  <c r="H8" i="120" s="1"/>
  <c r="W51" i="105"/>
  <c r="V51" i="105"/>
  <c r="G7" i="120"/>
  <c r="G4" i="120"/>
  <c r="I59" i="105"/>
  <c r="I77" i="105" s="1"/>
  <c r="H149" i="135"/>
  <c r="H153" i="135" s="1"/>
  <c r="S51" i="105"/>
  <c r="H59" i="105"/>
  <c r="H77" i="105" s="1"/>
  <c r="J59" i="105"/>
  <c r="J77" i="105" s="1"/>
  <c r="K51" i="105"/>
  <c r="H112" i="135"/>
  <c r="H116" i="135" s="1"/>
  <c r="H15" i="135"/>
  <c r="I83" i="130"/>
  <c r="K83" i="130" s="1"/>
  <c r="G15" i="135"/>
  <c r="V85" i="130"/>
  <c r="V86" i="130" s="1"/>
  <c r="BD51" i="105"/>
  <c r="N51" i="105"/>
  <c r="P51" i="105"/>
  <c r="L51" i="105"/>
  <c r="M51" i="105"/>
  <c r="Q51" i="105"/>
  <c r="H76" i="105"/>
  <c r="I84" i="130"/>
  <c r="K84" i="130" s="1"/>
  <c r="U51" i="105"/>
  <c r="T51" i="105"/>
  <c r="G76" i="105"/>
  <c r="H84" i="130"/>
  <c r="M88" i="130"/>
  <c r="O51" i="105"/>
  <c r="R51" i="105"/>
  <c r="T85" i="130"/>
  <c r="T86" i="130" s="1"/>
  <c r="U85" i="130"/>
  <c r="U86" i="130" s="1"/>
  <c r="M59" i="105" l="1"/>
  <c r="L4" i="120"/>
  <c r="L7" i="120" s="1"/>
  <c r="M10" i="105"/>
  <c r="L59" i="105"/>
  <c r="K4" i="120"/>
  <c r="L10" i="105"/>
  <c r="T59" i="105"/>
  <c r="T4" i="120"/>
  <c r="T7" i="120" s="1"/>
  <c r="T10" i="105"/>
  <c r="P59" i="105"/>
  <c r="O4" i="120"/>
  <c r="O7" i="120" s="1"/>
  <c r="P10" i="105"/>
  <c r="V59" i="105"/>
  <c r="V4" i="120"/>
  <c r="V7" i="120" s="1"/>
  <c r="W59" i="105"/>
  <c r="W4" i="120"/>
  <c r="W7" i="120" s="1"/>
  <c r="AH149" i="135"/>
  <c r="AV12" i="135"/>
  <c r="AV149" i="135" s="1"/>
  <c r="AV11" i="135"/>
  <c r="AH131" i="135"/>
  <c r="Q59" i="105"/>
  <c r="P4" i="120"/>
  <c r="P7" i="120" s="1"/>
  <c r="Q10" i="105"/>
  <c r="U59" i="105"/>
  <c r="U4" i="120"/>
  <c r="U7" i="120" s="1"/>
  <c r="R59" i="105"/>
  <c r="R4" i="120"/>
  <c r="R10" i="105"/>
  <c r="S59" i="105"/>
  <c r="S4" i="120"/>
  <c r="S7" i="120" s="1"/>
  <c r="S10" i="105"/>
  <c r="AH186" i="135"/>
  <c r="AH190" i="135" s="1"/>
  <c r="AV14" i="135"/>
  <c r="AV186" i="135" s="1"/>
  <c r="R16" i="135"/>
  <c r="AV13" i="135"/>
  <c r="AV167" i="135" s="1"/>
  <c r="AV171" i="135" s="1"/>
  <c r="AH167" i="135"/>
  <c r="AH171" i="135" s="1"/>
  <c r="N59" i="105"/>
  <c r="M4" i="120"/>
  <c r="M7" i="120" s="1"/>
  <c r="N10" i="105"/>
  <c r="O59" i="105"/>
  <c r="N4" i="120"/>
  <c r="N7" i="120" s="1"/>
  <c r="O10" i="105"/>
  <c r="G16" i="135"/>
  <c r="G37" i="135" s="1"/>
  <c r="G190" i="135"/>
  <c r="H16" i="135"/>
  <c r="H190" i="135"/>
  <c r="AV15" i="135"/>
  <c r="AV190" i="135" s="1"/>
  <c r="AH16" i="135"/>
  <c r="M83" i="130"/>
  <c r="G36" i="135"/>
  <c r="K85" i="130"/>
  <c r="K89" i="130" s="1"/>
  <c r="I85" i="130"/>
  <c r="I89" i="130" s="1"/>
  <c r="R7" i="120" l="1"/>
  <c r="Y4" i="120"/>
  <c r="K7" i="120"/>
  <c r="Q4" i="120"/>
  <c r="Q7" i="120" s="1"/>
  <c r="AV131" i="135"/>
  <c r="Y7" i="120"/>
  <c r="AV16" i="135"/>
  <c r="BG26" i="120"/>
  <c r="M22" i="93"/>
  <c r="M24" i="93" s="1"/>
  <c r="AJ183" i="135" s="1"/>
  <c r="AX183" i="135" s="1"/>
  <c r="AM183" i="135" l="1"/>
  <c r="Z13" i="85"/>
  <c r="P17" i="93" l="1"/>
  <c r="K22" i="93" l="1"/>
  <c r="K24" i="93" s="1"/>
  <c r="M248" i="8" l="1"/>
  <c r="P12" i="93" l="1"/>
  <c r="K13" i="93"/>
  <c r="L13" i="93"/>
  <c r="M13" i="93"/>
  <c r="N13" i="93"/>
  <c r="O13" i="93"/>
  <c r="J13" i="93"/>
  <c r="C13" i="93"/>
  <c r="AK128" i="135" l="1"/>
  <c r="AK129" i="135" s="1"/>
  <c r="AK207" i="135" s="1"/>
  <c r="AK209" i="135" s="1"/>
  <c r="AJ128" i="135"/>
  <c r="AX128" i="135" s="1"/>
  <c r="AI128" i="135"/>
  <c r="AM128" i="135" s="1"/>
  <c r="L8" i="90"/>
  <c r="AW128" i="135" l="1"/>
  <c r="BA14" i="105" l="1"/>
  <c r="H10" i="105" s="1"/>
  <c r="I13" i="92" l="1"/>
  <c r="AC10" i="8" l="1"/>
  <c r="AC9" i="8"/>
  <c r="AC8" i="8"/>
  <c r="AC7" i="8"/>
  <c r="AC6" i="8"/>
  <c r="G51" i="105" l="1"/>
  <c r="E4" i="120" s="1"/>
  <c r="AY13" i="105"/>
  <c r="AY14" i="105" l="1"/>
  <c r="G10" i="105" s="1"/>
  <c r="G9" i="105"/>
  <c r="E7" i="120"/>
  <c r="H7" i="120" s="1"/>
  <c r="H4" i="120"/>
  <c r="G59" i="105"/>
  <c r="G77" i="105" s="1"/>
  <c r="H83" i="130"/>
  <c r="H85" i="130" s="1"/>
  <c r="H89" i="130" s="1"/>
  <c r="F15" i="135"/>
  <c r="F190" i="135" s="1"/>
  <c r="AE28" i="69"/>
  <c r="AE29" i="69"/>
  <c r="BI19" i="120"/>
  <c r="F16" i="135" l="1"/>
  <c r="F37" i="135" s="1"/>
  <c r="F36" i="135"/>
  <c r="BI18" i="120"/>
  <c r="BH21" i="120" l="1"/>
  <c r="BI17" i="120"/>
  <c r="BJ19" i="120"/>
  <c r="BI21" i="120" l="1"/>
  <c r="BI20" i="120" s="1"/>
  <c r="BJ20" i="120" s="1"/>
  <c r="BJ17" i="120"/>
  <c r="BI16" i="120" s="1"/>
  <c r="BJ16" i="120"/>
  <c r="Z13" i="82" l="1"/>
  <c r="AT13" i="82" l="1"/>
  <c r="W29" i="135"/>
  <c r="W115" i="135" s="1"/>
  <c r="X64" i="105"/>
  <c r="P21" i="93" l="1"/>
  <c r="P6" i="95" l="1"/>
  <c r="P12" i="95"/>
  <c r="P18" i="95"/>
  <c r="F6" i="102" l="1"/>
  <c r="G6" i="102"/>
  <c r="H6" i="102"/>
  <c r="D7" i="102"/>
  <c r="E7" i="102"/>
  <c r="H7" i="102"/>
  <c r="F8" i="102"/>
  <c r="G8" i="102"/>
  <c r="H8" i="102"/>
  <c r="E9" i="102"/>
  <c r="H9" i="102"/>
  <c r="F10" i="102"/>
  <c r="G10" i="102"/>
  <c r="H10" i="102"/>
  <c r="E11" i="102"/>
  <c r="H11" i="102"/>
  <c r="F12" i="102"/>
  <c r="G12" i="102"/>
  <c r="H12" i="102"/>
  <c r="E13" i="102"/>
  <c r="H13" i="102"/>
  <c r="F14" i="102"/>
  <c r="G14" i="102"/>
  <c r="H14" i="102"/>
  <c r="E15" i="102"/>
  <c r="G15" i="102"/>
  <c r="H15" i="102"/>
  <c r="I16" i="102"/>
  <c r="J16" i="102"/>
  <c r="H16" i="102" l="1"/>
  <c r="Z14" i="90"/>
  <c r="X47" i="105" l="1"/>
  <c r="P10" i="93" l="1"/>
  <c r="Y36" i="95" l="1"/>
  <c r="P28" i="132" l="1"/>
  <c r="Z41" i="91" l="1"/>
  <c r="Z40" i="91"/>
  <c r="Z39" i="91"/>
  <c r="Z38" i="91"/>
  <c r="X97" i="105"/>
  <c r="W91" i="135" s="1"/>
  <c r="W181" i="135" s="1"/>
  <c r="W97" i="135" l="1"/>
  <c r="W182" i="135" s="1"/>
  <c r="F55" i="93" l="1"/>
  <c r="AC36" i="90" l="1"/>
  <c r="Z16" i="92" l="1"/>
  <c r="X62" i="105" s="1"/>
  <c r="Z19" i="91"/>
  <c r="Z18" i="91"/>
  <c r="Z16" i="91"/>
  <c r="X61" i="105" s="1"/>
  <c r="W31" i="135"/>
  <c r="W152" i="135" s="1"/>
  <c r="Z13" i="90"/>
  <c r="X60" i="105" s="1"/>
  <c r="X63" i="105" s="1"/>
  <c r="X66" i="105" l="1"/>
  <c r="J86" i="130"/>
  <c r="L86" i="130" s="1"/>
  <c r="AV202" i="105" l="1"/>
  <c r="F22" i="93"/>
  <c r="F24" i="93" s="1"/>
  <c r="Z15" i="92" l="1"/>
  <c r="W33" i="135" s="1"/>
  <c r="W189" i="135" s="1"/>
  <c r="Z17" i="92"/>
  <c r="Z18" i="92"/>
  <c r="Z19" i="92"/>
  <c r="X68" i="105" l="1"/>
  <c r="D20" i="95" l="1"/>
  <c r="E20" i="95"/>
  <c r="F20" i="95"/>
  <c r="Z15" i="91" l="1"/>
  <c r="W32" i="135" s="1"/>
  <c r="W34" i="135" l="1"/>
  <c r="W35" i="135" s="1"/>
  <c r="W170" i="135"/>
  <c r="X67" i="105"/>
  <c r="X69" i="105" s="1"/>
  <c r="J87" i="130" s="1"/>
  <c r="L87" i="130" s="1"/>
  <c r="L88" i="130" s="1"/>
  <c r="J88" i="130" l="1"/>
  <c r="O20" i="82" l="1"/>
  <c r="P20" i="82"/>
  <c r="Q20" i="82"/>
  <c r="R20" i="82"/>
  <c r="S20" i="82"/>
  <c r="T20" i="82"/>
  <c r="U20" i="82"/>
  <c r="V20" i="82"/>
  <c r="W20" i="82"/>
  <c r="X20" i="82"/>
  <c r="Y20" i="82"/>
  <c r="G11" i="92" l="1"/>
  <c r="G11" i="91"/>
  <c r="AO132" i="105"/>
  <c r="C11" i="120" l="1"/>
  <c r="P54" i="93" l="1"/>
  <c r="O19" i="95" l="1"/>
  <c r="BD246" i="105" l="1"/>
  <c r="BC246" i="105"/>
  <c r="BA246" i="105"/>
  <c r="AZ246" i="105"/>
  <c r="AY246" i="105"/>
  <c r="AX246" i="105"/>
  <c r="AW246" i="105"/>
  <c r="AV246" i="105"/>
  <c r="AU246" i="105"/>
  <c r="AT246" i="105"/>
  <c r="AS246" i="105"/>
  <c r="BE245" i="105"/>
  <c r="BH245" i="105" s="1"/>
  <c r="BE244" i="105"/>
  <c r="BH244" i="105" s="1"/>
  <c r="BE243" i="105"/>
  <c r="BH243" i="105" s="1"/>
  <c r="BE242" i="105"/>
  <c r="BH242" i="105" s="1"/>
  <c r="BE241" i="105"/>
  <c r="BH241" i="105" s="1"/>
  <c r="BE246" i="105" l="1"/>
  <c r="BH246" i="105" s="1"/>
  <c r="Y43" i="95" l="1"/>
  <c r="AC35" i="90"/>
  <c r="Z54" i="90"/>
  <c r="L42" i="91" l="1"/>
  <c r="L42" i="90"/>
  <c r="M42" i="90" s="1"/>
  <c r="L35" i="82"/>
  <c r="M35" i="82" s="1"/>
  <c r="K31" i="95" l="1"/>
  <c r="M29" i="90" l="1"/>
  <c r="M27" i="90"/>
  <c r="M20" i="92" l="1"/>
  <c r="F14" i="8" l="1"/>
  <c r="F2" i="8"/>
  <c r="F87" i="8" l="1"/>
  <c r="J104" i="105" l="1"/>
  <c r="K104" i="105" l="1"/>
  <c r="L7" i="132"/>
  <c r="L8" i="132"/>
  <c r="L9" i="132"/>
  <c r="L10" i="132"/>
  <c r="L11" i="132"/>
  <c r="L12" i="132"/>
  <c r="L13" i="132"/>
  <c r="L14" i="132"/>
  <c r="L15" i="132"/>
  <c r="L16" i="132"/>
  <c r="L17" i="132"/>
  <c r="L18" i="132"/>
  <c r="L19" i="132"/>
  <c r="L20" i="132"/>
  <c r="L21" i="132"/>
  <c r="L22" i="132"/>
  <c r="L23" i="132"/>
  <c r="L24" i="132"/>
  <c r="M24" i="132"/>
  <c r="L25" i="132"/>
  <c r="L26" i="132"/>
  <c r="L27" i="132"/>
  <c r="L28" i="132"/>
  <c r="L29" i="132"/>
  <c r="L30" i="132"/>
  <c r="L31" i="132"/>
  <c r="L32" i="132"/>
  <c r="L33" i="132"/>
  <c r="L6" i="132"/>
  <c r="L5" i="132"/>
  <c r="L4" i="132"/>
  <c r="I44" i="135" s="1"/>
  <c r="I118" i="135" s="1"/>
  <c r="G42" i="132"/>
  <c r="H42" i="132"/>
  <c r="I42" i="132"/>
  <c r="G43" i="132"/>
  <c r="H43" i="132"/>
  <c r="I43" i="132"/>
  <c r="J43" i="132"/>
  <c r="J42" i="132"/>
  <c r="I45" i="135" l="1"/>
  <c r="I46" i="135"/>
  <c r="I137" i="135" s="1"/>
  <c r="I52" i="135"/>
  <c r="I192" i="135" s="1"/>
  <c r="I53" i="135"/>
  <c r="I51" i="135"/>
  <c r="X51" i="135" s="1"/>
  <c r="I50" i="135"/>
  <c r="I173" i="135" s="1"/>
  <c r="I48" i="135"/>
  <c r="I154" i="135" s="1"/>
  <c r="I49" i="135"/>
  <c r="X49" i="135" s="1"/>
  <c r="I47" i="135"/>
  <c r="X47" i="135" s="1"/>
  <c r="Z47" i="135" s="1"/>
  <c r="AN47" i="135" s="1"/>
  <c r="C20" i="95"/>
  <c r="X53" i="135" l="1"/>
  <c r="X193" i="135" s="1"/>
  <c r="I193" i="135"/>
  <c r="X45" i="135"/>
  <c r="I119" i="135"/>
  <c r="I55" i="135"/>
  <c r="I54" i="135"/>
  <c r="I174" i="135"/>
  <c r="I155" i="135"/>
  <c r="I138" i="135"/>
  <c r="BD131" i="105"/>
  <c r="BD130" i="105"/>
  <c r="I56" i="135" l="1"/>
  <c r="X119" i="135"/>
  <c r="X174" i="135"/>
  <c r="X138" i="135"/>
  <c r="X155" i="135"/>
  <c r="I57" i="135"/>
  <c r="X54" i="135"/>
  <c r="AO128" i="105"/>
  <c r="AO130" i="105"/>
  <c r="AO129" i="105"/>
  <c r="AO131" i="105"/>
  <c r="AO127" i="105"/>
  <c r="X84" i="105"/>
  <c r="W78" i="135" s="1"/>
  <c r="W179" i="135" s="1"/>
  <c r="X90" i="105"/>
  <c r="W84" i="135" s="1"/>
  <c r="W180" i="135" s="1"/>
  <c r="X56" i="135" l="1"/>
  <c r="BP3" i="105"/>
  <c r="BF3" i="105"/>
  <c r="M18" i="92" l="1"/>
  <c r="M19" i="91"/>
  <c r="N20" i="92" l="1"/>
  <c r="N21" i="92" s="1"/>
  <c r="O20" i="92"/>
  <c r="O21" i="92" s="1"/>
  <c r="P20" i="92"/>
  <c r="P21" i="92" s="1"/>
  <c r="Q20" i="92"/>
  <c r="Q21" i="92" s="1"/>
  <c r="R20" i="92"/>
  <c r="R21" i="92" s="1"/>
  <c r="S20" i="92"/>
  <c r="S21" i="92" s="1"/>
  <c r="T20" i="92"/>
  <c r="T21" i="92" s="1"/>
  <c r="U20" i="92"/>
  <c r="U21" i="92" s="1"/>
  <c r="V20" i="92"/>
  <c r="V21" i="92" s="1"/>
  <c r="W20" i="92"/>
  <c r="W21" i="92" s="1"/>
  <c r="X20" i="92"/>
  <c r="X21" i="92" s="1"/>
  <c r="Y20" i="92"/>
  <c r="Y21" i="92" s="1"/>
  <c r="Z20" i="92" l="1"/>
  <c r="F53" i="84" l="1"/>
  <c r="F47" i="84"/>
  <c r="F41" i="84"/>
  <c r="E41" i="84"/>
  <c r="C41" i="84"/>
  <c r="D32" i="84"/>
  <c r="C32" i="84"/>
  <c r="B32" i="84"/>
  <c r="A32" i="84"/>
  <c r="F24" i="84"/>
  <c r="J21" i="84"/>
  <c r="I21" i="84"/>
  <c r="H21" i="84"/>
  <c r="G21" i="84"/>
  <c r="F21" i="84"/>
  <c r="E21" i="84"/>
  <c r="D21" i="84"/>
  <c r="C21" i="84"/>
  <c r="B21" i="84"/>
  <c r="A21" i="84"/>
  <c r="J10" i="84"/>
  <c r="I10" i="84"/>
  <c r="H10" i="84"/>
  <c r="G10" i="84"/>
  <c r="F10" i="84"/>
  <c r="E10" i="84"/>
  <c r="D10" i="84"/>
  <c r="B10" i="84"/>
  <c r="Y42" i="95"/>
  <c r="K42" i="95"/>
  <c r="K41" i="95"/>
  <c r="K40" i="95"/>
  <c r="K39" i="95"/>
  <c r="Y38" i="95"/>
  <c r="K38" i="95"/>
  <c r="Y37" i="95"/>
  <c r="K37" i="95"/>
  <c r="K36" i="95"/>
  <c r="Y35" i="95"/>
  <c r="K35" i="95"/>
  <c r="Y34" i="95"/>
  <c r="K34" i="95"/>
  <c r="Y33" i="95"/>
  <c r="K33" i="95"/>
  <c r="Y32" i="95"/>
  <c r="K32" i="95"/>
  <c r="Y31" i="95"/>
  <c r="Y30" i="95"/>
  <c r="K30" i="95"/>
  <c r="Y29" i="95"/>
  <c r="K29" i="95"/>
  <c r="Y20" i="95"/>
  <c r="Z20" i="95" s="1"/>
  <c r="X18" i="95"/>
  <c r="W18" i="95"/>
  <c r="V18" i="95"/>
  <c r="U18" i="95"/>
  <c r="T18" i="95"/>
  <c r="S18" i="95"/>
  <c r="R18" i="95"/>
  <c r="Q18" i="95"/>
  <c r="O18" i="95"/>
  <c r="O20" i="95" s="1"/>
  <c r="N18" i="95"/>
  <c r="M18" i="95"/>
  <c r="Y17" i="95"/>
  <c r="F17" i="95"/>
  <c r="F21" i="95" s="1"/>
  <c r="E17" i="95"/>
  <c r="D17" i="95"/>
  <c r="C17" i="95"/>
  <c r="Y13" i="95"/>
  <c r="F13" i="95"/>
  <c r="E13" i="95"/>
  <c r="D13" i="95"/>
  <c r="D21" i="95" s="1"/>
  <c r="C13" i="95"/>
  <c r="X12" i="95"/>
  <c r="W12" i="95"/>
  <c r="V12" i="95"/>
  <c r="U12" i="95"/>
  <c r="T12" i="95"/>
  <c r="S12" i="95"/>
  <c r="R12" i="95"/>
  <c r="Q12" i="95"/>
  <c r="O12" i="95"/>
  <c r="N12" i="95"/>
  <c r="M12" i="95"/>
  <c r="X6" i="95"/>
  <c r="W6" i="95"/>
  <c r="V6" i="95"/>
  <c r="U6" i="95"/>
  <c r="T6" i="95"/>
  <c r="S6" i="95"/>
  <c r="R6" i="95"/>
  <c r="Q6" i="95"/>
  <c r="O6" i="95"/>
  <c r="N6" i="95"/>
  <c r="M6" i="95"/>
  <c r="O61" i="93"/>
  <c r="N61" i="93"/>
  <c r="M61" i="93"/>
  <c r="L61" i="93"/>
  <c r="K61" i="93"/>
  <c r="J61" i="93"/>
  <c r="I61" i="93"/>
  <c r="H61" i="93"/>
  <c r="G61" i="93"/>
  <c r="F61" i="93"/>
  <c r="E61" i="93"/>
  <c r="D61" i="93"/>
  <c r="C61" i="93"/>
  <c r="P60" i="93"/>
  <c r="P59" i="93"/>
  <c r="P61" i="93" s="1"/>
  <c r="O55" i="93"/>
  <c r="N55" i="93"/>
  <c r="M55" i="93"/>
  <c r="L55" i="93"/>
  <c r="K55" i="93"/>
  <c r="J55" i="93"/>
  <c r="S19" i="95" s="1"/>
  <c r="I55" i="93"/>
  <c r="R19" i="95" s="1"/>
  <c r="H55" i="93"/>
  <c r="Q19" i="95" s="1"/>
  <c r="G55" i="93"/>
  <c r="P19" i="95" s="1"/>
  <c r="E55" i="93"/>
  <c r="N19" i="95" s="1"/>
  <c r="D55" i="93"/>
  <c r="M19" i="95" s="1"/>
  <c r="P53" i="93"/>
  <c r="P55" i="93" s="1"/>
  <c r="P48" i="93"/>
  <c r="D32" i="93"/>
  <c r="X11" i="95"/>
  <c r="W11" i="95"/>
  <c r="T11" i="95"/>
  <c r="S11" i="95"/>
  <c r="Q11" i="95"/>
  <c r="P11" i="95"/>
  <c r="O11" i="95"/>
  <c r="D31" i="93"/>
  <c r="V9" i="95"/>
  <c r="U9" i="95"/>
  <c r="J22" i="93"/>
  <c r="J24" i="93" s="1"/>
  <c r="J4" i="93" s="1"/>
  <c r="J5" i="93" s="1"/>
  <c r="I22" i="93"/>
  <c r="H22" i="93"/>
  <c r="H24" i="93" s="1"/>
  <c r="G22" i="93"/>
  <c r="O9" i="95"/>
  <c r="E22" i="93"/>
  <c r="D22" i="93"/>
  <c r="D24" i="93" s="1"/>
  <c r="X4" i="95"/>
  <c r="W4" i="95"/>
  <c r="V4" i="95"/>
  <c r="U4" i="95"/>
  <c r="T4" i="95"/>
  <c r="S4" i="95"/>
  <c r="I13" i="93"/>
  <c r="H13" i="93"/>
  <c r="Q4" i="95" s="1"/>
  <c r="G13" i="93"/>
  <c r="F13" i="93"/>
  <c r="E13" i="93"/>
  <c r="N4" i="95" s="1"/>
  <c r="D13" i="93"/>
  <c r="M4" i="95" s="1"/>
  <c r="P13" i="93"/>
  <c r="P9" i="93"/>
  <c r="AP140" i="102"/>
  <c r="AM140" i="102"/>
  <c r="X16" i="95" s="1"/>
  <c r="AL140" i="102"/>
  <c r="W16" i="95" s="1"/>
  <c r="AK140" i="102"/>
  <c r="V16" i="95" s="1"/>
  <c r="AJ140" i="102"/>
  <c r="U16" i="95" s="1"/>
  <c r="AI140" i="102"/>
  <c r="T16" i="95" s="1"/>
  <c r="AH140" i="102"/>
  <c r="S16" i="95" s="1"/>
  <c r="AG140" i="102"/>
  <c r="R16" i="95" s="1"/>
  <c r="AF140" i="102"/>
  <c r="Q16" i="95" s="1"/>
  <c r="AE140" i="102"/>
  <c r="P16" i="95" s="1"/>
  <c r="AD140" i="102"/>
  <c r="O16" i="95" s="1"/>
  <c r="AC140" i="102"/>
  <c r="N16" i="95" s="1"/>
  <c r="AB140" i="102"/>
  <c r="M16" i="95" s="1"/>
  <c r="AA140" i="102"/>
  <c r="Y140" i="102"/>
  <c r="X41" i="95" s="1"/>
  <c r="X140" i="102"/>
  <c r="W41" i="95" s="1"/>
  <c r="W140" i="102"/>
  <c r="V41" i="95" s="1"/>
  <c r="V140" i="102"/>
  <c r="U41" i="95" s="1"/>
  <c r="U140" i="102"/>
  <c r="T41" i="95" s="1"/>
  <c r="T140" i="102"/>
  <c r="S41" i="95" s="1"/>
  <c r="S140" i="102"/>
  <c r="R41" i="95" s="1"/>
  <c r="R140" i="102"/>
  <c r="Q41" i="95" s="1"/>
  <c r="Q140" i="102"/>
  <c r="P41" i="95" s="1"/>
  <c r="P140" i="102"/>
  <c r="O41" i="95" s="1"/>
  <c r="O140" i="102"/>
  <c r="N41" i="95" s="1"/>
  <c r="N140" i="102"/>
  <c r="M41" i="95" s="1"/>
  <c r="AN139" i="102"/>
  <c r="AO139" i="102" s="1"/>
  <c r="AN138" i="102"/>
  <c r="AN137" i="102"/>
  <c r="AO137" i="102" s="1"/>
  <c r="AN136" i="102"/>
  <c r="AO136" i="102" s="1"/>
  <c r="AN135" i="102"/>
  <c r="AO135" i="102" s="1"/>
  <c r="AP130" i="102"/>
  <c r="AM130" i="102"/>
  <c r="AL130" i="102"/>
  <c r="AK130" i="102"/>
  <c r="AJ130" i="102"/>
  <c r="AI130" i="102"/>
  <c r="AH130" i="102"/>
  <c r="AG130" i="102"/>
  <c r="AF130" i="102"/>
  <c r="AE130" i="102"/>
  <c r="AD130" i="102"/>
  <c r="AC130" i="102"/>
  <c r="AB130" i="102"/>
  <c r="AA130" i="102"/>
  <c r="Y130" i="102"/>
  <c r="X39" i="95" s="1"/>
  <c r="X130" i="102"/>
  <c r="W39" i="95" s="1"/>
  <c r="W130" i="102"/>
  <c r="V39" i="95" s="1"/>
  <c r="V130" i="102"/>
  <c r="U39" i="95" s="1"/>
  <c r="U130" i="102"/>
  <c r="T39" i="95" s="1"/>
  <c r="T130" i="102"/>
  <c r="S39" i="95" s="1"/>
  <c r="S130" i="102"/>
  <c r="R39" i="95" s="1"/>
  <c r="R130" i="102"/>
  <c r="Q39" i="95" s="1"/>
  <c r="Q130" i="102"/>
  <c r="P39" i="95" s="1"/>
  <c r="P130" i="102"/>
  <c r="O39" i="95" s="1"/>
  <c r="O130" i="102"/>
  <c r="N39" i="95" s="1"/>
  <c r="N130" i="102"/>
  <c r="M39" i="95" s="1"/>
  <c r="AN129" i="102"/>
  <c r="AO129" i="102" s="1"/>
  <c r="AN128" i="102"/>
  <c r="AO128" i="102" s="1"/>
  <c r="AN127" i="102"/>
  <c r="AO127" i="102" s="1"/>
  <c r="AN126" i="102"/>
  <c r="AO126" i="102" s="1"/>
  <c r="AN125" i="102"/>
  <c r="AM97" i="102"/>
  <c r="Q171" i="8" s="1"/>
  <c r="AL97" i="102"/>
  <c r="P171" i="8" s="1"/>
  <c r="AK97" i="102"/>
  <c r="O171" i="8" s="1"/>
  <c r="AJ97" i="102"/>
  <c r="N171" i="8" s="1"/>
  <c r="AI97" i="102"/>
  <c r="M171" i="8" s="1"/>
  <c r="AH97" i="102"/>
  <c r="L171" i="8" s="1"/>
  <c r="AG97" i="102"/>
  <c r="K171" i="8" s="1"/>
  <c r="AF97" i="102"/>
  <c r="J171" i="8" s="1"/>
  <c r="AE97" i="102"/>
  <c r="I171" i="8" s="1"/>
  <c r="AD97" i="102"/>
  <c r="H171" i="8" s="1"/>
  <c r="AC97" i="102"/>
  <c r="G171" i="8" s="1"/>
  <c r="AB97" i="102"/>
  <c r="F171" i="8" s="1"/>
  <c r="Y97" i="102"/>
  <c r="X40" i="95" s="1"/>
  <c r="X97" i="102"/>
  <c r="W40" i="95" s="1"/>
  <c r="W97" i="102"/>
  <c r="V40" i="95" s="1"/>
  <c r="V97" i="102"/>
  <c r="U40" i="95" s="1"/>
  <c r="U97" i="102"/>
  <c r="T40" i="95" s="1"/>
  <c r="T97" i="102"/>
  <c r="S40" i="95" s="1"/>
  <c r="S97" i="102"/>
  <c r="R40" i="95" s="1"/>
  <c r="R97" i="102"/>
  <c r="Q40" i="95" s="1"/>
  <c r="Q97" i="102"/>
  <c r="P40" i="95" s="1"/>
  <c r="P97" i="102"/>
  <c r="O40" i="95" s="1"/>
  <c r="O97" i="102"/>
  <c r="N40" i="95" s="1"/>
  <c r="N97" i="102"/>
  <c r="M40" i="95" s="1"/>
  <c r="H97" i="102"/>
  <c r="AN96" i="102"/>
  <c r="AO96" i="102" s="1"/>
  <c r="AN95" i="102"/>
  <c r="AO95" i="102" s="1"/>
  <c r="AN94" i="102"/>
  <c r="AO94" i="102" s="1"/>
  <c r="AN93" i="102"/>
  <c r="AO93" i="102" s="1"/>
  <c r="AN92" i="102"/>
  <c r="AO92" i="102" s="1"/>
  <c r="F88" i="102"/>
  <c r="F89" i="102" s="1"/>
  <c r="I87" i="102"/>
  <c r="G87" i="102"/>
  <c r="F87" i="102"/>
  <c r="E87" i="102"/>
  <c r="D87" i="102"/>
  <c r="C87" i="102"/>
  <c r="Y86" i="102"/>
  <c r="X86" i="102"/>
  <c r="W86" i="102"/>
  <c r="V86" i="102"/>
  <c r="U86" i="102"/>
  <c r="T86" i="102"/>
  <c r="S86" i="102"/>
  <c r="R86" i="102"/>
  <c r="Q86" i="102"/>
  <c r="P86" i="102"/>
  <c r="O86" i="102"/>
  <c r="N86" i="102"/>
  <c r="L86" i="102"/>
  <c r="M86" i="102" s="1"/>
  <c r="Y85" i="102"/>
  <c r="X85" i="102"/>
  <c r="W85" i="102"/>
  <c r="V85" i="102"/>
  <c r="U85" i="102"/>
  <c r="T85" i="102"/>
  <c r="S85" i="102"/>
  <c r="R85" i="102"/>
  <c r="Q85" i="102"/>
  <c r="P85" i="102"/>
  <c r="O85" i="102"/>
  <c r="N85" i="102"/>
  <c r="L85" i="102"/>
  <c r="L24" i="102" s="1"/>
  <c r="M24" i="102" s="1"/>
  <c r="Y84" i="102"/>
  <c r="X84" i="102"/>
  <c r="W84" i="102"/>
  <c r="V84" i="102"/>
  <c r="U84" i="102"/>
  <c r="T84" i="102"/>
  <c r="S84" i="102"/>
  <c r="R84" i="102"/>
  <c r="Q84" i="102"/>
  <c r="P84" i="102"/>
  <c r="O84" i="102"/>
  <c r="N84" i="102"/>
  <c r="L84" i="102"/>
  <c r="M84" i="102" s="1"/>
  <c r="Y83" i="102"/>
  <c r="X83" i="102"/>
  <c r="W83" i="102"/>
  <c r="V83" i="102"/>
  <c r="U83" i="102"/>
  <c r="T83" i="102"/>
  <c r="S83" i="102"/>
  <c r="R83" i="102"/>
  <c r="Q83" i="102"/>
  <c r="P83" i="102"/>
  <c r="O83" i="102"/>
  <c r="N83" i="102"/>
  <c r="L83" i="102"/>
  <c r="M83" i="102" s="1"/>
  <c r="Y82" i="102"/>
  <c r="X82" i="102"/>
  <c r="W82" i="102"/>
  <c r="V82" i="102"/>
  <c r="U82" i="102"/>
  <c r="T82" i="102"/>
  <c r="S82" i="102"/>
  <c r="R82" i="102"/>
  <c r="Q82" i="102"/>
  <c r="P82" i="102"/>
  <c r="O82" i="102"/>
  <c r="N82" i="102"/>
  <c r="L82" i="102"/>
  <c r="M82" i="102" s="1"/>
  <c r="I77" i="102"/>
  <c r="Y76" i="102"/>
  <c r="X76" i="102"/>
  <c r="W76" i="102"/>
  <c r="V76" i="102"/>
  <c r="U76" i="102"/>
  <c r="T76" i="102"/>
  <c r="S76" i="102"/>
  <c r="R76" i="102"/>
  <c r="Q76" i="102"/>
  <c r="P76" i="102"/>
  <c r="O76" i="102"/>
  <c r="N76" i="102"/>
  <c r="L76" i="102"/>
  <c r="M76" i="102" s="1"/>
  <c r="F76" i="102"/>
  <c r="E76" i="102"/>
  <c r="Y74" i="102"/>
  <c r="X74" i="102"/>
  <c r="W74" i="102"/>
  <c r="V74" i="102"/>
  <c r="U74" i="102"/>
  <c r="T74" i="102"/>
  <c r="S74" i="102"/>
  <c r="R74" i="102"/>
  <c r="Q74" i="102"/>
  <c r="P74" i="102"/>
  <c r="O74" i="102"/>
  <c r="N74" i="102"/>
  <c r="L74" i="102"/>
  <c r="M74" i="102" s="1"/>
  <c r="F74" i="102"/>
  <c r="E74" i="102"/>
  <c r="Y72" i="102"/>
  <c r="X72" i="102"/>
  <c r="W72" i="102"/>
  <c r="V72" i="102"/>
  <c r="U72" i="102"/>
  <c r="T72" i="102"/>
  <c r="S72" i="102"/>
  <c r="R72" i="102"/>
  <c r="Q72" i="102"/>
  <c r="P72" i="102"/>
  <c r="O72" i="102"/>
  <c r="N72" i="102"/>
  <c r="L72" i="102"/>
  <c r="M72" i="102" s="1"/>
  <c r="F72" i="102"/>
  <c r="E72" i="102"/>
  <c r="Y70" i="102"/>
  <c r="X70" i="102"/>
  <c r="W70" i="102"/>
  <c r="V70" i="102"/>
  <c r="U70" i="102"/>
  <c r="T70" i="102"/>
  <c r="S70" i="102"/>
  <c r="R70" i="102"/>
  <c r="Q70" i="102"/>
  <c r="P70" i="102"/>
  <c r="O70" i="102"/>
  <c r="N70" i="102"/>
  <c r="L70" i="102"/>
  <c r="M70" i="102" s="1"/>
  <c r="F70" i="102"/>
  <c r="E70" i="102"/>
  <c r="Y68" i="102"/>
  <c r="X68" i="102"/>
  <c r="W68" i="102"/>
  <c r="V68" i="102"/>
  <c r="U68" i="102"/>
  <c r="T68" i="102"/>
  <c r="S68" i="102"/>
  <c r="R68" i="102"/>
  <c r="Q68" i="102"/>
  <c r="P68" i="102"/>
  <c r="O68" i="102"/>
  <c r="N68" i="102"/>
  <c r="L68" i="102"/>
  <c r="M68" i="102" s="1"/>
  <c r="F68" i="102"/>
  <c r="E68" i="102"/>
  <c r="D68" i="102"/>
  <c r="AM60" i="102"/>
  <c r="AL60" i="102"/>
  <c r="AK60" i="102"/>
  <c r="AJ60" i="102"/>
  <c r="AI60" i="102"/>
  <c r="AH60" i="102"/>
  <c r="AG60" i="102"/>
  <c r="AF60" i="102"/>
  <c r="AE60" i="102"/>
  <c r="AD60" i="102"/>
  <c r="AC60" i="102"/>
  <c r="AB60" i="102"/>
  <c r="AA60" i="102"/>
  <c r="Y60" i="102"/>
  <c r="X60" i="102"/>
  <c r="W60" i="102"/>
  <c r="V60" i="102"/>
  <c r="U60" i="102"/>
  <c r="T60" i="102"/>
  <c r="S60" i="102"/>
  <c r="R60" i="102"/>
  <c r="Q60" i="102"/>
  <c r="P60" i="102"/>
  <c r="O60" i="102"/>
  <c r="N60" i="102"/>
  <c r="AM59" i="102"/>
  <c r="AL59" i="102"/>
  <c r="AK59" i="102"/>
  <c r="AJ59" i="102"/>
  <c r="AI59" i="102"/>
  <c r="AH59" i="102"/>
  <c r="AG59" i="102"/>
  <c r="AF59" i="102"/>
  <c r="AE59" i="102"/>
  <c r="AD59" i="102"/>
  <c r="AC59" i="102"/>
  <c r="AB59" i="102"/>
  <c r="AA59" i="102"/>
  <c r="Y59" i="102"/>
  <c r="X59" i="102"/>
  <c r="W59" i="102"/>
  <c r="V59" i="102"/>
  <c r="U59" i="102"/>
  <c r="T59" i="102"/>
  <c r="S59" i="102"/>
  <c r="R59" i="102"/>
  <c r="Q59" i="102"/>
  <c r="P59" i="102"/>
  <c r="N59" i="102"/>
  <c r="AL58" i="102"/>
  <c r="AK58" i="102"/>
  <c r="AJ58" i="102"/>
  <c r="AI58" i="102"/>
  <c r="AE58" i="102"/>
  <c r="AD58" i="102"/>
  <c r="AC58" i="102"/>
  <c r="AB58" i="102"/>
  <c r="AA58" i="102"/>
  <c r="Y58" i="102"/>
  <c r="X58" i="102"/>
  <c r="W58" i="102"/>
  <c r="V58" i="102"/>
  <c r="U58" i="102"/>
  <c r="T58" i="102"/>
  <c r="S58" i="102"/>
  <c r="R58" i="102"/>
  <c r="Q58" i="102"/>
  <c r="P58" i="102"/>
  <c r="O58" i="102"/>
  <c r="N58" i="102"/>
  <c r="AM57" i="102"/>
  <c r="AL57" i="102"/>
  <c r="AK57" i="102"/>
  <c r="AJ57" i="102"/>
  <c r="AI57" i="102"/>
  <c r="AH57" i="102"/>
  <c r="AG57" i="102"/>
  <c r="AF57" i="102"/>
  <c r="AE57" i="102"/>
  <c r="AD57" i="102"/>
  <c r="AC57" i="102"/>
  <c r="AB57" i="102"/>
  <c r="AA57" i="102"/>
  <c r="Y57" i="102"/>
  <c r="X57" i="102"/>
  <c r="W57" i="102"/>
  <c r="V57" i="102"/>
  <c r="U57" i="102"/>
  <c r="T57" i="102"/>
  <c r="S57" i="102"/>
  <c r="R57" i="102"/>
  <c r="Q57" i="102"/>
  <c r="P57" i="102"/>
  <c r="O57" i="102"/>
  <c r="N57" i="102"/>
  <c r="AM56" i="102"/>
  <c r="AL56" i="102"/>
  <c r="AK56" i="102"/>
  <c r="AJ56" i="102"/>
  <c r="AI56" i="102"/>
  <c r="AH56" i="102"/>
  <c r="AG56" i="102"/>
  <c r="AF56" i="102"/>
  <c r="AE56" i="102"/>
  <c r="AD56" i="102"/>
  <c r="AC56" i="102"/>
  <c r="AB56" i="102"/>
  <c r="AA56" i="102"/>
  <c r="Y56" i="102"/>
  <c r="X56" i="102"/>
  <c r="W56" i="102"/>
  <c r="V56" i="102"/>
  <c r="U56" i="102"/>
  <c r="T56" i="102"/>
  <c r="S56" i="102"/>
  <c r="R56" i="102"/>
  <c r="Q56" i="102"/>
  <c r="P56" i="102"/>
  <c r="L51" i="102"/>
  <c r="I51" i="102"/>
  <c r="G51" i="102"/>
  <c r="F51" i="102"/>
  <c r="Y50" i="102"/>
  <c r="X50" i="102"/>
  <c r="X25" i="102" s="1"/>
  <c r="W50" i="102"/>
  <c r="V50" i="102"/>
  <c r="V25" i="102" s="1"/>
  <c r="U50" i="102"/>
  <c r="T50" i="102"/>
  <c r="S50" i="102"/>
  <c r="R50" i="102"/>
  <c r="Q50" i="102"/>
  <c r="P50" i="102"/>
  <c r="P25" i="102" s="1"/>
  <c r="O50" i="102"/>
  <c r="N50" i="102"/>
  <c r="M50" i="102"/>
  <c r="Y49" i="102"/>
  <c r="X49" i="102"/>
  <c r="W49" i="102"/>
  <c r="V49" i="102"/>
  <c r="U49" i="102"/>
  <c r="T49" i="102"/>
  <c r="S49" i="102"/>
  <c r="R49" i="102"/>
  <c r="Q49" i="102"/>
  <c r="P49" i="102"/>
  <c r="O49" i="102"/>
  <c r="N49" i="102"/>
  <c r="M49" i="102"/>
  <c r="Y48" i="102"/>
  <c r="X48" i="102"/>
  <c r="W48" i="102"/>
  <c r="V48" i="102"/>
  <c r="U48" i="102"/>
  <c r="T48" i="102"/>
  <c r="S48" i="102"/>
  <c r="S23" i="102" s="1"/>
  <c r="R48" i="102"/>
  <c r="Q48" i="102"/>
  <c r="P48" i="102"/>
  <c r="O48" i="102"/>
  <c r="N48" i="102"/>
  <c r="Y47" i="102"/>
  <c r="X47" i="102"/>
  <c r="W47" i="102"/>
  <c r="V47" i="102"/>
  <c r="U47" i="102"/>
  <c r="T47" i="102"/>
  <c r="S47" i="102"/>
  <c r="R47" i="102"/>
  <c r="Q47" i="102"/>
  <c r="P47" i="102"/>
  <c r="O47" i="102"/>
  <c r="N47" i="102"/>
  <c r="Y46" i="102"/>
  <c r="X46" i="102"/>
  <c r="W46" i="102"/>
  <c r="V46" i="102"/>
  <c r="U46" i="102"/>
  <c r="T46" i="102"/>
  <c r="S46" i="102"/>
  <c r="R46" i="102"/>
  <c r="Q46" i="102"/>
  <c r="P46" i="102"/>
  <c r="O46" i="102"/>
  <c r="N46" i="102"/>
  <c r="I41" i="102"/>
  <c r="Y40" i="102"/>
  <c r="X40" i="102"/>
  <c r="W40" i="102"/>
  <c r="V40" i="102"/>
  <c r="U40" i="102"/>
  <c r="U15" i="102" s="1"/>
  <c r="T40" i="102"/>
  <c r="S40" i="102"/>
  <c r="R40" i="102"/>
  <c r="Q40" i="102"/>
  <c r="P40" i="102"/>
  <c r="O40" i="102"/>
  <c r="N40" i="102"/>
  <c r="L40" i="102"/>
  <c r="L15" i="102" s="1"/>
  <c r="M15" i="102" s="1"/>
  <c r="F40" i="102"/>
  <c r="E40" i="102"/>
  <c r="Y38" i="102"/>
  <c r="X38" i="102"/>
  <c r="W38" i="102"/>
  <c r="V38" i="102"/>
  <c r="U38" i="102"/>
  <c r="T38" i="102"/>
  <c r="S38" i="102"/>
  <c r="R38" i="102"/>
  <c r="Q38" i="102"/>
  <c r="P38" i="102"/>
  <c r="O38" i="102"/>
  <c r="N38" i="102"/>
  <c r="L38" i="102"/>
  <c r="G38" i="102"/>
  <c r="G13" i="102" s="1"/>
  <c r="F38" i="102"/>
  <c r="F13" i="102" s="1"/>
  <c r="E38" i="102"/>
  <c r="Y36" i="102"/>
  <c r="X36" i="102"/>
  <c r="W36" i="102"/>
  <c r="V36" i="102"/>
  <c r="U36" i="102"/>
  <c r="T36" i="102"/>
  <c r="S36" i="102"/>
  <c r="R36" i="102"/>
  <c r="Q36" i="102"/>
  <c r="P36" i="102"/>
  <c r="O36" i="102"/>
  <c r="N36" i="102"/>
  <c r="L36" i="102"/>
  <c r="M36" i="102" s="1"/>
  <c r="G36" i="102"/>
  <c r="G11" i="102" s="1"/>
  <c r="F36" i="102"/>
  <c r="F11" i="102" s="1"/>
  <c r="E36" i="102"/>
  <c r="Y34" i="102"/>
  <c r="X34" i="102"/>
  <c r="W34" i="102"/>
  <c r="V34" i="102"/>
  <c r="U34" i="102"/>
  <c r="T34" i="102"/>
  <c r="S34" i="102"/>
  <c r="R34" i="102"/>
  <c r="Q34" i="102"/>
  <c r="P34" i="102"/>
  <c r="O34" i="102"/>
  <c r="N34" i="102"/>
  <c r="L34" i="102"/>
  <c r="M34" i="102" s="1"/>
  <c r="G34" i="102"/>
  <c r="G9" i="102" s="1"/>
  <c r="F34" i="102"/>
  <c r="F9" i="102" s="1"/>
  <c r="E34" i="102"/>
  <c r="Y32" i="102"/>
  <c r="X32" i="102"/>
  <c r="W32" i="102"/>
  <c r="V32" i="102"/>
  <c r="U32" i="102"/>
  <c r="T32" i="102"/>
  <c r="S32" i="102"/>
  <c r="R32" i="102"/>
  <c r="Q32" i="102"/>
  <c r="P32" i="102"/>
  <c r="O32" i="102"/>
  <c r="N32" i="102"/>
  <c r="L32" i="102"/>
  <c r="M32" i="102" s="1"/>
  <c r="G32" i="102"/>
  <c r="G7" i="102" s="1"/>
  <c r="F32" i="102"/>
  <c r="F7" i="102" s="1"/>
  <c r="E32" i="102"/>
  <c r="D32" i="102"/>
  <c r="I25" i="102"/>
  <c r="H25" i="102"/>
  <c r="G25" i="102"/>
  <c r="I24" i="102"/>
  <c r="H24" i="102"/>
  <c r="G24" i="102"/>
  <c r="I23" i="102"/>
  <c r="H23" i="102"/>
  <c r="G23" i="102"/>
  <c r="AM22" i="102"/>
  <c r="AL22" i="102"/>
  <c r="AK22" i="102"/>
  <c r="AJ22" i="102"/>
  <c r="AI22" i="102"/>
  <c r="AH22" i="102"/>
  <c r="AG22" i="102"/>
  <c r="AF22" i="102"/>
  <c r="AE22" i="102"/>
  <c r="AD22" i="102"/>
  <c r="AC22" i="102"/>
  <c r="AB22" i="102"/>
  <c r="AA22" i="102"/>
  <c r="I22" i="102"/>
  <c r="H22" i="102"/>
  <c r="G22" i="102"/>
  <c r="AM21" i="102"/>
  <c r="AL21" i="102"/>
  <c r="AK21" i="102"/>
  <c r="AJ21" i="102"/>
  <c r="AI21" i="102"/>
  <c r="AH21" i="102"/>
  <c r="AG21" i="102"/>
  <c r="AF21" i="102"/>
  <c r="AE21" i="102"/>
  <c r="AD21" i="102"/>
  <c r="AC21" i="102"/>
  <c r="AB21" i="102"/>
  <c r="AA21" i="102"/>
  <c r="I21" i="102"/>
  <c r="H21" i="102"/>
  <c r="G21" i="102"/>
  <c r="I41" i="132"/>
  <c r="H41" i="132"/>
  <c r="G41" i="132"/>
  <c r="I40" i="132"/>
  <c r="H40" i="132"/>
  <c r="G40" i="132"/>
  <c r="L39" i="132"/>
  <c r="I39" i="132"/>
  <c r="H39" i="132"/>
  <c r="G39" i="132"/>
  <c r="L38" i="132"/>
  <c r="I38" i="132"/>
  <c r="H38" i="132"/>
  <c r="G38" i="132"/>
  <c r="L37" i="132"/>
  <c r="I37" i="132"/>
  <c r="H37" i="132"/>
  <c r="G37" i="132"/>
  <c r="L36" i="132"/>
  <c r="I36" i="132"/>
  <c r="H36" i="132"/>
  <c r="G36" i="132"/>
  <c r="L35" i="132"/>
  <c r="I35" i="132"/>
  <c r="H35" i="132"/>
  <c r="G35" i="132"/>
  <c r="L34" i="132"/>
  <c r="I34" i="132"/>
  <c r="H34" i="132"/>
  <c r="G34" i="132"/>
  <c r="O32" i="132"/>
  <c r="O30" i="132"/>
  <c r="L52" i="135" s="1"/>
  <c r="L192" i="135" s="1"/>
  <c r="Y29" i="132"/>
  <c r="M66" i="138" s="1"/>
  <c r="X29" i="132"/>
  <c r="W29" i="132"/>
  <c r="V29" i="132"/>
  <c r="U29" i="132"/>
  <c r="T29" i="132"/>
  <c r="S29" i="132"/>
  <c r="R29" i="132"/>
  <c r="Q29" i="132"/>
  <c r="O29" i="132"/>
  <c r="N29" i="132"/>
  <c r="Y28" i="132"/>
  <c r="X28" i="132"/>
  <c r="W28" i="132"/>
  <c r="V28" i="132"/>
  <c r="U28" i="132"/>
  <c r="T28" i="132"/>
  <c r="S28" i="132"/>
  <c r="R28" i="132"/>
  <c r="Q28" i="132"/>
  <c r="O28" i="132"/>
  <c r="N28" i="132"/>
  <c r="Y23" i="132"/>
  <c r="X23" i="132"/>
  <c r="W23" i="132"/>
  <c r="V23" i="132"/>
  <c r="U23" i="132"/>
  <c r="T23" i="132"/>
  <c r="S23" i="132"/>
  <c r="R23" i="132"/>
  <c r="Q23" i="132"/>
  <c r="P23" i="132"/>
  <c r="O23" i="132"/>
  <c r="N23" i="132"/>
  <c r="Y22" i="132"/>
  <c r="X22" i="132"/>
  <c r="W22" i="132"/>
  <c r="V22" i="132"/>
  <c r="U22" i="132"/>
  <c r="T22" i="132"/>
  <c r="S22" i="132"/>
  <c r="R22" i="132"/>
  <c r="Q22" i="132"/>
  <c r="P22" i="132"/>
  <c r="O22" i="132"/>
  <c r="N22" i="132"/>
  <c r="Y11" i="132"/>
  <c r="X11" i="132"/>
  <c r="W11" i="132"/>
  <c r="V11" i="132"/>
  <c r="U11" i="132"/>
  <c r="T11" i="132"/>
  <c r="S11" i="132"/>
  <c r="R11" i="132"/>
  <c r="Q11" i="132"/>
  <c r="P11" i="132"/>
  <c r="O11" i="132"/>
  <c r="N11" i="132"/>
  <c r="Y6" i="132"/>
  <c r="X6" i="132"/>
  <c r="W6" i="132"/>
  <c r="V6" i="132"/>
  <c r="U6" i="132"/>
  <c r="T6" i="132"/>
  <c r="S6" i="132"/>
  <c r="R6" i="132"/>
  <c r="Q6" i="132"/>
  <c r="P6" i="132"/>
  <c r="O6" i="132"/>
  <c r="Y5" i="132"/>
  <c r="X5" i="132"/>
  <c r="W5" i="132"/>
  <c r="V5" i="132"/>
  <c r="U5" i="132"/>
  <c r="T5" i="132"/>
  <c r="S5" i="132"/>
  <c r="R5" i="132"/>
  <c r="Q5" i="132"/>
  <c r="P5" i="132"/>
  <c r="O5" i="132"/>
  <c r="N5" i="132"/>
  <c r="Y4" i="132"/>
  <c r="X4" i="132"/>
  <c r="W4" i="132"/>
  <c r="V4" i="132"/>
  <c r="U4" i="132"/>
  <c r="T4" i="132"/>
  <c r="S4" i="132"/>
  <c r="R4" i="132"/>
  <c r="Q4" i="132"/>
  <c r="P4" i="132"/>
  <c r="O4" i="132"/>
  <c r="N4" i="132"/>
  <c r="M42" i="92"/>
  <c r="M41" i="92"/>
  <c r="M40" i="92"/>
  <c r="Z39" i="92"/>
  <c r="M39" i="92"/>
  <c r="Z38" i="92"/>
  <c r="M38" i="92"/>
  <c r="Z37" i="92"/>
  <c r="M37" i="92"/>
  <c r="Z36" i="92"/>
  <c r="M36" i="92"/>
  <c r="M32" i="92"/>
  <c r="M31" i="92"/>
  <c r="M30" i="92"/>
  <c r="K98" i="105" s="1"/>
  <c r="J92" i="135" s="1"/>
  <c r="J200" i="135" s="1"/>
  <c r="Y29" i="92"/>
  <c r="Y33" i="132" s="1"/>
  <c r="X29" i="92"/>
  <c r="X33" i="132" s="1"/>
  <c r="W29" i="92"/>
  <c r="W33" i="132" s="1"/>
  <c r="V29" i="92"/>
  <c r="V33" i="132" s="1"/>
  <c r="U29" i="92"/>
  <c r="U33" i="132" s="1"/>
  <c r="T29" i="92"/>
  <c r="T33" i="132" s="1"/>
  <c r="S29" i="92"/>
  <c r="S33" i="132" s="1"/>
  <c r="R29" i="92"/>
  <c r="R33" i="132" s="1"/>
  <c r="Q29" i="92"/>
  <c r="Q33" i="132" s="1"/>
  <c r="P29" i="92"/>
  <c r="P33" i="132" s="1"/>
  <c r="O29" i="92"/>
  <c r="O33" i="132" s="1"/>
  <c r="N29" i="92"/>
  <c r="N33" i="132" s="1"/>
  <c r="M29" i="92"/>
  <c r="M33" i="132" s="1"/>
  <c r="Y28" i="92"/>
  <c r="Y32" i="132" s="1"/>
  <c r="X28" i="92"/>
  <c r="X32" i="132" s="1"/>
  <c r="W28" i="92"/>
  <c r="W32" i="132" s="1"/>
  <c r="V28" i="92"/>
  <c r="V32" i="132" s="1"/>
  <c r="U28" i="92"/>
  <c r="U32" i="132" s="1"/>
  <c r="T28" i="92"/>
  <c r="T32" i="132" s="1"/>
  <c r="S28" i="92"/>
  <c r="S32" i="132" s="1"/>
  <c r="R28" i="92"/>
  <c r="R32" i="132" s="1"/>
  <c r="Q28" i="92"/>
  <c r="Q32" i="132" s="1"/>
  <c r="P28" i="92"/>
  <c r="P32" i="132" s="1"/>
  <c r="N28" i="92"/>
  <c r="M28" i="92"/>
  <c r="M32" i="132" s="1"/>
  <c r="Y27" i="92"/>
  <c r="Y31" i="132" s="1"/>
  <c r="X27" i="92"/>
  <c r="X31" i="132" s="1"/>
  <c r="U53" i="135" s="1"/>
  <c r="U193" i="135" s="1"/>
  <c r="W27" i="92"/>
  <c r="W31" i="132" s="1"/>
  <c r="T53" i="135" s="1"/>
  <c r="T193" i="135" s="1"/>
  <c r="V27" i="92"/>
  <c r="V31" i="132" s="1"/>
  <c r="U27" i="92"/>
  <c r="U31" i="132" s="1"/>
  <c r="T27" i="92"/>
  <c r="T31" i="132" s="1"/>
  <c r="Q53" i="135" s="1"/>
  <c r="Q193" i="135" s="1"/>
  <c r="S27" i="92"/>
  <c r="S31" i="132" s="1"/>
  <c r="R27" i="92"/>
  <c r="R31" i="132" s="1"/>
  <c r="O53" i="135" s="1"/>
  <c r="O193" i="135" s="1"/>
  <c r="Q27" i="92"/>
  <c r="Q31" i="132" s="1"/>
  <c r="P27" i="92"/>
  <c r="P31" i="132" s="1"/>
  <c r="M53" i="135" s="1"/>
  <c r="M193" i="135" s="1"/>
  <c r="O27" i="92"/>
  <c r="O31" i="132" s="1"/>
  <c r="L53" i="135" s="1"/>
  <c r="L193" i="135" s="1"/>
  <c r="N27" i="92"/>
  <c r="N31" i="132" s="1"/>
  <c r="K53" i="135" s="1"/>
  <c r="K193" i="135" s="1"/>
  <c r="M27" i="92"/>
  <c r="M31" i="132" s="1"/>
  <c r="Y26" i="92"/>
  <c r="Y30" i="132" s="1"/>
  <c r="V52" i="135" s="1"/>
  <c r="V192" i="135" s="1"/>
  <c r="X26" i="92"/>
  <c r="X30" i="132" s="1"/>
  <c r="U52" i="135" s="1"/>
  <c r="U192" i="135" s="1"/>
  <c r="W26" i="92"/>
  <c r="W30" i="132" s="1"/>
  <c r="T52" i="135" s="1"/>
  <c r="T192" i="135" s="1"/>
  <c r="V26" i="92"/>
  <c r="V30" i="132" s="1"/>
  <c r="S52" i="135" s="1"/>
  <c r="S192" i="135" s="1"/>
  <c r="U26" i="92"/>
  <c r="U30" i="132" s="1"/>
  <c r="T26" i="92"/>
  <c r="T30" i="132" s="1"/>
  <c r="Q52" i="135" s="1"/>
  <c r="Q192" i="135" s="1"/>
  <c r="S26" i="92"/>
  <c r="S30" i="132" s="1"/>
  <c r="P52" i="135" s="1"/>
  <c r="P192" i="135" s="1"/>
  <c r="R26" i="92"/>
  <c r="R30" i="132" s="1"/>
  <c r="Q26" i="92"/>
  <c r="Q30" i="132" s="1"/>
  <c r="N52" i="135" s="1"/>
  <c r="N192" i="135" s="1"/>
  <c r="P26" i="92"/>
  <c r="P30" i="132" s="1"/>
  <c r="N26" i="92"/>
  <c r="N30" i="132" s="1"/>
  <c r="M26" i="92"/>
  <c r="M30" i="132" s="1"/>
  <c r="AL25" i="92"/>
  <c r="AK25" i="92"/>
  <c r="AJ25" i="92"/>
  <c r="AI25" i="92"/>
  <c r="AH25" i="92"/>
  <c r="AG25" i="92"/>
  <c r="AF25" i="92"/>
  <c r="AE25" i="92"/>
  <c r="AD25" i="92"/>
  <c r="AB25" i="92"/>
  <c r="AA25" i="92"/>
  <c r="M25" i="92"/>
  <c r="Z24" i="92"/>
  <c r="M24" i="92"/>
  <c r="M28" i="132" s="1"/>
  <c r="M17" i="92"/>
  <c r="M15" i="92"/>
  <c r="Z14" i="92"/>
  <c r="X74" i="105" s="1"/>
  <c r="M14" i="92"/>
  <c r="H14" i="92"/>
  <c r="AK13" i="92"/>
  <c r="AI13" i="92"/>
  <c r="AG13" i="92"/>
  <c r="AE13" i="92"/>
  <c r="AD13" i="92"/>
  <c r="AC13" i="92"/>
  <c r="M13" i="92"/>
  <c r="H13" i="92"/>
  <c r="G13" i="92"/>
  <c r="Z12" i="92"/>
  <c r="X56" i="105" s="1"/>
  <c r="M12" i="92"/>
  <c r="Y11" i="92"/>
  <c r="X11" i="92"/>
  <c r="W11" i="92"/>
  <c r="V11" i="92"/>
  <c r="U11" i="92"/>
  <c r="T11" i="92"/>
  <c r="S11" i="92"/>
  <c r="R11" i="92"/>
  <c r="Q11" i="92"/>
  <c r="P11" i="92"/>
  <c r="O11" i="92"/>
  <c r="N11" i="92"/>
  <c r="M11" i="92"/>
  <c r="F11" i="92"/>
  <c r="E11" i="92"/>
  <c r="D11" i="92"/>
  <c r="Z8" i="92"/>
  <c r="M8" i="92"/>
  <c r="J42" i="135" s="1"/>
  <c r="J191" i="135" s="1"/>
  <c r="H44" i="91"/>
  <c r="G44" i="91"/>
  <c r="F44" i="91"/>
  <c r="E44" i="91"/>
  <c r="D44" i="91"/>
  <c r="M42" i="91"/>
  <c r="M41" i="91"/>
  <c r="M40" i="91"/>
  <c r="M39" i="91"/>
  <c r="M38" i="91"/>
  <c r="M37" i="91"/>
  <c r="M36" i="91"/>
  <c r="K97" i="105"/>
  <c r="J91" i="135" s="1"/>
  <c r="J181" i="135" s="1"/>
  <c r="Y29" i="91"/>
  <c r="Y27" i="132" s="1"/>
  <c r="X29" i="91"/>
  <c r="X27" i="132" s="1"/>
  <c r="W29" i="91"/>
  <c r="W27" i="132" s="1"/>
  <c r="V29" i="91"/>
  <c r="V27" i="132" s="1"/>
  <c r="U29" i="91"/>
  <c r="U27" i="132" s="1"/>
  <c r="T29" i="91"/>
  <c r="T27" i="132" s="1"/>
  <c r="S29" i="91"/>
  <c r="S27" i="132" s="1"/>
  <c r="R29" i="91"/>
  <c r="R27" i="132" s="1"/>
  <c r="Q29" i="91"/>
  <c r="Q27" i="132" s="1"/>
  <c r="P29" i="91"/>
  <c r="P27" i="132" s="1"/>
  <c r="O29" i="91"/>
  <c r="O27" i="132" s="1"/>
  <c r="N29" i="91"/>
  <c r="N27" i="132" s="1"/>
  <c r="M29" i="91"/>
  <c r="M27" i="132" s="1"/>
  <c r="Y28" i="91"/>
  <c r="Y26" i="132" s="1"/>
  <c r="X28" i="91"/>
  <c r="X26" i="132" s="1"/>
  <c r="W28" i="91"/>
  <c r="W26" i="132" s="1"/>
  <c r="V28" i="91"/>
  <c r="V26" i="132" s="1"/>
  <c r="U28" i="91"/>
  <c r="U26" i="132" s="1"/>
  <c r="T28" i="91"/>
  <c r="T26" i="132" s="1"/>
  <c r="S28" i="91"/>
  <c r="S26" i="132" s="1"/>
  <c r="R28" i="91"/>
  <c r="R26" i="132" s="1"/>
  <c r="Q28" i="91"/>
  <c r="Q26" i="132" s="1"/>
  <c r="P28" i="91"/>
  <c r="P26" i="132" s="1"/>
  <c r="O28" i="91"/>
  <c r="O26" i="132" s="1"/>
  <c r="N28" i="91"/>
  <c r="N26" i="132" s="1"/>
  <c r="M28" i="91"/>
  <c r="M26" i="132" s="1"/>
  <c r="J50" i="135" s="1"/>
  <c r="J173" i="135" s="1"/>
  <c r="Y27" i="91"/>
  <c r="Y25" i="132" s="1"/>
  <c r="X27" i="91"/>
  <c r="X25" i="132" s="1"/>
  <c r="U51" i="135" s="1"/>
  <c r="U174" i="135" s="1"/>
  <c r="W27" i="91"/>
  <c r="W25" i="132" s="1"/>
  <c r="V27" i="91"/>
  <c r="V25" i="132" s="1"/>
  <c r="U27" i="91"/>
  <c r="U25" i="132" s="1"/>
  <c r="T27" i="91"/>
  <c r="T25" i="132" s="1"/>
  <c r="Q51" i="135" s="1"/>
  <c r="S27" i="91"/>
  <c r="S25" i="132" s="1"/>
  <c r="R27" i="91"/>
  <c r="R25" i="132" s="1"/>
  <c r="O51" i="135" s="1"/>
  <c r="Q27" i="91"/>
  <c r="Q25" i="132" s="1"/>
  <c r="P27" i="91"/>
  <c r="P25" i="132" s="1"/>
  <c r="O27" i="91"/>
  <c r="O25" i="132" s="1"/>
  <c r="L51" i="135" s="1"/>
  <c r="L174" i="135" s="1"/>
  <c r="N27" i="91"/>
  <c r="N25" i="132" s="1"/>
  <c r="M27" i="91"/>
  <c r="M25" i="132" s="1"/>
  <c r="J51" i="135" s="1"/>
  <c r="Y26" i="91"/>
  <c r="Y24" i="132" s="1"/>
  <c r="X26" i="91"/>
  <c r="X24" i="132" s="1"/>
  <c r="W26" i="91"/>
  <c r="W24" i="132" s="1"/>
  <c r="T50" i="135" s="1"/>
  <c r="T173" i="135" s="1"/>
  <c r="V26" i="91"/>
  <c r="V24" i="132" s="1"/>
  <c r="U26" i="91"/>
  <c r="U24" i="132" s="1"/>
  <c r="T26" i="91"/>
  <c r="T24" i="132" s="1"/>
  <c r="Q50" i="135" s="1"/>
  <c r="Q173" i="135" s="1"/>
  <c r="S26" i="91"/>
  <c r="S24" i="132" s="1"/>
  <c r="R26" i="91"/>
  <c r="R24" i="132" s="1"/>
  <c r="O50" i="135" s="1"/>
  <c r="O173" i="135" s="1"/>
  <c r="Q26" i="91"/>
  <c r="Q24" i="132" s="1"/>
  <c r="N50" i="135" s="1"/>
  <c r="N173" i="135" s="1"/>
  <c r="P26" i="91"/>
  <c r="P24" i="132" s="1"/>
  <c r="O26" i="91"/>
  <c r="O24" i="132" s="1"/>
  <c r="L50" i="135" s="1"/>
  <c r="L173" i="135" s="1"/>
  <c r="N26" i="91"/>
  <c r="AQ25" i="91"/>
  <c r="AM25" i="91"/>
  <c r="AL25" i="91"/>
  <c r="AK25" i="91"/>
  <c r="AJ25" i="91"/>
  <c r="AI25" i="91"/>
  <c r="AH25" i="91"/>
  <c r="AG25" i="91"/>
  <c r="AF25" i="91"/>
  <c r="AE25" i="91"/>
  <c r="AD25" i="91"/>
  <c r="AC25" i="91"/>
  <c r="AB25" i="91"/>
  <c r="AA25" i="91"/>
  <c r="Z25" i="91"/>
  <c r="M25" i="91"/>
  <c r="M23" i="132" s="1"/>
  <c r="Z24" i="91"/>
  <c r="M22" i="132"/>
  <c r="Y20" i="91"/>
  <c r="Y21" i="91" s="1"/>
  <c r="X20" i="91"/>
  <c r="X21" i="91" s="1"/>
  <c r="W20" i="91"/>
  <c r="W21" i="91" s="1"/>
  <c r="V20" i="91"/>
  <c r="V21" i="91" s="1"/>
  <c r="U20" i="91"/>
  <c r="U21" i="91" s="1"/>
  <c r="T20" i="91"/>
  <c r="T21" i="91" s="1"/>
  <c r="S20" i="91"/>
  <c r="S21" i="91" s="1"/>
  <c r="R20" i="91"/>
  <c r="R21" i="91" s="1"/>
  <c r="Q20" i="91"/>
  <c r="Q21" i="91" s="1"/>
  <c r="P20" i="91"/>
  <c r="P21" i="91" s="1"/>
  <c r="O20" i="91"/>
  <c r="O21" i="91" s="1"/>
  <c r="N20" i="91"/>
  <c r="N21" i="91" s="1"/>
  <c r="M18" i="91"/>
  <c r="M15" i="91"/>
  <c r="Z14" i="91"/>
  <c r="X73" i="105" s="1"/>
  <c r="M14" i="91"/>
  <c r="H14" i="91"/>
  <c r="AM13" i="91"/>
  <c r="M13" i="91"/>
  <c r="H13" i="91"/>
  <c r="G13" i="91"/>
  <c r="E49" i="105" s="1"/>
  <c r="F13" i="91"/>
  <c r="D49" i="105" s="1"/>
  <c r="E13" i="91"/>
  <c r="Z12" i="91"/>
  <c r="M12" i="91"/>
  <c r="Y11" i="91"/>
  <c r="X11" i="91"/>
  <c r="W11" i="91"/>
  <c r="V11" i="91"/>
  <c r="U11" i="91"/>
  <c r="T11" i="91"/>
  <c r="S11" i="91"/>
  <c r="R11" i="91"/>
  <c r="Q11" i="91"/>
  <c r="P11" i="91"/>
  <c r="O11" i="91"/>
  <c r="N11" i="91"/>
  <c r="M11" i="91"/>
  <c r="F11" i="91"/>
  <c r="E11" i="91"/>
  <c r="D11" i="91"/>
  <c r="L9" i="91"/>
  <c r="Z8" i="91"/>
  <c r="M8" i="91"/>
  <c r="J41" i="135" s="1"/>
  <c r="L6" i="91"/>
  <c r="I73" i="135" s="1"/>
  <c r="I178" i="135" s="1"/>
  <c r="AK62" i="90"/>
  <c r="AK61" i="90"/>
  <c r="AK60" i="90"/>
  <c r="AK59" i="90"/>
  <c r="AE35" i="90"/>
  <c r="AL41" i="90"/>
  <c r="AK41" i="90"/>
  <c r="AJ41" i="90"/>
  <c r="AI41" i="90"/>
  <c r="AH41" i="90"/>
  <c r="AG41" i="90"/>
  <c r="AF41" i="90"/>
  <c r="AE41" i="90"/>
  <c r="AD41" i="90"/>
  <c r="AC41" i="90"/>
  <c r="AB41" i="90"/>
  <c r="AA41" i="90"/>
  <c r="Z41" i="90"/>
  <c r="M41" i="90"/>
  <c r="AL40" i="90"/>
  <c r="AK40" i="90"/>
  <c r="AJ40" i="90"/>
  <c r="AI40" i="90"/>
  <c r="AH40" i="90"/>
  <c r="AG40" i="90"/>
  <c r="AF40" i="90"/>
  <c r="AE40" i="90"/>
  <c r="AD40" i="90"/>
  <c r="AC40" i="90"/>
  <c r="AB40" i="90"/>
  <c r="AA40" i="90"/>
  <c r="Z40" i="90"/>
  <c r="M40" i="90"/>
  <c r="AL39" i="90"/>
  <c r="AK39" i="90"/>
  <c r="AJ39" i="90"/>
  <c r="AI39" i="90"/>
  <c r="AH39" i="90"/>
  <c r="AG39" i="90"/>
  <c r="AF39" i="90"/>
  <c r="AE39" i="90"/>
  <c r="AD39" i="90"/>
  <c r="AC39" i="90"/>
  <c r="AB39" i="90"/>
  <c r="AA39" i="90"/>
  <c r="Z39" i="90"/>
  <c r="M39" i="90"/>
  <c r="Z38" i="90"/>
  <c r="M38" i="90"/>
  <c r="Z37" i="90"/>
  <c r="M37" i="90"/>
  <c r="AK36" i="90"/>
  <c r="AJ36" i="90"/>
  <c r="AI36" i="90"/>
  <c r="AH36" i="90"/>
  <c r="AG36" i="90"/>
  <c r="AF36" i="90"/>
  <c r="AE36" i="90"/>
  <c r="AD36" i="90"/>
  <c r="AB36" i="90"/>
  <c r="Z36" i="90"/>
  <c r="M36" i="90"/>
  <c r="AL35" i="90"/>
  <c r="AK35" i="90"/>
  <c r="AJ35" i="90"/>
  <c r="AI35" i="90"/>
  <c r="AH35" i="90"/>
  <c r="AG35" i="90"/>
  <c r="AF35" i="90"/>
  <c r="AD35" i="90"/>
  <c r="AB35" i="90"/>
  <c r="AA35" i="90"/>
  <c r="Z35" i="90"/>
  <c r="M35" i="90"/>
  <c r="Z34" i="90"/>
  <c r="M34" i="90"/>
  <c r="Z33" i="90"/>
  <c r="M33" i="90"/>
  <c r="Z32" i="90"/>
  <c r="M32" i="90"/>
  <c r="Z31" i="90"/>
  <c r="M31" i="90"/>
  <c r="Z30" i="90"/>
  <c r="M30" i="90"/>
  <c r="Z29" i="90"/>
  <c r="Z28" i="90"/>
  <c r="M28" i="90"/>
  <c r="Z27" i="90"/>
  <c r="M26" i="90"/>
  <c r="Z25" i="90"/>
  <c r="X96" i="105" s="1"/>
  <c r="W90" i="135" s="1"/>
  <c r="W163" i="135" s="1"/>
  <c r="M25" i="90"/>
  <c r="K96" i="105" s="1"/>
  <c r="J90" i="135" s="1"/>
  <c r="J163" i="135" s="1"/>
  <c r="Z24" i="90"/>
  <c r="X95" i="105" s="1"/>
  <c r="W89" i="135" s="1"/>
  <c r="W162" i="135" s="1"/>
  <c r="M24" i="90"/>
  <c r="K95" i="105" s="1"/>
  <c r="J89" i="135" s="1"/>
  <c r="Y23" i="90"/>
  <c r="Y21" i="132" s="1"/>
  <c r="X23" i="90"/>
  <c r="X21" i="132" s="1"/>
  <c r="W23" i="90"/>
  <c r="W21" i="132" s="1"/>
  <c r="V23" i="90"/>
  <c r="V21" i="132" s="1"/>
  <c r="U23" i="90"/>
  <c r="U21" i="132" s="1"/>
  <c r="T23" i="90"/>
  <c r="T21" i="132" s="1"/>
  <c r="S23" i="90"/>
  <c r="S21" i="132" s="1"/>
  <c r="R23" i="90"/>
  <c r="R21" i="132" s="1"/>
  <c r="Q23" i="90"/>
  <c r="Q21" i="132" s="1"/>
  <c r="P23" i="90"/>
  <c r="P21" i="132" s="1"/>
  <c r="O23" i="90"/>
  <c r="O21" i="132" s="1"/>
  <c r="N23" i="90"/>
  <c r="N21" i="132" s="1"/>
  <c r="M21" i="132"/>
  <c r="Y22" i="90"/>
  <c r="Y20" i="132" s="1"/>
  <c r="X22" i="90"/>
  <c r="X20" i="132" s="1"/>
  <c r="W22" i="90"/>
  <c r="W20" i="132" s="1"/>
  <c r="V22" i="90"/>
  <c r="V20" i="132" s="1"/>
  <c r="U22" i="90"/>
  <c r="U20" i="132" s="1"/>
  <c r="T22" i="90"/>
  <c r="T20" i="132" s="1"/>
  <c r="S22" i="90"/>
  <c r="S20" i="132" s="1"/>
  <c r="R22" i="90"/>
  <c r="R20" i="132" s="1"/>
  <c r="Q22" i="90"/>
  <c r="Q20" i="132" s="1"/>
  <c r="P22" i="90"/>
  <c r="P20" i="132" s="1"/>
  <c r="O22" i="90"/>
  <c r="O20" i="132" s="1"/>
  <c r="N22" i="90"/>
  <c r="M20" i="132"/>
  <c r="Y21" i="90"/>
  <c r="Y19" i="132" s="1"/>
  <c r="X21" i="90"/>
  <c r="X19" i="132" s="1"/>
  <c r="W21" i="90"/>
  <c r="W19" i="132" s="1"/>
  <c r="V21" i="90"/>
  <c r="V19" i="132" s="1"/>
  <c r="U21" i="90"/>
  <c r="U19" i="132" s="1"/>
  <c r="T21" i="90"/>
  <c r="T19" i="132" s="1"/>
  <c r="S21" i="90"/>
  <c r="S19" i="132" s="1"/>
  <c r="R21" i="90"/>
  <c r="R19" i="132" s="1"/>
  <c r="Q21" i="90"/>
  <c r="Q19" i="132" s="1"/>
  <c r="P21" i="90"/>
  <c r="P19" i="132" s="1"/>
  <c r="O21" i="90"/>
  <c r="O19" i="132" s="1"/>
  <c r="N21" i="90"/>
  <c r="M19" i="132"/>
  <c r="Y20" i="90"/>
  <c r="Y18" i="132" s="1"/>
  <c r="X20" i="90"/>
  <c r="X18" i="132" s="1"/>
  <c r="W20" i="90"/>
  <c r="W18" i="132" s="1"/>
  <c r="V20" i="90"/>
  <c r="V18" i="132" s="1"/>
  <c r="U20" i="90"/>
  <c r="U18" i="132" s="1"/>
  <c r="T20" i="90"/>
  <c r="T18" i="132" s="1"/>
  <c r="S20" i="90"/>
  <c r="S18" i="132" s="1"/>
  <c r="R20" i="90"/>
  <c r="R18" i="132" s="1"/>
  <c r="Q20" i="90"/>
  <c r="Q18" i="132" s="1"/>
  <c r="P20" i="90"/>
  <c r="P18" i="132" s="1"/>
  <c r="O20" i="90"/>
  <c r="O18" i="132" s="1"/>
  <c r="N20" i="90"/>
  <c r="N18" i="132" s="1"/>
  <c r="M18" i="132"/>
  <c r="Y19" i="90"/>
  <c r="Y17" i="132" s="1"/>
  <c r="X19" i="90"/>
  <c r="X17" i="132" s="1"/>
  <c r="W19" i="90"/>
  <c r="W17" i="132" s="1"/>
  <c r="V19" i="90"/>
  <c r="V17" i="132" s="1"/>
  <c r="U19" i="90"/>
  <c r="U17" i="132" s="1"/>
  <c r="T19" i="90"/>
  <c r="T17" i="132" s="1"/>
  <c r="Q49" i="135" s="1"/>
  <c r="S19" i="90"/>
  <c r="S17" i="132" s="1"/>
  <c r="R19" i="90"/>
  <c r="R17" i="132" s="1"/>
  <c r="Q19" i="90"/>
  <c r="Q17" i="132" s="1"/>
  <c r="P19" i="90"/>
  <c r="P17" i="132" s="1"/>
  <c r="O19" i="90"/>
  <c r="O17" i="132" s="1"/>
  <c r="L49" i="135" s="1"/>
  <c r="N19" i="90"/>
  <c r="M17" i="132"/>
  <c r="AM18" i="90"/>
  <c r="Y18" i="90"/>
  <c r="Y16" i="132" s="1"/>
  <c r="V48" i="135" s="1"/>
  <c r="V154" i="135" s="1"/>
  <c r="X18" i="90"/>
  <c r="X16" i="132" s="1"/>
  <c r="W18" i="90"/>
  <c r="W16" i="132" s="1"/>
  <c r="V18" i="90"/>
  <c r="V16" i="132" s="1"/>
  <c r="U18" i="90"/>
  <c r="U16" i="132" s="1"/>
  <c r="T18" i="90"/>
  <c r="T16" i="132" s="1"/>
  <c r="S18" i="90"/>
  <c r="S16" i="132" s="1"/>
  <c r="P48" i="135" s="1"/>
  <c r="R18" i="90"/>
  <c r="R16" i="132" s="1"/>
  <c r="Q18" i="90"/>
  <c r="Q16" i="132" s="1"/>
  <c r="N48" i="135" s="1"/>
  <c r="P18" i="90"/>
  <c r="P16" i="132" s="1"/>
  <c r="O18" i="90"/>
  <c r="O16" i="132" s="1"/>
  <c r="N18" i="90"/>
  <c r="M16" i="132"/>
  <c r="Y11" i="90"/>
  <c r="X11" i="90"/>
  <c r="W11" i="90"/>
  <c r="V11" i="90"/>
  <c r="U11" i="90"/>
  <c r="T11" i="90"/>
  <c r="S11" i="90"/>
  <c r="R11" i="90"/>
  <c r="Q11" i="90"/>
  <c r="P11" i="90"/>
  <c r="P15" i="90" s="1"/>
  <c r="O11" i="90"/>
  <c r="O15" i="90" s="1"/>
  <c r="N11" i="90"/>
  <c r="L6" i="90"/>
  <c r="I72" i="135" s="1"/>
  <c r="I159" i="135" s="1"/>
  <c r="H38" i="85"/>
  <c r="Z35" i="85"/>
  <c r="M35" i="85"/>
  <c r="Z34" i="85"/>
  <c r="M34" i="85"/>
  <c r="Z33" i="85"/>
  <c r="M33" i="85"/>
  <c r="Z32" i="85"/>
  <c r="M32" i="85"/>
  <c r="Z31" i="85"/>
  <c r="M31" i="85"/>
  <c r="Z30" i="85"/>
  <c r="M30" i="85"/>
  <c r="Z29" i="85"/>
  <c r="M29" i="85"/>
  <c r="Z28" i="85"/>
  <c r="X94" i="105" s="1"/>
  <c r="W88" i="135" s="1"/>
  <c r="W144" i="135" s="1"/>
  <c r="M28" i="85"/>
  <c r="K94" i="105" s="1"/>
  <c r="J88" i="135" s="1"/>
  <c r="J144" i="135" s="1"/>
  <c r="Z27" i="85"/>
  <c r="M27" i="85"/>
  <c r="G27" i="85"/>
  <c r="G38" i="85" s="1"/>
  <c r="F27" i="85"/>
  <c r="F38" i="85" s="1"/>
  <c r="E27" i="85"/>
  <c r="E38" i="85" s="1"/>
  <c r="D27" i="85"/>
  <c r="D38" i="85" s="1"/>
  <c r="Z26" i="85"/>
  <c r="Z25" i="85"/>
  <c r="M25" i="85"/>
  <c r="Z24" i="85"/>
  <c r="M24" i="85"/>
  <c r="Y23" i="85"/>
  <c r="Y15" i="132" s="1"/>
  <c r="X23" i="85"/>
  <c r="X15" i="132" s="1"/>
  <c r="W23" i="85"/>
  <c r="W15" i="132" s="1"/>
  <c r="V23" i="85"/>
  <c r="V15" i="132" s="1"/>
  <c r="U23" i="85"/>
  <c r="U15" i="132" s="1"/>
  <c r="T23" i="85"/>
  <c r="T15" i="132" s="1"/>
  <c r="S23" i="85"/>
  <c r="S15" i="132" s="1"/>
  <c r="R23" i="85"/>
  <c r="R15" i="132" s="1"/>
  <c r="Q23" i="85"/>
  <c r="Q15" i="132" s="1"/>
  <c r="P23" i="85"/>
  <c r="P15" i="132" s="1"/>
  <c r="O23" i="85"/>
  <c r="O15" i="132" s="1"/>
  <c r="N23" i="85"/>
  <c r="N15" i="132" s="1"/>
  <c r="M15" i="132"/>
  <c r="Y22" i="85"/>
  <c r="Y14" i="132" s="1"/>
  <c r="X22" i="85"/>
  <c r="X14" i="132" s="1"/>
  <c r="W22" i="85"/>
  <c r="W14" i="132" s="1"/>
  <c r="V22" i="85"/>
  <c r="V14" i="132" s="1"/>
  <c r="U22" i="85"/>
  <c r="U14" i="132" s="1"/>
  <c r="T22" i="85"/>
  <c r="T14" i="132" s="1"/>
  <c r="S22" i="85"/>
  <c r="S14" i="132" s="1"/>
  <c r="R22" i="85"/>
  <c r="R14" i="132" s="1"/>
  <c r="Q22" i="85"/>
  <c r="Q14" i="132" s="1"/>
  <c r="P22" i="85"/>
  <c r="P14" i="132" s="1"/>
  <c r="O22" i="85"/>
  <c r="O14" i="132" s="1"/>
  <c r="N22" i="85"/>
  <c r="N14" i="132" s="1"/>
  <c r="M14" i="132"/>
  <c r="Y21" i="85"/>
  <c r="Y13" i="132" s="1"/>
  <c r="X21" i="85"/>
  <c r="X13" i="132" s="1"/>
  <c r="U47" i="135" s="1"/>
  <c r="U138" i="135" s="1"/>
  <c r="W21" i="85"/>
  <c r="W13" i="132" s="1"/>
  <c r="V21" i="85"/>
  <c r="V13" i="132" s="1"/>
  <c r="U21" i="85"/>
  <c r="U13" i="132" s="1"/>
  <c r="T21" i="85"/>
  <c r="T13" i="132" s="1"/>
  <c r="S21" i="85"/>
  <c r="S13" i="132" s="1"/>
  <c r="R21" i="85"/>
  <c r="R13" i="132" s="1"/>
  <c r="O47" i="135" s="1"/>
  <c r="Q21" i="85"/>
  <c r="Q13" i="132" s="1"/>
  <c r="P21" i="85"/>
  <c r="P13" i="132" s="1"/>
  <c r="O21" i="85"/>
  <c r="O13" i="132" s="1"/>
  <c r="L47" i="135" s="1"/>
  <c r="N21" i="85"/>
  <c r="M13" i="132"/>
  <c r="J47" i="135" s="1"/>
  <c r="Y20" i="85"/>
  <c r="Y12" i="132" s="1"/>
  <c r="X20" i="85"/>
  <c r="X12" i="132" s="1"/>
  <c r="W20" i="85"/>
  <c r="W12" i="132" s="1"/>
  <c r="T46" i="135" s="1"/>
  <c r="T137" i="135" s="1"/>
  <c r="V20" i="85"/>
  <c r="V12" i="132" s="1"/>
  <c r="U20" i="85"/>
  <c r="U12" i="132" s="1"/>
  <c r="T20" i="85"/>
  <c r="T12" i="132" s="1"/>
  <c r="Q46" i="135" s="1"/>
  <c r="Q137" i="135" s="1"/>
  <c r="S20" i="85"/>
  <c r="S12" i="132" s="1"/>
  <c r="R20" i="85"/>
  <c r="R12" i="132" s="1"/>
  <c r="O46" i="135" s="1"/>
  <c r="O137" i="135" s="1"/>
  <c r="Q20" i="85"/>
  <c r="Q12" i="132" s="1"/>
  <c r="P20" i="85"/>
  <c r="P12" i="132" s="1"/>
  <c r="O20" i="85"/>
  <c r="O12" i="132" s="1"/>
  <c r="L46" i="135" s="1"/>
  <c r="L137" i="135" s="1"/>
  <c r="N20" i="85"/>
  <c r="N12" i="132" s="1"/>
  <c r="M12" i="132"/>
  <c r="AM19" i="85"/>
  <c r="AL19" i="85"/>
  <c r="AK19" i="85"/>
  <c r="AJ19" i="85"/>
  <c r="AI19" i="85"/>
  <c r="AH19" i="85"/>
  <c r="AG19" i="85"/>
  <c r="AF19" i="85"/>
  <c r="AE19" i="85"/>
  <c r="AD19" i="85"/>
  <c r="AC19" i="85"/>
  <c r="AB19" i="85"/>
  <c r="AA19" i="85"/>
  <c r="Z19" i="85"/>
  <c r="M11" i="132"/>
  <c r="M10" i="132"/>
  <c r="G15" i="85"/>
  <c r="Y11" i="85"/>
  <c r="X11" i="85"/>
  <c r="W11" i="85"/>
  <c r="V11" i="85"/>
  <c r="U11" i="85"/>
  <c r="T11" i="85"/>
  <c r="S11" i="85"/>
  <c r="R11" i="85"/>
  <c r="Q11" i="85"/>
  <c r="P11" i="85"/>
  <c r="O11" i="85"/>
  <c r="N11" i="85"/>
  <c r="L9" i="85"/>
  <c r="AM8" i="85"/>
  <c r="Z8" i="85"/>
  <c r="L6" i="85"/>
  <c r="I71" i="135" s="1"/>
  <c r="I142" i="135" s="1"/>
  <c r="M5" i="85"/>
  <c r="M34" i="82"/>
  <c r="Z33" i="82"/>
  <c r="M33" i="82"/>
  <c r="Z32" i="82"/>
  <c r="M32" i="82"/>
  <c r="Z31" i="82"/>
  <c r="M31" i="82"/>
  <c r="Z30" i="82"/>
  <c r="M30" i="82"/>
  <c r="Z29" i="82"/>
  <c r="X93" i="105" s="1"/>
  <c r="W87" i="135" s="1"/>
  <c r="W126" i="135" s="1"/>
  <c r="M29" i="82"/>
  <c r="Z28" i="82"/>
  <c r="M28" i="82"/>
  <c r="Z27" i="82"/>
  <c r="M27" i="82"/>
  <c r="Z26" i="82"/>
  <c r="M26" i="82"/>
  <c r="Z25" i="82"/>
  <c r="M25" i="82"/>
  <c r="Z24" i="82"/>
  <c r="M24" i="82"/>
  <c r="Y23" i="82"/>
  <c r="Y9" i="132" s="1"/>
  <c r="X23" i="82"/>
  <c r="X9" i="132" s="1"/>
  <c r="W23" i="82"/>
  <c r="W9" i="132" s="1"/>
  <c r="V23" i="82"/>
  <c r="V9" i="132" s="1"/>
  <c r="U23" i="82"/>
  <c r="U9" i="132" s="1"/>
  <c r="T23" i="82"/>
  <c r="T9" i="132" s="1"/>
  <c r="S23" i="82"/>
  <c r="S9" i="132" s="1"/>
  <c r="R23" i="82"/>
  <c r="R9" i="132" s="1"/>
  <c r="Q23" i="82"/>
  <c r="Q9" i="132" s="1"/>
  <c r="P23" i="82"/>
  <c r="P9" i="132" s="1"/>
  <c r="O23" i="82"/>
  <c r="O9" i="132" s="1"/>
  <c r="N23" i="82"/>
  <c r="M9" i="132"/>
  <c r="Y22" i="82"/>
  <c r="Y8" i="132" s="1"/>
  <c r="X22" i="82"/>
  <c r="X8" i="132" s="1"/>
  <c r="W22" i="82"/>
  <c r="W8" i="132" s="1"/>
  <c r="V22" i="82"/>
  <c r="V8" i="132" s="1"/>
  <c r="U22" i="82"/>
  <c r="U8" i="132" s="1"/>
  <c r="T22" i="82"/>
  <c r="T8" i="132" s="1"/>
  <c r="S22" i="82"/>
  <c r="S8" i="132" s="1"/>
  <c r="R22" i="82"/>
  <c r="R8" i="132" s="1"/>
  <c r="Q22" i="82"/>
  <c r="Q8" i="132" s="1"/>
  <c r="P22" i="82"/>
  <c r="P8" i="132" s="1"/>
  <c r="O22" i="82"/>
  <c r="O8" i="132" s="1"/>
  <c r="N22" i="82"/>
  <c r="N8" i="132" s="1"/>
  <c r="M8" i="132"/>
  <c r="Y21" i="82"/>
  <c r="Y7" i="132" s="1"/>
  <c r="V45" i="135" s="1"/>
  <c r="V119" i="135" s="1"/>
  <c r="X21" i="82"/>
  <c r="X7" i="132" s="1"/>
  <c r="W21" i="82"/>
  <c r="W7" i="132" s="1"/>
  <c r="V21" i="82"/>
  <c r="V7" i="132" s="1"/>
  <c r="U21" i="82"/>
  <c r="U7" i="132" s="1"/>
  <c r="T21" i="82"/>
  <c r="T7" i="132" s="1"/>
  <c r="S21" i="82"/>
  <c r="S7" i="132" s="1"/>
  <c r="R21" i="82"/>
  <c r="R7" i="132" s="1"/>
  <c r="Q21" i="82"/>
  <c r="Q7" i="132" s="1"/>
  <c r="P21" i="82"/>
  <c r="P7" i="132" s="1"/>
  <c r="O21" i="82"/>
  <c r="O7" i="132" s="1"/>
  <c r="N21" i="82"/>
  <c r="N7" i="132" s="1"/>
  <c r="M7" i="132"/>
  <c r="N20" i="82"/>
  <c r="N6" i="132" s="1"/>
  <c r="M6" i="13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Z18" i="82"/>
  <c r="M4" i="132"/>
  <c r="Z17" i="82"/>
  <c r="W38" i="135" s="1"/>
  <c r="W117" i="135" s="1"/>
  <c r="Z12" i="82"/>
  <c r="Y11" i="82"/>
  <c r="X11" i="82"/>
  <c r="W11" i="82"/>
  <c r="U70" i="105" s="1"/>
  <c r="V11" i="82"/>
  <c r="T70" i="105" s="1"/>
  <c r="U11" i="82"/>
  <c r="S70" i="105" s="1"/>
  <c r="R17" i="135" s="1"/>
  <c r="T11" i="82"/>
  <c r="S11" i="82"/>
  <c r="R11" i="82"/>
  <c r="Q11" i="82"/>
  <c r="P11" i="82"/>
  <c r="O11" i="82"/>
  <c r="N11" i="82"/>
  <c r="H11" i="82"/>
  <c r="G11" i="82"/>
  <c r="E45" i="105" s="1"/>
  <c r="C13" i="120" s="1"/>
  <c r="Y10" i="82"/>
  <c r="V9" i="135" s="1"/>
  <c r="V111" i="135" s="1"/>
  <c r="V116" i="135" s="1"/>
  <c r="X10" i="82"/>
  <c r="W10" i="82"/>
  <c r="V10" i="82"/>
  <c r="U10" i="82"/>
  <c r="T10" i="82"/>
  <c r="S10" i="82"/>
  <c r="R10" i="82"/>
  <c r="Q10" i="82"/>
  <c r="P10" i="82"/>
  <c r="O10" i="82"/>
  <c r="N10" i="82"/>
  <c r="R9" i="82"/>
  <c r="P17" i="105" s="1"/>
  <c r="L8" i="82"/>
  <c r="L6" i="82"/>
  <c r="I70" i="135" s="1"/>
  <c r="BE254" i="105"/>
  <c r="BE253" i="105"/>
  <c r="BE252" i="105"/>
  <c r="BD202" i="105"/>
  <c r="BC202" i="105"/>
  <c r="BB202" i="105"/>
  <c r="BA202" i="105"/>
  <c r="AZ202" i="105"/>
  <c r="AY202" i="105"/>
  <c r="AX202" i="105"/>
  <c r="AW202" i="105"/>
  <c r="AT202" i="105"/>
  <c r="AT203" i="105" s="1"/>
  <c r="BE230" i="105"/>
  <c r="BE229" i="105"/>
  <c r="BE228" i="105"/>
  <c r="BH228" i="105" s="1"/>
  <c r="BE227" i="105"/>
  <c r="BE226" i="105"/>
  <c r="BD216" i="105"/>
  <c r="BE201" i="105" s="1"/>
  <c r="BB216" i="105"/>
  <c r="BC201" i="105" s="1"/>
  <c r="BA216" i="105"/>
  <c r="BB201" i="105" s="1"/>
  <c r="AZ216" i="105"/>
  <c r="BA201" i="105" s="1"/>
  <c r="AY216" i="105"/>
  <c r="AX216" i="105"/>
  <c r="AW216" i="105"/>
  <c r="AV216" i="105"/>
  <c r="AU216" i="105"/>
  <c r="AT216" i="105"/>
  <c r="AS216" i="105"/>
  <c r="BE215" i="105"/>
  <c r="BE214" i="105"/>
  <c r="BH214" i="105" s="1"/>
  <c r="BE213" i="105"/>
  <c r="BE212" i="105"/>
  <c r="BE211" i="105"/>
  <c r="F193" i="105"/>
  <c r="E193" i="105"/>
  <c r="C193" i="105"/>
  <c r="Q191" i="105"/>
  <c r="O189" i="105"/>
  <c r="C185" i="105"/>
  <c r="AW178" i="105"/>
  <c r="P165" i="105"/>
  <c r="P164" i="105" s="1"/>
  <c r="Q166" i="105" s="1"/>
  <c r="AV161" i="105"/>
  <c r="AS161" i="105"/>
  <c r="W102" i="105"/>
  <c r="V102" i="105"/>
  <c r="U102" i="105"/>
  <c r="T102" i="105"/>
  <c r="S102" i="105"/>
  <c r="R102" i="105"/>
  <c r="Q102" i="105"/>
  <c r="P102" i="105"/>
  <c r="O102" i="105"/>
  <c r="N102" i="105"/>
  <c r="M102" i="105"/>
  <c r="L102" i="105"/>
  <c r="W101" i="105"/>
  <c r="V101" i="105"/>
  <c r="U101" i="105"/>
  <c r="T101" i="105"/>
  <c r="S101" i="105"/>
  <c r="R101" i="105"/>
  <c r="Q101" i="105"/>
  <c r="P101" i="105"/>
  <c r="O101" i="105"/>
  <c r="N101" i="105"/>
  <c r="M101" i="105"/>
  <c r="L101" i="105"/>
  <c r="W100" i="105"/>
  <c r="V100" i="105"/>
  <c r="U100" i="105"/>
  <c r="T100" i="105"/>
  <c r="S100" i="105"/>
  <c r="R100" i="105"/>
  <c r="Q100" i="105"/>
  <c r="P100" i="105"/>
  <c r="O100" i="105"/>
  <c r="N100" i="105"/>
  <c r="M100" i="105"/>
  <c r="L100" i="105"/>
  <c r="W99" i="105"/>
  <c r="V99" i="105"/>
  <c r="U99" i="105"/>
  <c r="T99" i="105"/>
  <c r="S99" i="105"/>
  <c r="R99" i="105"/>
  <c r="Q99" i="105"/>
  <c r="P99" i="105"/>
  <c r="O99" i="105"/>
  <c r="N99" i="105"/>
  <c r="M99" i="105"/>
  <c r="L99" i="105"/>
  <c r="E90" i="135"/>
  <c r="E96" i="105"/>
  <c r="D96" i="105"/>
  <c r="E89" i="135"/>
  <c r="E95" i="105"/>
  <c r="D95" i="105"/>
  <c r="W85" i="105"/>
  <c r="V79" i="135" s="1"/>
  <c r="V198" i="135" s="1"/>
  <c r="Q85" i="105"/>
  <c r="P79" i="135" s="1"/>
  <c r="P198" i="135" s="1"/>
  <c r="P85" i="105"/>
  <c r="O79" i="135" s="1"/>
  <c r="O198" i="135" s="1"/>
  <c r="O85" i="105"/>
  <c r="N79" i="135" s="1"/>
  <c r="N198" i="135" s="1"/>
  <c r="N85" i="105"/>
  <c r="M79" i="135" s="1"/>
  <c r="M198" i="135" s="1"/>
  <c r="M85" i="105"/>
  <c r="L79" i="135" s="1"/>
  <c r="L198" i="135" s="1"/>
  <c r="L85" i="105"/>
  <c r="K79" i="135" s="1"/>
  <c r="K198" i="135" s="1"/>
  <c r="J85" i="105"/>
  <c r="G85" i="105"/>
  <c r="F79" i="135" s="1"/>
  <c r="F198" i="135" s="1"/>
  <c r="F85" i="105"/>
  <c r="E79" i="135" s="1"/>
  <c r="E198" i="135" s="1"/>
  <c r="E85" i="105"/>
  <c r="D85" i="105"/>
  <c r="W84" i="105"/>
  <c r="V78" i="135" s="1"/>
  <c r="V84" i="105"/>
  <c r="U78" i="135" s="1"/>
  <c r="U179" i="135" s="1"/>
  <c r="U84" i="105"/>
  <c r="T78" i="135" s="1"/>
  <c r="T179" i="135" s="1"/>
  <c r="T84" i="105"/>
  <c r="S78" i="135" s="1"/>
  <c r="S179" i="135" s="1"/>
  <c r="S84" i="105"/>
  <c r="R78" i="135" s="1"/>
  <c r="R179" i="135" s="1"/>
  <c r="R84" i="105"/>
  <c r="Q78" i="135" s="1"/>
  <c r="Q179" i="135" s="1"/>
  <c r="Q84" i="105"/>
  <c r="P78" i="135" s="1"/>
  <c r="P179" i="135" s="1"/>
  <c r="P84" i="105"/>
  <c r="O78" i="135" s="1"/>
  <c r="O179" i="135" s="1"/>
  <c r="O84" i="105"/>
  <c r="N78" i="135" s="1"/>
  <c r="N179" i="135" s="1"/>
  <c r="N84" i="105"/>
  <c r="M78" i="135" s="1"/>
  <c r="M179" i="135" s="1"/>
  <c r="M84" i="105"/>
  <c r="L78" i="135" s="1"/>
  <c r="L179" i="135" s="1"/>
  <c r="L84" i="105"/>
  <c r="K78" i="135" s="1"/>
  <c r="K179" i="135" s="1"/>
  <c r="J84" i="105"/>
  <c r="G84" i="105"/>
  <c r="F78" i="135" s="1"/>
  <c r="F179" i="135" s="1"/>
  <c r="F84" i="105"/>
  <c r="E78" i="135" s="1"/>
  <c r="E179" i="135" s="1"/>
  <c r="E84" i="105"/>
  <c r="D84" i="105"/>
  <c r="W83" i="105"/>
  <c r="V77" i="135" s="1"/>
  <c r="V160" i="135" s="1"/>
  <c r="V83" i="105"/>
  <c r="U77" i="135" s="1"/>
  <c r="U160" i="135" s="1"/>
  <c r="U83" i="105"/>
  <c r="T77" i="135" s="1"/>
  <c r="T160" i="135" s="1"/>
  <c r="T83" i="105"/>
  <c r="S77" i="135" s="1"/>
  <c r="S160" i="135" s="1"/>
  <c r="S83" i="105"/>
  <c r="R77" i="135" s="1"/>
  <c r="R160" i="135" s="1"/>
  <c r="R83" i="105"/>
  <c r="Q77" i="135" s="1"/>
  <c r="Q160" i="135" s="1"/>
  <c r="Q83" i="105"/>
  <c r="P77" i="135" s="1"/>
  <c r="P83" i="105"/>
  <c r="O77" i="135" s="1"/>
  <c r="O83" i="105"/>
  <c r="N77" i="135" s="1"/>
  <c r="N83" i="105"/>
  <c r="M77" i="135" s="1"/>
  <c r="M83" i="105"/>
  <c r="L77" i="135" s="1"/>
  <c r="L83" i="105"/>
  <c r="K77" i="135" s="1"/>
  <c r="J83" i="105"/>
  <c r="G83" i="105"/>
  <c r="F77" i="135" s="1"/>
  <c r="F83" i="105"/>
  <c r="E77" i="135" s="1"/>
  <c r="E83" i="105"/>
  <c r="D83" i="105"/>
  <c r="W82" i="105"/>
  <c r="V76" i="135" s="1"/>
  <c r="V124" i="135" s="1"/>
  <c r="V82" i="105"/>
  <c r="U76" i="135" s="1"/>
  <c r="U82" i="105"/>
  <c r="T76" i="135" s="1"/>
  <c r="T82" i="105"/>
  <c r="S76" i="135" s="1"/>
  <c r="S124" i="135" s="1"/>
  <c r="S82" i="105"/>
  <c r="R76" i="135" s="1"/>
  <c r="R82" i="105"/>
  <c r="Q76" i="135" s="1"/>
  <c r="Q82" i="105"/>
  <c r="P76" i="135" s="1"/>
  <c r="P124" i="135" s="1"/>
  <c r="P82" i="105"/>
  <c r="O76" i="135" s="1"/>
  <c r="O124" i="135" s="1"/>
  <c r="O82" i="105"/>
  <c r="N76" i="135" s="1"/>
  <c r="N124" i="135" s="1"/>
  <c r="N82" i="105"/>
  <c r="M76" i="135" s="1"/>
  <c r="M124" i="135" s="1"/>
  <c r="M82" i="105"/>
  <c r="L76" i="135" s="1"/>
  <c r="L124" i="135" s="1"/>
  <c r="L82" i="105"/>
  <c r="K76" i="135" s="1"/>
  <c r="K124" i="135" s="1"/>
  <c r="J82" i="105"/>
  <c r="G82" i="105"/>
  <c r="F76" i="135" s="1"/>
  <c r="F82" i="105"/>
  <c r="E76" i="135" s="1"/>
  <c r="E82" i="105"/>
  <c r="D82" i="105"/>
  <c r="W91" i="105"/>
  <c r="V85" i="135" s="1"/>
  <c r="V199" i="135" s="1"/>
  <c r="V91" i="105"/>
  <c r="U85" i="135" s="1"/>
  <c r="U199" i="135" s="1"/>
  <c r="T91" i="105"/>
  <c r="S85" i="135" s="1"/>
  <c r="S199" i="135" s="1"/>
  <c r="S91" i="105"/>
  <c r="R85" i="135" s="1"/>
  <c r="R199" i="135" s="1"/>
  <c r="Q91" i="105"/>
  <c r="P85" i="135" s="1"/>
  <c r="P199" i="135" s="1"/>
  <c r="P91" i="105"/>
  <c r="O85" i="135" s="1"/>
  <c r="O199" i="135" s="1"/>
  <c r="O91" i="105"/>
  <c r="N85" i="135" s="1"/>
  <c r="N199" i="135" s="1"/>
  <c r="N91" i="105"/>
  <c r="M85" i="135" s="1"/>
  <c r="M199" i="135" s="1"/>
  <c r="M91" i="105"/>
  <c r="L85" i="135" s="1"/>
  <c r="L199" i="135" s="1"/>
  <c r="L91" i="105"/>
  <c r="K85" i="135" s="1"/>
  <c r="K199" i="135" s="1"/>
  <c r="J91" i="105"/>
  <c r="I91" i="105"/>
  <c r="H85" i="135" s="1"/>
  <c r="H199" i="135" s="1"/>
  <c r="G91" i="105"/>
  <c r="F85" i="135" s="1"/>
  <c r="F199" i="135" s="1"/>
  <c r="F91" i="105"/>
  <c r="E85" i="135" s="1"/>
  <c r="E199" i="135" s="1"/>
  <c r="E91" i="105"/>
  <c r="D91" i="105"/>
  <c r="W90" i="105"/>
  <c r="V84" i="135" s="1"/>
  <c r="V90" i="105"/>
  <c r="U84" i="135" s="1"/>
  <c r="U180" i="135" s="1"/>
  <c r="U90" i="105"/>
  <c r="T84" i="135" s="1"/>
  <c r="T180" i="135" s="1"/>
  <c r="T90" i="105"/>
  <c r="S84" i="135" s="1"/>
  <c r="S180" i="135" s="1"/>
  <c r="S90" i="105"/>
  <c r="R84" i="135" s="1"/>
  <c r="R180" i="135" s="1"/>
  <c r="R90" i="105"/>
  <c r="Q84" i="135" s="1"/>
  <c r="Q180" i="135" s="1"/>
  <c r="Q90" i="105"/>
  <c r="P84" i="135" s="1"/>
  <c r="P180" i="135" s="1"/>
  <c r="P90" i="105"/>
  <c r="O84" i="135" s="1"/>
  <c r="O180" i="135" s="1"/>
  <c r="O90" i="105"/>
  <c r="N84" i="135" s="1"/>
  <c r="N180" i="135" s="1"/>
  <c r="N90" i="105"/>
  <c r="M84" i="135" s="1"/>
  <c r="M180" i="135" s="1"/>
  <c r="M90" i="105"/>
  <c r="L84" i="135" s="1"/>
  <c r="L180" i="135" s="1"/>
  <c r="L90" i="105"/>
  <c r="K84" i="135" s="1"/>
  <c r="K180" i="135" s="1"/>
  <c r="J90" i="105"/>
  <c r="I90" i="105"/>
  <c r="H84" i="135" s="1"/>
  <c r="H180" i="135" s="1"/>
  <c r="G90" i="105"/>
  <c r="F84" i="135" s="1"/>
  <c r="F180" i="135" s="1"/>
  <c r="F90" i="105"/>
  <c r="E84" i="135" s="1"/>
  <c r="E180" i="135" s="1"/>
  <c r="E90" i="105"/>
  <c r="D90" i="105"/>
  <c r="W89" i="105"/>
  <c r="V83" i="135" s="1"/>
  <c r="V161" i="135" s="1"/>
  <c r="V89" i="105"/>
  <c r="U83" i="135" s="1"/>
  <c r="U161" i="135" s="1"/>
  <c r="U89" i="105"/>
  <c r="T83" i="135" s="1"/>
  <c r="T161" i="135" s="1"/>
  <c r="T89" i="105"/>
  <c r="S83" i="135" s="1"/>
  <c r="S161" i="135" s="1"/>
  <c r="S89" i="105"/>
  <c r="R83" i="135" s="1"/>
  <c r="R161" i="135" s="1"/>
  <c r="R89" i="105"/>
  <c r="Q83" i="135" s="1"/>
  <c r="Q161" i="135" s="1"/>
  <c r="Q89" i="105"/>
  <c r="P83" i="135" s="1"/>
  <c r="P89" i="105"/>
  <c r="O83" i="135" s="1"/>
  <c r="O89" i="105"/>
  <c r="N83" i="135" s="1"/>
  <c r="N89" i="105"/>
  <c r="M83" i="135" s="1"/>
  <c r="M89" i="105"/>
  <c r="L83" i="135" s="1"/>
  <c r="L89" i="105"/>
  <c r="K83" i="135" s="1"/>
  <c r="J89" i="105"/>
  <c r="I89" i="105"/>
  <c r="H83" i="135" s="1"/>
  <c r="G89" i="105"/>
  <c r="F83" i="135" s="1"/>
  <c r="F89" i="105"/>
  <c r="E83" i="135" s="1"/>
  <c r="E89" i="105"/>
  <c r="D89" i="105"/>
  <c r="W88" i="105"/>
  <c r="V82" i="135" s="1"/>
  <c r="V143" i="135" s="1"/>
  <c r="V88" i="105"/>
  <c r="U82" i="135" s="1"/>
  <c r="U143" i="135" s="1"/>
  <c r="U88" i="105"/>
  <c r="T82" i="135" s="1"/>
  <c r="T143" i="135" s="1"/>
  <c r="T88" i="105"/>
  <c r="S82" i="135" s="1"/>
  <c r="S143" i="135" s="1"/>
  <c r="S88" i="105"/>
  <c r="R82" i="135" s="1"/>
  <c r="R143" i="135" s="1"/>
  <c r="R88" i="105"/>
  <c r="Q82" i="135" s="1"/>
  <c r="Q143" i="135" s="1"/>
  <c r="Q88" i="105"/>
  <c r="P82" i="135" s="1"/>
  <c r="P143" i="135" s="1"/>
  <c r="P88" i="105"/>
  <c r="O82" i="135" s="1"/>
  <c r="O143" i="135" s="1"/>
  <c r="O88" i="105"/>
  <c r="N82" i="135" s="1"/>
  <c r="N143" i="135" s="1"/>
  <c r="N88" i="105"/>
  <c r="M82" i="135" s="1"/>
  <c r="M143" i="135" s="1"/>
  <c r="M88" i="105"/>
  <c r="L82" i="135" s="1"/>
  <c r="L143" i="135" s="1"/>
  <c r="L88" i="105"/>
  <c r="K82" i="135" s="1"/>
  <c r="K143" i="135" s="1"/>
  <c r="J88" i="105"/>
  <c r="I88" i="105"/>
  <c r="H82" i="135" s="1"/>
  <c r="H143" i="135" s="1"/>
  <c r="G88" i="105"/>
  <c r="F82" i="135" s="1"/>
  <c r="F143" i="135" s="1"/>
  <c r="F88" i="105"/>
  <c r="E82" i="135" s="1"/>
  <c r="E143" i="135" s="1"/>
  <c r="E88" i="105"/>
  <c r="D88" i="105"/>
  <c r="W87" i="105"/>
  <c r="V81" i="135" s="1"/>
  <c r="V125" i="135" s="1"/>
  <c r="V87" i="105"/>
  <c r="U81" i="135" s="1"/>
  <c r="U87" i="105"/>
  <c r="T81" i="135" s="1"/>
  <c r="T87" i="105"/>
  <c r="S81" i="135" s="1"/>
  <c r="S125" i="135" s="1"/>
  <c r="S87" i="105"/>
  <c r="R81" i="135" s="1"/>
  <c r="R87" i="105"/>
  <c r="Q81" i="135" s="1"/>
  <c r="Q87" i="105"/>
  <c r="P81" i="135" s="1"/>
  <c r="P125" i="135" s="1"/>
  <c r="P87" i="105"/>
  <c r="O81" i="135" s="1"/>
  <c r="O125" i="135" s="1"/>
  <c r="O87" i="105"/>
  <c r="N81" i="135" s="1"/>
  <c r="N125" i="135" s="1"/>
  <c r="N87" i="105"/>
  <c r="M81" i="135" s="1"/>
  <c r="M125" i="135" s="1"/>
  <c r="M87" i="105"/>
  <c r="L81" i="135" s="1"/>
  <c r="L125" i="135" s="1"/>
  <c r="L87" i="105"/>
  <c r="K81" i="135" s="1"/>
  <c r="K125" i="135" s="1"/>
  <c r="J87" i="105"/>
  <c r="I81" i="135" s="1"/>
  <c r="I87" i="105"/>
  <c r="H81" i="135" s="1"/>
  <c r="G87" i="105"/>
  <c r="F81" i="135" s="1"/>
  <c r="F87" i="105"/>
  <c r="E81" i="135" s="1"/>
  <c r="E87" i="105"/>
  <c r="D87" i="105"/>
  <c r="C21" i="120"/>
  <c r="E19" i="120"/>
  <c r="H19" i="120" s="1"/>
  <c r="D19" i="120"/>
  <c r="G44" i="105"/>
  <c r="F44" i="105"/>
  <c r="E44" i="105"/>
  <c r="D44" i="105"/>
  <c r="G43" i="105"/>
  <c r="F43" i="105"/>
  <c r="E43" i="105"/>
  <c r="D43" i="105"/>
  <c r="G42" i="105"/>
  <c r="F42" i="105"/>
  <c r="E42" i="105"/>
  <c r="D42" i="105"/>
  <c r="E16" i="120"/>
  <c r="D16" i="120"/>
  <c r="C16" i="120"/>
  <c r="G40" i="105"/>
  <c r="E15" i="120" s="1"/>
  <c r="H15" i="120" s="1"/>
  <c r="F40" i="105"/>
  <c r="D15" i="120" s="1"/>
  <c r="E40" i="105"/>
  <c r="C15" i="120" s="1"/>
  <c r="D40" i="105"/>
  <c r="BS35" i="105"/>
  <c r="BR35" i="105"/>
  <c r="BT34" i="105"/>
  <c r="BT33" i="105"/>
  <c r="BT32" i="105"/>
  <c r="BT31" i="105"/>
  <c r="BT30" i="105"/>
  <c r="I30" i="124"/>
  <c r="I29" i="124"/>
  <c r="I28" i="124"/>
  <c r="I27" i="124"/>
  <c r="BB20" i="105"/>
  <c r="BB19" i="105"/>
  <c r="BA19" i="105"/>
  <c r="C17" i="120"/>
  <c r="BB18" i="105"/>
  <c r="BA18" i="105"/>
  <c r="AZ18" i="105"/>
  <c r="AY18" i="105"/>
  <c r="AX18" i="105"/>
  <c r="AW18" i="105"/>
  <c r="AV18" i="105"/>
  <c r="AU18" i="105"/>
  <c r="I11" i="124"/>
  <c r="I15" i="124"/>
  <c r="I14" i="124"/>
  <c r="I13" i="124"/>
  <c r="I12" i="124"/>
  <c r="BR3" i="105"/>
  <c r="BO3" i="105"/>
  <c r="BN3" i="105"/>
  <c r="BM3" i="105"/>
  <c r="BL3" i="105"/>
  <c r="BK3" i="105"/>
  <c r="BJ3" i="105"/>
  <c r="BI3" i="105"/>
  <c r="BH3" i="105"/>
  <c r="BG3" i="105"/>
  <c r="L39" i="124"/>
  <c r="K39" i="124"/>
  <c r="C39" i="124"/>
  <c r="B39" i="124"/>
  <c r="L38" i="124"/>
  <c r="K38" i="124"/>
  <c r="C38" i="124"/>
  <c r="B38" i="124"/>
  <c r="L37" i="124"/>
  <c r="K37" i="124"/>
  <c r="B37" i="124"/>
  <c r="L36" i="124"/>
  <c r="K36" i="124"/>
  <c r="C36" i="124"/>
  <c r="B36" i="124"/>
  <c r="L35" i="124"/>
  <c r="K35" i="124"/>
  <c r="C35" i="124"/>
  <c r="B35" i="124"/>
  <c r="L23" i="124"/>
  <c r="K23" i="124"/>
  <c r="B23" i="124"/>
  <c r="L22" i="124"/>
  <c r="K22" i="124"/>
  <c r="B22" i="124"/>
  <c r="L21" i="124"/>
  <c r="K21" i="124"/>
  <c r="B21" i="124"/>
  <c r="L20" i="124"/>
  <c r="K20" i="124"/>
  <c r="B20" i="124"/>
  <c r="L19" i="124"/>
  <c r="K19" i="124"/>
  <c r="B19" i="124"/>
  <c r="N7" i="124"/>
  <c r="L7" i="124"/>
  <c r="N6" i="124"/>
  <c r="L6" i="124"/>
  <c r="N5" i="124"/>
  <c r="L5" i="124"/>
  <c r="N4" i="124"/>
  <c r="L4" i="124"/>
  <c r="N3" i="124"/>
  <c r="L3" i="124"/>
  <c r="W22" i="120"/>
  <c r="V22" i="120"/>
  <c r="U22" i="120"/>
  <c r="T22" i="120"/>
  <c r="S22" i="120"/>
  <c r="R22" i="120"/>
  <c r="P22" i="120"/>
  <c r="O22" i="120"/>
  <c r="N22" i="120"/>
  <c r="M22" i="120"/>
  <c r="L22" i="120"/>
  <c r="K22" i="120"/>
  <c r="I22" i="120"/>
  <c r="E22" i="120"/>
  <c r="D22" i="120"/>
  <c r="C22" i="120"/>
  <c r="W21" i="120"/>
  <c r="V21" i="120"/>
  <c r="U21" i="120"/>
  <c r="T21" i="120"/>
  <c r="S21" i="120"/>
  <c r="R21" i="120"/>
  <c r="Y21" i="120" s="1"/>
  <c r="P21" i="120"/>
  <c r="O21" i="120"/>
  <c r="N21" i="120"/>
  <c r="M21" i="120"/>
  <c r="L21" i="120"/>
  <c r="I21" i="120"/>
  <c r="W20" i="120"/>
  <c r="V20" i="120"/>
  <c r="U20" i="120"/>
  <c r="T20" i="120"/>
  <c r="S20" i="120"/>
  <c r="R20" i="120"/>
  <c r="Y20" i="120" s="1"/>
  <c r="P20" i="120"/>
  <c r="O20" i="120"/>
  <c r="N20" i="120"/>
  <c r="M20" i="120"/>
  <c r="L20" i="120"/>
  <c r="K20" i="120"/>
  <c r="I20" i="120"/>
  <c r="E20" i="120"/>
  <c r="H20" i="120" s="1"/>
  <c r="D20" i="120"/>
  <c r="C20" i="120"/>
  <c r="W19" i="120"/>
  <c r="V19" i="120"/>
  <c r="U19" i="120"/>
  <c r="T19" i="120"/>
  <c r="S19" i="120"/>
  <c r="R19" i="120"/>
  <c r="Y19" i="120" s="1"/>
  <c r="P19" i="120"/>
  <c r="O19" i="120"/>
  <c r="N19" i="120"/>
  <c r="M19" i="120"/>
  <c r="L19" i="120"/>
  <c r="I19" i="120"/>
  <c r="C19" i="120"/>
  <c r="W18" i="120"/>
  <c r="V18" i="120"/>
  <c r="U18" i="120"/>
  <c r="T18" i="120"/>
  <c r="S18" i="120"/>
  <c r="R18" i="120"/>
  <c r="Y18" i="120" s="1"/>
  <c r="P18" i="120"/>
  <c r="O18" i="120"/>
  <c r="N18" i="120"/>
  <c r="M18" i="120"/>
  <c r="L18" i="120"/>
  <c r="I18" i="120"/>
  <c r="E18" i="120"/>
  <c r="H18" i="120" s="1"/>
  <c r="C18" i="120"/>
  <c r="E10" i="120"/>
  <c r="D10" i="120"/>
  <c r="C10" i="120"/>
  <c r="D9" i="120"/>
  <c r="N195" i="61"/>
  <c r="J195" i="61"/>
  <c r="H195" i="61"/>
  <c r="F195" i="61"/>
  <c r="N181" i="61"/>
  <c r="J181" i="61"/>
  <c r="H181" i="61"/>
  <c r="F181" i="61"/>
  <c r="N171" i="61"/>
  <c r="N151" i="61"/>
  <c r="N148" i="61"/>
  <c r="N143" i="61"/>
  <c r="Q142" i="61"/>
  <c r="Q152" i="61" s="1"/>
  <c r="N142" i="61"/>
  <c r="N153" i="61" s="1"/>
  <c r="G142" i="61"/>
  <c r="H142" i="61" s="1"/>
  <c r="F142" i="61"/>
  <c r="N141" i="61"/>
  <c r="V132" i="61"/>
  <c r="U132" i="61"/>
  <c r="Q132" i="61"/>
  <c r="M132" i="61"/>
  <c r="Q131" i="61"/>
  <c r="N131" i="61"/>
  <c r="M131" i="61"/>
  <c r="N120" i="61"/>
  <c r="R121" i="61" s="1"/>
  <c r="R111" i="61"/>
  <c r="N100" i="61"/>
  <c r="R101" i="61" s="1"/>
  <c r="N90" i="61"/>
  <c r="R91" i="61" s="1"/>
  <c r="R81" i="61"/>
  <c r="N70" i="61"/>
  <c r="O71" i="61" s="1"/>
  <c r="N60" i="61"/>
  <c r="R61" i="61" s="1"/>
  <c r="U51" i="61"/>
  <c r="R51" i="61"/>
  <c r="N40" i="61"/>
  <c r="H31" i="61"/>
  <c r="F31" i="61"/>
  <c r="E31" i="61"/>
  <c r="N30" i="61"/>
  <c r="O31" i="61" s="1"/>
  <c r="N20" i="61"/>
  <c r="N10" i="61"/>
  <c r="O11" i="61" s="1"/>
  <c r="S1" i="61"/>
  <c r="E248" i="8"/>
  <c r="R244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R243" i="8" s="1"/>
  <c r="D243" i="8"/>
  <c r="R241" i="8"/>
  <c r="R240" i="8"/>
  <c r="D234" i="8"/>
  <c r="D233" i="8"/>
  <c r="V232" i="8"/>
  <c r="V233" i="8" s="1"/>
  <c r="T232" i="8"/>
  <c r="T233" i="8" s="1"/>
  <c r="S232" i="8"/>
  <c r="S234" i="8" s="1"/>
  <c r="R232" i="8"/>
  <c r="R234" i="8" s="1"/>
  <c r="Q232" i="8"/>
  <c r="Q234" i="8" s="1"/>
  <c r="P232" i="8"/>
  <c r="P234" i="8" s="1"/>
  <c r="O232" i="8"/>
  <c r="O234" i="8" s="1"/>
  <c r="N232" i="8"/>
  <c r="N234" i="8" s="1"/>
  <c r="M232" i="8"/>
  <c r="M233" i="8" s="1"/>
  <c r="L232" i="8"/>
  <c r="L233" i="8" s="1"/>
  <c r="K232" i="8"/>
  <c r="K234" i="8" s="1"/>
  <c r="J232" i="8"/>
  <c r="J234" i="8" s="1"/>
  <c r="I232" i="8"/>
  <c r="I234" i="8" s="1"/>
  <c r="H232" i="8"/>
  <c r="H234" i="8" s="1"/>
  <c r="G232" i="8"/>
  <c r="G234" i="8" s="1"/>
  <c r="F232" i="8"/>
  <c r="F234" i="8" s="1"/>
  <c r="F220" i="8"/>
  <c r="E171" i="8"/>
  <c r="V161" i="8"/>
  <c r="U161" i="8"/>
  <c r="T161" i="8"/>
  <c r="S161" i="8"/>
  <c r="R161" i="8"/>
  <c r="E161" i="8"/>
  <c r="V160" i="8"/>
  <c r="U160" i="8"/>
  <c r="T160" i="8"/>
  <c r="S160" i="8"/>
  <c r="R160" i="8"/>
  <c r="E160" i="8"/>
  <c r="V159" i="8"/>
  <c r="U159" i="8"/>
  <c r="T159" i="8"/>
  <c r="S159" i="8"/>
  <c r="R159" i="8"/>
  <c r="E159" i="8"/>
  <c r="V153" i="8"/>
  <c r="U153" i="8"/>
  <c r="T153" i="8"/>
  <c r="S153" i="8"/>
  <c r="R153" i="8"/>
  <c r="E153" i="8"/>
  <c r="V152" i="8"/>
  <c r="U152" i="8"/>
  <c r="T152" i="8"/>
  <c r="S152" i="8"/>
  <c r="R152" i="8"/>
  <c r="E152" i="8"/>
  <c r="V145" i="8"/>
  <c r="U145" i="8"/>
  <c r="T145" i="8"/>
  <c r="S145" i="8"/>
  <c r="R145" i="8"/>
  <c r="W139" i="8"/>
  <c r="V138" i="8"/>
  <c r="U138" i="8"/>
  <c r="T138" i="8"/>
  <c r="S138" i="8"/>
  <c r="R138" i="8"/>
  <c r="E138" i="8"/>
  <c r="V137" i="8"/>
  <c r="U137" i="8"/>
  <c r="T137" i="8"/>
  <c r="S137" i="8"/>
  <c r="R137" i="8"/>
  <c r="E137" i="8"/>
  <c r="V136" i="8"/>
  <c r="N136" i="8"/>
  <c r="M136" i="8"/>
  <c r="L136" i="8"/>
  <c r="K136" i="8"/>
  <c r="J136" i="8"/>
  <c r="I136" i="8"/>
  <c r="H136" i="8"/>
  <c r="G136" i="8"/>
  <c r="F136" i="8"/>
  <c r="E136" i="8"/>
  <c r="V130" i="8"/>
  <c r="U130" i="8"/>
  <c r="T130" i="8"/>
  <c r="S130" i="8"/>
  <c r="R130" i="8"/>
  <c r="E130" i="8"/>
  <c r="C129" i="8"/>
  <c r="D124" i="8"/>
  <c r="D231" i="8" s="1"/>
  <c r="E123" i="8"/>
  <c r="E121" i="8"/>
  <c r="E119" i="8"/>
  <c r="E118" i="8"/>
  <c r="E117" i="8"/>
  <c r="Q115" i="8"/>
  <c r="P115" i="8"/>
  <c r="X7" i="139" s="1"/>
  <c r="O115" i="8"/>
  <c r="W7" i="139" s="1"/>
  <c r="N115" i="8"/>
  <c r="V7" i="139" s="1"/>
  <c r="M115" i="8"/>
  <c r="U7" i="139" s="1"/>
  <c r="L115" i="8"/>
  <c r="T7" i="139" s="1"/>
  <c r="K115" i="8"/>
  <c r="S7" i="139" s="1"/>
  <c r="J115" i="8"/>
  <c r="R7" i="139" s="1"/>
  <c r="I115" i="8"/>
  <c r="Q7" i="139" s="1"/>
  <c r="H115" i="8"/>
  <c r="P7" i="139" s="1"/>
  <c r="G115" i="8"/>
  <c r="O7" i="139" s="1"/>
  <c r="F115" i="8"/>
  <c r="Q114" i="8"/>
  <c r="P114" i="8"/>
  <c r="O114" i="8"/>
  <c r="N114" i="8"/>
  <c r="M114" i="8"/>
  <c r="U7" i="91" s="1"/>
  <c r="L114" i="8"/>
  <c r="T7" i="91" s="1"/>
  <c r="K114" i="8"/>
  <c r="S7" i="91" s="1"/>
  <c r="J114" i="8"/>
  <c r="R7" i="91" s="1"/>
  <c r="I114" i="8"/>
  <c r="H114" i="8"/>
  <c r="P7" i="91" s="1"/>
  <c r="G114" i="8"/>
  <c r="O7" i="91" s="1"/>
  <c r="F114" i="8"/>
  <c r="Q113" i="8"/>
  <c r="Y7" i="142" s="1"/>
  <c r="P113" i="8"/>
  <c r="X7" i="142" s="1"/>
  <c r="O113" i="8"/>
  <c r="N113" i="8"/>
  <c r="M113" i="8"/>
  <c r="L113" i="8"/>
  <c r="K113" i="8"/>
  <c r="S7" i="142" s="1"/>
  <c r="J113" i="8"/>
  <c r="I113" i="8"/>
  <c r="Q7" i="142" s="1"/>
  <c r="H113" i="8"/>
  <c r="P7" i="90" s="1"/>
  <c r="G113" i="8"/>
  <c r="F113" i="8"/>
  <c r="N7" i="90" s="1"/>
  <c r="Q112" i="8"/>
  <c r="Y7" i="85" s="1"/>
  <c r="W31" i="105" s="1"/>
  <c r="P112" i="8"/>
  <c r="X7" i="85" s="1"/>
  <c r="V31" i="105" s="1"/>
  <c r="O112" i="8"/>
  <c r="W7" i="85" s="1"/>
  <c r="U31" i="105" s="1"/>
  <c r="N112" i="8"/>
  <c r="V7" i="85" s="1"/>
  <c r="M112" i="8"/>
  <c r="U7" i="85" s="1"/>
  <c r="L112" i="8"/>
  <c r="T7" i="85" s="1"/>
  <c r="K112" i="8"/>
  <c r="S7" i="85" s="1"/>
  <c r="J112" i="8"/>
  <c r="I112" i="8"/>
  <c r="Q7" i="85" s="1"/>
  <c r="H112" i="8"/>
  <c r="P7" i="85" s="1"/>
  <c r="G112" i="8"/>
  <c r="O7" i="85" s="1"/>
  <c r="F112" i="8"/>
  <c r="Q111" i="8"/>
  <c r="P111" i="8"/>
  <c r="O111" i="8"/>
  <c r="W7" i="82" s="1"/>
  <c r="U30" i="105" s="1"/>
  <c r="N111" i="8"/>
  <c r="M111" i="8"/>
  <c r="L111" i="8"/>
  <c r="K111" i="8"/>
  <c r="J111" i="8"/>
  <c r="R7" i="82" s="1"/>
  <c r="I111" i="8"/>
  <c r="H111" i="8"/>
  <c r="P7" i="82" s="1"/>
  <c r="G111" i="8"/>
  <c r="F111" i="8"/>
  <c r="N7" i="82" s="1"/>
  <c r="W110" i="8"/>
  <c r="D109" i="8"/>
  <c r="D106" i="8"/>
  <c r="E103" i="8"/>
  <c r="E102" i="8"/>
  <c r="E101" i="8"/>
  <c r="E100" i="8"/>
  <c r="E99" i="8"/>
  <c r="E91" i="8"/>
  <c r="E90" i="8"/>
  <c r="E88" i="8"/>
  <c r="I3" i="137"/>
  <c r="E87" i="8"/>
  <c r="Q85" i="8"/>
  <c r="Y75" i="102" s="1"/>
  <c r="P85" i="8"/>
  <c r="X75" i="102" s="1"/>
  <c r="O85" i="8"/>
  <c r="W75" i="102" s="1"/>
  <c r="N85" i="8"/>
  <c r="V75" i="102" s="1"/>
  <c r="M85" i="8"/>
  <c r="U75" i="102" s="1"/>
  <c r="L85" i="8"/>
  <c r="T75" i="102" s="1"/>
  <c r="K85" i="8"/>
  <c r="S75" i="102" s="1"/>
  <c r="J85" i="8"/>
  <c r="R75" i="102" s="1"/>
  <c r="I85" i="8"/>
  <c r="H85" i="8"/>
  <c r="P75" i="102" s="1"/>
  <c r="G85" i="8"/>
  <c r="O75" i="102" s="1"/>
  <c r="F85" i="8"/>
  <c r="N75" i="102" s="1"/>
  <c r="Q84" i="8"/>
  <c r="Y73" i="102" s="1"/>
  <c r="P84" i="8"/>
  <c r="X73" i="102" s="1"/>
  <c r="O84" i="8"/>
  <c r="W73" i="102" s="1"/>
  <c r="N84" i="8"/>
  <c r="V73" i="102" s="1"/>
  <c r="M84" i="8"/>
  <c r="U73" i="102" s="1"/>
  <c r="L84" i="8"/>
  <c r="T73" i="102" s="1"/>
  <c r="K84" i="8"/>
  <c r="S73" i="102" s="1"/>
  <c r="J84" i="8"/>
  <c r="R73" i="102" s="1"/>
  <c r="I84" i="8"/>
  <c r="H84" i="8"/>
  <c r="G84" i="8"/>
  <c r="F84" i="8"/>
  <c r="N73" i="102" s="1"/>
  <c r="Q83" i="8"/>
  <c r="Y71" i="102" s="1"/>
  <c r="P83" i="8"/>
  <c r="X71" i="102" s="1"/>
  <c r="O83" i="8"/>
  <c r="W71" i="102" s="1"/>
  <c r="N83" i="8"/>
  <c r="V71" i="102" s="1"/>
  <c r="M83" i="8"/>
  <c r="U71" i="102" s="1"/>
  <c r="L83" i="8"/>
  <c r="T71" i="102" s="1"/>
  <c r="K83" i="8"/>
  <c r="S71" i="102" s="1"/>
  <c r="J83" i="8"/>
  <c r="R71" i="102" s="1"/>
  <c r="I83" i="8"/>
  <c r="Q71" i="102" s="1"/>
  <c r="H83" i="8"/>
  <c r="G83" i="8"/>
  <c r="O71" i="102" s="1"/>
  <c r="F83" i="8"/>
  <c r="N71" i="102" s="1"/>
  <c r="Q82" i="8"/>
  <c r="Y69" i="102" s="1"/>
  <c r="P82" i="8"/>
  <c r="X69" i="102" s="1"/>
  <c r="O82" i="8"/>
  <c r="W69" i="102" s="1"/>
  <c r="N82" i="8"/>
  <c r="V69" i="102" s="1"/>
  <c r="M82" i="8"/>
  <c r="U69" i="102" s="1"/>
  <c r="L82" i="8"/>
  <c r="T69" i="102" s="1"/>
  <c r="K82" i="8"/>
  <c r="S69" i="102" s="1"/>
  <c r="J82" i="8"/>
  <c r="R69" i="102" s="1"/>
  <c r="I82" i="8"/>
  <c r="Q69" i="102" s="1"/>
  <c r="H82" i="8"/>
  <c r="G82" i="8"/>
  <c r="O69" i="102" s="1"/>
  <c r="F82" i="8"/>
  <c r="N69" i="102" s="1"/>
  <c r="Q81" i="8"/>
  <c r="Y67" i="102" s="1"/>
  <c r="P81" i="8"/>
  <c r="X67" i="102" s="1"/>
  <c r="O81" i="8"/>
  <c r="W67" i="102" s="1"/>
  <c r="N81" i="8"/>
  <c r="V67" i="102" s="1"/>
  <c r="M81" i="8"/>
  <c r="U67" i="102" s="1"/>
  <c r="L81" i="8"/>
  <c r="T67" i="102" s="1"/>
  <c r="K81" i="8"/>
  <c r="S67" i="102" s="1"/>
  <c r="J81" i="8"/>
  <c r="I81" i="8"/>
  <c r="H81" i="8"/>
  <c r="G81" i="8"/>
  <c r="O67" i="102" s="1"/>
  <c r="F81" i="8"/>
  <c r="N67" i="102" s="1"/>
  <c r="Q80" i="8"/>
  <c r="Y39" i="102" s="1"/>
  <c r="P80" i="8"/>
  <c r="X39" i="102" s="1"/>
  <c r="O80" i="8"/>
  <c r="W39" i="102" s="1"/>
  <c r="N80" i="8"/>
  <c r="V39" i="102" s="1"/>
  <c r="M80" i="8"/>
  <c r="U39" i="102" s="1"/>
  <c r="L80" i="8"/>
  <c r="T39" i="102" s="1"/>
  <c r="K80" i="8"/>
  <c r="S39" i="102" s="1"/>
  <c r="J80" i="8"/>
  <c r="I80" i="8"/>
  <c r="H80" i="8"/>
  <c r="P39" i="102" s="1"/>
  <c r="G80" i="8"/>
  <c r="O39" i="102" s="1"/>
  <c r="F80" i="8"/>
  <c r="N39" i="102" s="1"/>
  <c r="Q79" i="8"/>
  <c r="Y37" i="102" s="1"/>
  <c r="P79" i="8"/>
  <c r="X37" i="102" s="1"/>
  <c r="O79" i="8"/>
  <c r="W37" i="102" s="1"/>
  <c r="N79" i="8"/>
  <c r="V37" i="102" s="1"/>
  <c r="M79" i="8"/>
  <c r="U37" i="102" s="1"/>
  <c r="L79" i="8"/>
  <c r="T37" i="102" s="1"/>
  <c r="K79" i="8"/>
  <c r="J79" i="8"/>
  <c r="R37" i="102" s="1"/>
  <c r="I79" i="8"/>
  <c r="H79" i="8"/>
  <c r="G79" i="8"/>
  <c r="F79" i="8"/>
  <c r="Q78" i="8"/>
  <c r="Y35" i="102" s="1"/>
  <c r="P78" i="8"/>
  <c r="X35" i="102" s="1"/>
  <c r="O78" i="8"/>
  <c r="W35" i="102" s="1"/>
  <c r="N78" i="8"/>
  <c r="V35" i="102" s="1"/>
  <c r="M78" i="8"/>
  <c r="U35" i="102" s="1"/>
  <c r="L78" i="8"/>
  <c r="T35" i="102" s="1"/>
  <c r="K78" i="8"/>
  <c r="J78" i="8"/>
  <c r="R35" i="102" s="1"/>
  <c r="I78" i="8"/>
  <c r="H78" i="8"/>
  <c r="G78" i="8"/>
  <c r="F78" i="8"/>
  <c r="N35" i="102" s="1"/>
  <c r="Q77" i="8"/>
  <c r="Y33" i="102" s="1"/>
  <c r="P77" i="8"/>
  <c r="X33" i="102" s="1"/>
  <c r="O77" i="8"/>
  <c r="W33" i="102" s="1"/>
  <c r="N77" i="8"/>
  <c r="V33" i="102" s="1"/>
  <c r="M77" i="8"/>
  <c r="U33" i="102" s="1"/>
  <c r="L77" i="8"/>
  <c r="T33" i="102" s="1"/>
  <c r="K77" i="8"/>
  <c r="S33" i="102" s="1"/>
  <c r="J77" i="8"/>
  <c r="R33" i="102" s="1"/>
  <c r="I77" i="8"/>
  <c r="H77" i="8"/>
  <c r="G77" i="8"/>
  <c r="F77" i="8"/>
  <c r="Q76" i="8"/>
  <c r="Y31" i="102" s="1"/>
  <c r="P76" i="8"/>
  <c r="X31" i="102" s="1"/>
  <c r="O76" i="8"/>
  <c r="W31" i="102" s="1"/>
  <c r="N76" i="8"/>
  <c r="V31" i="102" s="1"/>
  <c r="M76" i="8"/>
  <c r="U31" i="102" s="1"/>
  <c r="L76" i="8"/>
  <c r="T31" i="102" s="1"/>
  <c r="K76" i="8"/>
  <c r="S31" i="102" s="1"/>
  <c r="J76" i="8"/>
  <c r="I76" i="8"/>
  <c r="Q31" i="102" s="1"/>
  <c r="H76" i="8"/>
  <c r="P31" i="102" s="1"/>
  <c r="G76" i="8"/>
  <c r="N31" i="102"/>
  <c r="E75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3" i="8"/>
  <c r="V72" i="8"/>
  <c r="D72" i="8"/>
  <c r="V71" i="8"/>
  <c r="D71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V67" i="8"/>
  <c r="D67" i="8"/>
  <c r="V66" i="8"/>
  <c r="D66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E64" i="8"/>
  <c r="V62" i="8"/>
  <c r="D62" i="8"/>
  <c r="V61" i="8"/>
  <c r="D61" i="8"/>
  <c r="W60" i="8"/>
  <c r="W61" i="8" s="1"/>
  <c r="V59" i="8"/>
  <c r="U59" i="8"/>
  <c r="U85" i="8" s="1"/>
  <c r="E59" i="8"/>
  <c r="V58" i="8"/>
  <c r="Z74" i="102" s="1"/>
  <c r="U58" i="8"/>
  <c r="U84" i="8" s="1"/>
  <c r="E58" i="8"/>
  <c r="V57" i="8"/>
  <c r="Z72" i="102" s="1"/>
  <c r="U57" i="8"/>
  <c r="U83" i="8" s="1"/>
  <c r="E57" i="8"/>
  <c r="V56" i="8"/>
  <c r="Z70" i="102" s="1"/>
  <c r="U56" i="8"/>
  <c r="U82" i="8" s="1"/>
  <c r="E56" i="8"/>
  <c r="V55" i="8"/>
  <c r="Z68" i="102" s="1"/>
  <c r="U55" i="8"/>
  <c r="U81" i="8" s="1"/>
  <c r="E55" i="8"/>
  <c r="V54" i="8"/>
  <c r="Z40" i="102" s="1"/>
  <c r="U54" i="8"/>
  <c r="U80" i="8" s="1"/>
  <c r="S54" i="8"/>
  <c r="R54" i="8"/>
  <c r="E54" i="8"/>
  <c r="V53" i="8"/>
  <c r="Z38" i="102" s="1"/>
  <c r="U53" i="8"/>
  <c r="U79" i="8" s="1"/>
  <c r="S53" i="8"/>
  <c r="R53" i="8"/>
  <c r="E53" i="8"/>
  <c r="V52" i="8"/>
  <c r="Z36" i="102" s="1"/>
  <c r="U52" i="8"/>
  <c r="U78" i="8" s="1"/>
  <c r="S52" i="8"/>
  <c r="R52" i="8"/>
  <c r="E52" i="8"/>
  <c r="V51" i="8"/>
  <c r="Z34" i="102" s="1"/>
  <c r="U51" i="8"/>
  <c r="U77" i="8" s="1"/>
  <c r="S51" i="8"/>
  <c r="R51" i="8"/>
  <c r="E51" i="8"/>
  <c r="AD50" i="8"/>
  <c r="V50" i="8"/>
  <c r="U50" i="8"/>
  <c r="U76" i="8" s="1"/>
  <c r="S50" i="8"/>
  <c r="E50" i="8"/>
  <c r="AD49" i="8"/>
  <c r="V49" i="8"/>
  <c r="Z86" i="102" s="1"/>
  <c r="U49" i="8"/>
  <c r="E49" i="8"/>
  <c r="AD48" i="8"/>
  <c r="AC48" i="8"/>
  <c r="V48" i="8"/>
  <c r="Z85" i="102" s="1"/>
  <c r="U48" i="8"/>
  <c r="E48" i="8"/>
  <c r="AD47" i="8"/>
  <c r="V47" i="8"/>
  <c r="Z84" i="102" s="1"/>
  <c r="U47" i="8"/>
  <c r="E47" i="8"/>
  <c r="AD46" i="8"/>
  <c r="AC46" i="8"/>
  <c r="V46" i="8"/>
  <c r="U46" i="8"/>
  <c r="E46" i="8"/>
  <c r="AF45" i="8"/>
  <c r="AE45" i="8"/>
  <c r="AD45" i="8"/>
  <c r="AC45" i="8"/>
  <c r="V45" i="8"/>
  <c r="U45" i="8"/>
  <c r="E45" i="8"/>
  <c r="AF44" i="8"/>
  <c r="AE44" i="8"/>
  <c r="AD44" i="8"/>
  <c r="AC44" i="8"/>
  <c r="V44" i="8"/>
  <c r="Z50" i="102" s="1"/>
  <c r="U44" i="8"/>
  <c r="E44" i="8"/>
  <c r="AF43" i="8"/>
  <c r="AE43" i="8"/>
  <c r="AD43" i="8"/>
  <c r="V43" i="8"/>
  <c r="Z49" i="102" s="1"/>
  <c r="U43" i="8"/>
  <c r="E43" i="8"/>
  <c r="AF42" i="8"/>
  <c r="AE42" i="8"/>
  <c r="AD42" i="8"/>
  <c r="V42" i="8"/>
  <c r="Z48" i="102" s="1"/>
  <c r="U42" i="8"/>
  <c r="E42" i="8"/>
  <c r="AF41" i="8"/>
  <c r="AE41" i="8"/>
  <c r="AD41" i="8"/>
  <c r="V41" i="8"/>
  <c r="Z47" i="102" s="1"/>
  <c r="U41" i="8"/>
  <c r="E41" i="8"/>
  <c r="V40" i="8"/>
  <c r="Z46" i="102" s="1"/>
  <c r="U40" i="8"/>
  <c r="Z20" i="82"/>
  <c r="E40" i="8"/>
  <c r="V37" i="8"/>
  <c r="J39" i="8" s="1"/>
  <c r="U37" i="8"/>
  <c r="E37" i="8"/>
  <c r="AG36" i="8"/>
  <c r="AC36" i="8"/>
  <c r="V36" i="8"/>
  <c r="U36" i="8"/>
  <c r="T36" i="8"/>
  <c r="S36" i="8"/>
  <c r="R36" i="8"/>
  <c r="D36" i="8"/>
  <c r="AG35" i="8"/>
  <c r="AC35" i="8"/>
  <c r="V35" i="8"/>
  <c r="U35" i="8"/>
  <c r="D35" i="8"/>
  <c r="E35" i="8" s="1"/>
  <c r="AG34" i="8"/>
  <c r="AC34" i="8"/>
  <c r="W34" i="8"/>
  <c r="V34" i="8"/>
  <c r="U34" i="8"/>
  <c r="D34" i="8"/>
  <c r="E34" i="8" s="1"/>
  <c r="AG33" i="8"/>
  <c r="AC33" i="8"/>
  <c r="W33" i="8"/>
  <c r="V33" i="8"/>
  <c r="U33" i="8"/>
  <c r="D33" i="8"/>
  <c r="E33" i="8" s="1"/>
  <c r="AG32" i="8"/>
  <c r="AC32" i="8"/>
  <c r="W32" i="8"/>
  <c r="V32" i="8"/>
  <c r="U32" i="8"/>
  <c r="E32" i="8"/>
  <c r="W31" i="8"/>
  <c r="W41" i="8" s="1"/>
  <c r="V31" i="8"/>
  <c r="U31" i="8"/>
  <c r="D31" i="8"/>
  <c r="W30" i="8"/>
  <c r="V30" i="8"/>
  <c r="R85" i="8"/>
  <c r="W29" i="8"/>
  <c r="V29" i="8"/>
  <c r="R114" i="8"/>
  <c r="AC28" i="8"/>
  <c r="W28" i="8"/>
  <c r="V28" i="8"/>
  <c r="AC27" i="8"/>
  <c r="V27" i="8"/>
  <c r="AC26" i="8"/>
  <c r="V26" i="8"/>
  <c r="AC25" i="8"/>
  <c r="AC24" i="8"/>
  <c r="Q24" i="8"/>
  <c r="P24" i="8"/>
  <c r="X10" i="139" s="1"/>
  <c r="O24" i="8"/>
  <c r="W10" i="139" s="1"/>
  <c r="N24" i="8"/>
  <c r="V10" i="139" s="1"/>
  <c r="M24" i="8"/>
  <c r="U10" i="139" s="1"/>
  <c r="L24" i="8"/>
  <c r="K24" i="8"/>
  <c r="S10" i="139" s="1"/>
  <c r="J24" i="8"/>
  <c r="R10" i="139" s="1"/>
  <c r="I24" i="8"/>
  <c r="Q10" i="139" s="1"/>
  <c r="H24" i="8"/>
  <c r="P10" i="139" s="1"/>
  <c r="O10" i="139"/>
  <c r="F24" i="8"/>
  <c r="N10" i="139" s="1"/>
  <c r="E24" i="8"/>
  <c r="Q23" i="8"/>
  <c r="P23" i="8"/>
  <c r="O23" i="8"/>
  <c r="N23" i="8"/>
  <c r="V10" i="144" s="1"/>
  <c r="M23" i="8"/>
  <c r="L23" i="8"/>
  <c r="T10" i="144" s="1"/>
  <c r="K23" i="8"/>
  <c r="J23" i="8"/>
  <c r="I23" i="8"/>
  <c r="H23" i="8"/>
  <c r="P10" i="144" s="1"/>
  <c r="F23" i="8"/>
  <c r="X9" i="142"/>
  <c r="W9" i="142"/>
  <c r="V9" i="142"/>
  <c r="U9" i="142"/>
  <c r="S9" i="142"/>
  <c r="N9" i="142"/>
  <c r="Y21" i="8"/>
  <c r="Q21" i="8"/>
  <c r="Y10" i="85" s="1"/>
  <c r="P21" i="8"/>
  <c r="X10" i="85" s="1"/>
  <c r="V18" i="105" s="1"/>
  <c r="O21" i="8"/>
  <c r="W10" i="85" s="1"/>
  <c r="U18" i="105" s="1"/>
  <c r="N21" i="8"/>
  <c r="V10" i="85" s="1"/>
  <c r="M21" i="8"/>
  <c r="U10" i="85" s="1"/>
  <c r="L21" i="8"/>
  <c r="K21" i="8"/>
  <c r="S10" i="85" s="1"/>
  <c r="J21" i="8"/>
  <c r="R10" i="85" s="1"/>
  <c r="I21" i="8"/>
  <c r="Q10" i="85" s="1"/>
  <c r="H21" i="8"/>
  <c r="O10" i="85"/>
  <c r="F21" i="8"/>
  <c r="N10" i="85" s="1"/>
  <c r="E21" i="8"/>
  <c r="AE20" i="8"/>
  <c r="AD20" i="8"/>
  <c r="AC20" i="8"/>
  <c r="Q20" i="8"/>
  <c r="P20" i="8"/>
  <c r="O20" i="8"/>
  <c r="N20" i="8"/>
  <c r="M20" i="8"/>
  <c r="L20" i="8"/>
  <c r="K20" i="8"/>
  <c r="J20" i="8"/>
  <c r="I20" i="8"/>
  <c r="H20" i="8"/>
  <c r="AE19" i="8"/>
  <c r="AD19" i="8"/>
  <c r="AC19" i="8"/>
  <c r="D19" i="8"/>
  <c r="AE18" i="8"/>
  <c r="AD18" i="8"/>
  <c r="AC18" i="8"/>
  <c r="Q18" i="8"/>
  <c r="W9" i="105" s="1"/>
  <c r="P18" i="8"/>
  <c r="V9" i="105" s="1"/>
  <c r="O18" i="8"/>
  <c r="U9" i="105" s="1"/>
  <c r="N18" i="8"/>
  <c r="M18" i="8"/>
  <c r="L18" i="8"/>
  <c r="K18" i="8"/>
  <c r="J18" i="8"/>
  <c r="I18" i="8"/>
  <c r="H18" i="8"/>
  <c r="G18" i="8"/>
  <c r="F18" i="8"/>
  <c r="E18" i="8"/>
  <c r="E12" i="8" s="1"/>
  <c r="AE17" i="8"/>
  <c r="AD17" i="8"/>
  <c r="AC17" i="8"/>
  <c r="Y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AE16" i="8"/>
  <c r="AD16" i="8"/>
  <c r="AC16" i="8"/>
  <c r="Q16" i="8"/>
  <c r="AL6" i="142" s="1"/>
  <c r="P16" i="8"/>
  <c r="O16" i="8"/>
  <c r="N16" i="8"/>
  <c r="M16" i="8"/>
  <c r="AH6" i="142" s="1"/>
  <c r="L16" i="8"/>
  <c r="K16" i="8"/>
  <c r="AF6" i="142" s="1"/>
  <c r="J16" i="8"/>
  <c r="AE6" i="142" s="1"/>
  <c r="I16" i="8"/>
  <c r="H16" i="8"/>
  <c r="G16" i="8"/>
  <c r="F16" i="8"/>
  <c r="AA6" i="142" s="1"/>
  <c r="E16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Q14" i="8"/>
  <c r="P14" i="8"/>
  <c r="O14" i="8"/>
  <c r="N14" i="8"/>
  <c r="M14" i="8"/>
  <c r="L14" i="8"/>
  <c r="K14" i="8"/>
  <c r="J14" i="8"/>
  <c r="I14" i="8"/>
  <c r="H14" i="8"/>
  <c r="G14" i="8"/>
  <c r="G8" i="8" s="1"/>
  <c r="E14" i="8"/>
  <c r="D12" i="8"/>
  <c r="D11" i="8"/>
  <c r="Q10" i="8"/>
  <c r="D9" i="8"/>
  <c r="T6" i="8"/>
  <c r="Q6" i="8"/>
  <c r="P6" i="8"/>
  <c r="O6" i="8"/>
  <c r="N6" i="8"/>
  <c r="M6" i="8"/>
  <c r="L6" i="8"/>
  <c r="K6" i="8"/>
  <c r="J6" i="8"/>
  <c r="I6" i="8"/>
  <c r="H6" i="8"/>
  <c r="G6" i="8"/>
  <c r="F6" i="8"/>
  <c r="D6" i="8"/>
  <c r="T5" i="8"/>
  <c r="Q5" i="8"/>
  <c r="P5" i="8"/>
  <c r="O5" i="8"/>
  <c r="N5" i="8"/>
  <c r="M5" i="8"/>
  <c r="L5" i="8"/>
  <c r="K5" i="8"/>
  <c r="J5" i="8"/>
  <c r="I5" i="8"/>
  <c r="H5" i="8"/>
  <c r="G5" i="8"/>
  <c r="F5" i="8"/>
  <c r="D5" i="8"/>
  <c r="T4" i="8"/>
  <c r="Q4" i="8"/>
  <c r="P4" i="8"/>
  <c r="O4" i="8"/>
  <c r="N4" i="8"/>
  <c r="M4" i="8"/>
  <c r="L4" i="8"/>
  <c r="K4" i="8"/>
  <c r="J4" i="8"/>
  <c r="I4" i="8"/>
  <c r="H4" i="8"/>
  <c r="G4" i="8"/>
  <c r="F4" i="8"/>
  <c r="D4" i="8"/>
  <c r="BE11" i="105" s="1"/>
  <c r="T3" i="8"/>
  <c r="Q3" i="8"/>
  <c r="P3" i="8"/>
  <c r="O3" i="8"/>
  <c r="N3" i="8"/>
  <c r="M3" i="8"/>
  <c r="L3" i="8"/>
  <c r="K3" i="8"/>
  <c r="J3" i="8"/>
  <c r="I3" i="8"/>
  <c r="H3" i="8"/>
  <c r="G3" i="8"/>
  <c r="F3" i="8"/>
  <c r="D3" i="8"/>
  <c r="BE10" i="105" s="1"/>
  <c r="J6" i="105" s="1"/>
  <c r="K6" i="105" s="1"/>
  <c r="T2" i="8"/>
  <c r="Q2" i="8"/>
  <c r="P2" i="8"/>
  <c r="O2" i="8"/>
  <c r="N2" i="8"/>
  <c r="M2" i="8"/>
  <c r="L2" i="8"/>
  <c r="K2" i="8"/>
  <c r="J2" i="8"/>
  <c r="I2" i="8"/>
  <c r="H2" i="8"/>
  <c r="G2" i="8"/>
  <c r="D2" i="8"/>
  <c r="BE9" i="105" s="1"/>
  <c r="AE41" i="69"/>
  <c r="AD41" i="69"/>
  <c r="AF41" i="69" s="1"/>
  <c r="AA41" i="69"/>
  <c r="U41" i="69"/>
  <c r="O41" i="69"/>
  <c r="K41" i="69"/>
  <c r="G41" i="69"/>
  <c r="AE40" i="69"/>
  <c r="AD40" i="69"/>
  <c r="AF40" i="69" s="1"/>
  <c r="AA40" i="69"/>
  <c r="U40" i="69"/>
  <c r="O40" i="69"/>
  <c r="K40" i="69"/>
  <c r="G40" i="69"/>
  <c r="AB34" i="69"/>
  <c r="Z34" i="69"/>
  <c r="Z35" i="69" s="1"/>
  <c r="Y34" i="69"/>
  <c r="X34" i="69"/>
  <c r="V34" i="69"/>
  <c r="T34" i="69"/>
  <c r="S34" i="69"/>
  <c r="R34" i="69"/>
  <c r="P34" i="69"/>
  <c r="N34" i="69"/>
  <c r="M34" i="69"/>
  <c r="L34" i="69"/>
  <c r="J34" i="69"/>
  <c r="I34" i="69"/>
  <c r="H34" i="69"/>
  <c r="F34" i="69"/>
  <c r="C34" i="69"/>
  <c r="B34" i="69"/>
  <c r="AE33" i="69"/>
  <c r="AF33" i="69" s="1"/>
  <c r="Y23" i="91"/>
  <c r="O33" i="69"/>
  <c r="K33" i="69"/>
  <c r="Y17" i="85" s="1"/>
  <c r="W41" i="105" s="1"/>
  <c r="Y16" i="82"/>
  <c r="AE32" i="69"/>
  <c r="X23" i="91"/>
  <c r="O32" i="69"/>
  <c r="K32" i="69"/>
  <c r="X17" i="85" s="1"/>
  <c r="V41" i="105" s="1"/>
  <c r="V16" i="120" s="1"/>
  <c r="X16" i="82"/>
  <c r="AE31" i="69"/>
  <c r="W23" i="91"/>
  <c r="O31" i="69"/>
  <c r="K31" i="69"/>
  <c r="W17" i="85" s="1"/>
  <c r="U41" i="105" s="1"/>
  <c r="U16" i="120" s="1"/>
  <c r="W16" i="82"/>
  <c r="AB30" i="69"/>
  <c r="Y30" i="69"/>
  <c r="Y35" i="69" s="1"/>
  <c r="X30" i="69"/>
  <c r="V30" i="69"/>
  <c r="AA30" i="69" s="1"/>
  <c r="T30" i="69"/>
  <c r="S30" i="69"/>
  <c r="S35" i="69" s="1"/>
  <c r="R30" i="69"/>
  <c r="P30" i="69"/>
  <c r="N30" i="69"/>
  <c r="M30" i="69"/>
  <c r="L30" i="69"/>
  <c r="J30" i="69"/>
  <c r="I30" i="69"/>
  <c r="H30" i="69"/>
  <c r="F30" i="69"/>
  <c r="C30" i="69"/>
  <c r="B30" i="69"/>
  <c r="AF29" i="69"/>
  <c r="V23" i="91"/>
  <c r="O29" i="69"/>
  <c r="K29" i="69"/>
  <c r="V17" i="85" s="1"/>
  <c r="T41" i="105" s="1"/>
  <c r="T16" i="120" s="1"/>
  <c r="V16" i="82"/>
  <c r="AF28" i="69"/>
  <c r="U23" i="91"/>
  <c r="O28" i="69"/>
  <c r="K28" i="69"/>
  <c r="U17" i="85" s="1"/>
  <c r="S41" i="105" s="1"/>
  <c r="S16" i="120" s="1"/>
  <c r="U16" i="82"/>
  <c r="AE27" i="69"/>
  <c r="T23" i="91"/>
  <c r="O27" i="69"/>
  <c r="K27" i="69"/>
  <c r="T17" i="85" s="1"/>
  <c r="R41" i="105" s="1"/>
  <c r="R16" i="120" s="1"/>
  <c r="Y16" i="120" s="1"/>
  <c r="T16" i="82"/>
  <c r="AB25" i="69"/>
  <c r="Z25" i="69"/>
  <c r="Y25" i="69"/>
  <c r="X25" i="69"/>
  <c r="V25" i="69"/>
  <c r="T25" i="69"/>
  <c r="S25" i="69"/>
  <c r="R25" i="69"/>
  <c r="P25" i="69"/>
  <c r="N25" i="69"/>
  <c r="M25" i="69"/>
  <c r="L25" i="69"/>
  <c r="J25" i="69"/>
  <c r="I25" i="69"/>
  <c r="H25" i="69"/>
  <c r="F25" i="69"/>
  <c r="C25" i="69"/>
  <c r="B25" i="69"/>
  <c r="AE24" i="69"/>
  <c r="S23" i="91"/>
  <c r="O24" i="69"/>
  <c r="K24" i="69"/>
  <c r="Q41" i="105" s="1"/>
  <c r="P16" i="120" s="1"/>
  <c r="S16" i="82"/>
  <c r="AE23" i="69"/>
  <c r="AG23" i="69"/>
  <c r="R23" i="91"/>
  <c r="O23" i="69"/>
  <c r="P41" i="105"/>
  <c r="O16" i="120" s="1"/>
  <c r="R16" i="82"/>
  <c r="AE22" i="69"/>
  <c r="Q23" i="91"/>
  <c r="O22" i="69"/>
  <c r="K22" i="69"/>
  <c r="O41" i="105" s="1"/>
  <c r="N16" i="120" s="1"/>
  <c r="Q16" i="82"/>
  <c r="AB21" i="69"/>
  <c r="Y21" i="69"/>
  <c r="X21" i="69"/>
  <c r="V21" i="69"/>
  <c r="S21" i="69"/>
  <c r="R21" i="69"/>
  <c r="P21" i="69"/>
  <c r="M21" i="69"/>
  <c r="L21" i="69"/>
  <c r="I21" i="69"/>
  <c r="H21" i="69"/>
  <c r="C21" i="69"/>
  <c r="B21" i="69"/>
  <c r="AE20" i="69"/>
  <c r="P23" i="91"/>
  <c r="O20" i="69"/>
  <c r="P17" i="142" s="1"/>
  <c r="K20" i="69"/>
  <c r="N41" i="105" s="1"/>
  <c r="M16" i="120" s="1"/>
  <c r="P16" i="82"/>
  <c r="AE19" i="69"/>
  <c r="AD19" i="69"/>
  <c r="AA19" i="69"/>
  <c r="U19" i="69"/>
  <c r="O23" i="91" s="1"/>
  <c r="O19" i="69"/>
  <c r="K19" i="69"/>
  <c r="M41" i="105" s="1"/>
  <c r="L16" i="120" s="1"/>
  <c r="G19" i="69"/>
  <c r="O16" i="82" s="1"/>
  <c r="AE17" i="69"/>
  <c r="AF17" i="69" s="1"/>
  <c r="AA17" i="69"/>
  <c r="U17" i="69"/>
  <c r="O17" i="69"/>
  <c r="K17" i="69"/>
  <c r="AE13" i="69"/>
  <c r="AD13" i="69"/>
  <c r="AF13" i="69" s="1"/>
  <c r="AA13" i="69"/>
  <c r="U13" i="69"/>
  <c r="H23" i="91" s="1"/>
  <c r="O13" i="69"/>
  <c r="K13" i="69"/>
  <c r="G13" i="69"/>
  <c r="H16" i="82" s="1"/>
  <c r="AE12" i="69"/>
  <c r="AD12" i="69"/>
  <c r="AF12" i="69" s="1"/>
  <c r="AA12" i="69"/>
  <c r="U12" i="69"/>
  <c r="G23" i="91" s="1"/>
  <c r="O12" i="69"/>
  <c r="K12" i="69"/>
  <c r="G12" i="69"/>
  <c r="AE11" i="69"/>
  <c r="AD11" i="69"/>
  <c r="AF11" i="69" s="1"/>
  <c r="AA11" i="69"/>
  <c r="U11" i="69"/>
  <c r="F23" i="91" s="1"/>
  <c r="O11" i="69"/>
  <c r="K11" i="69"/>
  <c r="G11" i="69"/>
  <c r="AE10" i="69"/>
  <c r="AD10" i="69"/>
  <c r="AF10" i="69" s="1"/>
  <c r="AA10" i="69"/>
  <c r="U10" i="69"/>
  <c r="E23" i="91" s="1"/>
  <c r="O10" i="69"/>
  <c r="K10" i="69"/>
  <c r="G10" i="69"/>
  <c r="AE9" i="69"/>
  <c r="AD9" i="69"/>
  <c r="AA9" i="69"/>
  <c r="U9" i="69"/>
  <c r="D23" i="91" s="1"/>
  <c r="O9" i="69"/>
  <c r="K9" i="69"/>
  <c r="G9" i="69"/>
  <c r="AE8" i="69"/>
  <c r="AD8" i="69"/>
  <c r="AF8" i="69" s="1"/>
  <c r="AA8" i="69"/>
  <c r="U8" i="69"/>
  <c r="O8" i="69"/>
  <c r="K8" i="69"/>
  <c r="G8" i="69"/>
  <c r="AE7" i="69"/>
  <c r="AF7" i="69" s="1"/>
  <c r="U7" i="69"/>
  <c r="O7" i="69"/>
  <c r="K7" i="69"/>
  <c r="G7" i="69"/>
  <c r="AF6" i="69"/>
  <c r="AE6" i="69"/>
  <c r="U6" i="69"/>
  <c r="O6" i="69"/>
  <c r="K6" i="69"/>
  <c r="G6" i="69"/>
  <c r="E9" i="120" l="1"/>
  <c r="J16" i="95"/>
  <c r="AE61" i="102"/>
  <c r="I167" i="8" s="1"/>
  <c r="AM61" i="102"/>
  <c r="Q167" i="8" s="1"/>
  <c r="F16" i="102"/>
  <c r="F15" i="102"/>
  <c r="O9" i="102"/>
  <c r="W9" i="102"/>
  <c r="AB61" i="102"/>
  <c r="F167" i="8" s="1"/>
  <c r="O61" i="102"/>
  <c r="R124" i="135"/>
  <c r="R80" i="135"/>
  <c r="R125" i="135"/>
  <c r="R86" i="135"/>
  <c r="J7" i="105"/>
  <c r="K7" i="105" s="1"/>
  <c r="R113" i="135"/>
  <c r="R116" i="135" s="1"/>
  <c r="AH17" i="135"/>
  <c r="AA18" i="95"/>
  <c r="W68" i="135"/>
  <c r="W195" i="135" s="1"/>
  <c r="BH230" i="105"/>
  <c r="W67" i="135"/>
  <c r="W176" i="135" s="1"/>
  <c r="BH229" i="105"/>
  <c r="W65" i="135"/>
  <c r="BH227" i="105"/>
  <c r="W64" i="135"/>
  <c r="W121" i="135" s="1"/>
  <c r="BH226" i="105"/>
  <c r="W60" i="135"/>
  <c r="W156" i="135" s="1"/>
  <c r="BH213" i="105"/>
  <c r="W59" i="135"/>
  <c r="BH212" i="105"/>
  <c r="W58" i="135"/>
  <c r="W120" i="135" s="1"/>
  <c r="BH211" i="105"/>
  <c r="V49" i="135"/>
  <c r="V155" i="135" s="1"/>
  <c r="V47" i="135"/>
  <c r="V138" i="135" s="1"/>
  <c r="V46" i="135"/>
  <c r="V137" i="135" s="1"/>
  <c r="V44" i="135"/>
  <c r="V118" i="135" s="1"/>
  <c r="X19" i="95"/>
  <c r="O4" i="93"/>
  <c r="O5" i="93" s="1"/>
  <c r="V180" i="135"/>
  <c r="V86" i="135"/>
  <c r="V179" i="135"/>
  <c r="V80" i="135"/>
  <c r="Y7" i="92"/>
  <c r="W34" i="105" s="1"/>
  <c r="Y7" i="139"/>
  <c r="Y13" i="102"/>
  <c r="V51" i="135"/>
  <c r="V53" i="135"/>
  <c r="V193" i="135" s="1"/>
  <c r="V174" i="135"/>
  <c r="V50" i="135"/>
  <c r="Q116" i="8"/>
  <c r="Q226" i="8" s="1"/>
  <c r="Y7" i="91"/>
  <c r="W33" i="105" s="1"/>
  <c r="Y7" i="144"/>
  <c r="W8" i="105"/>
  <c r="O121" i="61"/>
  <c r="W62" i="135"/>
  <c r="W194" i="135" s="1"/>
  <c r="BH215" i="105"/>
  <c r="AA12" i="95"/>
  <c r="W19" i="95"/>
  <c r="N4" i="93"/>
  <c r="N5" i="93" s="1"/>
  <c r="U124" i="135"/>
  <c r="U80" i="135"/>
  <c r="U125" i="135"/>
  <c r="U86" i="135"/>
  <c r="U45" i="135"/>
  <c r="H35" i="69"/>
  <c r="U44" i="135"/>
  <c r="U118" i="135" s="1"/>
  <c r="U46" i="135"/>
  <c r="U137" i="135" s="1"/>
  <c r="U50" i="135"/>
  <c r="U173" i="135" s="1"/>
  <c r="U48" i="135"/>
  <c r="U154" i="135" s="1"/>
  <c r="U49" i="135"/>
  <c r="U155" i="135" s="1"/>
  <c r="U23" i="137"/>
  <c r="U119" i="135"/>
  <c r="X7" i="91"/>
  <c r="V33" i="105" s="1"/>
  <c r="X7" i="144"/>
  <c r="V7" i="105"/>
  <c r="P144" i="8"/>
  <c r="AK6" i="142" s="1"/>
  <c r="V8" i="105"/>
  <c r="AI18" i="105"/>
  <c r="U3" i="135"/>
  <c r="U130" i="135" s="1"/>
  <c r="V6" i="105"/>
  <c r="W61" i="102"/>
  <c r="N61" i="102"/>
  <c r="S61" i="102"/>
  <c r="V19" i="95"/>
  <c r="V20" i="95" s="1"/>
  <c r="M4" i="93"/>
  <c r="M5" i="93" s="1"/>
  <c r="T125" i="135"/>
  <c r="T86" i="135"/>
  <c r="T124" i="135"/>
  <c r="T80" i="135"/>
  <c r="U34" i="69"/>
  <c r="T51" i="135"/>
  <c r="T174" i="135" s="1"/>
  <c r="W7" i="91"/>
  <c r="U33" i="105" s="1"/>
  <c r="W7" i="144"/>
  <c r="T48" i="135"/>
  <c r="T154" i="135" s="1"/>
  <c r="T49" i="135"/>
  <c r="T155" i="135" s="1"/>
  <c r="W7" i="90"/>
  <c r="U32" i="105" s="1"/>
  <c r="W7" i="142"/>
  <c r="T47" i="135"/>
  <c r="T138" i="135" s="1"/>
  <c r="T45" i="135"/>
  <c r="T119" i="135" s="1"/>
  <c r="T55" i="135"/>
  <c r="T57" i="135" s="1"/>
  <c r="T44" i="135"/>
  <c r="X35" i="69"/>
  <c r="AA34" i="69"/>
  <c r="M35" i="69"/>
  <c r="G34" i="69"/>
  <c r="AD34" i="69"/>
  <c r="U7" i="105"/>
  <c r="O144" i="8"/>
  <c r="AJ6" i="142" s="1"/>
  <c r="U8" i="105"/>
  <c r="O151" i="8"/>
  <c r="U6" i="105"/>
  <c r="AH18" i="105"/>
  <c r="AL18" i="105" s="1"/>
  <c r="AM18" i="105" s="1"/>
  <c r="T3" i="135"/>
  <c r="P22" i="105"/>
  <c r="O3" i="120" s="1"/>
  <c r="AC17" i="105"/>
  <c r="V61" i="102"/>
  <c r="AJ61" i="102"/>
  <c r="N167" i="8" s="1"/>
  <c r="W96" i="135"/>
  <c r="W164" i="135" s="1"/>
  <c r="W94" i="135"/>
  <c r="W127" i="135" s="1"/>
  <c r="W95" i="135"/>
  <c r="W145" i="135" s="1"/>
  <c r="U19" i="95"/>
  <c r="L4" i="93"/>
  <c r="L5" i="93" s="1"/>
  <c r="S86" i="135"/>
  <c r="S80" i="135"/>
  <c r="W42" i="135"/>
  <c r="W191" i="135" s="1"/>
  <c r="W41" i="135"/>
  <c r="W172" i="135" s="1"/>
  <c r="W39" i="135"/>
  <c r="W136" i="135" s="1"/>
  <c r="S53" i="135"/>
  <c r="S193" i="135" s="1"/>
  <c r="S48" i="135"/>
  <c r="S154" i="135" s="1"/>
  <c r="S50" i="135"/>
  <c r="S173" i="135" s="1"/>
  <c r="S51" i="135"/>
  <c r="V7" i="91"/>
  <c r="V7" i="144"/>
  <c r="S49" i="135"/>
  <c r="V7" i="90"/>
  <c r="V7" i="142"/>
  <c r="S47" i="135"/>
  <c r="S46" i="135"/>
  <c r="S137" i="135" s="1"/>
  <c r="S45" i="135"/>
  <c r="S44" i="135"/>
  <c r="N12" i="8"/>
  <c r="N144" i="8"/>
  <c r="AI6" i="142" s="1"/>
  <c r="N151" i="8"/>
  <c r="S3" i="135"/>
  <c r="C29" i="124"/>
  <c r="D29" i="124" s="1"/>
  <c r="E29" i="124" s="1"/>
  <c r="F5" i="124" s="1"/>
  <c r="W66" i="135"/>
  <c r="H63" i="135"/>
  <c r="W61" i="135"/>
  <c r="L18" i="95"/>
  <c r="L20" i="95" s="1"/>
  <c r="L21" i="95" s="1"/>
  <c r="T19" i="95"/>
  <c r="K4" i="93"/>
  <c r="K5" i="93" s="1"/>
  <c r="P46" i="135"/>
  <c r="P137" i="135" s="1"/>
  <c r="P50" i="135"/>
  <c r="P173" i="135" s="1"/>
  <c r="K51" i="135"/>
  <c r="K174" i="135" s="1"/>
  <c r="O52" i="135"/>
  <c r="O192" i="135" s="1"/>
  <c r="J53" i="135"/>
  <c r="J193" i="135" s="1"/>
  <c r="O48" i="135"/>
  <c r="L23" i="102"/>
  <c r="M23" i="102" s="1"/>
  <c r="M46" i="135"/>
  <c r="M137" i="135" s="1"/>
  <c r="P47" i="135"/>
  <c r="P138" i="135" s="1"/>
  <c r="J49" i="135"/>
  <c r="J155" i="135" s="1"/>
  <c r="M50" i="135"/>
  <c r="M173" i="135" s="1"/>
  <c r="P51" i="135"/>
  <c r="P174" i="135" s="1"/>
  <c r="Q155" i="135"/>
  <c r="AG49" i="135"/>
  <c r="Q7" i="8"/>
  <c r="L29" i="135"/>
  <c r="L9" i="135"/>
  <c r="L10" i="135"/>
  <c r="X10" i="91"/>
  <c r="X10" i="144"/>
  <c r="E124" i="8"/>
  <c r="Y47" i="135"/>
  <c r="J138" i="135"/>
  <c r="J48" i="135"/>
  <c r="J154" i="135" s="1"/>
  <c r="Y51" i="135"/>
  <c r="J174" i="135"/>
  <c r="AG53" i="135"/>
  <c r="AG193" i="135" s="1"/>
  <c r="M49" i="135"/>
  <c r="AC49" i="135" s="1"/>
  <c r="AC155" i="135" s="1"/>
  <c r="O138" i="135"/>
  <c r="AE47" i="135"/>
  <c r="AE51" i="135"/>
  <c r="O174" i="135"/>
  <c r="AN202" i="135"/>
  <c r="I33" i="135"/>
  <c r="I189" i="135" s="1"/>
  <c r="J21" i="135"/>
  <c r="J187" i="135" s="1"/>
  <c r="I14" i="135"/>
  <c r="I186" i="135" s="1"/>
  <c r="J33" i="135"/>
  <c r="J189" i="135" s="1"/>
  <c r="J26" i="135"/>
  <c r="J188" i="135" s="1"/>
  <c r="I26" i="135"/>
  <c r="I188" i="135" s="1"/>
  <c r="I21" i="135"/>
  <c r="I187" i="135" s="1"/>
  <c r="Z42" i="135"/>
  <c r="Z191" i="135" s="1"/>
  <c r="Z98" i="135"/>
  <c r="Z62" i="135"/>
  <c r="Z68" i="135"/>
  <c r="Z53" i="135"/>
  <c r="R10" i="91"/>
  <c r="F59" i="138" s="1"/>
  <c r="R10" i="144"/>
  <c r="Y6" i="102"/>
  <c r="I3" i="135"/>
  <c r="X3" i="135" s="1"/>
  <c r="Z3" i="135" s="1"/>
  <c r="L138" i="135"/>
  <c r="AB47" i="135"/>
  <c r="L48" i="135"/>
  <c r="N49" i="135"/>
  <c r="N155" i="135" s="1"/>
  <c r="U10" i="91"/>
  <c r="U10" i="144"/>
  <c r="Q10" i="91"/>
  <c r="Q10" i="144"/>
  <c r="S10" i="91"/>
  <c r="S10" i="144"/>
  <c r="J46" i="135"/>
  <c r="J137" i="135" s="1"/>
  <c r="M47" i="135"/>
  <c r="M48" i="135"/>
  <c r="M154" i="135" s="1"/>
  <c r="O49" i="135"/>
  <c r="AE49" i="135" s="1"/>
  <c r="M51" i="135"/>
  <c r="M174" i="135" s="1"/>
  <c r="Q44" i="135"/>
  <c r="Q118" i="135" s="1"/>
  <c r="Y10" i="91"/>
  <c r="W20" i="105" s="1"/>
  <c r="Y10" i="144"/>
  <c r="H73" i="8"/>
  <c r="AC6" i="142"/>
  <c r="K46" i="135"/>
  <c r="K137" i="135" s="1"/>
  <c r="N47" i="135"/>
  <c r="P49" i="135"/>
  <c r="P155" i="135" s="1"/>
  <c r="N51" i="135"/>
  <c r="Y42" i="135"/>
  <c r="Y191" i="135" s="1"/>
  <c r="J52" i="135"/>
  <c r="J192" i="135" s="1"/>
  <c r="N53" i="135"/>
  <c r="N193" i="135" s="1"/>
  <c r="Q6" i="139"/>
  <c r="R6" i="139"/>
  <c r="Y41" i="135"/>
  <c r="J172" i="135"/>
  <c r="J43" i="135"/>
  <c r="AE53" i="135"/>
  <c r="AE193" i="135" s="1"/>
  <c r="AG6" i="142"/>
  <c r="S6" i="139"/>
  <c r="N10" i="91"/>
  <c r="N10" i="144"/>
  <c r="W10" i="91"/>
  <c r="W10" i="144"/>
  <c r="N46" i="135"/>
  <c r="N137" i="135" s="1"/>
  <c r="Q47" i="135"/>
  <c r="Q48" i="135"/>
  <c r="Q154" i="135" s="1"/>
  <c r="Q174" i="135"/>
  <c r="AG51" i="135"/>
  <c r="M52" i="135"/>
  <c r="M192" i="135" s="1"/>
  <c r="P53" i="135"/>
  <c r="P193" i="135" s="1"/>
  <c r="M44" i="135"/>
  <c r="M118" i="135" s="1"/>
  <c r="AT17" i="82"/>
  <c r="X52" i="105"/>
  <c r="AT12" i="82"/>
  <c r="U7" i="90"/>
  <c r="U7" i="142"/>
  <c r="M7" i="8"/>
  <c r="N44" i="135"/>
  <c r="N118" i="135" s="1"/>
  <c r="J44" i="135"/>
  <c r="J118" i="135" s="1"/>
  <c r="O44" i="135"/>
  <c r="O118" i="135" s="1"/>
  <c r="Q86" i="135"/>
  <c r="Q125" i="135"/>
  <c r="P44" i="135"/>
  <c r="P118" i="135" s="1"/>
  <c r="L45" i="135"/>
  <c r="L55" i="135" s="1"/>
  <c r="Q80" i="135"/>
  <c r="Q124" i="135"/>
  <c r="M45" i="135"/>
  <c r="N45" i="135"/>
  <c r="K44" i="135"/>
  <c r="K118" i="135" s="1"/>
  <c r="O45" i="135"/>
  <c r="F17" i="138"/>
  <c r="L44" i="135"/>
  <c r="L118" i="135" s="1"/>
  <c r="P45" i="135"/>
  <c r="Q45" i="135"/>
  <c r="U30" i="69"/>
  <c r="G30" i="69"/>
  <c r="AD30" i="69"/>
  <c r="U69" i="8"/>
  <c r="T69" i="8"/>
  <c r="T64" i="8"/>
  <c r="U64" i="8"/>
  <c r="T7" i="90"/>
  <c r="T7" i="142"/>
  <c r="AA6" i="95"/>
  <c r="N161" i="135"/>
  <c r="N86" i="135"/>
  <c r="P80" i="135"/>
  <c r="P160" i="135"/>
  <c r="O161" i="135"/>
  <c r="O86" i="135"/>
  <c r="L154" i="135"/>
  <c r="P161" i="135"/>
  <c r="P86" i="135"/>
  <c r="K160" i="135"/>
  <c r="K80" i="135"/>
  <c r="N154" i="135"/>
  <c r="J96" i="135"/>
  <c r="L160" i="135"/>
  <c r="L80" i="135"/>
  <c r="O154" i="135"/>
  <c r="K161" i="135"/>
  <c r="K86" i="135"/>
  <c r="M160" i="135"/>
  <c r="M80" i="135"/>
  <c r="P154" i="135"/>
  <c r="L161" i="135"/>
  <c r="L86" i="135"/>
  <c r="N160" i="135"/>
  <c r="N80" i="135"/>
  <c r="J162" i="135"/>
  <c r="M161" i="135"/>
  <c r="M86" i="135"/>
  <c r="O160" i="135"/>
  <c r="O80" i="135"/>
  <c r="L155" i="135"/>
  <c r="AB49" i="135"/>
  <c r="I24" i="93"/>
  <c r="R9" i="95" s="1"/>
  <c r="R4" i="95"/>
  <c r="R142" i="61"/>
  <c r="Q143" i="61" s="1"/>
  <c r="R143" i="61" s="1"/>
  <c r="S21" i="102"/>
  <c r="R61" i="102"/>
  <c r="H4" i="93"/>
  <c r="H5" i="93" s="1"/>
  <c r="AE18" i="90"/>
  <c r="AE18" i="142"/>
  <c r="R7" i="90"/>
  <c r="R7" i="142"/>
  <c r="R21" i="102"/>
  <c r="X26" i="69"/>
  <c r="P26" i="69"/>
  <c r="E17" i="142"/>
  <c r="E17" i="90"/>
  <c r="G23" i="139"/>
  <c r="G23" i="92"/>
  <c r="X23" i="139"/>
  <c r="X23" i="92"/>
  <c r="D17" i="142"/>
  <c r="D17" i="90"/>
  <c r="F23" i="139"/>
  <c r="F23" i="92"/>
  <c r="S17" i="142"/>
  <c r="S17" i="90"/>
  <c r="U17" i="142"/>
  <c r="U17" i="90"/>
  <c r="V23" i="139"/>
  <c r="V23" i="92"/>
  <c r="W23" i="139"/>
  <c r="W23" i="92"/>
  <c r="E23" i="139"/>
  <c r="E23" i="92"/>
  <c r="O17" i="90"/>
  <c r="O17" i="142"/>
  <c r="R17" i="142"/>
  <c r="R17" i="90"/>
  <c r="T17" i="142"/>
  <c r="T17" i="90"/>
  <c r="D23" i="139"/>
  <c r="D23" i="92"/>
  <c r="S23" i="139"/>
  <c r="S23" i="92"/>
  <c r="U23" i="139"/>
  <c r="U23" i="92"/>
  <c r="AF9" i="69"/>
  <c r="R23" i="139"/>
  <c r="R23" i="92"/>
  <c r="T23" i="139"/>
  <c r="T23" i="92"/>
  <c r="Y17" i="142"/>
  <c r="Y17" i="90"/>
  <c r="H17" i="142"/>
  <c r="H17" i="90"/>
  <c r="G17" i="142"/>
  <c r="G17" i="90"/>
  <c r="X17" i="142"/>
  <c r="X17" i="90"/>
  <c r="Y23" i="139"/>
  <c r="Y23" i="92"/>
  <c r="P14" i="82"/>
  <c r="F17" i="142"/>
  <c r="F17" i="90"/>
  <c r="H23" i="139"/>
  <c r="H23" i="92"/>
  <c r="V17" i="142"/>
  <c r="V17" i="90"/>
  <c r="W17" i="142"/>
  <c r="W17" i="90"/>
  <c r="E21" i="95"/>
  <c r="R171" i="8"/>
  <c r="Z59" i="102"/>
  <c r="Q61" i="102"/>
  <c r="Y61" i="102"/>
  <c r="F77" i="102"/>
  <c r="Y39" i="95"/>
  <c r="Y40" i="95"/>
  <c r="R28" i="95"/>
  <c r="Y41" i="95"/>
  <c r="T61" i="102"/>
  <c r="U61" i="102"/>
  <c r="S28" i="95"/>
  <c r="T28" i="95"/>
  <c r="Z60" i="102"/>
  <c r="M28" i="95"/>
  <c r="U28" i="95"/>
  <c r="X61" i="102"/>
  <c r="N28" i="95"/>
  <c r="V28" i="95"/>
  <c r="Z57" i="102"/>
  <c r="G88" i="102"/>
  <c r="G89" i="102" s="1"/>
  <c r="O28" i="95"/>
  <c r="W28" i="95"/>
  <c r="Z58" i="102"/>
  <c r="P28" i="95"/>
  <c r="X28" i="95"/>
  <c r="F41" i="102"/>
  <c r="F78" i="102" s="1"/>
  <c r="F79" i="102" s="1"/>
  <c r="Q28" i="95"/>
  <c r="D167" i="8"/>
  <c r="E167" i="8" s="1"/>
  <c r="T171" i="8"/>
  <c r="P20" i="95"/>
  <c r="G24" i="93"/>
  <c r="P9" i="95" s="1"/>
  <c r="P4" i="95"/>
  <c r="G4" i="93"/>
  <c r="G5" i="93" s="1"/>
  <c r="Q23" i="139"/>
  <c r="Q23" i="92"/>
  <c r="Q17" i="142"/>
  <c r="Q17" i="90"/>
  <c r="L132" i="61"/>
  <c r="T31" i="61"/>
  <c r="AD6" i="142"/>
  <c r="P61" i="102"/>
  <c r="Z56" i="102"/>
  <c r="AC53" i="135"/>
  <c r="AC193" i="135" s="1"/>
  <c r="T7" i="8"/>
  <c r="I8" i="8"/>
  <c r="Q8" i="8"/>
  <c r="U171" i="8"/>
  <c r="U4" i="8"/>
  <c r="L8" i="8"/>
  <c r="U14" i="8"/>
  <c r="T14" i="8"/>
  <c r="I96" i="8"/>
  <c r="I148" i="8" s="1"/>
  <c r="AB8" i="105" s="1"/>
  <c r="Q96" i="8"/>
  <c r="Q148" i="8" s="1"/>
  <c r="AJ8" i="105" s="1"/>
  <c r="P97" i="8"/>
  <c r="P156" i="8" s="1"/>
  <c r="AI9" i="105" s="1"/>
  <c r="B35" i="138"/>
  <c r="I36" i="141"/>
  <c r="J35" i="138"/>
  <c r="Q36" i="141"/>
  <c r="R9" i="90"/>
  <c r="R9" i="142"/>
  <c r="B59" i="138"/>
  <c r="I60" i="141"/>
  <c r="R60" i="141"/>
  <c r="M18" i="141"/>
  <c r="F18" i="138"/>
  <c r="L17" i="142"/>
  <c r="M17" i="142" s="1"/>
  <c r="M5" i="90"/>
  <c r="L42" i="141"/>
  <c r="L43" i="141" s="1"/>
  <c r="E41" i="138"/>
  <c r="E42" i="138" s="1"/>
  <c r="T42" i="141"/>
  <c r="T43" i="141" s="1"/>
  <c r="M41" i="138"/>
  <c r="M42" i="138" s="1"/>
  <c r="K18" i="141"/>
  <c r="J96" i="8"/>
  <c r="J148" i="8" s="1"/>
  <c r="AC8" i="105" s="1"/>
  <c r="I12" i="8"/>
  <c r="I97" i="8"/>
  <c r="I156" i="8" s="1"/>
  <c r="AB9" i="105" s="1"/>
  <c r="Q97" i="8"/>
  <c r="Q156" i="8" s="1"/>
  <c r="AJ9" i="105" s="1"/>
  <c r="C35" i="138"/>
  <c r="J36" i="141"/>
  <c r="K35" i="138"/>
  <c r="R36" i="141"/>
  <c r="N18" i="141"/>
  <c r="G17" i="138"/>
  <c r="G18" i="138" s="1"/>
  <c r="M42" i="141"/>
  <c r="M43" i="141" s="1"/>
  <c r="F41" i="138"/>
  <c r="F42" i="138" s="1"/>
  <c r="U3" i="8"/>
  <c r="K96" i="8"/>
  <c r="K148" i="8" s="1"/>
  <c r="AD8" i="105" s="1"/>
  <c r="J97" i="8"/>
  <c r="J156" i="8" s="1"/>
  <c r="AC9" i="105" s="1"/>
  <c r="L35" i="138"/>
  <c r="S36" i="141"/>
  <c r="T9" i="142"/>
  <c r="T22" i="8"/>
  <c r="U22" i="8"/>
  <c r="E59" i="138"/>
  <c r="L60" i="141"/>
  <c r="M59" i="138"/>
  <c r="T60" i="141"/>
  <c r="U24" i="8"/>
  <c r="T24" i="8"/>
  <c r="T10" i="139"/>
  <c r="AM31" i="82"/>
  <c r="AM24" i="82"/>
  <c r="AM26" i="82"/>
  <c r="M5" i="82"/>
  <c r="O18" i="141"/>
  <c r="H17" i="138"/>
  <c r="H18" i="138" s="1"/>
  <c r="N42" i="141"/>
  <c r="N43" i="141" s="1"/>
  <c r="G41" i="138"/>
  <c r="G42" i="138" s="1"/>
  <c r="O5" i="82"/>
  <c r="O42" i="82" s="1"/>
  <c r="AP128" i="135"/>
  <c r="AB100" i="135"/>
  <c r="AP38" i="135"/>
  <c r="AP117" i="135" s="1"/>
  <c r="AP64" i="135"/>
  <c r="AP121" i="135" s="1"/>
  <c r="AP58" i="135"/>
  <c r="AP120" i="135" s="1"/>
  <c r="T16" i="8"/>
  <c r="U16" i="8"/>
  <c r="L96" i="8"/>
  <c r="L148" i="8" s="1"/>
  <c r="AE8" i="105" s="1"/>
  <c r="T17" i="8"/>
  <c r="U17" i="8"/>
  <c r="K97" i="8"/>
  <c r="K156" i="8" s="1"/>
  <c r="AD9" i="105" s="1"/>
  <c r="E35" i="138"/>
  <c r="L36" i="141"/>
  <c r="M35" i="138"/>
  <c r="T36" i="141"/>
  <c r="P18" i="141"/>
  <c r="I17" i="138"/>
  <c r="I18" i="138" s="1"/>
  <c r="O42" i="141"/>
  <c r="O43" i="141" s="1"/>
  <c r="H41" i="138"/>
  <c r="H42" i="138" s="1"/>
  <c r="U2" i="8"/>
  <c r="U6" i="8"/>
  <c r="Y5" i="90"/>
  <c r="Y5" i="142"/>
  <c r="M96" i="8"/>
  <c r="M148" i="8" s="1"/>
  <c r="AF8" i="105" s="1"/>
  <c r="L97" i="8"/>
  <c r="L156" i="8" s="1"/>
  <c r="AE9" i="105" s="1"/>
  <c r="T18" i="8"/>
  <c r="U18" i="8"/>
  <c r="F35" i="138"/>
  <c r="M36" i="141"/>
  <c r="G59" i="138"/>
  <c r="N60" i="141"/>
  <c r="N14" i="102"/>
  <c r="Q18" i="141"/>
  <c r="J17" i="138"/>
  <c r="J18" i="138" s="1"/>
  <c r="P42" i="141"/>
  <c r="P43" i="141" s="1"/>
  <c r="I41" i="138"/>
  <c r="I42" i="138" s="1"/>
  <c r="F96" i="8"/>
  <c r="F148" i="8" s="1"/>
  <c r="Y8" i="105" s="1"/>
  <c r="N96" i="8"/>
  <c r="N148" i="8" s="1"/>
  <c r="AG8" i="105" s="1"/>
  <c r="M97" i="8"/>
  <c r="M156" i="8" s="1"/>
  <c r="AF9" i="105" s="1"/>
  <c r="G35" i="138"/>
  <c r="N36" i="141"/>
  <c r="T10" i="91"/>
  <c r="T23" i="8"/>
  <c r="U23" i="8"/>
  <c r="U108" i="8" s="1"/>
  <c r="F23" i="138"/>
  <c r="M24" i="141"/>
  <c r="C17" i="138"/>
  <c r="C18" i="138" s="1"/>
  <c r="J18" i="141"/>
  <c r="R18" i="141"/>
  <c r="K17" i="138"/>
  <c r="Q42" i="141"/>
  <c r="Q43" i="141" s="1"/>
  <c r="J41" i="138"/>
  <c r="J42" i="138" s="1"/>
  <c r="AB51" i="135"/>
  <c r="U5" i="8"/>
  <c r="U15" i="8"/>
  <c r="T15" i="8"/>
  <c r="G96" i="8"/>
  <c r="G148" i="8" s="1"/>
  <c r="Z8" i="105" s="1"/>
  <c r="O96" i="8"/>
  <c r="O148" i="8" s="1"/>
  <c r="AH8" i="105" s="1"/>
  <c r="F12" i="8"/>
  <c r="F97" i="8"/>
  <c r="F156" i="8" s="1"/>
  <c r="Y9" i="105" s="1"/>
  <c r="N6" i="139"/>
  <c r="AA6" i="139" s="1"/>
  <c r="N97" i="8"/>
  <c r="N156" i="8" s="1"/>
  <c r="AG9" i="105" s="1"/>
  <c r="T20" i="8"/>
  <c r="U20" i="8"/>
  <c r="T21" i="8"/>
  <c r="U21" i="8"/>
  <c r="T10" i="85"/>
  <c r="P9" i="90"/>
  <c r="K48" i="141" s="1"/>
  <c r="P9" i="142"/>
  <c r="I59" i="138"/>
  <c r="P60" i="141"/>
  <c r="D17" i="138"/>
  <c r="D18" i="138" s="1"/>
  <c r="S18" i="141"/>
  <c r="L17" i="138"/>
  <c r="L18" i="138" s="1"/>
  <c r="J42" i="141"/>
  <c r="J43" i="141" s="1"/>
  <c r="R42" i="141"/>
  <c r="R43" i="141" s="1"/>
  <c r="K41" i="138"/>
  <c r="AB53" i="135"/>
  <c r="AB193" i="135" s="1"/>
  <c r="P96" i="8"/>
  <c r="P148" i="8" s="1"/>
  <c r="AI8" i="105" s="1"/>
  <c r="O6" i="139"/>
  <c r="AB6" i="139" s="1"/>
  <c r="G97" i="8"/>
  <c r="G156" i="8" s="1"/>
  <c r="Z9" i="105" s="1"/>
  <c r="O97" i="8"/>
  <c r="O156" i="8" s="1"/>
  <c r="AH9" i="105" s="1"/>
  <c r="I35" i="138"/>
  <c r="P36" i="141"/>
  <c r="Q9" i="90"/>
  <c r="N4" i="135" s="1"/>
  <c r="Q9" i="142"/>
  <c r="Y9" i="90"/>
  <c r="Y9" i="142"/>
  <c r="Y10" i="92"/>
  <c r="W21" i="105" s="1"/>
  <c r="Y10" i="139"/>
  <c r="Z32" i="102"/>
  <c r="Z41" i="102" s="1"/>
  <c r="V76" i="8"/>
  <c r="V176" i="8" s="1"/>
  <c r="L18" i="141"/>
  <c r="E17" i="138"/>
  <c r="E18" i="138" s="1"/>
  <c r="T18" i="141"/>
  <c r="M17" i="138"/>
  <c r="M18" i="138" s="1"/>
  <c r="K42" i="141"/>
  <c r="K43" i="141" s="1"/>
  <c r="S42" i="141"/>
  <c r="S43" i="141" s="1"/>
  <c r="L41" i="138"/>
  <c r="L42" i="138" s="1"/>
  <c r="L22" i="91"/>
  <c r="J45" i="105"/>
  <c r="K45" i="105" s="1"/>
  <c r="O4" i="95"/>
  <c r="F4" i="93"/>
  <c r="K19" i="141"/>
  <c r="P23" i="139"/>
  <c r="P23" i="92"/>
  <c r="P17" i="90"/>
  <c r="T14" i="82"/>
  <c r="X15" i="90"/>
  <c r="U14" i="82"/>
  <c r="Q15" i="90"/>
  <c r="Y15" i="90"/>
  <c r="N14" i="82"/>
  <c r="V14" i="82"/>
  <c r="R15" i="90"/>
  <c r="O14" i="82"/>
  <c r="W14" i="82"/>
  <c r="S15" i="90"/>
  <c r="X14" i="82"/>
  <c r="T15" i="90"/>
  <c r="Q14" i="82"/>
  <c r="Y14" i="82"/>
  <c r="R14" i="82"/>
  <c r="N15" i="90"/>
  <c r="S14" i="82"/>
  <c r="H14" i="82"/>
  <c r="F45" i="105"/>
  <c r="D13" i="120" s="1"/>
  <c r="D41" i="138"/>
  <c r="D42" i="138" s="1"/>
  <c r="Z10" i="139"/>
  <c r="H96" i="8"/>
  <c r="H148" i="8" s="1"/>
  <c r="AA8" i="105" s="1"/>
  <c r="H97" i="8"/>
  <c r="H156" i="8" s="1"/>
  <c r="AA9" i="105" s="1"/>
  <c r="P10" i="85"/>
  <c r="M3" i="135" s="1"/>
  <c r="G73" i="8"/>
  <c r="G89" i="8"/>
  <c r="O8" i="142" s="1"/>
  <c r="R21" i="61"/>
  <c r="T21" i="61"/>
  <c r="AU203" i="105"/>
  <c r="AV203" i="105" s="1"/>
  <c r="AW203" i="105" s="1"/>
  <c r="AX203" i="105" s="1"/>
  <c r="AY203" i="105" s="1"/>
  <c r="AZ203" i="105" s="1"/>
  <c r="BA203" i="105" s="1"/>
  <c r="BB203" i="105" s="1"/>
  <c r="BC203" i="105" s="1"/>
  <c r="BD203" i="105" s="1"/>
  <c r="BE203" i="105" s="1"/>
  <c r="E31" i="93"/>
  <c r="N11" i="95" s="1"/>
  <c r="N9" i="95"/>
  <c r="O23" i="139"/>
  <c r="O23" i="92"/>
  <c r="C66" i="138"/>
  <c r="U26" i="137"/>
  <c r="C41" i="138"/>
  <c r="C42" i="138" s="1"/>
  <c r="C83" i="8"/>
  <c r="K71" i="102" s="1"/>
  <c r="U25" i="137"/>
  <c r="Z9" i="102"/>
  <c r="C82" i="8"/>
  <c r="K69" i="102" s="1"/>
  <c r="U24" i="137"/>
  <c r="C81" i="8"/>
  <c r="K67" i="102" s="1"/>
  <c r="K6" i="102" s="1"/>
  <c r="O142" i="61"/>
  <c r="O143" i="61" s="1"/>
  <c r="P143" i="61" s="1"/>
  <c r="C22" i="138"/>
  <c r="J13" i="137"/>
  <c r="N25" i="102"/>
  <c r="Z76" i="102"/>
  <c r="Z15" i="102" s="1"/>
  <c r="U27" i="137"/>
  <c r="U28" i="137"/>
  <c r="U29" i="137" s="1"/>
  <c r="D45" i="105"/>
  <c r="R15" i="85"/>
  <c r="H30" i="138"/>
  <c r="S15" i="85"/>
  <c r="I30" i="138"/>
  <c r="T15" i="85"/>
  <c r="J30" i="138"/>
  <c r="S71" i="105"/>
  <c r="R18" i="135" s="1"/>
  <c r="U15" i="85"/>
  <c r="C30" i="138"/>
  <c r="K30" i="138"/>
  <c r="N15" i="85"/>
  <c r="T71" i="105"/>
  <c r="V15" i="85"/>
  <c r="D30" i="138"/>
  <c r="L30" i="138"/>
  <c r="O15" i="85"/>
  <c r="U71" i="105"/>
  <c r="W15" i="85"/>
  <c r="E30" i="138"/>
  <c r="M30" i="138"/>
  <c r="P15" i="85"/>
  <c r="X15" i="85"/>
  <c r="F30" i="138"/>
  <c r="Q15" i="85"/>
  <c r="Y15" i="85"/>
  <c r="G30" i="138"/>
  <c r="U20" i="95"/>
  <c r="S72" i="105"/>
  <c r="R19" i="135" s="1"/>
  <c r="U15" i="90"/>
  <c r="T72" i="105"/>
  <c r="V15" i="90"/>
  <c r="U72" i="105"/>
  <c r="W15" i="90"/>
  <c r="Z25" i="102"/>
  <c r="Z24" i="102"/>
  <c r="Z13" i="102"/>
  <c r="Z11" i="102"/>
  <c r="Z23" i="102"/>
  <c r="K83" i="102"/>
  <c r="K22" i="102" s="1"/>
  <c r="Z83" i="102"/>
  <c r="Z22" i="102" s="1"/>
  <c r="N21" i="102"/>
  <c r="K82" i="102"/>
  <c r="K21" i="102" s="1"/>
  <c r="Z82" i="102"/>
  <c r="Z51" i="102"/>
  <c r="L16" i="85"/>
  <c r="AM30" i="91"/>
  <c r="AK97" i="105" s="1"/>
  <c r="L23" i="91"/>
  <c r="S13" i="102"/>
  <c r="N24" i="102"/>
  <c r="V24" i="102"/>
  <c r="Q25" i="102"/>
  <c r="Y25" i="102"/>
  <c r="AB29" i="82"/>
  <c r="Z93" i="105" s="1"/>
  <c r="AB87" i="135" s="1"/>
  <c r="AB26" i="82"/>
  <c r="I75" i="135"/>
  <c r="I123" i="135"/>
  <c r="G14" i="82"/>
  <c r="E70" i="105"/>
  <c r="E75" i="105" s="1"/>
  <c r="AA61" i="102"/>
  <c r="S171" i="8"/>
  <c r="T8" i="102"/>
  <c r="P14" i="102"/>
  <c r="X14" i="102"/>
  <c r="Q21" i="102"/>
  <c r="Y21" i="102"/>
  <c r="BE13" i="105"/>
  <c r="J9" i="105" s="1"/>
  <c r="K9" i="105" s="1"/>
  <c r="Q7" i="102"/>
  <c r="T22" i="102"/>
  <c r="O23" i="102"/>
  <c r="S11" i="102"/>
  <c r="U9" i="102"/>
  <c r="N11" i="102"/>
  <c r="V11" i="102"/>
  <c r="Y22" i="102"/>
  <c r="AM29" i="82"/>
  <c r="AK93" i="105" s="1"/>
  <c r="AM24" i="85"/>
  <c r="S22" i="102"/>
  <c r="E93" i="135"/>
  <c r="X20" i="95"/>
  <c r="E50" i="105"/>
  <c r="D21" i="120"/>
  <c r="F51" i="105"/>
  <c r="F59" i="105" s="1"/>
  <c r="AM38" i="91"/>
  <c r="AM40" i="91"/>
  <c r="AK90" i="105" s="1"/>
  <c r="X84" i="135" s="1"/>
  <c r="AM25" i="90"/>
  <c r="AK96" i="105" s="1"/>
  <c r="AM24" i="90"/>
  <c r="AM36" i="90"/>
  <c r="AM28" i="90"/>
  <c r="AM26" i="90"/>
  <c r="K88" i="105"/>
  <c r="J82" i="135" s="1"/>
  <c r="J143" i="135" s="1"/>
  <c r="I82" i="135"/>
  <c r="I143" i="135" s="1"/>
  <c r="K83" i="105"/>
  <c r="J77" i="135" s="1"/>
  <c r="I77" i="135"/>
  <c r="I160" i="135" s="1"/>
  <c r="K84" i="105"/>
  <c r="J78" i="135" s="1"/>
  <c r="J179" i="135" s="1"/>
  <c r="I78" i="135"/>
  <c r="I179" i="135" s="1"/>
  <c r="K89" i="105"/>
  <c r="J83" i="135" s="1"/>
  <c r="I83" i="135"/>
  <c r="I161" i="135" s="1"/>
  <c r="K85" i="105"/>
  <c r="J79" i="135" s="1"/>
  <c r="J198" i="135" s="1"/>
  <c r="I79" i="135"/>
  <c r="I198" i="135" s="1"/>
  <c r="E125" i="135"/>
  <c r="E86" i="135"/>
  <c r="F86" i="135"/>
  <c r="F125" i="135"/>
  <c r="H125" i="135"/>
  <c r="H86" i="135"/>
  <c r="K90" i="105"/>
  <c r="J84" i="135" s="1"/>
  <c r="J180" i="135" s="1"/>
  <c r="I84" i="135"/>
  <c r="I180" i="135" s="1"/>
  <c r="E124" i="135"/>
  <c r="E80" i="135"/>
  <c r="I125" i="135"/>
  <c r="F124" i="135"/>
  <c r="F80" i="135"/>
  <c r="K91" i="105"/>
  <c r="J85" i="135" s="1"/>
  <c r="J199" i="135" s="1"/>
  <c r="I85" i="135"/>
  <c r="I199" i="135" s="1"/>
  <c r="K82" i="105"/>
  <c r="J76" i="135" s="1"/>
  <c r="J124" i="135" s="1"/>
  <c r="I76" i="135"/>
  <c r="I92" i="105"/>
  <c r="BE12" i="105"/>
  <c r="J8" i="105" s="1"/>
  <c r="K8" i="105" s="1"/>
  <c r="D94" i="8"/>
  <c r="D133" i="8" s="1"/>
  <c r="AK6" i="105" s="1"/>
  <c r="L22" i="102"/>
  <c r="M22" i="102" s="1"/>
  <c r="D3" i="120"/>
  <c r="J3" i="135"/>
  <c r="Y3" i="135" s="1"/>
  <c r="AU112" i="105"/>
  <c r="C27" i="124"/>
  <c r="D27" i="124" s="1"/>
  <c r="E27" i="124" s="1"/>
  <c r="F3" i="124" s="1"/>
  <c r="H156" i="135"/>
  <c r="I156" i="135"/>
  <c r="C28" i="124"/>
  <c r="D28" i="124" s="1"/>
  <c r="E28" i="124" s="1"/>
  <c r="F4" i="124" s="1"/>
  <c r="I175" i="135"/>
  <c r="H175" i="135"/>
  <c r="H157" i="135"/>
  <c r="I157" i="135"/>
  <c r="H176" i="135"/>
  <c r="I176" i="135"/>
  <c r="D35" i="124"/>
  <c r="E35" i="124" s="1"/>
  <c r="G3" i="124" s="1"/>
  <c r="AG61" i="102"/>
  <c r="K167" i="8" s="1"/>
  <c r="W8" i="102"/>
  <c r="Q9" i="102"/>
  <c r="Y9" i="102"/>
  <c r="AO25" i="91"/>
  <c r="N23" i="102"/>
  <c r="V23" i="102"/>
  <c r="Y7" i="102"/>
  <c r="Y41" i="102"/>
  <c r="T24" i="102"/>
  <c r="L17" i="90"/>
  <c r="M17" i="90" s="1"/>
  <c r="S7" i="102"/>
  <c r="T9" i="102"/>
  <c r="O21" i="102"/>
  <c r="W21" i="102"/>
  <c r="M20" i="95"/>
  <c r="N20" i="95"/>
  <c r="Q20" i="95"/>
  <c r="R20" i="95"/>
  <c r="S20" i="95"/>
  <c r="K56" i="105"/>
  <c r="J14" i="135" s="1"/>
  <c r="J186" i="135" s="1"/>
  <c r="G26" i="102"/>
  <c r="H26" i="102"/>
  <c r="S15" i="102"/>
  <c r="U22" i="102"/>
  <c r="T6" i="102"/>
  <c r="M85" i="102"/>
  <c r="M87" i="102" s="1"/>
  <c r="U13" i="102"/>
  <c r="I26" i="102"/>
  <c r="U23" i="102"/>
  <c r="O24" i="102"/>
  <c r="P9" i="102"/>
  <c r="X9" i="102"/>
  <c r="Q15" i="102"/>
  <c r="Y15" i="102"/>
  <c r="AF19" i="69"/>
  <c r="AH12" i="69"/>
  <c r="K72" i="105"/>
  <c r="K71" i="105"/>
  <c r="M15" i="85"/>
  <c r="C112" i="8"/>
  <c r="K7" i="85" s="1"/>
  <c r="M6" i="92"/>
  <c r="J74" i="135" s="1"/>
  <c r="J197" i="135" s="1"/>
  <c r="M9" i="92"/>
  <c r="M9" i="91"/>
  <c r="O72" i="105"/>
  <c r="W72" i="105"/>
  <c r="V19" i="135" s="1"/>
  <c r="V150" i="135" s="1"/>
  <c r="P72" i="105"/>
  <c r="Q72" i="105"/>
  <c r="R72" i="105"/>
  <c r="L72" i="105"/>
  <c r="M72" i="105"/>
  <c r="N72" i="105"/>
  <c r="R71" i="105"/>
  <c r="L71" i="105"/>
  <c r="M71" i="105"/>
  <c r="N71" i="105"/>
  <c r="M6" i="85"/>
  <c r="J71" i="135" s="1"/>
  <c r="J142" i="135" s="1"/>
  <c r="O71" i="105"/>
  <c r="W71" i="105"/>
  <c r="V18" i="135" s="1"/>
  <c r="V132" i="135" s="1"/>
  <c r="M9" i="85"/>
  <c r="P71" i="105"/>
  <c r="Q71" i="105"/>
  <c r="K70" i="105"/>
  <c r="K52" i="105"/>
  <c r="M8" i="82"/>
  <c r="Q70" i="105"/>
  <c r="F70" i="105"/>
  <c r="E17" i="135" s="1"/>
  <c r="R70" i="105"/>
  <c r="Q17" i="135" s="1"/>
  <c r="L70" i="105"/>
  <c r="M70" i="105"/>
  <c r="L17" i="135" s="1"/>
  <c r="N70" i="105"/>
  <c r="M6" i="82"/>
  <c r="J70" i="135" s="1"/>
  <c r="J123" i="135" s="1"/>
  <c r="O70" i="105"/>
  <c r="N17" i="135" s="1"/>
  <c r="W70" i="105"/>
  <c r="V17" i="135" s="1"/>
  <c r="P70" i="105"/>
  <c r="I10" i="8"/>
  <c r="C111" i="8"/>
  <c r="F128" i="8" s="1"/>
  <c r="C114" i="8"/>
  <c r="C113" i="8"/>
  <c r="K7" i="90" s="1"/>
  <c r="R8" i="102"/>
  <c r="U12" i="102"/>
  <c r="M10" i="92"/>
  <c r="E9" i="8"/>
  <c r="K39" i="8"/>
  <c r="L39" i="8"/>
  <c r="E39" i="8"/>
  <c r="M39" i="8"/>
  <c r="F39" i="8"/>
  <c r="AA18" i="90" s="1"/>
  <c r="N39" i="8"/>
  <c r="G39" i="8"/>
  <c r="AB18" i="90" s="1"/>
  <c r="O39" i="8"/>
  <c r="H39" i="8"/>
  <c r="AC18" i="90" s="1"/>
  <c r="P39" i="8"/>
  <c r="I39" i="8"/>
  <c r="Q39" i="8"/>
  <c r="L38" i="8"/>
  <c r="M38" i="8"/>
  <c r="N38" i="8"/>
  <c r="G38" i="8"/>
  <c r="AB19" i="90" s="1"/>
  <c r="H38" i="8"/>
  <c r="AC19" i="90" s="1"/>
  <c r="I38" i="8"/>
  <c r="Q38" i="8"/>
  <c r="F38" i="8"/>
  <c r="K38" i="8"/>
  <c r="O38" i="8"/>
  <c r="P38" i="8"/>
  <c r="J38" i="8"/>
  <c r="D38" i="8"/>
  <c r="E38" i="8" s="1"/>
  <c r="N176" i="8"/>
  <c r="AJ31" i="102" s="1"/>
  <c r="C84" i="8"/>
  <c r="C78" i="8"/>
  <c r="K35" i="102" s="1"/>
  <c r="P7" i="92"/>
  <c r="Q7" i="92"/>
  <c r="V85" i="8"/>
  <c r="Z75" i="102" s="1"/>
  <c r="R7" i="92"/>
  <c r="C77" i="8"/>
  <c r="K33" i="102" s="1"/>
  <c r="S7" i="92"/>
  <c r="T7" i="92"/>
  <c r="K3" i="135"/>
  <c r="L3" i="135"/>
  <c r="AB32" i="82"/>
  <c r="H7" i="8"/>
  <c r="P10" i="92"/>
  <c r="Q5" i="92"/>
  <c r="AD41" i="92" s="1"/>
  <c r="AD98" i="135" s="1"/>
  <c r="J8" i="8"/>
  <c r="R10" i="92"/>
  <c r="L7" i="8"/>
  <c r="T10" i="92"/>
  <c r="T21" i="130"/>
  <c r="S20" i="130"/>
  <c r="T20" i="130"/>
  <c r="T18" i="130"/>
  <c r="S19" i="130"/>
  <c r="S22" i="130"/>
  <c r="T19" i="130"/>
  <c r="T22" i="130"/>
  <c r="S18" i="130"/>
  <c r="S21" i="130"/>
  <c r="I128" i="8"/>
  <c r="J40" i="105"/>
  <c r="K40" i="105" s="1"/>
  <c r="K16" i="95"/>
  <c r="R22" i="102"/>
  <c r="T23" i="102"/>
  <c r="U24" i="102"/>
  <c r="W20" i="95"/>
  <c r="C31" i="124"/>
  <c r="D31" i="124" s="1"/>
  <c r="E31" i="124" s="1"/>
  <c r="F7" i="124" s="1"/>
  <c r="C30" i="124"/>
  <c r="D30" i="124" s="1"/>
  <c r="E30" i="124" s="1"/>
  <c r="F6" i="124" s="1"/>
  <c r="AU126" i="105"/>
  <c r="AU114" i="105"/>
  <c r="AU113" i="105"/>
  <c r="X55" i="105"/>
  <c r="N35" i="69"/>
  <c r="O34" i="69"/>
  <c r="AF32" i="69"/>
  <c r="V72" i="105"/>
  <c r="V71" i="105"/>
  <c r="V70" i="105"/>
  <c r="X7" i="92"/>
  <c r="V34" i="105" s="1"/>
  <c r="X12" i="102"/>
  <c r="X10" i="102"/>
  <c r="P116" i="8"/>
  <c r="P226" i="8" s="1"/>
  <c r="P11" i="8"/>
  <c r="P9" i="8"/>
  <c r="X5" i="85" s="1"/>
  <c r="AK30" i="85" s="1"/>
  <c r="P7" i="8"/>
  <c r="X10" i="92"/>
  <c r="V21" i="105" s="1"/>
  <c r="O111" i="61"/>
  <c r="AN140" i="102"/>
  <c r="AO140" i="102" s="1"/>
  <c r="AC61" i="102"/>
  <c r="G167" i="8" s="1"/>
  <c r="AK61" i="102"/>
  <c r="O167" i="8" s="1"/>
  <c r="AN57" i="102"/>
  <c r="AO57" i="102" s="1"/>
  <c r="AD61" i="102"/>
  <c r="H167" i="8" s="1"/>
  <c r="AF61" i="102"/>
  <c r="J167" i="8" s="1"/>
  <c r="AH61" i="102"/>
  <c r="L167" i="8" s="1"/>
  <c r="AI61" i="102"/>
  <c r="M167" i="8" s="1"/>
  <c r="AN60" i="102"/>
  <c r="AO60" i="102" s="1"/>
  <c r="AL61" i="102"/>
  <c r="P167" i="8" s="1"/>
  <c r="AN59" i="102"/>
  <c r="AN58" i="102"/>
  <c r="AO58" i="102" s="1"/>
  <c r="U92" i="105"/>
  <c r="T35" i="69"/>
  <c r="J35" i="69"/>
  <c r="AB35" i="69"/>
  <c r="P35" i="69"/>
  <c r="P36" i="69" s="1"/>
  <c r="R35" i="69"/>
  <c r="AF31" i="69"/>
  <c r="K34" i="69"/>
  <c r="L35" i="69"/>
  <c r="AE34" i="69"/>
  <c r="I35" i="69"/>
  <c r="C35" i="69"/>
  <c r="F35" i="69"/>
  <c r="W7" i="92"/>
  <c r="U34" i="105" s="1"/>
  <c r="U35" i="105" s="1"/>
  <c r="W24" i="102"/>
  <c r="W23" i="102"/>
  <c r="W6" i="102"/>
  <c r="O12" i="8"/>
  <c r="O7" i="8"/>
  <c r="W10" i="92"/>
  <c r="U21" i="105" s="1"/>
  <c r="O101" i="61"/>
  <c r="O10" i="8"/>
  <c r="O8" i="8"/>
  <c r="U11" i="95"/>
  <c r="V14" i="102"/>
  <c r="V7" i="92"/>
  <c r="N10" i="8"/>
  <c r="O91" i="61"/>
  <c r="V5" i="92"/>
  <c r="V10" i="92"/>
  <c r="T20" i="95"/>
  <c r="X85" i="105"/>
  <c r="W79" i="135" s="1"/>
  <c r="W198" i="135" s="1"/>
  <c r="X91" i="105"/>
  <c r="W85" i="135" s="1"/>
  <c r="W199" i="135" s="1"/>
  <c r="X89" i="105"/>
  <c r="W83" i="135" s="1"/>
  <c r="W161" i="135" s="1"/>
  <c r="X83" i="105"/>
  <c r="W77" i="135" s="1"/>
  <c r="W160" i="135" s="1"/>
  <c r="X88" i="105"/>
  <c r="W82" i="135" s="1"/>
  <c r="W143" i="135" s="1"/>
  <c r="X87" i="105"/>
  <c r="W81" i="135" s="1"/>
  <c r="W125" i="135" s="1"/>
  <c r="X82" i="105"/>
  <c r="W76" i="135" s="1"/>
  <c r="W124" i="135" s="1"/>
  <c r="M6" i="91"/>
  <c r="J73" i="135" s="1"/>
  <c r="J178" i="135" s="1"/>
  <c r="BM83" i="105"/>
  <c r="U14" i="102"/>
  <c r="U51" i="102"/>
  <c r="U10" i="92"/>
  <c r="BI83" i="105"/>
  <c r="M10" i="8"/>
  <c r="M11" i="8"/>
  <c r="O81" i="61"/>
  <c r="O2" i="135"/>
  <c r="V35" i="69"/>
  <c r="AA35" i="69" s="1"/>
  <c r="X36" i="69"/>
  <c r="O30" i="69"/>
  <c r="AF27" i="69"/>
  <c r="K30" i="69"/>
  <c r="AE30" i="69"/>
  <c r="B35" i="69"/>
  <c r="R71" i="61"/>
  <c r="N152" i="61"/>
  <c r="D64" i="8"/>
  <c r="E104" i="8"/>
  <c r="E23" i="8"/>
  <c r="E11" i="8" s="1"/>
  <c r="D74" i="8"/>
  <c r="N11" i="8"/>
  <c r="N8" i="8"/>
  <c r="U38" i="8"/>
  <c r="D69" i="8"/>
  <c r="P142" i="8"/>
  <c r="E3" i="8"/>
  <c r="E4" i="8"/>
  <c r="E5" i="8"/>
  <c r="E6" i="8"/>
  <c r="Q142" i="8"/>
  <c r="E19" i="8"/>
  <c r="N6" i="102"/>
  <c r="V6" i="102"/>
  <c r="Y8" i="102"/>
  <c r="T10" i="102"/>
  <c r="W12" i="102"/>
  <c r="M9" i="8"/>
  <c r="U5" i="85" s="1"/>
  <c r="AH24" i="85" s="1"/>
  <c r="V87" i="102"/>
  <c r="J6" i="135"/>
  <c r="J185" i="135" s="1"/>
  <c r="P12" i="8"/>
  <c r="U6" i="102"/>
  <c r="X8" i="102"/>
  <c r="V12" i="102"/>
  <c r="Y14" i="102"/>
  <c r="U136" i="8"/>
  <c r="N7" i="102"/>
  <c r="V7" i="102"/>
  <c r="S24" i="102"/>
  <c r="U25" i="102"/>
  <c r="I94" i="8"/>
  <c r="I133" i="8" s="1"/>
  <c r="AB6" i="105" s="1"/>
  <c r="Q94" i="8"/>
  <c r="Q133" i="8" s="1"/>
  <c r="AJ6" i="105" s="1"/>
  <c r="K95" i="8"/>
  <c r="K141" i="8" s="1"/>
  <c r="AD7" i="105" s="1"/>
  <c r="H8" i="8"/>
  <c r="U121" i="8"/>
  <c r="I9" i="8"/>
  <c r="G94" i="8"/>
  <c r="G133" i="8" s="1"/>
  <c r="Z6" i="105" s="1"/>
  <c r="O94" i="8"/>
  <c r="O133" i="8" s="1"/>
  <c r="AH6" i="105" s="1"/>
  <c r="I73" i="8"/>
  <c r="I75" i="8" s="1"/>
  <c r="I119" i="8" s="1"/>
  <c r="I95" i="8"/>
  <c r="I141" i="8" s="1"/>
  <c r="AB7" i="105" s="1"/>
  <c r="Q95" i="8"/>
  <c r="Q141" i="8" s="1"/>
  <c r="AJ7" i="105" s="1"/>
  <c r="F123" i="8"/>
  <c r="K179" i="8"/>
  <c r="H94" i="8"/>
  <c r="H133" i="8" s="1"/>
  <c r="AA6" i="105" s="1"/>
  <c r="P94" i="8"/>
  <c r="P133" i="8" s="1"/>
  <c r="J95" i="8"/>
  <c r="J141" i="8" s="1"/>
  <c r="AC7" i="105" s="1"/>
  <c r="I11" i="8"/>
  <c r="G12" i="8"/>
  <c r="P7" i="102"/>
  <c r="X7" i="102"/>
  <c r="Q9" i="8"/>
  <c r="Y5" i="85" s="1"/>
  <c r="J9" i="8"/>
  <c r="J94" i="8"/>
  <c r="J133" i="8" s="1"/>
  <c r="AC6" i="105" s="1"/>
  <c r="L10" i="8"/>
  <c r="L95" i="8"/>
  <c r="L141" i="8" s="1"/>
  <c r="AE7" i="105" s="1"/>
  <c r="P11" i="102"/>
  <c r="X11" i="102"/>
  <c r="K68" i="8"/>
  <c r="K70" i="8" s="1"/>
  <c r="K118" i="8" s="1"/>
  <c r="S6" i="85" s="1"/>
  <c r="K94" i="8"/>
  <c r="K133" i="8" s="1"/>
  <c r="AD6" i="105" s="1"/>
  <c r="M95" i="8"/>
  <c r="M141" i="8" s="1"/>
  <c r="AF7" i="105" s="1"/>
  <c r="L25" i="102"/>
  <c r="M25" i="102" s="1"/>
  <c r="P13" i="102"/>
  <c r="X13" i="102"/>
  <c r="P15" i="102"/>
  <c r="X15" i="102"/>
  <c r="X51" i="102"/>
  <c r="X22" i="102"/>
  <c r="R23" i="102"/>
  <c r="X20" i="8"/>
  <c r="L9" i="8"/>
  <c r="L94" i="8"/>
  <c r="L133" i="8" s="1"/>
  <c r="AE6" i="105" s="1"/>
  <c r="AE10" i="105" s="1"/>
  <c r="F10" i="8"/>
  <c r="F95" i="8"/>
  <c r="F141" i="8" s="1"/>
  <c r="Y7" i="105" s="1"/>
  <c r="N95" i="8"/>
  <c r="N141" i="8" s="1"/>
  <c r="AG7" i="105" s="1"/>
  <c r="K123" i="8"/>
  <c r="AF6" i="139" s="1"/>
  <c r="L11" i="8"/>
  <c r="M94" i="8"/>
  <c r="M133" i="8" s="1"/>
  <c r="AF6" i="105" s="1"/>
  <c r="G75" i="8"/>
  <c r="G95" i="8"/>
  <c r="G141" i="8" s="1"/>
  <c r="Z7" i="105" s="1"/>
  <c r="O95" i="8"/>
  <c r="O141" i="8" s="1"/>
  <c r="AH7" i="105" s="1"/>
  <c r="F11" i="8"/>
  <c r="N5" i="91" s="1"/>
  <c r="S114" i="8"/>
  <c r="F93" i="8"/>
  <c r="F9" i="8"/>
  <c r="N94" i="8"/>
  <c r="N133" i="8" s="1"/>
  <c r="AG6" i="105" s="1"/>
  <c r="H10" i="8"/>
  <c r="H95" i="8"/>
  <c r="H141" i="8" s="1"/>
  <c r="AA7" i="105" s="1"/>
  <c r="P10" i="8"/>
  <c r="P95" i="8"/>
  <c r="P141" i="8" s="1"/>
  <c r="AI7" i="105" s="1"/>
  <c r="M12" i="8"/>
  <c r="U5" i="139" s="1"/>
  <c r="P8" i="8"/>
  <c r="O22" i="102"/>
  <c r="W22" i="102"/>
  <c r="Q23" i="102"/>
  <c r="Y23" i="102"/>
  <c r="V8" i="102"/>
  <c r="Y10" i="102"/>
  <c r="T12" i="102"/>
  <c r="W14" i="102"/>
  <c r="O25" i="102"/>
  <c r="W25" i="102"/>
  <c r="P24" i="102"/>
  <c r="X24" i="102"/>
  <c r="R25" i="102"/>
  <c r="X6" i="102"/>
  <c r="S8" i="102"/>
  <c r="N10" i="102"/>
  <c r="V10" i="102"/>
  <c r="Y12" i="102"/>
  <c r="O7" i="102"/>
  <c r="W7" i="102"/>
  <c r="U11" i="102"/>
  <c r="Q11" i="8"/>
  <c r="I25" i="8"/>
  <c r="L21" i="102"/>
  <c r="M21" i="102" s="1"/>
  <c r="O11" i="102"/>
  <c r="W11" i="102"/>
  <c r="O13" i="102"/>
  <c r="W13" i="102"/>
  <c r="T25" i="102"/>
  <c r="G9" i="8"/>
  <c r="J123" i="8"/>
  <c r="AE6" i="139" s="1"/>
  <c r="L7" i="102"/>
  <c r="M7" i="102" s="1"/>
  <c r="U7" i="102"/>
  <c r="M51" i="102"/>
  <c r="U21" i="102"/>
  <c r="U115" i="8"/>
  <c r="T51" i="102"/>
  <c r="R10" i="120" s="1"/>
  <c r="T87" i="102"/>
  <c r="V22" i="102"/>
  <c r="U111" i="8"/>
  <c r="H179" i="8"/>
  <c r="N7" i="8"/>
  <c r="I179" i="8"/>
  <c r="AE37" i="102" s="1"/>
  <c r="R7" i="102"/>
  <c r="W87" i="102"/>
  <c r="O19" i="8"/>
  <c r="U10" i="105" s="1"/>
  <c r="H184" i="8"/>
  <c r="X21" i="102"/>
  <c r="R11" i="102"/>
  <c r="W43" i="8"/>
  <c r="W44" i="8"/>
  <c r="R15" i="102"/>
  <c r="R51" i="102"/>
  <c r="U77" i="102"/>
  <c r="K7" i="8"/>
  <c r="O9" i="8"/>
  <c r="W5" i="85" s="1"/>
  <c r="AJ35" i="85" s="1"/>
  <c r="R14" i="8"/>
  <c r="L10" i="91"/>
  <c r="D108" i="8"/>
  <c r="E109" i="8"/>
  <c r="E65" i="8"/>
  <c r="E108" i="8"/>
  <c r="E2" i="8"/>
  <c r="D7" i="8"/>
  <c r="X4" i="8" s="1"/>
  <c r="E106" i="8"/>
  <c r="E31" i="8"/>
  <c r="W102" i="8"/>
  <c r="U112" i="8"/>
  <c r="M134" i="8"/>
  <c r="AH7" i="85" s="1"/>
  <c r="F233" i="8"/>
  <c r="N233" i="8"/>
  <c r="L234" i="8"/>
  <c r="T234" i="8"/>
  <c r="X7" i="82"/>
  <c r="V30" i="105" s="1"/>
  <c r="V35" i="105" s="1"/>
  <c r="X7" i="90"/>
  <c r="V32" i="105" s="1"/>
  <c r="U7" i="92"/>
  <c r="V77" i="102"/>
  <c r="F177" i="8"/>
  <c r="G142" i="8"/>
  <c r="AB7" i="90" s="1"/>
  <c r="N134" i="8"/>
  <c r="AI7" i="85" s="1"/>
  <c r="T136" i="8"/>
  <c r="G233" i="8"/>
  <c r="O233" i="8"/>
  <c r="M234" i="8"/>
  <c r="V234" i="8"/>
  <c r="Y7" i="82"/>
  <c r="W30" i="105" s="1"/>
  <c r="Y7" i="90"/>
  <c r="W32" i="105" s="1"/>
  <c r="F134" i="8"/>
  <c r="AA7" i="85" s="1"/>
  <c r="L116" i="8"/>
  <c r="L226" i="8" s="1"/>
  <c r="Q128" i="8"/>
  <c r="O134" i="8"/>
  <c r="AJ7" i="85" s="1"/>
  <c r="AH31" i="105" s="1"/>
  <c r="AL31" i="105" s="1"/>
  <c r="AM31" i="105" s="1"/>
  <c r="H233" i="8"/>
  <c r="P233" i="8"/>
  <c r="R9" i="102"/>
  <c r="M40" i="102"/>
  <c r="W77" i="102"/>
  <c r="X77" i="102"/>
  <c r="U87" i="102"/>
  <c r="M116" i="8"/>
  <c r="M226" i="8" s="1"/>
  <c r="P134" i="8"/>
  <c r="I233" i="8"/>
  <c r="Q233" i="8"/>
  <c r="T11" i="102"/>
  <c r="V51" i="102"/>
  <c r="T10" i="120" s="1"/>
  <c r="N22" i="102"/>
  <c r="P23" i="102"/>
  <c r="X23" i="102"/>
  <c r="Q24" i="102"/>
  <c r="Y24" i="102"/>
  <c r="S25" i="102"/>
  <c r="Y77" i="102"/>
  <c r="U113" i="8"/>
  <c r="E36" i="8"/>
  <c r="N116" i="8"/>
  <c r="N226" i="8" s="1"/>
  <c r="Q134" i="8"/>
  <c r="AL7" i="85" s="1"/>
  <c r="AJ31" i="105" s="1"/>
  <c r="N142" i="8"/>
  <c r="J233" i="8"/>
  <c r="R233" i="8"/>
  <c r="T7" i="82"/>
  <c r="N13" i="102"/>
  <c r="V13" i="102"/>
  <c r="O15" i="102"/>
  <c r="W15" i="102"/>
  <c r="W51" i="102"/>
  <c r="U114" i="8"/>
  <c r="F179" i="8"/>
  <c r="K142" i="8"/>
  <c r="O116" i="8"/>
  <c r="O226" i="8" s="1"/>
  <c r="L128" i="8"/>
  <c r="O142" i="8"/>
  <c r="K233" i="8"/>
  <c r="S233" i="8"/>
  <c r="U7" i="82"/>
  <c r="X87" i="102"/>
  <c r="J134" i="8"/>
  <c r="AE7" i="85" s="1"/>
  <c r="M128" i="8"/>
  <c r="V7" i="82"/>
  <c r="T21" i="102"/>
  <c r="T77" i="102"/>
  <c r="Y87" i="102"/>
  <c r="N128" i="8"/>
  <c r="L134" i="8"/>
  <c r="T5" i="82"/>
  <c r="M87" i="8"/>
  <c r="M63" i="8"/>
  <c r="M65" i="8" s="1"/>
  <c r="M117" i="8" s="1"/>
  <c r="M99" i="8"/>
  <c r="N100" i="8"/>
  <c r="N70" i="8"/>
  <c r="N118" i="8" s="1"/>
  <c r="V6" i="85" s="1"/>
  <c r="N88" i="8"/>
  <c r="Q4" i="137" s="1"/>
  <c r="O87" i="8"/>
  <c r="O63" i="8"/>
  <c r="O65" i="8" s="1"/>
  <c r="O117" i="8" s="1"/>
  <c r="O129" i="8" s="1"/>
  <c r="O99" i="8"/>
  <c r="P100" i="8"/>
  <c r="P68" i="8"/>
  <c r="P70" i="8" s="1"/>
  <c r="P118" i="8" s="1"/>
  <c r="P88" i="8"/>
  <c r="S4" i="137" s="1"/>
  <c r="Q90" i="8"/>
  <c r="Y58" i="144"/>
  <c r="Y63" i="144" s="1"/>
  <c r="Q122" i="8" s="1"/>
  <c r="Y6" i="144" s="1"/>
  <c r="Q102" i="8"/>
  <c r="G7" i="8"/>
  <c r="M8" i="8"/>
  <c r="P63" i="8"/>
  <c r="P65" i="8" s="1"/>
  <c r="P129" i="8" s="1"/>
  <c r="P99" i="8"/>
  <c r="P87" i="8"/>
  <c r="Q100" i="8"/>
  <c r="Q68" i="8"/>
  <c r="Q70" i="8" s="1"/>
  <c r="Q118" i="8" s="1"/>
  <c r="Q88" i="8"/>
  <c r="T4" i="137" s="1"/>
  <c r="P91" i="8"/>
  <c r="M19" i="8"/>
  <c r="T9" i="82"/>
  <c r="L25" i="8"/>
  <c r="L105" i="8"/>
  <c r="T9" i="90"/>
  <c r="L107" i="8"/>
  <c r="V5" i="82"/>
  <c r="V42" i="82" s="1"/>
  <c r="Q63" i="8"/>
  <c r="Q65" i="8" s="1"/>
  <c r="Q117" i="8" s="1"/>
  <c r="Q129" i="8" s="1"/>
  <c r="Q99" i="8"/>
  <c r="Q87" i="8"/>
  <c r="L89" i="8"/>
  <c r="L73" i="8"/>
  <c r="L75" i="8" s="1"/>
  <c r="L119" i="8" s="1"/>
  <c r="L101" i="8"/>
  <c r="K90" i="8"/>
  <c r="Q103" i="8"/>
  <c r="Q123" i="8"/>
  <c r="Q91" i="8"/>
  <c r="N19" i="8"/>
  <c r="U9" i="82"/>
  <c r="M25" i="8"/>
  <c r="M105" i="8"/>
  <c r="L106" i="8"/>
  <c r="U9" i="90"/>
  <c r="M107" i="8"/>
  <c r="V10" i="91"/>
  <c r="N108" i="8"/>
  <c r="I7" i="8"/>
  <c r="M73" i="8"/>
  <c r="M75" i="8" s="1"/>
  <c r="M119" i="8" s="1"/>
  <c r="M101" i="8"/>
  <c r="M89" i="8"/>
  <c r="L102" i="8"/>
  <c r="L90" i="8"/>
  <c r="N9" i="82"/>
  <c r="F8" i="8"/>
  <c r="V9" i="82"/>
  <c r="N25" i="8"/>
  <c r="N105" i="8"/>
  <c r="M106" i="8"/>
  <c r="V9" i="90"/>
  <c r="N107" i="8"/>
  <c r="Q12" i="8"/>
  <c r="K19" i="8"/>
  <c r="U99" i="8"/>
  <c r="L88" i="8"/>
  <c r="O4" i="137" s="1"/>
  <c r="L100" i="8"/>
  <c r="L68" i="8"/>
  <c r="N73" i="8"/>
  <c r="N75" i="8" s="1"/>
  <c r="N119" i="8" s="1"/>
  <c r="N143" i="8" s="1"/>
  <c r="N101" i="8"/>
  <c r="N89" i="8"/>
  <c r="M102" i="8"/>
  <c r="M90" i="8"/>
  <c r="P19" i="8"/>
  <c r="V10" i="105" s="1"/>
  <c r="W9" i="82"/>
  <c r="U17" i="105" s="1"/>
  <c r="O25" i="8"/>
  <c r="O105" i="8"/>
  <c r="N106" i="8"/>
  <c r="W9" i="90"/>
  <c r="U19" i="105" s="1"/>
  <c r="O107" i="8"/>
  <c r="Y5" i="82"/>
  <c r="L87" i="8"/>
  <c r="L63" i="8"/>
  <c r="L99" i="8"/>
  <c r="L19" i="8"/>
  <c r="M88" i="8"/>
  <c r="P4" i="137" s="1"/>
  <c r="M100" i="8"/>
  <c r="M68" i="8"/>
  <c r="M70" i="8" s="1"/>
  <c r="M118" i="8" s="1"/>
  <c r="U6" i="85" s="1"/>
  <c r="O73" i="8"/>
  <c r="O75" i="8" s="1"/>
  <c r="O119" i="8" s="1"/>
  <c r="O143" i="8" s="1"/>
  <c r="O101" i="8"/>
  <c r="O89" i="8"/>
  <c r="N121" i="8"/>
  <c r="V58" i="144" s="1"/>
  <c r="V63" i="144" s="1"/>
  <c r="V65" i="144" s="1"/>
  <c r="N102" i="8"/>
  <c r="N90" i="8"/>
  <c r="L103" i="8"/>
  <c r="L123" i="8"/>
  <c r="L91" i="8"/>
  <c r="Q19" i="8"/>
  <c r="W10" i="105" s="1"/>
  <c r="X9" i="82"/>
  <c r="V17" i="105" s="1"/>
  <c r="P25" i="8"/>
  <c r="P105" i="8"/>
  <c r="O106" i="8"/>
  <c r="X9" i="90"/>
  <c r="P107" i="8"/>
  <c r="U109" i="8"/>
  <c r="F100" i="8"/>
  <c r="F68" i="8"/>
  <c r="F70" i="8" s="1"/>
  <c r="F118" i="8" s="1"/>
  <c r="O121" i="8"/>
  <c r="W58" i="144" s="1"/>
  <c r="W63" i="144" s="1"/>
  <c r="O102" i="8"/>
  <c r="O90" i="8"/>
  <c r="M103" i="8"/>
  <c r="M123" i="8"/>
  <c r="U6" i="139" s="1"/>
  <c r="AH6" i="139" s="1"/>
  <c r="M91" i="8"/>
  <c r="Q105" i="8"/>
  <c r="P101" i="8"/>
  <c r="P89" i="8"/>
  <c r="P73" i="8"/>
  <c r="P75" i="8" s="1"/>
  <c r="P119" i="8" s="1"/>
  <c r="P143" i="8" s="1"/>
  <c r="N9" i="8"/>
  <c r="V5" i="85" s="1"/>
  <c r="G10" i="8"/>
  <c r="O11" i="8"/>
  <c r="L12" i="8"/>
  <c r="N87" i="8"/>
  <c r="N63" i="8"/>
  <c r="N65" i="8" s="1"/>
  <c r="N117" i="8" s="1"/>
  <c r="N129" i="8" s="1"/>
  <c r="N99" i="8"/>
  <c r="O100" i="8"/>
  <c r="O68" i="8"/>
  <c r="O70" i="8" s="1"/>
  <c r="O118" i="8" s="1"/>
  <c r="W6" i="85" s="1"/>
  <c r="O88" i="8"/>
  <c r="R4" i="137" s="1"/>
  <c r="Q89" i="8"/>
  <c r="Q73" i="8"/>
  <c r="Q75" i="8" s="1"/>
  <c r="Q119" i="8" s="1"/>
  <c r="Q143" i="8" s="1"/>
  <c r="Q101" i="8"/>
  <c r="H11" i="8"/>
  <c r="P90" i="8"/>
  <c r="P121" i="8"/>
  <c r="X63" i="144" s="1"/>
  <c r="P122" i="8" s="1"/>
  <c r="X6" i="144" s="1"/>
  <c r="P102" i="8"/>
  <c r="N123" i="8"/>
  <c r="V6" i="139" s="1"/>
  <c r="AI6" i="139" s="1"/>
  <c r="N91" i="8"/>
  <c r="N103" i="8"/>
  <c r="U105" i="8"/>
  <c r="O14" i="102"/>
  <c r="I182" i="8"/>
  <c r="AE67" i="102" s="1"/>
  <c r="L109" i="8"/>
  <c r="O123" i="8"/>
  <c r="W6" i="139" s="1"/>
  <c r="AJ6" i="139" s="1"/>
  <c r="O177" i="8"/>
  <c r="P179" i="8"/>
  <c r="AK27" i="144" s="1"/>
  <c r="L184" i="8"/>
  <c r="AG23" i="142" s="1"/>
  <c r="J182" i="8"/>
  <c r="AF67" i="102" s="1"/>
  <c r="O103" i="8"/>
  <c r="Q107" i="8"/>
  <c r="O108" i="8"/>
  <c r="M109" i="8"/>
  <c r="X6" i="139"/>
  <c r="AK6" i="139" s="1"/>
  <c r="Q179" i="8"/>
  <c r="AL27" i="144" s="1"/>
  <c r="L182" i="8"/>
  <c r="L183" i="8"/>
  <c r="M184" i="8"/>
  <c r="AH23" i="142" s="1"/>
  <c r="G179" i="8"/>
  <c r="H185" i="8"/>
  <c r="P103" i="8"/>
  <c r="P108" i="8"/>
  <c r="N109" i="8"/>
  <c r="M182" i="8"/>
  <c r="M183" i="8"/>
  <c r="N184" i="8"/>
  <c r="AI23" i="142" s="1"/>
  <c r="Q108" i="8"/>
  <c r="O109" i="8"/>
  <c r="N182" i="8"/>
  <c r="N183" i="8"/>
  <c r="O184" i="8"/>
  <c r="AJ23" i="142" s="1"/>
  <c r="I109" i="8"/>
  <c r="P109" i="8"/>
  <c r="L179" i="8"/>
  <c r="AH37" i="102" s="1"/>
  <c r="O182" i="8"/>
  <c r="O183" i="8"/>
  <c r="P184" i="8"/>
  <c r="AK23" i="142" s="1"/>
  <c r="Q185" i="8"/>
  <c r="AL29" i="144" s="1"/>
  <c r="Q109" i="8"/>
  <c r="R136" i="8"/>
  <c r="L177" i="8"/>
  <c r="AH33" i="102" s="1"/>
  <c r="M179" i="8"/>
  <c r="AI37" i="102" s="1"/>
  <c r="P182" i="8"/>
  <c r="P183" i="8"/>
  <c r="Q184" i="8"/>
  <c r="AL23" i="142" s="1"/>
  <c r="Y9" i="82"/>
  <c r="BM82" i="105"/>
  <c r="K109" i="8"/>
  <c r="Q25" i="8"/>
  <c r="O91" i="8"/>
  <c r="P106" i="8"/>
  <c r="L108" i="8"/>
  <c r="S136" i="8"/>
  <c r="N179" i="8"/>
  <c r="Q182" i="8"/>
  <c r="Q183" i="8"/>
  <c r="H182" i="8"/>
  <c r="AC23" i="82" s="1"/>
  <c r="Q106" i="8"/>
  <c r="M108" i="8"/>
  <c r="O179" i="8"/>
  <c r="AJ27" i="144" s="1"/>
  <c r="L11" i="102"/>
  <c r="M11" i="102" s="1"/>
  <c r="X41" i="102"/>
  <c r="V9" i="120" s="1"/>
  <c r="Y51" i="102"/>
  <c r="W10" i="120" s="1"/>
  <c r="U10" i="102"/>
  <c r="P22" i="102"/>
  <c r="R24" i="102"/>
  <c r="AF9" i="119"/>
  <c r="L9" i="102"/>
  <c r="M9" i="102" s="1"/>
  <c r="Q13" i="102"/>
  <c r="V21" i="102"/>
  <c r="N9" i="102"/>
  <c r="V9" i="102"/>
  <c r="W10" i="102"/>
  <c r="R13" i="102"/>
  <c r="T15" i="102"/>
  <c r="AO19" i="85"/>
  <c r="T7" i="102"/>
  <c r="U8" i="102"/>
  <c r="Q11" i="102"/>
  <c r="Y11" i="102"/>
  <c r="Y16" i="102" s="1"/>
  <c r="BJ7" i="102" s="1"/>
  <c r="T14" i="102"/>
  <c r="T41" i="102"/>
  <c r="R9" i="120" s="1"/>
  <c r="S87" i="102"/>
  <c r="T13" i="102"/>
  <c r="N15" i="102"/>
  <c r="V15" i="102"/>
  <c r="U41" i="102"/>
  <c r="S9" i="120" s="1"/>
  <c r="S51" i="102"/>
  <c r="P10" i="120" s="1"/>
  <c r="M38" i="102"/>
  <c r="L13" i="102"/>
  <c r="M13" i="102" s="1"/>
  <c r="V41" i="102"/>
  <c r="T9" i="120" s="1"/>
  <c r="L87" i="102"/>
  <c r="W41" i="102"/>
  <c r="U9" i="120" s="1"/>
  <c r="AF24" i="69"/>
  <c r="S14" i="102"/>
  <c r="S37" i="102"/>
  <c r="S12" i="102" s="1"/>
  <c r="S77" i="102"/>
  <c r="S41" i="102"/>
  <c r="P9" i="120" s="1"/>
  <c r="S7" i="90"/>
  <c r="S35" i="102"/>
  <c r="S10" i="102" s="1"/>
  <c r="K184" i="8"/>
  <c r="AF23" i="142" s="1"/>
  <c r="S9" i="102"/>
  <c r="W42" i="8"/>
  <c r="K134" i="8"/>
  <c r="AF7" i="85" s="1"/>
  <c r="K183" i="8"/>
  <c r="K116" i="8"/>
  <c r="K226" i="8" s="1"/>
  <c r="S6" i="102"/>
  <c r="K128" i="8"/>
  <c r="S7" i="82"/>
  <c r="K182" i="8"/>
  <c r="H26" i="69"/>
  <c r="K106" i="8"/>
  <c r="K11" i="8"/>
  <c r="K63" i="8"/>
  <c r="K65" i="8" s="1"/>
  <c r="K117" i="8" s="1"/>
  <c r="K108" i="8"/>
  <c r="K8" i="8"/>
  <c r="K102" i="8"/>
  <c r="O61" i="61"/>
  <c r="K105" i="8"/>
  <c r="K107" i="8"/>
  <c r="S10" i="92"/>
  <c r="K87" i="8"/>
  <c r="K9" i="8"/>
  <c r="K99" i="8"/>
  <c r="S9" i="90"/>
  <c r="Q19" i="105" s="1"/>
  <c r="K88" i="8"/>
  <c r="N4" i="137" s="1"/>
  <c r="K91" i="8"/>
  <c r="K103" i="8"/>
  <c r="K100" i="8"/>
  <c r="K89" i="8"/>
  <c r="S9" i="82"/>
  <c r="K25" i="8"/>
  <c r="K73" i="8"/>
  <c r="K75" i="8" s="1"/>
  <c r="K119" i="8" s="1"/>
  <c r="K143" i="8" s="1"/>
  <c r="K101" i="8"/>
  <c r="K10" i="8"/>
  <c r="K12" i="8"/>
  <c r="AX201" i="105"/>
  <c r="AY201" i="105"/>
  <c r="AZ201" i="105"/>
  <c r="BD201" i="105"/>
  <c r="G16" i="102"/>
  <c r="K25" i="69"/>
  <c r="Q9" i="95"/>
  <c r="R39" i="102"/>
  <c r="R14" i="102" s="1"/>
  <c r="R12" i="102"/>
  <c r="J179" i="8"/>
  <c r="AF37" i="102" s="1"/>
  <c r="R77" i="102"/>
  <c r="R10" i="102"/>
  <c r="J142" i="8"/>
  <c r="J184" i="8"/>
  <c r="AE23" i="142" s="1"/>
  <c r="R87" i="102"/>
  <c r="T112" i="8"/>
  <c r="J183" i="8"/>
  <c r="R7" i="85"/>
  <c r="R67" i="102"/>
  <c r="R31" i="102"/>
  <c r="R41" i="102"/>
  <c r="O9" i="120" s="1"/>
  <c r="J116" i="8"/>
  <c r="J226" i="8" s="1"/>
  <c r="J128" i="8"/>
  <c r="J7" i="8"/>
  <c r="J10" i="8"/>
  <c r="J12" i="8"/>
  <c r="J106" i="8"/>
  <c r="J87" i="8"/>
  <c r="M3" i="137" s="1"/>
  <c r="J102" i="8"/>
  <c r="W20" i="8"/>
  <c r="O4" i="135"/>
  <c r="O148" i="135" s="1"/>
  <c r="J11" i="8"/>
  <c r="J19" i="8"/>
  <c r="J63" i="8"/>
  <c r="J65" i="8" s="1"/>
  <c r="J117" i="8" s="1"/>
  <c r="J100" i="8"/>
  <c r="J105" i="8"/>
  <c r="J107" i="8"/>
  <c r="J108" i="8"/>
  <c r="J109" i="8"/>
  <c r="O51" i="61"/>
  <c r="J25" i="8"/>
  <c r="J89" i="8"/>
  <c r="J90" i="8"/>
  <c r="J91" i="8"/>
  <c r="J99" i="8"/>
  <c r="J68" i="8"/>
  <c r="J70" i="8" s="1"/>
  <c r="J118" i="8" s="1"/>
  <c r="R6" i="85" s="1"/>
  <c r="O71" i="135" s="1"/>
  <c r="O142" i="135" s="1"/>
  <c r="J73" i="8"/>
  <c r="J75" i="8" s="1"/>
  <c r="J119" i="8" s="1"/>
  <c r="J88" i="8"/>
  <c r="M4" i="137" s="1"/>
  <c r="J103" i="8"/>
  <c r="J101" i="8"/>
  <c r="AU201" i="105"/>
  <c r="AV201" i="105"/>
  <c r="AT201" i="105"/>
  <c r="AW201" i="105"/>
  <c r="Q75" i="102"/>
  <c r="W45" i="8"/>
  <c r="Q39" i="102"/>
  <c r="Q77" i="102"/>
  <c r="Q7" i="91"/>
  <c r="Q37" i="102"/>
  <c r="Q73" i="102"/>
  <c r="Q51" i="102"/>
  <c r="N10" i="120" s="1"/>
  <c r="I184" i="8"/>
  <c r="AD23" i="142" s="1"/>
  <c r="Q7" i="90"/>
  <c r="Q35" i="102"/>
  <c r="Q10" i="102" s="1"/>
  <c r="Q22" i="102"/>
  <c r="Q41" i="102"/>
  <c r="N9" i="120" s="1"/>
  <c r="Q87" i="102"/>
  <c r="V77" i="8"/>
  <c r="Z33" i="102" s="1"/>
  <c r="I134" i="8"/>
  <c r="AD7" i="85" s="1"/>
  <c r="Q33" i="102"/>
  <c r="Q8" i="102" s="1"/>
  <c r="I183" i="8"/>
  <c r="AD7" i="82"/>
  <c r="Q7" i="82"/>
  <c r="I116" i="8"/>
  <c r="I226" i="8" s="1"/>
  <c r="Q67" i="102"/>
  <c r="Q6" i="102" s="1"/>
  <c r="I19" i="8"/>
  <c r="I91" i="8"/>
  <c r="I107" i="8"/>
  <c r="I123" i="8"/>
  <c r="AD6" i="139" s="1"/>
  <c r="R41" i="61"/>
  <c r="Q9" i="82"/>
  <c r="Q10" i="92"/>
  <c r="I63" i="8"/>
  <c r="I65" i="8" s="1"/>
  <c r="I117" i="8" s="1"/>
  <c r="I68" i="8"/>
  <c r="I70" i="8" s="1"/>
  <c r="I118" i="8" s="1"/>
  <c r="Q6" i="85" s="1"/>
  <c r="N71" i="135" s="1"/>
  <c r="N142" i="135" s="1"/>
  <c r="I87" i="8"/>
  <c r="I99" i="8"/>
  <c r="I100" i="8"/>
  <c r="I101" i="8"/>
  <c r="I102" i="8"/>
  <c r="I108" i="8"/>
  <c r="T41" i="61"/>
  <c r="I88" i="8"/>
  <c r="L4" i="137" s="1"/>
  <c r="I89" i="8"/>
  <c r="I103" i="8"/>
  <c r="I105" i="8"/>
  <c r="U41" i="61"/>
  <c r="I90" i="8"/>
  <c r="I106" i="8"/>
  <c r="O41" i="61"/>
  <c r="Q5" i="82"/>
  <c r="Q42" i="82" s="1"/>
  <c r="M26" i="69"/>
  <c r="S26" i="69"/>
  <c r="S36" i="69" s="1"/>
  <c r="R26" i="69"/>
  <c r="R36" i="69" s="1"/>
  <c r="I26" i="69"/>
  <c r="C26" i="69"/>
  <c r="AB26" i="69"/>
  <c r="AB36" i="69" s="1"/>
  <c r="Y26" i="69"/>
  <c r="Y36" i="69" s="1"/>
  <c r="AF22" i="69"/>
  <c r="AE25" i="69"/>
  <c r="O25" i="69"/>
  <c r="M34" i="132"/>
  <c r="M38" i="132"/>
  <c r="M14" i="82"/>
  <c r="M36" i="132"/>
  <c r="M39" i="132"/>
  <c r="AM19" i="82"/>
  <c r="M5" i="132"/>
  <c r="J45" i="135" s="1"/>
  <c r="M37" i="132"/>
  <c r="AO17" i="82"/>
  <c r="AM25" i="92"/>
  <c r="M29" i="132"/>
  <c r="V74" i="8"/>
  <c r="Z30" i="132"/>
  <c r="Z23" i="132"/>
  <c r="H26" i="120"/>
  <c r="AM30" i="90"/>
  <c r="D36" i="124"/>
  <c r="E36" i="124" s="1"/>
  <c r="G4" i="124" s="1"/>
  <c r="AI24" i="85"/>
  <c r="AL35" i="85"/>
  <c r="AL26" i="85"/>
  <c r="S80" i="8"/>
  <c r="V79" i="8"/>
  <c r="T79" i="8"/>
  <c r="T179" i="8" s="1"/>
  <c r="Z22" i="132"/>
  <c r="P37" i="102"/>
  <c r="P73" i="102"/>
  <c r="P77" i="102"/>
  <c r="T78" i="8"/>
  <c r="P41" i="102"/>
  <c r="M9" i="120" s="1"/>
  <c r="Z22" i="90"/>
  <c r="P51" i="102"/>
  <c r="S113" i="8"/>
  <c r="P35" i="102"/>
  <c r="P71" i="102"/>
  <c r="P87" i="102"/>
  <c r="AC23" i="90"/>
  <c r="H142" i="8"/>
  <c r="AC7" i="90" s="1"/>
  <c r="P21" i="102"/>
  <c r="P33" i="102"/>
  <c r="P69" i="102"/>
  <c r="H134" i="8"/>
  <c r="AC7" i="85" s="1"/>
  <c r="H128" i="8"/>
  <c r="P67" i="102"/>
  <c r="P6" i="102" s="1"/>
  <c r="H116" i="8"/>
  <c r="H226" i="8" s="1"/>
  <c r="H99" i="8"/>
  <c r="H103" i="8"/>
  <c r="P9" i="82"/>
  <c r="H89" i="8"/>
  <c r="P8" i="142" s="1"/>
  <c r="H108" i="8"/>
  <c r="H107" i="8"/>
  <c r="H100" i="8"/>
  <c r="H105" i="8"/>
  <c r="H90" i="8"/>
  <c r="H102" i="8"/>
  <c r="H109" i="8"/>
  <c r="V5" i="8"/>
  <c r="H12" i="8"/>
  <c r="V14" i="8"/>
  <c r="H68" i="8"/>
  <c r="H70" i="8" s="1"/>
  <c r="H118" i="8" s="1"/>
  <c r="P6" i="85" s="1"/>
  <c r="M71" i="135" s="1"/>
  <c r="M142" i="135" s="1"/>
  <c r="H75" i="8"/>
  <c r="H87" i="8"/>
  <c r="H101" i="8"/>
  <c r="G31" i="61"/>
  <c r="I31" i="61" s="1"/>
  <c r="R31" i="61"/>
  <c r="P10" i="91"/>
  <c r="H9" i="8"/>
  <c r="AQ146" i="135" s="1"/>
  <c r="H25" i="8"/>
  <c r="H63" i="8"/>
  <c r="H65" i="8" s="1"/>
  <c r="H117" i="8" s="1"/>
  <c r="H88" i="8"/>
  <c r="K4" i="137" s="1"/>
  <c r="H123" i="8"/>
  <c r="P6" i="139" s="1"/>
  <c r="AC6" i="139" s="1"/>
  <c r="H19" i="8"/>
  <c r="S21" i="8"/>
  <c r="H91" i="8"/>
  <c r="H106" i="8"/>
  <c r="Z20" i="91"/>
  <c r="AF20" i="69"/>
  <c r="L77" i="102"/>
  <c r="M77" i="102"/>
  <c r="L41" i="102"/>
  <c r="Y21" i="95"/>
  <c r="M80" i="130" s="1"/>
  <c r="AN97" i="102"/>
  <c r="AN130" i="102"/>
  <c r="AO130" i="102" s="1"/>
  <c r="AN56" i="102"/>
  <c r="AO56" i="102" s="1"/>
  <c r="AO125" i="102"/>
  <c r="AO59" i="102"/>
  <c r="AO138" i="102"/>
  <c r="K28" i="95"/>
  <c r="D17" i="120"/>
  <c r="D18" i="120"/>
  <c r="E21" i="120"/>
  <c r="H21" i="120" s="1"/>
  <c r="Q22" i="120"/>
  <c r="O77" i="102"/>
  <c r="Z28" i="132"/>
  <c r="V51" i="130" s="1"/>
  <c r="Z31" i="132"/>
  <c r="O51" i="102"/>
  <c r="R111" i="8"/>
  <c r="V111" i="8"/>
  <c r="Z7" i="82" s="1"/>
  <c r="X30" i="105" s="1"/>
  <c r="O7" i="92"/>
  <c r="S85" i="8"/>
  <c r="O73" i="102"/>
  <c r="O87" i="102"/>
  <c r="Z25" i="132"/>
  <c r="O37" i="102"/>
  <c r="C37" i="124"/>
  <c r="D37" i="124" s="1"/>
  <c r="E37" i="124" s="1"/>
  <c r="G5" i="124" s="1"/>
  <c r="O41" i="102"/>
  <c r="L9" i="120" s="1"/>
  <c r="S83" i="8"/>
  <c r="S184" i="8" s="1"/>
  <c r="O7" i="90"/>
  <c r="O35" i="102"/>
  <c r="O10" i="102" s="1"/>
  <c r="T113" i="8"/>
  <c r="G184" i="8"/>
  <c r="AB23" i="142" s="1"/>
  <c r="O33" i="102"/>
  <c r="O8" i="102" s="1"/>
  <c r="G183" i="8"/>
  <c r="AC69" i="102" s="1"/>
  <c r="G128" i="8"/>
  <c r="AB7" i="82" s="1"/>
  <c r="G134" i="8"/>
  <c r="AB7" i="85" s="1"/>
  <c r="S112" i="8"/>
  <c r="G182" i="8"/>
  <c r="O31" i="102"/>
  <c r="O6" i="102" s="1"/>
  <c r="G116" i="8"/>
  <c r="G226" i="8" s="1"/>
  <c r="S76" i="8"/>
  <c r="O7" i="82"/>
  <c r="G11" i="8"/>
  <c r="G19" i="8"/>
  <c r="G88" i="8"/>
  <c r="G109" i="8"/>
  <c r="S5" i="8"/>
  <c r="W5" i="8" s="1"/>
  <c r="S6" i="8"/>
  <c r="W6" i="8" s="1"/>
  <c r="G108" i="8"/>
  <c r="G107" i="8"/>
  <c r="V3" i="8"/>
  <c r="V4" i="8"/>
  <c r="S15" i="8"/>
  <c r="V22" i="8"/>
  <c r="S22" i="8"/>
  <c r="G25" i="8"/>
  <c r="G87" i="8"/>
  <c r="G90" i="8"/>
  <c r="G99" i="8"/>
  <c r="G101" i="8"/>
  <c r="G106" i="8"/>
  <c r="C47" i="138"/>
  <c r="O10" i="91"/>
  <c r="O10" i="92"/>
  <c r="R2" i="8"/>
  <c r="V2" i="8"/>
  <c r="V17" i="8"/>
  <c r="S17" i="8"/>
  <c r="G63" i="8"/>
  <c r="G65" i="8" s="1"/>
  <c r="G117" i="8" s="1"/>
  <c r="G68" i="8"/>
  <c r="G70" i="8" s="1"/>
  <c r="G118" i="8" s="1"/>
  <c r="O6" i="85" s="1"/>
  <c r="L71" i="135" s="1"/>
  <c r="L142" i="135" s="1"/>
  <c r="J5" i="137"/>
  <c r="G103" i="8"/>
  <c r="G105" i="8"/>
  <c r="G123" i="8"/>
  <c r="O21" i="61"/>
  <c r="O9" i="82"/>
  <c r="S2" i="8"/>
  <c r="W2" i="8" s="1"/>
  <c r="G100" i="8"/>
  <c r="G102" i="8"/>
  <c r="S14" i="8"/>
  <c r="G91" i="8"/>
  <c r="S9" i="95"/>
  <c r="W9" i="95"/>
  <c r="T9" i="95"/>
  <c r="X9" i="95"/>
  <c r="R11" i="95"/>
  <c r="V11" i="95"/>
  <c r="P22" i="93"/>
  <c r="P30" i="93"/>
  <c r="Z17" i="95"/>
  <c r="V69" i="8"/>
  <c r="V64" i="8"/>
  <c r="C21" i="95"/>
  <c r="AN39" i="90"/>
  <c r="AN36" i="90"/>
  <c r="K6" i="95"/>
  <c r="Z13" i="95"/>
  <c r="BE231" i="105"/>
  <c r="BH231" i="105" s="1"/>
  <c r="BE216" i="105"/>
  <c r="BH216" i="105" s="1"/>
  <c r="L41" i="132"/>
  <c r="AM34" i="85"/>
  <c r="L40" i="132"/>
  <c r="N16" i="132"/>
  <c r="AO8" i="92"/>
  <c r="V26" i="69"/>
  <c r="L26" i="69"/>
  <c r="H36" i="69"/>
  <c r="B26" i="69"/>
  <c r="N8" i="82"/>
  <c r="BT35" i="105"/>
  <c r="K5" i="135"/>
  <c r="K166" i="135" s="1"/>
  <c r="S3" i="8"/>
  <c r="W3" i="8" s="1"/>
  <c r="S4" i="8"/>
  <c r="W4" i="8" s="1"/>
  <c r="R20" i="8"/>
  <c r="V20" i="8"/>
  <c r="F90" i="8"/>
  <c r="F99" i="8"/>
  <c r="N5" i="85"/>
  <c r="N5" i="92"/>
  <c r="R5" i="8"/>
  <c r="R6" i="8"/>
  <c r="V6" i="8"/>
  <c r="F7" i="8"/>
  <c r="R7" i="8" s="1"/>
  <c r="R16" i="8"/>
  <c r="V16" i="8"/>
  <c r="X7" i="105" s="1"/>
  <c r="R18" i="8"/>
  <c r="V18" i="8"/>
  <c r="S20" i="8"/>
  <c r="R24" i="8"/>
  <c r="V24" i="8"/>
  <c r="F25" i="8"/>
  <c r="F73" i="8"/>
  <c r="F75" i="8" s="1"/>
  <c r="F119" i="8" s="1"/>
  <c r="F89" i="8"/>
  <c r="F102" i="8"/>
  <c r="F103" i="8"/>
  <c r="R11" i="61"/>
  <c r="N9" i="90"/>
  <c r="S16" i="8"/>
  <c r="S18" i="8"/>
  <c r="S97" i="8" s="1"/>
  <c r="R23" i="8"/>
  <c r="V23" i="8"/>
  <c r="S24" i="8"/>
  <c r="F101" i="8"/>
  <c r="F105" i="8"/>
  <c r="F106" i="8"/>
  <c r="F107" i="8"/>
  <c r="F108" i="8"/>
  <c r="F109" i="8"/>
  <c r="N10" i="92"/>
  <c r="R3" i="8"/>
  <c r="R4" i="8"/>
  <c r="R11" i="8"/>
  <c r="R12" i="8"/>
  <c r="R15" i="8"/>
  <c r="V15" i="8"/>
  <c r="R17" i="8"/>
  <c r="F19" i="8"/>
  <c r="R21" i="8"/>
  <c r="V21" i="8"/>
  <c r="R22" i="8"/>
  <c r="S23" i="8"/>
  <c r="F63" i="8"/>
  <c r="F65" i="8" s="1"/>
  <c r="F117" i="8" s="1"/>
  <c r="F88" i="8"/>
  <c r="I4" i="137" s="1"/>
  <c r="F91" i="8"/>
  <c r="D38" i="124"/>
  <c r="E38" i="124" s="1"/>
  <c r="G6" i="124" s="1"/>
  <c r="T80" i="8"/>
  <c r="V80" i="8"/>
  <c r="Z39" i="102" s="1"/>
  <c r="V115" i="8"/>
  <c r="Z7" i="139" s="1"/>
  <c r="R80" i="8"/>
  <c r="T85" i="8"/>
  <c r="S115" i="8"/>
  <c r="N7" i="92"/>
  <c r="R115" i="8"/>
  <c r="T115" i="8"/>
  <c r="R79" i="8"/>
  <c r="T84" i="8"/>
  <c r="T185" i="8" s="1"/>
  <c r="T114" i="8"/>
  <c r="F185" i="8"/>
  <c r="AA29" i="144" s="1"/>
  <c r="N7" i="91"/>
  <c r="S79" i="8"/>
  <c r="S179" i="8" s="1"/>
  <c r="V84" i="8"/>
  <c r="R84" i="8"/>
  <c r="V114" i="8"/>
  <c r="Z7" i="144" s="1"/>
  <c r="N37" i="102"/>
  <c r="N12" i="102" s="1"/>
  <c r="S84" i="8"/>
  <c r="S185" i="8" s="1"/>
  <c r="N41" i="102"/>
  <c r="K9" i="120" s="1"/>
  <c r="Q9" i="120" s="1"/>
  <c r="S81" i="8"/>
  <c r="S182" i="8" s="1"/>
  <c r="R83" i="8"/>
  <c r="N77" i="102"/>
  <c r="R82" i="8"/>
  <c r="N20" i="132"/>
  <c r="Z20" i="132" s="1"/>
  <c r="N51" i="102"/>
  <c r="X30" i="8"/>
  <c r="V78" i="8"/>
  <c r="Z35" i="102" s="1"/>
  <c r="W39" i="8"/>
  <c r="R78" i="8"/>
  <c r="T83" i="8"/>
  <c r="T184" i="8" s="1"/>
  <c r="S78" i="8"/>
  <c r="V83" i="8"/>
  <c r="R113" i="8"/>
  <c r="V113" i="8"/>
  <c r="F142" i="8"/>
  <c r="F184" i="8"/>
  <c r="AA23" i="142" s="1"/>
  <c r="N87" i="102"/>
  <c r="R77" i="8"/>
  <c r="S82" i="8"/>
  <c r="S183" i="8" s="1"/>
  <c r="N7" i="85"/>
  <c r="N33" i="102"/>
  <c r="N8" i="102" s="1"/>
  <c r="S77" i="8"/>
  <c r="T82" i="8"/>
  <c r="T183" i="8" s="1"/>
  <c r="R112" i="8"/>
  <c r="V112" i="8"/>
  <c r="Z7" i="85" s="1"/>
  <c r="X31" i="105" s="1"/>
  <c r="F183" i="8"/>
  <c r="T77" i="8"/>
  <c r="T177" i="8" s="1"/>
  <c r="V82" i="8"/>
  <c r="T111" i="8"/>
  <c r="T81" i="8"/>
  <c r="T182" i="8" s="1"/>
  <c r="T76" i="8"/>
  <c r="V81" i="8"/>
  <c r="S111" i="8"/>
  <c r="F116" i="8"/>
  <c r="F226" i="8" s="1"/>
  <c r="F182" i="8"/>
  <c r="R81" i="8"/>
  <c r="AY134" i="105"/>
  <c r="E95" i="8"/>
  <c r="X99" i="105"/>
  <c r="X100" i="105"/>
  <c r="X101" i="105"/>
  <c r="X102" i="105"/>
  <c r="L92" i="105"/>
  <c r="P92" i="105"/>
  <c r="T92" i="105"/>
  <c r="E86" i="105"/>
  <c r="O86" i="105"/>
  <c r="S86" i="105"/>
  <c r="W86" i="105"/>
  <c r="D39" i="124"/>
  <c r="E39" i="124" s="1"/>
  <c r="G7" i="124" s="1"/>
  <c r="N86" i="105"/>
  <c r="R86" i="105"/>
  <c r="V86" i="105"/>
  <c r="Z28" i="92"/>
  <c r="Z33" i="132"/>
  <c r="V56" i="130" s="1"/>
  <c r="Z11" i="92"/>
  <c r="N32" i="132"/>
  <c r="K52" i="135" s="1"/>
  <c r="K192" i="135" s="1"/>
  <c r="M5" i="92"/>
  <c r="Z26" i="92"/>
  <c r="Z29" i="92"/>
  <c r="AI41" i="92"/>
  <c r="AM41" i="92"/>
  <c r="Q36" i="132"/>
  <c r="U36" i="132"/>
  <c r="Y36" i="132"/>
  <c r="AH13" i="92"/>
  <c r="Z27" i="92"/>
  <c r="AM34" i="90"/>
  <c r="E17" i="120"/>
  <c r="AS18" i="105"/>
  <c r="M8" i="90"/>
  <c r="Z18" i="132"/>
  <c r="Z20" i="90"/>
  <c r="AN35" i="90"/>
  <c r="AN41" i="90"/>
  <c r="AM42" i="90"/>
  <c r="AM41" i="90"/>
  <c r="AM37" i="90"/>
  <c r="AM32" i="90"/>
  <c r="AM40" i="90"/>
  <c r="AM35" i="90"/>
  <c r="AM31" i="90"/>
  <c r="AM38" i="90"/>
  <c r="AM33" i="90"/>
  <c r="M6" i="90"/>
  <c r="J72" i="135" s="1"/>
  <c r="Z21" i="90"/>
  <c r="Z21" i="132"/>
  <c r="V44" i="130" s="1"/>
  <c r="AN40" i="90"/>
  <c r="AY40" i="105"/>
  <c r="AM39" i="90"/>
  <c r="Z18" i="90"/>
  <c r="Z19" i="90"/>
  <c r="N19" i="132"/>
  <c r="Z19" i="132" s="1"/>
  <c r="Z23" i="90"/>
  <c r="N17" i="132"/>
  <c r="Z26" i="91"/>
  <c r="Z26" i="132"/>
  <c r="V49" i="130" s="1"/>
  <c r="Z11" i="91"/>
  <c r="Z27" i="91"/>
  <c r="Z27" i="132"/>
  <c r="V50" i="130" s="1"/>
  <c r="M86" i="105"/>
  <c r="M5" i="91"/>
  <c r="Z29" i="91"/>
  <c r="N24" i="132"/>
  <c r="K50" i="135" s="1"/>
  <c r="K173" i="135" s="1"/>
  <c r="R36" i="132"/>
  <c r="V36" i="132"/>
  <c r="Z28" i="91"/>
  <c r="AY41" i="105"/>
  <c r="O36" i="132"/>
  <c r="S36" i="132"/>
  <c r="W36" i="132"/>
  <c r="AM37" i="91"/>
  <c r="G41" i="102"/>
  <c r="C9" i="120" s="1"/>
  <c r="Z7" i="132"/>
  <c r="Z4" i="132"/>
  <c r="V27" i="130" s="1"/>
  <c r="Z5" i="132"/>
  <c r="V28" i="130" s="1"/>
  <c r="Z6" i="132"/>
  <c r="Z11" i="82"/>
  <c r="Z23" i="82"/>
  <c r="P36" i="132"/>
  <c r="T36" i="132"/>
  <c r="X36" i="132"/>
  <c r="Z21" i="85"/>
  <c r="G92" i="105"/>
  <c r="M92" i="105"/>
  <c r="Q92" i="105"/>
  <c r="Z11" i="132"/>
  <c r="V34" i="130" s="1"/>
  <c r="AO19" i="82"/>
  <c r="Z8" i="132"/>
  <c r="V31" i="130" s="1"/>
  <c r="AY39" i="105"/>
  <c r="Z21" i="82"/>
  <c r="AG32" i="82"/>
  <c r="AM33" i="82"/>
  <c r="AD34" i="82"/>
  <c r="AL34" i="82"/>
  <c r="AO8" i="85"/>
  <c r="Z11" i="85"/>
  <c r="O37" i="132"/>
  <c r="S37" i="132"/>
  <c r="W37" i="132"/>
  <c r="Q38" i="132"/>
  <c r="U38" i="132"/>
  <c r="Y38" i="132"/>
  <c r="P39" i="132"/>
  <c r="T39" i="132"/>
  <c r="X39" i="132"/>
  <c r="O34" i="132"/>
  <c r="S34" i="132"/>
  <c r="W34" i="132"/>
  <c r="O35" i="132"/>
  <c r="S35" i="132"/>
  <c r="W35" i="132"/>
  <c r="Z22" i="82"/>
  <c r="AB33" i="82"/>
  <c r="AM34" i="82"/>
  <c r="P37" i="132"/>
  <c r="T37" i="132"/>
  <c r="X37" i="132"/>
  <c r="R38" i="132"/>
  <c r="V38" i="132"/>
  <c r="Q39" i="132"/>
  <c r="U39" i="132"/>
  <c r="Y39" i="132"/>
  <c r="P34" i="132"/>
  <c r="T34" i="132"/>
  <c r="X34" i="132"/>
  <c r="T35" i="132"/>
  <c r="X35" i="132"/>
  <c r="Z10" i="82"/>
  <c r="AT10" i="82" s="1"/>
  <c r="AM32" i="82"/>
  <c r="AB34" i="82"/>
  <c r="Q37" i="132"/>
  <c r="U37" i="132"/>
  <c r="Y37" i="132"/>
  <c r="O38" i="132"/>
  <c r="S38" i="132"/>
  <c r="W38" i="132"/>
  <c r="R39" i="132"/>
  <c r="V39" i="132"/>
  <c r="N9" i="132"/>
  <c r="Z9" i="132" s="1"/>
  <c r="V32" i="130" s="1"/>
  <c r="Q34" i="132"/>
  <c r="U34" i="132"/>
  <c r="Y34" i="132"/>
  <c r="Q35" i="132"/>
  <c r="U35" i="132"/>
  <c r="Y35" i="132"/>
  <c r="R37" i="132"/>
  <c r="V37" i="132"/>
  <c r="P38" i="132"/>
  <c r="T38" i="132"/>
  <c r="X38" i="132"/>
  <c r="O39" i="132"/>
  <c r="S39" i="132"/>
  <c r="W39" i="132"/>
  <c r="R34" i="132"/>
  <c r="V34" i="132"/>
  <c r="R35" i="132"/>
  <c r="V35" i="132"/>
  <c r="AI34" i="85"/>
  <c r="AI29" i="85"/>
  <c r="AG94" i="105" s="1"/>
  <c r="AI88" i="135" s="1"/>
  <c r="AI35" i="85"/>
  <c r="AI30" i="85"/>
  <c r="N92" i="105"/>
  <c r="R92" i="105"/>
  <c r="V92" i="105"/>
  <c r="Z14" i="132"/>
  <c r="V37" i="130" s="1"/>
  <c r="E92" i="105"/>
  <c r="Z12" i="132"/>
  <c r="Z15" i="132"/>
  <c r="V38" i="130" s="1"/>
  <c r="Z22" i="85"/>
  <c r="AM30" i="85"/>
  <c r="AM35" i="85"/>
  <c r="N13" i="132"/>
  <c r="K47" i="135" s="1"/>
  <c r="Z20" i="85"/>
  <c r="Z10" i="132"/>
  <c r="V33" i="130" s="1"/>
  <c r="Z23" i="85"/>
  <c r="AM26" i="85"/>
  <c r="AL29" i="85"/>
  <c r="AJ94" i="105" s="1"/>
  <c r="AL34" i="85"/>
  <c r="AM29" i="85"/>
  <c r="AK94" i="105" s="1"/>
  <c r="AL30" i="85"/>
  <c r="J92" i="105"/>
  <c r="M15" i="90"/>
  <c r="Q20" i="120"/>
  <c r="AY38" i="105"/>
  <c r="K86" i="105"/>
  <c r="AY42" i="105"/>
  <c r="F86" i="105"/>
  <c r="L86" i="105"/>
  <c r="P86" i="105"/>
  <c r="T86" i="105"/>
  <c r="BF202" i="105"/>
  <c r="F92" i="105"/>
  <c r="K87" i="105"/>
  <c r="J81" i="135" s="1"/>
  <c r="J125" i="135" s="1"/>
  <c r="O92" i="105"/>
  <c r="S92" i="105"/>
  <c r="W92" i="105"/>
  <c r="G86" i="105"/>
  <c r="Q86" i="105"/>
  <c r="U86" i="105"/>
  <c r="Z11" i="90"/>
  <c r="O15" i="82"/>
  <c r="AB15" i="82" s="1"/>
  <c r="AB13" i="92"/>
  <c r="AF13" i="92"/>
  <c r="AJ13" i="92"/>
  <c r="J86" i="105"/>
  <c r="AO97" i="102" l="1"/>
  <c r="V171" i="8"/>
  <c r="K10" i="120"/>
  <c r="L10" i="120"/>
  <c r="M10" i="120"/>
  <c r="S10" i="120"/>
  <c r="Y10" i="120"/>
  <c r="V10" i="120"/>
  <c r="W9" i="120"/>
  <c r="Y9" i="120" s="1"/>
  <c r="O10" i="120"/>
  <c r="U10" i="120"/>
  <c r="K10" i="102"/>
  <c r="AW88" i="135"/>
  <c r="AI144" i="135"/>
  <c r="AW144" i="135" s="1"/>
  <c r="D95" i="8"/>
  <c r="D141" i="8" s="1"/>
  <c r="AK7" i="105" s="1"/>
  <c r="R132" i="135"/>
  <c r="R135" i="135" s="1"/>
  <c r="AH18" i="135"/>
  <c r="AH22" i="135" s="1"/>
  <c r="AV17" i="135"/>
  <c r="AV113" i="135" s="1"/>
  <c r="AV116" i="135" s="1"/>
  <c r="AH113" i="135"/>
  <c r="AH116" i="135" s="1"/>
  <c r="R22" i="135"/>
  <c r="R150" i="135"/>
  <c r="R153" i="135" s="1"/>
  <c r="AH19" i="135"/>
  <c r="AG10" i="105"/>
  <c r="V55" i="135"/>
  <c r="V57" i="135" s="1"/>
  <c r="AL18" i="90"/>
  <c r="AL18" i="142"/>
  <c r="AL19" i="90"/>
  <c r="AL19" i="142"/>
  <c r="AL7" i="90"/>
  <c r="AJ32" i="105" s="1"/>
  <c r="AL7" i="142"/>
  <c r="Y6" i="85"/>
  <c r="Q135" i="8"/>
  <c r="W35" i="105"/>
  <c r="V22" i="135"/>
  <c r="V23" i="135" s="1"/>
  <c r="V113" i="135"/>
  <c r="V173" i="135"/>
  <c r="V54" i="135"/>
  <c r="V56" i="135" s="1"/>
  <c r="V26" i="135"/>
  <c r="V188" i="135" s="1"/>
  <c r="V33" i="135"/>
  <c r="V189" i="135" s="1"/>
  <c r="V14" i="135"/>
  <c r="V186" i="135" s="1"/>
  <c r="V21" i="135"/>
  <c r="V187" i="135" s="1"/>
  <c r="W22" i="105"/>
  <c r="W3" i="120" s="1"/>
  <c r="AJ20" i="105"/>
  <c r="V5" i="135"/>
  <c r="V13" i="135"/>
  <c r="V167" i="135" s="1"/>
  <c r="V25" i="135"/>
  <c r="V169" i="135" s="1"/>
  <c r="V32" i="135"/>
  <c r="V170" i="135" s="1"/>
  <c r="V20" i="135"/>
  <c r="V168" i="135" s="1"/>
  <c r="AJ21" i="105"/>
  <c r="V6" i="135"/>
  <c r="V185" i="135" s="1"/>
  <c r="Q151" i="8"/>
  <c r="Q150" i="8"/>
  <c r="P151" i="8"/>
  <c r="I36" i="69"/>
  <c r="X5" i="139"/>
  <c r="U26" i="135"/>
  <c r="U188" i="135" s="1"/>
  <c r="U21" i="135"/>
  <c r="U187" i="135" s="1"/>
  <c r="U33" i="135"/>
  <c r="U189" i="135" s="1"/>
  <c r="U14" i="135"/>
  <c r="U186" i="135" s="1"/>
  <c r="AI21" i="105"/>
  <c r="U6" i="135"/>
  <c r="U185" i="135" s="1"/>
  <c r="U54" i="135"/>
  <c r="U56" i="135" s="1"/>
  <c r="AK18" i="90"/>
  <c r="AK18" i="142"/>
  <c r="AK19" i="90"/>
  <c r="AK19" i="142"/>
  <c r="U55" i="135"/>
  <c r="U57" i="135" s="1"/>
  <c r="AK7" i="90"/>
  <c r="AI32" i="105" s="1"/>
  <c r="AK7" i="142"/>
  <c r="V19" i="105"/>
  <c r="L59" i="138"/>
  <c r="V20" i="105"/>
  <c r="U17" i="135"/>
  <c r="U29" i="135"/>
  <c r="U9" i="135"/>
  <c r="U111" i="135" s="1"/>
  <c r="U10" i="135"/>
  <c r="P150" i="8"/>
  <c r="N35" i="138"/>
  <c r="U20" i="135"/>
  <c r="U168" i="135" s="1"/>
  <c r="U13" i="135"/>
  <c r="U167" i="135" s="1"/>
  <c r="U25" i="135"/>
  <c r="U169" i="135" s="1"/>
  <c r="U32" i="135"/>
  <c r="U170" i="135" s="1"/>
  <c r="V22" i="105"/>
  <c r="V3" i="120" s="1"/>
  <c r="AI17" i="105"/>
  <c r="U2" i="135"/>
  <c r="U19" i="135"/>
  <c r="U150" i="135" s="1"/>
  <c r="U24" i="135"/>
  <c r="U18" i="135"/>
  <c r="U132" i="135" s="1"/>
  <c r="U31" i="135"/>
  <c r="U152" i="135" s="1"/>
  <c r="U11" i="135"/>
  <c r="U131" i="135" s="1"/>
  <c r="U12" i="135"/>
  <c r="U149" i="135" s="1"/>
  <c r="P135" i="8"/>
  <c r="V25" i="105"/>
  <c r="U71" i="135"/>
  <c r="U142" i="135" s="1"/>
  <c r="AN3" i="135"/>
  <c r="AN130" i="135" s="1"/>
  <c r="Z130" i="135"/>
  <c r="T130" i="135"/>
  <c r="AJ3" i="135"/>
  <c r="AF10" i="105"/>
  <c r="AC10" i="105"/>
  <c r="M36" i="69"/>
  <c r="U144" i="8"/>
  <c r="W69" i="135"/>
  <c r="W157" i="135"/>
  <c r="W63" i="135"/>
  <c r="W175" i="135"/>
  <c r="AI6" i="144"/>
  <c r="Z65" i="144"/>
  <c r="AJ19" i="90"/>
  <c r="AJ19" i="142"/>
  <c r="AJ18" i="90"/>
  <c r="AJ18" i="142"/>
  <c r="K42" i="138"/>
  <c r="N41" i="138"/>
  <c r="N42" i="138" s="1"/>
  <c r="AJ7" i="90"/>
  <c r="AH32" i="105" s="1"/>
  <c r="AL32" i="105" s="1"/>
  <c r="AM32" i="105" s="1"/>
  <c r="AJ7" i="142"/>
  <c r="K18" i="138"/>
  <c r="N17" i="138"/>
  <c r="N18" i="138" s="1"/>
  <c r="T118" i="135"/>
  <c r="T54" i="135"/>
  <c r="T56" i="135" s="1"/>
  <c r="U25" i="105"/>
  <c r="T71" i="135"/>
  <c r="T142" i="135" s="1"/>
  <c r="AH19" i="105"/>
  <c r="T4" i="135"/>
  <c r="T148" i="135" s="1"/>
  <c r="T21" i="135"/>
  <c r="T14" i="135"/>
  <c r="T26" i="135"/>
  <c r="T33" i="135"/>
  <c r="U103" i="8"/>
  <c r="O150" i="8"/>
  <c r="T9" i="135"/>
  <c r="T111" i="135" s="1"/>
  <c r="T17" i="135"/>
  <c r="AJ17" i="135" s="1"/>
  <c r="T29" i="135"/>
  <c r="AJ29" i="135" s="1"/>
  <c r="T10" i="135"/>
  <c r="AJ10" i="135" s="1"/>
  <c r="AH17" i="105"/>
  <c r="AL17" i="105" s="1"/>
  <c r="AM17" i="105" s="1"/>
  <c r="T2" i="135"/>
  <c r="T11" i="135"/>
  <c r="T19" i="135"/>
  <c r="T31" i="135"/>
  <c r="T12" i="135"/>
  <c r="T18" i="135"/>
  <c r="T24" i="135"/>
  <c r="AJ24" i="135" s="1"/>
  <c r="T13" i="135"/>
  <c r="T25" i="135"/>
  <c r="T32" i="135"/>
  <c r="T20" i="135"/>
  <c r="AH21" i="105"/>
  <c r="AL21" i="105" s="1"/>
  <c r="AM21" i="105" s="1"/>
  <c r="T6" i="135"/>
  <c r="K59" i="138"/>
  <c r="N59" i="138" s="1"/>
  <c r="U20" i="105"/>
  <c r="O135" i="8"/>
  <c r="AC22" i="105"/>
  <c r="AD10" i="105"/>
  <c r="P54" i="135"/>
  <c r="AN53" i="135"/>
  <c r="AN193" i="135" s="1"/>
  <c r="Z193" i="135"/>
  <c r="AN68" i="135"/>
  <c r="AN195" i="135" s="1"/>
  <c r="Z195" i="135"/>
  <c r="AN62" i="135"/>
  <c r="AN194" i="135" s="1"/>
  <c r="Z194" i="135"/>
  <c r="W43" i="135"/>
  <c r="AA51" i="135"/>
  <c r="J55" i="135"/>
  <c r="Y49" i="135"/>
  <c r="I130" i="135"/>
  <c r="AF49" i="135"/>
  <c r="AF155" i="135" s="1"/>
  <c r="Y53" i="135"/>
  <c r="Y193" i="135" s="1"/>
  <c r="AF47" i="135"/>
  <c r="AT47" i="135" s="1"/>
  <c r="S54" i="135"/>
  <c r="S118" i="135"/>
  <c r="S119" i="135"/>
  <c r="AI45" i="135"/>
  <c r="S174" i="135"/>
  <c r="AI51" i="135"/>
  <c r="AF51" i="135"/>
  <c r="AF174" i="135" s="1"/>
  <c r="S138" i="135"/>
  <c r="AI47" i="135"/>
  <c r="S130" i="135"/>
  <c r="AI3" i="135"/>
  <c r="AI53" i="135"/>
  <c r="AI193" i="135" s="1"/>
  <c r="O54" i="135"/>
  <c r="S155" i="135"/>
  <c r="AI49" i="135"/>
  <c r="AD49" i="135"/>
  <c r="AD155" i="135" s="1"/>
  <c r="AD19" i="105"/>
  <c r="AL19" i="105" s="1"/>
  <c r="Q22" i="105"/>
  <c r="P3" i="120" s="1"/>
  <c r="Q3" i="120" s="1"/>
  <c r="Z10" i="105"/>
  <c r="AA10" i="105"/>
  <c r="AB10" i="105"/>
  <c r="W80" i="135"/>
  <c r="W86" i="135"/>
  <c r="AI18" i="90"/>
  <c r="AI18" i="142"/>
  <c r="AI19" i="90"/>
  <c r="AI19" i="142"/>
  <c r="V46" i="130"/>
  <c r="W51" i="135"/>
  <c r="W174" i="135" s="1"/>
  <c r="V45" i="130"/>
  <c r="AJ37" i="102"/>
  <c r="AI27" i="144"/>
  <c r="V41" i="130"/>
  <c r="AI7" i="90"/>
  <c r="AI7" i="142"/>
  <c r="S55" i="135"/>
  <c r="W46" i="135"/>
  <c r="W137" i="135" s="1"/>
  <c r="W45" i="135"/>
  <c r="W119" i="135" s="1"/>
  <c r="W44" i="135"/>
  <c r="W118" i="135" s="1"/>
  <c r="AC63" i="144"/>
  <c r="AC64" i="144" s="1"/>
  <c r="U12" i="8"/>
  <c r="S2" i="135"/>
  <c r="S110" i="135" s="1"/>
  <c r="S9" i="135"/>
  <c r="S29" i="135"/>
  <c r="S17" i="135"/>
  <c r="S10" i="135"/>
  <c r="S71" i="135"/>
  <c r="S142" i="135" s="1"/>
  <c r="S25" i="135"/>
  <c r="S20" i="135"/>
  <c r="S32" i="135"/>
  <c r="S13" i="135"/>
  <c r="S6" i="135"/>
  <c r="S185" i="135" s="1"/>
  <c r="N135" i="8"/>
  <c r="V144" i="8"/>
  <c r="U123" i="8"/>
  <c r="S4" i="135"/>
  <c r="S148" i="135" s="1"/>
  <c r="S5" i="135"/>
  <c r="S166" i="135" s="1"/>
  <c r="S18" i="135"/>
  <c r="S12" i="135"/>
  <c r="S11" i="135"/>
  <c r="S24" i="135"/>
  <c r="S31" i="135"/>
  <c r="S19" i="135"/>
  <c r="N150" i="8"/>
  <c r="S21" i="135"/>
  <c r="S187" i="135" s="1"/>
  <c r="S33" i="135"/>
  <c r="S189" i="135" s="1"/>
  <c r="S14" i="135"/>
  <c r="S186" i="135" s="1"/>
  <c r="S26" i="135"/>
  <c r="S188" i="135" s="1"/>
  <c r="AD17" i="95"/>
  <c r="AE17" i="95" s="1"/>
  <c r="AA4" i="95"/>
  <c r="R68" i="8"/>
  <c r="T17" i="102"/>
  <c r="P55" i="135"/>
  <c r="AH34" i="85"/>
  <c r="M60" i="141"/>
  <c r="O155" i="135"/>
  <c r="L54" i="135"/>
  <c r="N55" i="135"/>
  <c r="AH29" i="85"/>
  <c r="AF94" i="105" s="1"/>
  <c r="AH88" i="135" s="1"/>
  <c r="S144" i="8"/>
  <c r="BL83" i="105"/>
  <c r="S60" i="141"/>
  <c r="T144" i="8"/>
  <c r="M54" i="135"/>
  <c r="AH30" i="85"/>
  <c r="N54" i="135"/>
  <c r="M55" i="135"/>
  <c r="K6" i="137"/>
  <c r="P9" i="144"/>
  <c r="S5" i="91"/>
  <c r="S5" i="144"/>
  <c r="P25" i="135"/>
  <c r="P20" i="135"/>
  <c r="P32" i="135"/>
  <c r="P13" i="135"/>
  <c r="AF103" i="135"/>
  <c r="AT41" i="135"/>
  <c r="AT172" i="135" s="1"/>
  <c r="AT183" i="135"/>
  <c r="AT67" i="135"/>
  <c r="AT176" i="135" s="1"/>
  <c r="AT61" i="135"/>
  <c r="AT175" i="135" s="1"/>
  <c r="AD73" i="102"/>
  <c r="AC29" i="144"/>
  <c r="X6" i="91"/>
  <c r="T6" i="91"/>
  <c r="Q73" i="135" s="1"/>
  <c r="Q178" i="135" s="1"/>
  <c r="Y6" i="91"/>
  <c r="O13" i="137"/>
  <c r="T42" i="82"/>
  <c r="O17" i="135"/>
  <c r="U106" i="8"/>
  <c r="M155" i="135"/>
  <c r="Z10" i="144"/>
  <c r="AS53" i="135"/>
  <c r="AS193" i="135" s="1"/>
  <c r="X26" i="135"/>
  <c r="X188" i="135" s="1"/>
  <c r="AS51" i="135"/>
  <c r="AS174" i="135" s="1"/>
  <c r="AE174" i="135"/>
  <c r="K138" i="135"/>
  <c r="AA47" i="135"/>
  <c r="Q6" i="91"/>
  <c r="N73" i="135" s="1"/>
  <c r="N178" i="135" s="1"/>
  <c r="S6" i="137"/>
  <c r="X9" i="144"/>
  <c r="R6" i="137"/>
  <c r="W9" i="144"/>
  <c r="T6" i="137"/>
  <c r="Y9" i="144"/>
  <c r="Y5" i="91"/>
  <c r="T59" i="141" s="1"/>
  <c r="T61" i="141" s="1"/>
  <c r="T62" i="141" s="1"/>
  <c r="Y5" i="144"/>
  <c r="Y64" i="144" s="1"/>
  <c r="Y65" i="144" s="1"/>
  <c r="AL6" i="144" s="1"/>
  <c r="T5" i="91"/>
  <c r="T5" i="144"/>
  <c r="Q25" i="135"/>
  <c r="Q32" i="135"/>
  <c r="Q13" i="135"/>
  <c r="Q20" i="135"/>
  <c r="AU183" i="135"/>
  <c r="AU41" i="135"/>
  <c r="AU172" i="135" s="1"/>
  <c r="AG103" i="135"/>
  <c r="AU61" i="135"/>
  <c r="AU175" i="135" s="1"/>
  <c r="AU67" i="135"/>
  <c r="AU176" i="135" s="1"/>
  <c r="R5" i="85"/>
  <c r="AS146" i="135"/>
  <c r="AE101" i="135"/>
  <c r="AS65" i="135"/>
  <c r="AS39" i="135"/>
  <c r="AS136" i="135" s="1"/>
  <c r="Q5" i="85"/>
  <c r="AR146" i="135"/>
  <c r="AR39" i="135"/>
  <c r="AR136" i="135" s="1"/>
  <c r="AR65" i="135"/>
  <c r="AD101" i="135"/>
  <c r="BH83" i="105"/>
  <c r="Q5" i="135"/>
  <c r="Q166" i="135" s="1"/>
  <c r="X5" i="91"/>
  <c r="X5" i="144"/>
  <c r="X64" i="144" s="1"/>
  <c r="X65" i="144" s="1"/>
  <c r="AK6" i="144" s="1"/>
  <c r="L130" i="135"/>
  <c r="AB3" i="135"/>
  <c r="P17" i="135"/>
  <c r="AF17" i="135" s="1"/>
  <c r="M130" i="135"/>
  <c r="AC3" i="135"/>
  <c r="U102" i="8"/>
  <c r="U104" i="8" s="1"/>
  <c r="N9" i="135"/>
  <c r="N29" i="135"/>
  <c r="AR128" i="135"/>
  <c r="AD100" i="135"/>
  <c r="AR64" i="135"/>
  <c r="AR121" i="135" s="1"/>
  <c r="AR38" i="135"/>
  <c r="AR117" i="135" s="1"/>
  <c r="AR58" i="135"/>
  <c r="AR120" i="135" s="1"/>
  <c r="N10" i="135"/>
  <c r="J54" i="135"/>
  <c r="O55" i="135"/>
  <c r="AG174" i="135"/>
  <c r="AU51" i="135"/>
  <c r="AU174" i="135" s="1"/>
  <c r="AD53" i="135"/>
  <c r="AD193" i="135" s="1"/>
  <c r="Y26" i="135"/>
  <c r="Y188" i="135" s="1"/>
  <c r="AS47" i="135"/>
  <c r="AE138" i="135"/>
  <c r="AS138" i="135" s="1"/>
  <c r="AT51" i="135"/>
  <c r="AT174" i="135" s="1"/>
  <c r="N6" i="91"/>
  <c r="K73" i="135" s="1"/>
  <c r="K178" i="135" s="1"/>
  <c r="P5" i="144"/>
  <c r="M13" i="135"/>
  <c r="M20" i="135"/>
  <c r="M25" i="135"/>
  <c r="M32" i="135"/>
  <c r="AQ183" i="135"/>
  <c r="Q6" i="137"/>
  <c r="V9" i="144"/>
  <c r="T13" i="137"/>
  <c r="Y42" i="82"/>
  <c r="K29" i="135"/>
  <c r="K9" i="135"/>
  <c r="K10" i="135"/>
  <c r="N6" i="137"/>
  <c r="S9" i="144"/>
  <c r="Y6" i="135"/>
  <c r="Y185" i="135" s="1"/>
  <c r="U5" i="91"/>
  <c r="U5" i="144"/>
  <c r="K130" i="135"/>
  <c r="AA3" i="135"/>
  <c r="N33" i="135"/>
  <c r="N189" i="135" s="1"/>
  <c r="N14" i="135"/>
  <c r="N186" i="135" s="1"/>
  <c r="N26" i="135"/>
  <c r="N188" i="135" s="1"/>
  <c r="N21" i="135"/>
  <c r="N187" i="135" s="1"/>
  <c r="AR202" i="135"/>
  <c r="AR42" i="135"/>
  <c r="AR191" i="135" s="1"/>
  <c r="AD104" i="135"/>
  <c r="Q5" i="139"/>
  <c r="AR68" i="135"/>
  <c r="AR195" i="135" s="1"/>
  <c r="AR62" i="135"/>
  <c r="AR194" i="135" s="1"/>
  <c r="AC51" i="135"/>
  <c r="Y33" i="135"/>
  <c r="Y189" i="135" s="1"/>
  <c r="M26" i="135"/>
  <c r="M188" i="135" s="1"/>
  <c r="M14" i="135"/>
  <c r="M186" i="135" s="1"/>
  <c r="M33" i="135"/>
  <c r="M189" i="135" s="1"/>
  <c r="M21" i="135"/>
  <c r="M187" i="135" s="1"/>
  <c r="P5" i="139"/>
  <c r="AQ202" i="135"/>
  <c r="R6" i="91"/>
  <c r="O73" i="135" s="1"/>
  <c r="O178" i="135" s="1"/>
  <c r="R5" i="144"/>
  <c r="O32" i="135"/>
  <c r="O20" i="135"/>
  <c r="O25" i="135"/>
  <c r="O13" i="135"/>
  <c r="AS183" i="135"/>
  <c r="AE103" i="135"/>
  <c r="AS41" i="135"/>
  <c r="AS172" i="135" s="1"/>
  <c r="AS61" i="135"/>
  <c r="AS175" i="135" s="1"/>
  <c r="AS67" i="135"/>
  <c r="AS176" i="135" s="1"/>
  <c r="O21" i="135"/>
  <c r="O187" i="135" s="1"/>
  <c r="O26" i="135"/>
  <c r="O188" i="135" s="1"/>
  <c r="O33" i="135"/>
  <c r="O189" i="135" s="1"/>
  <c r="AS202" i="135"/>
  <c r="AE104" i="135"/>
  <c r="AS42" i="135"/>
  <c r="AS191" i="135" s="1"/>
  <c r="R5" i="139"/>
  <c r="AS62" i="135"/>
  <c r="AS194" i="135" s="1"/>
  <c r="AS68" i="135"/>
  <c r="AS195" i="135" s="1"/>
  <c r="O14" i="135"/>
  <c r="O186" i="135" s="1"/>
  <c r="W6" i="91"/>
  <c r="P6" i="137"/>
  <c r="U9" i="144"/>
  <c r="S6" i="91"/>
  <c r="O6" i="91"/>
  <c r="L73" i="135" s="1"/>
  <c r="L178" i="135" s="1"/>
  <c r="P71" i="135"/>
  <c r="P142" i="135" s="1"/>
  <c r="M29" i="135"/>
  <c r="M9" i="135"/>
  <c r="AQ128" i="135"/>
  <c r="M10" i="135"/>
  <c r="BG83" i="105"/>
  <c r="P5" i="135"/>
  <c r="P166" i="135" s="1"/>
  <c r="R5" i="82"/>
  <c r="R42" i="82" s="1"/>
  <c r="O9" i="135"/>
  <c r="O29" i="135"/>
  <c r="AS128" i="135"/>
  <c r="AE100" i="135"/>
  <c r="AS64" i="135"/>
  <c r="AS121" i="135" s="1"/>
  <c r="AS38" i="135"/>
  <c r="AS117" i="135" s="1"/>
  <c r="AS58" i="135"/>
  <c r="AS120" i="135" s="1"/>
  <c r="O10" i="135"/>
  <c r="K26" i="135"/>
  <c r="K188" i="135" s="1"/>
  <c r="K33" i="135"/>
  <c r="K189" i="135" s="1"/>
  <c r="K14" i="135"/>
  <c r="K186" i="135" s="1"/>
  <c r="K21" i="135"/>
  <c r="K187" i="135" s="1"/>
  <c r="AQ53" i="135"/>
  <c r="AQ193" i="135" s="1"/>
  <c r="X14" i="135"/>
  <c r="X186" i="135" s="1"/>
  <c r="L112" i="135"/>
  <c r="AB10" i="135"/>
  <c r="L6" i="137"/>
  <c r="Q9" i="144"/>
  <c r="O24" i="135"/>
  <c r="O31" i="135"/>
  <c r="O11" i="135"/>
  <c r="O18" i="135"/>
  <c r="O12" i="135"/>
  <c r="O19" i="135"/>
  <c r="AE19" i="135" s="1"/>
  <c r="AE102" i="135"/>
  <c r="AS66" i="135"/>
  <c r="AS157" i="135" s="1"/>
  <c r="AS60" i="135"/>
  <c r="AS156" i="135" s="1"/>
  <c r="V6" i="91"/>
  <c r="N5" i="144"/>
  <c r="K25" i="135"/>
  <c r="K13" i="135"/>
  <c r="K32" i="135"/>
  <c r="K20" i="135"/>
  <c r="V5" i="91"/>
  <c r="AI37" i="91" s="1"/>
  <c r="V5" i="144"/>
  <c r="V64" i="144" s="1"/>
  <c r="Z64" i="144" s="1"/>
  <c r="AB64" i="144" s="1"/>
  <c r="Q40" i="139"/>
  <c r="Q22" i="92"/>
  <c r="Q30" i="139"/>
  <c r="Q41" i="139"/>
  <c r="Q31" i="139"/>
  <c r="M17" i="135"/>
  <c r="M113" i="135" s="1"/>
  <c r="AG47" i="135"/>
  <c r="Q138" i="135"/>
  <c r="AN98" i="135"/>
  <c r="AN201" i="135" s="1"/>
  <c r="Z201" i="135"/>
  <c r="AB9" i="135"/>
  <c r="L111" i="135"/>
  <c r="I6" i="137"/>
  <c r="N9" i="144"/>
  <c r="P6" i="91"/>
  <c r="M73" i="135" s="1"/>
  <c r="M178" i="135" s="1"/>
  <c r="S5" i="82"/>
  <c r="S42" i="82" s="1"/>
  <c r="P9" i="135"/>
  <c r="P29" i="135"/>
  <c r="AF100" i="135"/>
  <c r="AT64" i="135"/>
  <c r="AT121" i="135" s="1"/>
  <c r="AT128" i="135"/>
  <c r="AT38" i="135"/>
  <c r="AT117" i="135" s="1"/>
  <c r="AT58" i="135"/>
  <c r="AT120" i="135" s="1"/>
  <c r="P10" i="135"/>
  <c r="T5" i="139"/>
  <c r="Q33" i="135"/>
  <c r="Q189" i="135" s="1"/>
  <c r="Q21" i="135"/>
  <c r="Q187" i="135" s="1"/>
  <c r="Q14" i="135"/>
  <c r="Q186" i="135" s="1"/>
  <c r="Q26" i="135"/>
  <c r="Q188" i="135" s="1"/>
  <c r="AU202" i="135"/>
  <c r="AU42" i="135"/>
  <c r="AU191" i="135" s="1"/>
  <c r="AG104" i="135"/>
  <c r="AU68" i="135"/>
  <c r="AU195" i="135" s="1"/>
  <c r="AU62" i="135"/>
  <c r="AU194" i="135" s="1"/>
  <c r="U6" i="91"/>
  <c r="K18" i="135"/>
  <c r="K12" i="135"/>
  <c r="K19" i="135"/>
  <c r="AA19" i="135" s="1"/>
  <c r="K24" i="135"/>
  <c r="K31" i="135"/>
  <c r="K11" i="135"/>
  <c r="L26" i="135"/>
  <c r="L188" i="135" s="1"/>
  <c r="L33" i="135"/>
  <c r="L189" i="135" s="1"/>
  <c r="L14" i="135"/>
  <c r="L186" i="135" s="1"/>
  <c r="L21" i="135"/>
  <c r="L187" i="135" s="1"/>
  <c r="BF83" i="105"/>
  <c r="O5" i="135"/>
  <c r="O166" i="135" s="1"/>
  <c r="N3" i="135"/>
  <c r="Q9" i="135"/>
  <c r="Q29" i="135"/>
  <c r="AU128" i="135"/>
  <c r="AG100" i="135"/>
  <c r="AU64" i="135"/>
  <c r="AU121" i="135" s="1"/>
  <c r="AU38" i="135"/>
  <c r="AU117" i="135" s="1"/>
  <c r="AU58" i="135"/>
  <c r="AU120" i="135" s="1"/>
  <c r="Q10" i="135"/>
  <c r="Q54" i="135"/>
  <c r="N174" i="135"/>
  <c r="AD51" i="135"/>
  <c r="M138" i="135"/>
  <c r="AC47" i="135"/>
  <c r="AQ47" i="135" s="1"/>
  <c r="AN42" i="135"/>
  <c r="AN191" i="135" s="1"/>
  <c r="X33" i="135"/>
  <c r="X189" i="135" s="1"/>
  <c r="L115" i="135"/>
  <c r="AB29" i="135"/>
  <c r="BH82" i="105"/>
  <c r="Q4" i="135"/>
  <c r="Q148" i="135" s="1"/>
  <c r="O5" i="144"/>
  <c r="L13" i="135"/>
  <c r="L25" i="135"/>
  <c r="L20" i="135"/>
  <c r="L32" i="135"/>
  <c r="P33" i="135"/>
  <c r="P189" i="135" s="1"/>
  <c r="P14" i="135"/>
  <c r="P186" i="135" s="1"/>
  <c r="P21" i="135"/>
  <c r="P187" i="135" s="1"/>
  <c r="P26" i="135"/>
  <c r="P188" i="135" s="1"/>
  <c r="AT202" i="135"/>
  <c r="AT42" i="135"/>
  <c r="AT191" i="135" s="1"/>
  <c r="AF104" i="135"/>
  <c r="S5" i="139"/>
  <c r="AT68" i="135"/>
  <c r="AT195" i="135" s="1"/>
  <c r="AT62" i="135"/>
  <c r="AT194" i="135" s="1"/>
  <c r="S5" i="85"/>
  <c r="N35" i="141" s="1"/>
  <c r="N37" i="141" s="1"/>
  <c r="N38" i="141" s="1"/>
  <c r="AT146" i="135"/>
  <c r="AT65" i="135"/>
  <c r="AT39" i="135"/>
  <c r="AT136" i="135" s="1"/>
  <c r="AF101" i="135"/>
  <c r="W5" i="91"/>
  <c r="W5" i="144"/>
  <c r="W64" i="144" s="1"/>
  <c r="W65" i="144" s="1"/>
  <c r="AJ6" i="144" s="1"/>
  <c r="O6" i="137"/>
  <c r="T9" i="144"/>
  <c r="Q5" i="91"/>
  <c r="Q5" i="144"/>
  <c r="N32" i="135"/>
  <c r="N25" i="135"/>
  <c r="N20" i="135"/>
  <c r="AR183" i="135"/>
  <c r="AR41" i="135"/>
  <c r="AR172" i="135" s="1"/>
  <c r="AD103" i="135"/>
  <c r="AR67" i="135"/>
  <c r="AR176" i="135" s="1"/>
  <c r="AR61" i="135"/>
  <c r="AR175" i="135" s="1"/>
  <c r="N13" i="135"/>
  <c r="AN183" i="135"/>
  <c r="J20" i="135"/>
  <c r="I32" i="135"/>
  <c r="I13" i="135"/>
  <c r="J32" i="135"/>
  <c r="J25" i="135"/>
  <c r="I20" i="135"/>
  <c r="I25" i="135"/>
  <c r="J13" i="135"/>
  <c r="Z41" i="135"/>
  <c r="Z97" i="135"/>
  <c r="Z61" i="135"/>
  <c r="Z67" i="135"/>
  <c r="Z51" i="135"/>
  <c r="K17" i="135"/>
  <c r="AA17" i="135" s="1"/>
  <c r="AU53" i="135"/>
  <c r="AU193" i="135" s="1"/>
  <c r="AU49" i="135"/>
  <c r="AU155" i="135" s="1"/>
  <c r="AG155" i="135"/>
  <c r="AD201" i="135"/>
  <c r="AR98" i="135"/>
  <c r="AR201" i="135" s="1"/>
  <c r="J6" i="137"/>
  <c r="O9" i="144"/>
  <c r="M6" i="137"/>
  <c r="R9" i="144"/>
  <c r="P24" i="135"/>
  <c r="P11" i="135"/>
  <c r="P31" i="135"/>
  <c r="P18" i="135"/>
  <c r="P12" i="135"/>
  <c r="P19" i="135"/>
  <c r="AF19" i="135" s="1"/>
  <c r="AF102" i="135"/>
  <c r="AT66" i="135"/>
  <c r="AT157" i="135" s="1"/>
  <c r="AT60" i="135"/>
  <c r="AT156" i="135" s="1"/>
  <c r="L31" i="135"/>
  <c r="L18" i="135"/>
  <c r="L12" i="135"/>
  <c r="L11" i="135"/>
  <c r="L19" i="135"/>
  <c r="AB19" i="135" s="1"/>
  <c r="AB150" i="135" s="1"/>
  <c r="L24" i="135"/>
  <c r="M31" i="135"/>
  <c r="M19" i="135"/>
  <c r="AC19" i="135" s="1"/>
  <c r="AC150" i="135" s="1"/>
  <c r="M11" i="135"/>
  <c r="M24" i="135"/>
  <c r="M18" i="135"/>
  <c r="M12" i="135"/>
  <c r="T5" i="85"/>
  <c r="AU146" i="135"/>
  <c r="AG101" i="135"/>
  <c r="AU65" i="135"/>
  <c r="AU39" i="135"/>
  <c r="AU136" i="135" s="1"/>
  <c r="Q11" i="135"/>
  <c r="Q24" i="135"/>
  <c r="Q19" i="135"/>
  <c r="Q31" i="135"/>
  <c r="Q18" i="135"/>
  <c r="Q12" i="135"/>
  <c r="AG102" i="135"/>
  <c r="AU60" i="135"/>
  <c r="AU156" i="135" s="1"/>
  <c r="AU66" i="135"/>
  <c r="AU157" i="135" s="1"/>
  <c r="O3" i="135"/>
  <c r="BE83" i="105"/>
  <c r="N5" i="135"/>
  <c r="N166" i="135" s="1"/>
  <c r="N24" i="135"/>
  <c r="N19" i="135"/>
  <c r="AD19" i="135" s="1"/>
  <c r="N18" i="135"/>
  <c r="N31" i="135"/>
  <c r="N11" i="135"/>
  <c r="N12" i="135"/>
  <c r="AD102" i="135"/>
  <c r="AR66" i="135"/>
  <c r="AR157" i="135" s="1"/>
  <c r="AR60" i="135"/>
  <c r="AR156" i="135" s="1"/>
  <c r="AF53" i="135"/>
  <c r="AF193" i="135" s="1"/>
  <c r="N138" i="135"/>
  <c r="AD47" i="135"/>
  <c r="R144" i="8"/>
  <c r="AB6" i="142"/>
  <c r="X21" i="135"/>
  <c r="X187" i="135" s="1"/>
  <c r="X70" i="105"/>
  <c r="AT11" i="82"/>
  <c r="AH18" i="90"/>
  <c r="AH18" i="142"/>
  <c r="AH19" i="90"/>
  <c r="AH19" i="142"/>
  <c r="U19" i="8"/>
  <c r="U9" i="8"/>
  <c r="U100" i="8"/>
  <c r="O119" i="135"/>
  <c r="AE45" i="135"/>
  <c r="AE54" i="135" s="1"/>
  <c r="L119" i="135"/>
  <c r="AB45" i="135"/>
  <c r="N113" i="135"/>
  <c r="AD17" i="135"/>
  <c r="N119" i="135"/>
  <c r="AD45" i="135"/>
  <c r="M119" i="135"/>
  <c r="AC45" i="135"/>
  <c r="AC119" i="135" s="1"/>
  <c r="L113" i="135"/>
  <c r="AB17" i="135"/>
  <c r="Q55" i="135"/>
  <c r="Q119" i="135"/>
  <c r="AG45" i="135"/>
  <c r="K45" i="135"/>
  <c r="P119" i="135"/>
  <c r="AF45" i="135"/>
  <c r="Y45" i="135"/>
  <c r="Y54" i="135" s="1"/>
  <c r="J119" i="135"/>
  <c r="Q113" i="135"/>
  <c r="AG17" i="135"/>
  <c r="O113" i="135"/>
  <c r="AE17" i="135"/>
  <c r="E22" i="135"/>
  <c r="E113" i="135"/>
  <c r="E116" i="135" s="1"/>
  <c r="M22" i="92"/>
  <c r="M23" i="91"/>
  <c r="Z84" i="135"/>
  <c r="AN84" i="135" s="1"/>
  <c r="AN180" i="135" s="1"/>
  <c r="Y84" i="135"/>
  <c r="Y180" i="135" s="1"/>
  <c r="M16" i="90"/>
  <c r="M16" i="85"/>
  <c r="Y28" i="95"/>
  <c r="Y44" i="95"/>
  <c r="U35" i="69"/>
  <c r="O35" i="69"/>
  <c r="G35" i="69"/>
  <c r="AD35" i="69"/>
  <c r="AG18" i="90"/>
  <c r="AG18" i="142"/>
  <c r="AG19" i="90"/>
  <c r="AG19" i="142"/>
  <c r="U107" i="8"/>
  <c r="K12" i="95"/>
  <c r="AD18" i="95"/>
  <c r="AE18" i="95" s="1"/>
  <c r="J130" i="135"/>
  <c r="J161" i="135"/>
  <c r="J86" i="135"/>
  <c r="K48" i="135"/>
  <c r="AS49" i="135"/>
  <c r="AS155" i="135" s="1"/>
  <c r="AE155" i="135"/>
  <c r="J160" i="135"/>
  <c r="J80" i="135"/>
  <c r="L57" i="135"/>
  <c r="AT49" i="135"/>
  <c r="AT155" i="135" s="1"/>
  <c r="E94" i="8"/>
  <c r="O56" i="135"/>
  <c r="K49" i="135"/>
  <c r="AJ96" i="105"/>
  <c r="AL25" i="90"/>
  <c r="M56" i="135"/>
  <c r="N148" i="135"/>
  <c r="J164" i="135"/>
  <c r="J159" i="135"/>
  <c r="J75" i="135"/>
  <c r="K150" i="135"/>
  <c r="O57" i="135"/>
  <c r="P56" i="135"/>
  <c r="O110" i="135"/>
  <c r="I4" i="93"/>
  <c r="I5" i="93" s="1"/>
  <c r="AF18" i="90"/>
  <c r="AF18" i="142"/>
  <c r="AF19" i="90"/>
  <c r="AF19" i="142"/>
  <c r="AF7" i="90"/>
  <c r="AF7" i="142"/>
  <c r="AE19" i="90"/>
  <c r="AE19" i="142"/>
  <c r="AE7" i="90"/>
  <c r="AE7" i="142"/>
  <c r="AE23" i="82"/>
  <c r="C36" i="69"/>
  <c r="K4" i="95"/>
  <c r="T167" i="8"/>
  <c r="U167" i="8"/>
  <c r="Z61" i="102"/>
  <c r="AK34" i="85"/>
  <c r="AK24" i="85"/>
  <c r="AG34" i="85"/>
  <c r="AJ34" i="85"/>
  <c r="AG26" i="85"/>
  <c r="AJ30" i="85"/>
  <c r="AG24" i="85"/>
  <c r="AE88" i="105" s="1"/>
  <c r="AG82" i="135" s="1"/>
  <c r="AJ26" i="85"/>
  <c r="AK35" i="85"/>
  <c r="AG35" i="85"/>
  <c r="AJ24" i="85"/>
  <c r="AK29" i="85"/>
  <c r="AI94" i="105" s="1"/>
  <c r="AJ29" i="85"/>
  <c r="AH94" i="105" s="1"/>
  <c r="AJ88" i="135" s="1"/>
  <c r="AC138" i="135"/>
  <c r="AQ138" i="135" s="1"/>
  <c r="AD18" i="90"/>
  <c r="AD18" i="142"/>
  <c r="AD19" i="90"/>
  <c r="AD19" i="142"/>
  <c r="Z31" i="102"/>
  <c r="S96" i="8"/>
  <c r="U101" i="8"/>
  <c r="AL33" i="90"/>
  <c r="AL38" i="90"/>
  <c r="D47" i="138"/>
  <c r="AL30" i="90"/>
  <c r="M4" i="135"/>
  <c r="T14" i="137"/>
  <c r="AL31" i="90"/>
  <c r="AL34" i="90"/>
  <c r="AL32" i="90"/>
  <c r="AL37" i="90"/>
  <c r="AH26" i="85"/>
  <c r="W5" i="82"/>
  <c r="W42" i="82" s="1"/>
  <c r="AL26" i="90"/>
  <c r="AJ83" i="105" s="1"/>
  <c r="Z7" i="102"/>
  <c r="Z16" i="102" s="1"/>
  <c r="U7" i="8"/>
  <c r="AH35" i="85"/>
  <c r="AL28" i="90"/>
  <c r="T15" i="137"/>
  <c r="H183" i="8"/>
  <c r="AC23" i="85" s="1"/>
  <c r="AA53" i="135"/>
  <c r="AA193" i="135" s="1"/>
  <c r="AM193" i="135" s="1"/>
  <c r="K8" i="102"/>
  <c r="Y16" i="90"/>
  <c r="W42" i="105" s="1"/>
  <c r="Y16" i="85"/>
  <c r="Z9" i="142"/>
  <c r="N9" i="139"/>
  <c r="I7" i="137"/>
  <c r="I71" i="141"/>
  <c r="N5" i="139"/>
  <c r="N30" i="139" s="1"/>
  <c r="N22" i="92"/>
  <c r="B70" i="138"/>
  <c r="Z18" i="69"/>
  <c r="L72" i="141"/>
  <c r="E71" i="138"/>
  <c r="R6" i="90"/>
  <c r="O72" i="135" s="1"/>
  <c r="AE38" i="139"/>
  <c r="AE36" i="139"/>
  <c r="R22" i="139"/>
  <c r="AE22" i="139" s="1"/>
  <c r="S5" i="90"/>
  <c r="S16" i="90" s="1"/>
  <c r="S5" i="142"/>
  <c r="K93" i="8"/>
  <c r="N3" i="137"/>
  <c r="T24" i="141"/>
  <c r="M23" i="138"/>
  <c r="Y6" i="90"/>
  <c r="N93" i="8"/>
  <c r="Q3" i="137"/>
  <c r="L70" i="8"/>
  <c r="L118" i="8" s="1"/>
  <c r="T6" i="85" s="1"/>
  <c r="Q71" i="135" s="1"/>
  <c r="Q142" i="135" s="1"/>
  <c r="U68" i="8"/>
  <c r="U70" i="8" s="1"/>
  <c r="U118" i="8" s="1"/>
  <c r="T68" i="8"/>
  <c r="T70" i="8" s="1"/>
  <c r="T118" i="8" s="1"/>
  <c r="Q48" i="141"/>
  <c r="J47" i="138"/>
  <c r="B23" i="138"/>
  <c r="I24" i="141"/>
  <c r="Y6" i="92"/>
  <c r="Y6" i="139"/>
  <c r="AL6" i="139" s="1"/>
  <c r="AQ38" i="135"/>
  <c r="AQ117" i="135" s="1"/>
  <c r="AQ64" i="135"/>
  <c r="AQ121" i="135" s="1"/>
  <c r="AC100" i="135"/>
  <c r="AQ58" i="135"/>
  <c r="AQ120" i="135" s="1"/>
  <c r="W5" i="90"/>
  <c r="AJ25" i="90" s="1"/>
  <c r="W5" i="142"/>
  <c r="K73" i="102"/>
  <c r="K12" i="102" s="1"/>
  <c r="K4" i="141"/>
  <c r="T19" i="141"/>
  <c r="T4" i="141"/>
  <c r="T5" i="141" s="1"/>
  <c r="T48" i="141"/>
  <c r="M47" i="138"/>
  <c r="T25" i="8"/>
  <c r="AA104" i="135"/>
  <c r="AO202" i="135"/>
  <c r="AO42" i="135"/>
  <c r="AO191" i="135" s="1"/>
  <c r="AO68" i="135"/>
  <c r="AO195" i="135" s="1"/>
  <c r="AO62" i="135"/>
  <c r="AO194" i="135" s="1"/>
  <c r="Q4" i="141"/>
  <c r="Q5" i="141" s="1"/>
  <c r="Q19" i="141"/>
  <c r="U91" i="8"/>
  <c r="U97" i="8"/>
  <c r="U90" i="8"/>
  <c r="U96" i="8"/>
  <c r="U11" i="8"/>
  <c r="B30" i="138"/>
  <c r="AB94" i="135"/>
  <c r="B34" i="138"/>
  <c r="B36" i="138" s="1"/>
  <c r="I35" i="141"/>
  <c r="I37" i="141" s="1"/>
  <c r="I38" i="141" s="1"/>
  <c r="C71" i="138"/>
  <c r="J72" i="141"/>
  <c r="O5" i="91"/>
  <c r="J59" i="141" s="1"/>
  <c r="AP183" i="135"/>
  <c r="AB103" i="135"/>
  <c r="AP41" i="135"/>
  <c r="AP172" i="135" s="1"/>
  <c r="AP61" i="135"/>
  <c r="AP175" i="135" s="1"/>
  <c r="AP67" i="135"/>
  <c r="AP176" i="135" s="1"/>
  <c r="AC104" i="135"/>
  <c r="AQ42" i="135"/>
  <c r="AQ191" i="135" s="1"/>
  <c r="AQ62" i="135"/>
  <c r="AQ194" i="135" s="1"/>
  <c r="AQ68" i="135"/>
  <c r="AQ195" i="135" s="1"/>
  <c r="L24" i="141"/>
  <c r="E23" i="138"/>
  <c r="R5" i="90"/>
  <c r="R16" i="90" s="1"/>
  <c r="R5" i="142"/>
  <c r="N72" i="141"/>
  <c r="G71" i="138"/>
  <c r="G58" i="138"/>
  <c r="G60" i="138" s="1"/>
  <c r="N59" i="141"/>
  <c r="N61" i="141" s="1"/>
  <c r="N62" i="141" s="1"/>
  <c r="V9" i="139"/>
  <c r="Q7" i="137"/>
  <c r="Y8" i="142"/>
  <c r="T5" i="137"/>
  <c r="AG38" i="139"/>
  <c r="T22" i="139"/>
  <c r="AG22" i="139" s="1"/>
  <c r="AG36" i="139"/>
  <c r="AG30" i="139"/>
  <c r="BK82" i="105"/>
  <c r="R48" i="141"/>
  <c r="K47" i="138"/>
  <c r="U6" i="90"/>
  <c r="P48" i="141"/>
  <c r="I47" i="138"/>
  <c r="Q93" i="8"/>
  <c r="T3" i="137"/>
  <c r="AA103" i="135"/>
  <c r="AO183" i="135"/>
  <c r="AO41" i="135"/>
  <c r="AO172" i="135" s="1"/>
  <c r="AO61" i="135"/>
  <c r="AO175" i="135" s="1"/>
  <c r="AO67" i="135"/>
  <c r="AO176" i="135" s="1"/>
  <c r="I34" i="138"/>
  <c r="I36" i="138" s="1"/>
  <c r="I37" i="138" s="1"/>
  <c r="P35" i="141"/>
  <c r="P37" i="141" s="1"/>
  <c r="P38" i="141" s="1"/>
  <c r="J58" i="138"/>
  <c r="Q59" i="141"/>
  <c r="P72" i="141"/>
  <c r="I71" i="138"/>
  <c r="J4" i="141"/>
  <c r="J5" i="141" s="1"/>
  <c r="J19" i="141"/>
  <c r="AO51" i="135"/>
  <c r="AO174" i="135" s="1"/>
  <c r="AA174" i="135"/>
  <c r="T91" i="8"/>
  <c r="T97" i="8"/>
  <c r="T90" i="8"/>
  <c r="T96" i="8"/>
  <c r="M19" i="141"/>
  <c r="M4" i="141"/>
  <c r="M5" i="141" s="1"/>
  <c r="Z7" i="90"/>
  <c r="X32" i="105" s="1"/>
  <c r="Z7" i="142"/>
  <c r="N8" i="142"/>
  <c r="I5" i="137"/>
  <c r="C59" i="138"/>
  <c r="J60" i="141"/>
  <c r="S9" i="139"/>
  <c r="N7" i="137"/>
  <c r="K58" i="138"/>
  <c r="R59" i="141"/>
  <c r="R61" i="141" s="1"/>
  <c r="R62" i="141" s="1"/>
  <c r="W22" i="91"/>
  <c r="U43" i="105" s="1"/>
  <c r="S24" i="141"/>
  <c r="L23" i="138"/>
  <c r="W8" i="142"/>
  <c r="R5" i="137"/>
  <c r="L98" i="8"/>
  <c r="O24" i="141"/>
  <c r="H23" i="138"/>
  <c r="M93" i="8"/>
  <c r="P3" i="137"/>
  <c r="K34" i="138"/>
  <c r="R35" i="141"/>
  <c r="R37" i="141" s="1"/>
  <c r="R38" i="141" s="1"/>
  <c r="X5" i="90"/>
  <c r="AK25" i="90" s="1"/>
  <c r="X5" i="142"/>
  <c r="N5" i="90"/>
  <c r="N5" i="142"/>
  <c r="AA102" i="135"/>
  <c r="AO66" i="135"/>
  <c r="AO157" i="135" s="1"/>
  <c r="AO60" i="135"/>
  <c r="AO156" i="135" s="1"/>
  <c r="AP202" i="135"/>
  <c r="AB104" i="135"/>
  <c r="AP42" i="135"/>
  <c r="AP191" i="135" s="1"/>
  <c r="O5" i="139"/>
  <c r="AP68" i="135"/>
  <c r="AP195" i="135" s="1"/>
  <c r="AP62" i="135"/>
  <c r="AP194" i="135" s="1"/>
  <c r="R72" i="141"/>
  <c r="K71" i="138"/>
  <c r="Q5" i="90"/>
  <c r="Q5" i="142"/>
  <c r="L4" i="141"/>
  <c r="L5" i="141" s="1"/>
  <c r="L19" i="141"/>
  <c r="L48" i="141"/>
  <c r="E47" i="138"/>
  <c r="AP53" i="135"/>
  <c r="AP193" i="135" s="1"/>
  <c r="AP51" i="135"/>
  <c r="AP174" i="135" s="1"/>
  <c r="AB174" i="135"/>
  <c r="P19" i="141"/>
  <c r="P4" i="141"/>
  <c r="P5" i="141" s="1"/>
  <c r="N34" i="132"/>
  <c r="Q8" i="142"/>
  <c r="L5" i="137"/>
  <c r="R9" i="139"/>
  <c r="M7" i="137"/>
  <c r="W9" i="139"/>
  <c r="R7" i="137"/>
  <c r="R10" i="8"/>
  <c r="O5" i="142"/>
  <c r="U9" i="139"/>
  <c r="P7" i="137"/>
  <c r="Q98" i="8"/>
  <c r="V8" i="142"/>
  <c r="Q5" i="137"/>
  <c r="R23" i="141"/>
  <c r="AJ24" i="82"/>
  <c r="AJ31" i="82"/>
  <c r="K22" i="138"/>
  <c r="P93" i="8"/>
  <c r="S3" i="137"/>
  <c r="O93" i="8"/>
  <c r="R3" i="137"/>
  <c r="O23" i="141"/>
  <c r="AG24" i="82"/>
  <c r="AG31" i="82"/>
  <c r="H22" i="138"/>
  <c r="AD71" i="102"/>
  <c r="AC23" i="142"/>
  <c r="E58" i="138"/>
  <c r="E60" i="138" s="1"/>
  <c r="L59" i="141"/>
  <c r="L61" i="141" s="1"/>
  <c r="L62" i="141" s="1"/>
  <c r="Q22" i="91"/>
  <c r="Q6" i="90"/>
  <c r="N72" i="135" s="1"/>
  <c r="Q72" i="141"/>
  <c r="J71" i="138"/>
  <c r="S72" i="141"/>
  <c r="L71" i="138"/>
  <c r="O72" i="141"/>
  <c r="H71" i="138"/>
  <c r="AB126" i="135"/>
  <c r="AP87" i="135"/>
  <c r="AP126" i="135" s="1"/>
  <c r="U89" i="8"/>
  <c r="U73" i="8"/>
  <c r="U75" i="8" s="1"/>
  <c r="U119" i="8" s="1"/>
  <c r="U95" i="8"/>
  <c r="U10" i="8"/>
  <c r="Y138" i="135"/>
  <c r="L23" i="141"/>
  <c r="AD24" i="82"/>
  <c r="AD31" i="82"/>
  <c r="E22" i="138"/>
  <c r="I93" i="8"/>
  <c r="L3" i="137"/>
  <c r="J104" i="8"/>
  <c r="S6" i="90"/>
  <c r="Q26" i="105" s="1"/>
  <c r="Q29" i="105" s="1"/>
  <c r="N48" i="141"/>
  <c r="G47" i="138"/>
  <c r="J34" i="138"/>
  <c r="J36" i="138" s="1"/>
  <c r="Q35" i="141"/>
  <c r="Q37" i="141" s="1"/>
  <c r="Q38" i="141" s="1"/>
  <c r="T9" i="139"/>
  <c r="O7" i="137"/>
  <c r="L65" i="8"/>
  <c r="L117" i="8" s="1"/>
  <c r="U63" i="8"/>
  <c r="U65" i="8" s="1"/>
  <c r="U117" i="8" s="1"/>
  <c r="T63" i="8"/>
  <c r="T65" i="8" s="1"/>
  <c r="T117" i="8" s="1"/>
  <c r="Q23" i="141"/>
  <c r="AI24" i="82"/>
  <c r="AI31" i="82"/>
  <c r="J22" i="138"/>
  <c r="M98" i="8"/>
  <c r="O92" i="8"/>
  <c r="U16" i="105" s="1"/>
  <c r="O98" i="8"/>
  <c r="P5" i="90"/>
  <c r="P5" i="142"/>
  <c r="AC102" i="135"/>
  <c r="AQ60" i="135"/>
  <c r="AQ156" i="135" s="1"/>
  <c r="AQ66" i="135"/>
  <c r="AQ157" i="135" s="1"/>
  <c r="G119" i="8"/>
  <c r="H34" i="138"/>
  <c r="O35" i="141"/>
  <c r="T5" i="90"/>
  <c r="T5" i="142"/>
  <c r="Q71" i="141"/>
  <c r="J70" i="138"/>
  <c r="Q17" i="137"/>
  <c r="H35" i="138"/>
  <c r="O36" i="141"/>
  <c r="Y174" i="135"/>
  <c r="T89" i="8"/>
  <c r="T95" i="8"/>
  <c r="T93" i="8"/>
  <c r="T87" i="8"/>
  <c r="I16" i="137"/>
  <c r="I59" i="141"/>
  <c r="I61" i="141" s="1"/>
  <c r="I62" i="141" s="1"/>
  <c r="N22" i="91"/>
  <c r="L43" i="105" s="1"/>
  <c r="C23" i="138"/>
  <c r="C11" i="138" s="1"/>
  <c r="J57" i="137" s="1"/>
  <c r="J24" i="141"/>
  <c r="R8" i="142"/>
  <c r="M5" i="137"/>
  <c r="X6" i="90"/>
  <c r="S48" i="141"/>
  <c r="L47" i="138"/>
  <c r="T6" i="92"/>
  <c r="T6" i="139"/>
  <c r="AG6" i="139" s="1"/>
  <c r="W6" i="90"/>
  <c r="L93" i="8"/>
  <c r="O3" i="137"/>
  <c r="K98" i="8"/>
  <c r="P24" i="141"/>
  <c r="P10" i="141" s="1"/>
  <c r="I23" i="138"/>
  <c r="I11" i="138" s="1"/>
  <c r="P57" i="137" s="1"/>
  <c r="X9" i="139"/>
  <c r="S7" i="137"/>
  <c r="O5" i="85"/>
  <c r="AP146" i="135"/>
  <c r="AB101" i="135"/>
  <c r="AP65" i="135"/>
  <c r="AP39" i="135"/>
  <c r="AP136" i="135" s="1"/>
  <c r="M58" i="138"/>
  <c r="M60" i="138" s="1"/>
  <c r="AK38" i="139"/>
  <c r="AK36" i="139"/>
  <c r="X22" i="139"/>
  <c r="AK22" i="139" s="1"/>
  <c r="AK30" i="139"/>
  <c r="AK41" i="139"/>
  <c r="M72" i="141"/>
  <c r="F71" i="138"/>
  <c r="R13" i="137"/>
  <c r="I17" i="137"/>
  <c r="S4" i="141"/>
  <c r="S5" i="141" s="1"/>
  <c r="S19" i="141"/>
  <c r="T88" i="8"/>
  <c r="T94" i="8"/>
  <c r="J23" i="141"/>
  <c r="AB24" i="82"/>
  <c r="AB31" i="82"/>
  <c r="U93" i="8"/>
  <c r="U87" i="8"/>
  <c r="U8" i="8"/>
  <c r="Z24" i="132"/>
  <c r="V47" i="130" s="1"/>
  <c r="M23" i="92"/>
  <c r="I48" i="141"/>
  <c r="B47" i="138"/>
  <c r="H119" i="8"/>
  <c r="Q9" i="139"/>
  <c r="L7" i="137"/>
  <c r="N24" i="141"/>
  <c r="G23" i="138"/>
  <c r="G11" i="138" s="1"/>
  <c r="N57" i="137" s="1"/>
  <c r="N23" i="141"/>
  <c r="AF24" i="82"/>
  <c r="AF31" i="82"/>
  <c r="G22" i="138"/>
  <c r="P5" i="91"/>
  <c r="AC103" i="135"/>
  <c r="AQ41" i="135"/>
  <c r="AQ172" i="135" s="1"/>
  <c r="AQ67" i="135"/>
  <c r="AQ176" i="135" s="1"/>
  <c r="AQ61" i="135"/>
  <c r="AQ175" i="135" s="1"/>
  <c r="X8" i="142"/>
  <c r="S5" i="137"/>
  <c r="R24" i="141"/>
  <c r="R10" i="141" s="1"/>
  <c r="K23" i="138"/>
  <c r="K11" i="138" s="1"/>
  <c r="R57" i="137" s="1"/>
  <c r="V6" i="90"/>
  <c r="Y5" i="92"/>
  <c r="Y5" i="139"/>
  <c r="Q24" i="141"/>
  <c r="J23" i="138"/>
  <c r="U8" i="142"/>
  <c r="P5" i="137"/>
  <c r="N98" i="8"/>
  <c r="T6" i="90"/>
  <c r="Q72" i="135" s="1"/>
  <c r="Q159" i="135" s="1"/>
  <c r="AO146" i="135"/>
  <c r="AA101" i="135"/>
  <c r="AO65" i="135"/>
  <c r="AO39" i="135"/>
  <c r="AO136" i="135" s="1"/>
  <c r="H58" i="138"/>
  <c r="O59" i="141"/>
  <c r="T22" i="91"/>
  <c r="R43" i="105" s="1"/>
  <c r="F34" i="138"/>
  <c r="F36" i="138" s="1"/>
  <c r="M35" i="141"/>
  <c r="M37" i="141" s="1"/>
  <c r="M38" i="141" s="1"/>
  <c r="E34" i="138"/>
  <c r="E36" i="138" s="1"/>
  <c r="E37" i="138" s="1"/>
  <c r="L35" i="141"/>
  <c r="L37" i="141" s="1"/>
  <c r="L38" i="141" s="1"/>
  <c r="I58" i="138"/>
  <c r="I60" i="138" s="1"/>
  <c r="P59" i="141"/>
  <c r="P61" i="141" s="1"/>
  <c r="P62" i="141" s="1"/>
  <c r="S43" i="105"/>
  <c r="V5" i="90"/>
  <c r="V5" i="142"/>
  <c r="L34" i="138"/>
  <c r="L36" i="138" s="1"/>
  <c r="L37" i="138" s="1"/>
  <c r="S35" i="141"/>
  <c r="S37" i="141" s="1"/>
  <c r="S38" i="141" s="1"/>
  <c r="M23" i="141"/>
  <c r="AE24" i="82"/>
  <c r="AE31" i="82"/>
  <c r="F22" i="138"/>
  <c r="AK95" i="105"/>
  <c r="X89" i="135" s="1"/>
  <c r="O16" i="137"/>
  <c r="N13" i="137"/>
  <c r="M13" i="137"/>
  <c r="L13" i="137"/>
  <c r="AQ49" i="135"/>
  <c r="AQ155" i="135" s="1"/>
  <c r="T72" i="141"/>
  <c r="M71" i="138"/>
  <c r="Y155" i="135"/>
  <c r="U88" i="8"/>
  <c r="U94" i="8"/>
  <c r="AB138" i="135"/>
  <c r="AP138" i="135" s="1"/>
  <c r="AP47" i="135"/>
  <c r="AL33" i="142"/>
  <c r="AL32" i="142"/>
  <c r="AL25" i="142"/>
  <c r="AL34" i="142"/>
  <c r="AL30" i="142"/>
  <c r="AL28" i="142"/>
  <c r="AL26" i="142"/>
  <c r="AL38" i="142"/>
  <c r="AL31" i="142"/>
  <c r="Y16" i="142"/>
  <c r="AL16" i="142" s="1"/>
  <c r="AL24" i="142"/>
  <c r="AL37" i="142"/>
  <c r="O4" i="141"/>
  <c r="O5" i="141" s="1"/>
  <c r="O19" i="141"/>
  <c r="J41" i="105"/>
  <c r="M17" i="85"/>
  <c r="K41" i="105" s="1"/>
  <c r="I42" i="141"/>
  <c r="B41" i="138"/>
  <c r="B42" i="138" s="1"/>
  <c r="F92" i="8"/>
  <c r="F98" i="8"/>
  <c r="I72" i="141"/>
  <c r="B71" i="138"/>
  <c r="P5" i="85"/>
  <c r="AC101" i="135"/>
  <c r="AQ39" i="135"/>
  <c r="AQ136" i="135" s="1"/>
  <c r="AQ65" i="135"/>
  <c r="I98" i="8"/>
  <c r="J98" i="8"/>
  <c r="S22" i="139"/>
  <c r="AF22" i="139" s="1"/>
  <c r="S8" i="142"/>
  <c r="N5" i="137"/>
  <c r="T23" i="141"/>
  <c r="AL24" i="82"/>
  <c r="AL31" i="82"/>
  <c r="M22" i="138"/>
  <c r="P98" i="8"/>
  <c r="J59" i="138"/>
  <c r="J60" i="138" s="1"/>
  <c r="Q60" i="141"/>
  <c r="Y9" i="139"/>
  <c r="T7" i="137"/>
  <c r="T8" i="142"/>
  <c r="O5" i="137"/>
  <c r="O48" i="141"/>
  <c r="H47" i="138"/>
  <c r="AH30" i="139"/>
  <c r="AH36" i="139"/>
  <c r="U22" i="139"/>
  <c r="AH22" i="139" s="1"/>
  <c r="AH41" i="139"/>
  <c r="AH38" i="139"/>
  <c r="M34" i="138"/>
  <c r="M36" i="138" s="1"/>
  <c r="M37" i="138" s="1"/>
  <c r="T35" i="141"/>
  <c r="T37" i="141" s="1"/>
  <c r="T38" i="141" s="1"/>
  <c r="U5" i="90"/>
  <c r="U5" i="142"/>
  <c r="L58" i="138"/>
  <c r="S59" i="141"/>
  <c r="S61" i="141" s="1"/>
  <c r="S62" i="141" s="1"/>
  <c r="X22" i="91"/>
  <c r="V43" i="105" s="1"/>
  <c r="L71" i="141"/>
  <c r="E70" i="138"/>
  <c r="BM84" i="105"/>
  <c r="Q13" i="137"/>
  <c r="U25" i="8"/>
  <c r="R19" i="141"/>
  <c r="R4" i="141"/>
  <c r="R5" i="141" s="1"/>
  <c r="H59" i="138"/>
  <c r="O60" i="141"/>
  <c r="T47" i="141"/>
  <c r="T49" i="141" s="1"/>
  <c r="T50" i="141" s="1"/>
  <c r="AL24" i="90"/>
  <c r="AJ95" i="105" s="1"/>
  <c r="M46" i="138"/>
  <c r="L17" i="137"/>
  <c r="N4" i="141"/>
  <c r="N5" i="141" s="1"/>
  <c r="N19" i="141"/>
  <c r="AD41" i="139"/>
  <c r="AD30" i="139"/>
  <c r="Q22" i="139"/>
  <c r="AD22" i="139" s="1"/>
  <c r="AD36" i="139"/>
  <c r="AD38" i="139"/>
  <c r="M48" i="141"/>
  <c r="M10" i="141" s="1"/>
  <c r="F47" i="138"/>
  <c r="F5" i="93"/>
  <c r="P4" i="93"/>
  <c r="P5" i="93" s="1"/>
  <c r="K5" i="141"/>
  <c r="E76" i="105"/>
  <c r="C8" i="120"/>
  <c r="L75" i="105"/>
  <c r="K8" i="120" s="1"/>
  <c r="V177" i="8"/>
  <c r="D23" i="138"/>
  <c r="K24" i="141"/>
  <c r="D34" i="138"/>
  <c r="K35" i="141"/>
  <c r="D59" i="138"/>
  <c r="K60" i="141"/>
  <c r="D71" i="138"/>
  <c r="K72" i="141"/>
  <c r="D35" i="138"/>
  <c r="K36" i="141"/>
  <c r="H93" i="8"/>
  <c r="K3" i="137"/>
  <c r="R96" i="8"/>
  <c r="D58" i="138"/>
  <c r="P9" i="139"/>
  <c r="K7" i="137"/>
  <c r="AC38" i="139"/>
  <c r="AC36" i="139"/>
  <c r="P22" i="139"/>
  <c r="AC22" i="139" s="1"/>
  <c r="BD82" i="105"/>
  <c r="H98" i="8"/>
  <c r="P8" i="90"/>
  <c r="K5" i="137"/>
  <c r="S167" i="8"/>
  <c r="R167" i="8"/>
  <c r="O5" i="90"/>
  <c r="AP66" i="135"/>
  <c r="AP157" i="135" s="1"/>
  <c r="AP60" i="135"/>
  <c r="AP156" i="135" s="1"/>
  <c r="AB102" i="135"/>
  <c r="R39" i="8"/>
  <c r="N6" i="82"/>
  <c r="K70" i="135" s="1"/>
  <c r="K123" i="135" s="1"/>
  <c r="AO128" i="135"/>
  <c r="AA100" i="135"/>
  <c r="AO64" i="135"/>
  <c r="AO121" i="135" s="1"/>
  <c r="AO38" i="135"/>
  <c r="AO117" i="135" s="1"/>
  <c r="AO58" i="135"/>
  <c r="AO120" i="135" s="1"/>
  <c r="Z87" i="102"/>
  <c r="Z21" i="102"/>
  <c r="Z26" i="102" s="1"/>
  <c r="O9" i="85"/>
  <c r="J4" i="137"/>
  <c r="O22" i="91"/>
  <c r="G98" i="8"/>
  <c r="G93" i="8"/>
  <c r="J3" i="137"/>
  <c r="R94" i="8"/>
  <c r="R97" i="8"/>
  <c r="Z5" i="139"/>
  <c r="Z22" i="139" s="1"/>
  <c r="AB36" i="139"/>
  <c r="AB38" i="139"/>
  <c r="O22" i="139"/>
  <c r="AB22" i="139" s="1"/>
  <c r="S95" i="8"/>
  <c r="R95" i="8"/>
  <c r="O9" i="139"/>
  <c r="J7" i="137"/>
  <c r="S94" i="8"/>
  <c r="Z32" i="132"/>
  <c r="V55" i="130" s="1"/>
  <c r="AW17" i="105"/>
  <c r="BE82" i="105"/>
  <c r="O17" i="120"/>
  <c r="BF82" i="105"/>
  <c r="BB83" i="105"/>
  <c r="K58" i="105"/>
  <c r="K59" i="105" s="1"/>
  <c r="AK26" i="85"/>
  <c r="AI26" i="85"/>
  <c r="AB24" i="85"/>
  <c r="X71" i="105"/>
  <c r="F37" i="138"/>
  <c r="J37" i="138"/>
  <c r="L60" i="138"/>
  <c r="M5" i="138"/>
  <c r="M54" i="138"/>
  <c r="L5" i="138"/>
  <c r="L54" i="138"/>
  <c r="I5" i="138"/>
  <c r="I54" i="138"/>
  <c r="E5" i="138"/>
  <c r="E54" i="138"/>
  <c r="D5" i="138"/>
  <c r="D54" i="138"/>
  <c r="P16" i="137"/>
  <c r="L16" i="137"/>
  <c r="N16" i="137"/>
  <c r="F54" i="138"/>
  <c r="F5" i="138"/>
  <c r="R16" i="137"/>
  <c r="Q16" i="137"/>
  <c r="J54" i="138"/>
  <c r="J5" i="138"/>
  <c r="B5" i="138"/>
  <c r="B54" i="138"/>
  <c r="H60" i="138"/>
  <c r="S16" i="137"/>
  <c r="H5" i="138"/>
  <c r="H54" i="138"/>
  <c r="G54" i="138"/>
  <c r="G5" i="138"/>
  <c r="K54" i="138"/>
  <c r="K5" i="138"/>
  <c r="B58" i="138"/>
  <c r="T18" i="69"/>
  <c r="C5" i="138"/>
  <c r="C54" i="138"/>
  <c r="M35" i="132"/>
  <c r="M41" i="132" s="1"/>
  <c r="N18" i="69"/>
  <c r="J18" i="69"/>
  <c r="R99" i="8"/>
  <c r="Z14" i="102"/>
  <c r="V185" i="8"/>
  <c r="Z73" i="102"/>
  <c r="V179" i="8"/>
  <c r="Z37" i="102"/>
  <c r="V184" i="8"/>
  <c r="Z71" i="102"/>
  <c r="Z10" i="102" s="1"/>
  <c r="V183" i="8"/>
  <c r="Z69" i="102"/>
  <c r="Z8" i="102" s="1"/>
  <c r="V182" i="8"/>
  <c r="Z67" i="102"/>
  <c r="Z6" i="102" s="1"/>
  <c r="AA24" i="85"/>
  <c r="Y22" i="92"/>
  <c r="AL38" i="92"/>
  <c r="AJ91" i="105" s="1"/>
  <c r="AL36" i="92"/>
  <c r="AL30" i="92"/>
  <c r="AJ98" i="105" s="1"/>
  <c r="AJ30" i="91"/>
  <c r="AH97" i="105" s="1"/>
  <c r="AJ91" i="135" s="1"/>
  <c r="AJ38" i="91"/>
  <c r="AB26" i="90"/>
  <c r="Z83" i="105" s="1"/>
  <c r="AB77" i="135" s="1"/>
  <c r="AG40" i="91"/>
  <c r="AE90" i="105" s="1"/>
  <c r="AG84" i="135" s="1"/>
  <c r="AG30" i="91"/>
  <c r="AE97" i="105" s="1"/>
  <c r="AG91" i="135" s="1"/>
  <c r="AG38" i="91"/>
  <c r="I6" i="135"/>
  <c r="AK30" i="91"/>
  <c r="AI97" i="105" s="1"/>
  <c r="AK38" i="91"/>
  <c r="AD30" i="92"/>
  <c r="AD36" i="92"/>
  <c r="AD38" i="92"/>
  <c r="AB38" i="91"/>
  <c r="AF30" i="91"/>
  <c r="AD97" i="105" s="1"/>
  <c r="AF91" i="135" s="1"/>
  <c r="AF38" i="91"/>
  <c r="AH30" i="91"/>
  <c r="AF97" i="105" s="1"/>
  <c r="AH91" i="135" s="1"/>
  <c r="AH38" i="91"/>
  <c r="AA30" i="91"/>
  <c r="Y97" i="105" s="1"/>
  <c r="AA91" i="135" s="1"/>
  <c r="AA40" i="91"/>
  <c r="AA38" i="91"/>
  <c r="AD30" i="91"/>
  <c r="AB97" i="105" s="1"/>
  <c r="AD91" i="135" s="1"/>
  <c r="AD38" i="91"/>
  <c r="AC30" i="91"/>
  <c r="AA97" i="105" s="1"/>
  <c r="AC91" i="135" s="1"/>
  <c r="AC38" i="91"/>
  <c r="AA84" i="105" s="1"/>
  <c r="AC78" i="135" s="1"/>
  <c r="AC179" i="135" s="1"/>
  <c r="AK26" i="90"/>
  <c r="AI83" i="105" s="1"/>
  <c r="AK28" i="90"/>
  <c r="AI89" i="105" s="1"/>
  <c r="AI30" i="91"/>
  <c r="AG97" i="105" s="1"/>
  <c r="AI91" i="135" s="1"/>
  <c r="AI38" i="91"/>
  <c r="N16" i="90"/>
  <c r="AA24" i="90"/>
  <c r="Y95" i="105" s="1"/>
  <c r="AA89" i="135" s="1"/>
  <c r="AA26" i="90"/>
  <c r="AA25" i="90"/>
  <c r="Y96" i="105" s="1"/>
  <c r="AA90" i="135" s="1"/>
  <c r="AA28" i="90"/>
  <c r="AI30" i="92"/>
  <c r="AI36" i="92"/>
  <c r="AG85" i="105" s="1"/>
  <c r="AI79" i="135" s="1"/>
  <c r="AI38" i="92"/>
  <c r="AJ28" i="90"/>
  <c r="AH89" i="105" s="1"/>
  <c r="AJ83" i="135" s="1"/>
  <c r="AJ26" i="90"/>
  <c r="AH83" i="105" s="1"/>
  <c r="AJ77" i="135" s="1"/>
  <c r="AA38" i="92"/>
  <c r="AA36" i="92"/>
  <c r="AA30" i="92"/>
  <c r="Y98" i="105" s="1"/>
  <c r="AA92" i="135" s="1"/>
  <c r="AL24" i="85"/>
  <c r="AJ88" i="105" s="1"/>
  <c r="AK82" i="105"/>
  <c r="X76" i="135" s="1"/>
  <c r="AJ26" i="82"/>
  <c r="AH87" i="105" s="1"/>
  <c r="AJ81" i="135" s="1"/>
  <c r="AL29" i="82"/>
  <c r="AJ93" i="105" s="1"/>
  <c r="AL26" i="82"/>
  <c r="AI26" i="82"/>
  <c r="AG87" i="105" s="1"/>
  <c r="AI81" i="135" s="1"/>
  <c r="AD29" i="82"/>
  <c r="AB93" i="105" s="1"/>
  <c r="AD87" i="135" s="1"/>
  <c r="AD26" i="82"/>
  <c r="AG26" i="82"/>
  <c r="AF26" i="82"/>
  <c r="AE34" i="82"/>
  <c r="AE26" i="82"/>
  <c r="M26" i="102"/>
  <c r="X10" i="120" s="1"/>
  <c r="E7" i="8"/>
  <c r="G83" i="130"/>
  <c r="D4" i="120"/>
  <c r="E96" i="8"/>
  <c r="D96" i="8"/>
  <c r="E3" i="120"/>
  <c r="E97" i="8"/>
  <c r="D97" i="8"/>
  <c r="D156" i="8" s="1"/>
  <c r="AK9" i="105" s="1"/>
  <c r="S39" i="8"/>
  <c r="S38" i="8"/>
  <c r="K7" i="91"/>
  <c r="O149" i="8"/>
  <c r="G149" i="8"/>
  <c r="AB7" i="91" s="1"/>
  <c r="Q149" i="8"/>
  <c r="H149" i="8"/>
  <c r="AC7" i="91" s="1"/>
  <c r="N149" i="8"/>
  <c r="F149" i="8"/>
  <c r="K149" i="8"/>
  <c r="AF7" i="91" s="1"/>
  <c r="I149" i="8"/>
  <c r="AD7" i="91" s="1"/>
  <c r="M149" i="8"/>
  <c r="AH7" i="91" s="1"/>
  <c r="J149" i="8"/>
  <c r="AE7" i="91" s="1"/>
  <c r="P149" i="8"/>
  <c r="L149" i="8"/>
  <c r="V38" i="8"/>
  <c r="T38" i="8"/>
  <c r="T39" i="8"/>
  <c r="V39" i="8"/>
  <c r="BE14" i="105"/>
  <c r="J10" i="105" s="1"/>
  <c r="K10" i="105" s="1"/>
  <c r="Z82" i="105"/>
  <c r="AB76" i="135" s="1"/>
  <c r="AE33" i="82"/>
  <c r="L26" i="102"/>
  <c r="V26" i="102"/>
  <c r="BG6" i="102" s="1"/>
  <c r="AE32" i="82"/>
  <c r="AJ29" i="82"/>
  <c r="AH93" i="105" s="1"/>
  <c r="AJ87" i="135" s="1"/>
  <c r="AE29" i="82"/>
  <c r="AC93" i="105" s="1"/>
  <c r="AE87" i="135" s="1"/>
  <c r="AI29" i="82"/>
  <c r="X180" i="135"/>
  <c r="AG29" i="82"/>
  <c r="AE93" i="105" s="1"/>
  <c r="AG87" i="135" s="1"/>
  <c r="AF26" i="85"/>
  <c r="AF29" i="82"/>
  <c r="AD93" i="105" s="1"/>
  <c r="AF87" i="135" s="1"/>
  <c r="X88" i="135"/>
  <c r="AA34" i="85"/>
  <c r="X87" i="135"/>
  <c r="K92" i="105"/>
  <c r="X91" i="135"/>
  <c r="E167" i="135"/>
  <c r="E171" i="135" s="1"/>
  <c r="AO39" i="90"/>
  <c r="X90" i="135"/>
  <c r="I86" i="135"/>
  <c r="I80" i="135"/>
  <c r="I124" i="135"/>
  <c r="S75" i="105"/>
  <c r="S8" i="120" s="1"/>
  <c r="T75" i="105"/>
  <c r="T8" i="120" s="1"/>
  <c r="Z21" i="95"/>
  <c r="I120" i="135"/>
  <c r="H120" i="135"/>
  <c r="M93" i="130"/>
  <c r="BF205" i="105"/>
  <c r="J93" i="130" s="1"/>
  <c r="L93" i="130" s="1"/>
  <c r="I121" i="135"/>
  <c r="H121" i="135"/>
  <c r="K75" i="105"/>
  <c r="X8" i="120" s="1"/>
  <c r="J20" i="95"/>
  <c r="K20" i="95" s="1"/>
  <c r="AB27" i="91"/>
  <c r="AC37" i="102"/>
  <c r="AA27" i="91"/>
  <c r="AB37" i="102"/>
  <c r="G178" i="8"/>
  <c r="AA21" i="85"/>
  <c r="AB33" i="102"/>
  <c r="AC27" i="91"/>
  <c r="AD37" i="102"/>
  <c r="AD12" i="102" s="1"/>
  <c r="AF27" i="91"/>
  <c r="AG37" i="102"/>
  <c r="O26" i="102"/>
  <c r="AZ6" i="102" s="1"/>
  <c r="K35" i="69"/>
  <c r="J177" i="8"/>
  <c r="AF33" i="102" s="1"/>
  <c r="R26" i="102"/>
  <c r="BC6" i="102" s="1"/>
  <c r="U26" i="102"/>
  <c r="BF6" i="102" s="1"/>
  <c r="K177" i="8"/>
  <c r="AG33" i="102" s="1"/>
  <c r="M185" i="8"/>
  <c r="H177" i="8"/>
  <c r="AD33" i="102" s="1"/>
  <c r="K7" i="82"/>
  <c r="I142" i="8"/>
  <c r="M142" i="8"/>
  <c r="L142" i="8"/>
  <c r="P128" i="8"/>
  <c r="O128" i="8"/>
  <c r="U39" i="8"/>
  <c r="AD67" i="102"/>
  <c r="AG88" i="105"/>
  <c r="AI82" i="135" s="1"/>
  <c r="AJ85" i="105"/>
  <c r="M40" i="132"/>
  <c r="AI40" i="91"/>
  <c r="U75" i="105"/>
  <c r="U8" i="120" s="1"/>
  <c r="AG37" i="91"/>
  <c r="AJ89" i="105"/>
  <c r="W75" i="105"/>
  <c r="W8" i="120" s="1"/>
  <c r="AH88" i="105"/>
  <c r="AJ82" i="135" s="1"/>
  <c r="AJ34" i="82"/>
  <c r="AJ33" i="82"/>
  <c r="AG33" i="82"/>
  <c r="T15" i="82"/>
  <c r="AG15" i="82" s="1"/>
  <c r="AL33" i="82"/>
  <c r="R15" i="82"/>
  <c r="AE15" i="82" s="1"/>
  <c r="S80" i="130"/>
  <c r="S85" i="130" s="1"/>
  <c r="S86" i="130" s="1"/>
  <c r="F75" i="105"/>
  <c r="AI34" i="82"/>
  <c r="AI33" i="82"/>
  <c r="AI15" i="82"/>
  <c r="O75" i="105"/>
  <c r="N8" i="120" s="1"/>
  <c r="M75" i="105"/>
  <c r="L8" i="120" s="1"/>
  <c r="P75" i="105"/>
  <c r="O8" i="120" s="1"/>
  <c r="Q75" i="105"/>
  <c r="P8" i="120" s="1"/>
  <c r="R75" i="105"/>
  <c r="R8" i="120" s="1"/>
  <c r="N75" i="105"/>
  <c r="M8" i="120" s="1"/>
  <c r="AD40" i="91"/>
  <c r="AB90" i="105" s="1"/>
  <c r="AD84" i="135" s="1"/>
  <c r="P5" i="82"/>
  <c r="R8" i="8"/>
  <c r="T19" i="8"/>
  <c r="S178" i="8"/>
  <c r="R179" i="8"/>
  <c r="K178" i="8"/>
  <c r="F178" i="8"/>
  <c r="T178" i="8"/>
  <c r="G176" i="8"/>
  <c r="AC31" i="102" s="1"/>
  <c r="O178" i="8"/>
  <c r="T176" i="8"/>
  <c r="H176" i="8"/>
  <c r="AD31" i="102" s="1"/>
  <c r="Q178" i="8"/>
  <c r="S176" i="8"/>
  <c r="M176" i="8"/>
  <c r="AI31" i="102" s="1"/>
  <c r="M178" i="8"/>
  <c r="F176" i="8"/>
  <c r="AB31" i="102" s="1"/>
  <c r="L176" i="8"/>
  <c r="AH31" i="102" s="1"/>
  <c r="O176" i="8"/>
  <c r="AJ21" i="82" s="1"/>
  <c r="J178" i="8"/>
  <c r="AE21" i="90" s="1"/>
  <c r="N178" i="8"/>
  <c r="P178" i="8"/>
  <c r="I178" i="8"/>
  <c r="AD21" i="142" s="1"/>
  <c r="O189" i="8"/>
  <c r="AK49" i="102" s="1"/>
  <c r="G189" i="8"/>
  <c r="AC49" i="102" s="1"/>
  <c r="N189" i="8"/>
  <c r="AJ49" i="102" s="1"/>
  <c r="F189" i="8"/>
  <c r="M189" i="8"/>
  <c r="AI49" i="102" s="1"/>
  <c r="L189" i="8"/>
  <c r="K189" i="8"/>
  <c r="AG49" i="102" s="1"/>
  <c r="T189" i="8"/>
  <c r="J189" i="8"/>
  <c r="AF49" i="102" s="1"/>
  <c r="S189" i="8"/>
  <c r="Q189" i="8"/>
  <c r="AM49" i="102" s="1"/>
  <c r="I189" i="8"/>
  <c r="AE49" i="102" s="1"/>
  <c r="P189" i="8"/>
  <c r="AL49" i="102" s="1"/>
  <c r="H189" i="8"/>
  <c r="AD49" i="102" s="1"/>
  <c r="V178" i="8"/>
  <c r="I176" i="8"/>
  <c r="AE31" i="102" s="1"/>
  <c r="U78" i="102"/>
  <c r="N177" i="8"/>
  <c r="P177" i="8"/>
  <c r="G177" i="8"/>
  <c r="V189" i="8"/>
  <c r="H188" i="8"/>
  <c r="L188" i="8"/>
  <c r="K188" i="8"/>
  <c r="J188" i="8"/>
  <c r="Q188" i="8"/>
  <c r="I188" i="8"/>
  <c r="P188" i="8"/>
  <c r="G188" i="8"/>
  <c r="T188" i="8"/>
  <c r="O188" i="8"/>
  <c r="F188" i="8"/>
  <c r="S188" i="8"/>
  <c r="N188" i="8"/>
  <c r="D188" i="8"/>
  <c r="AA48" i="102" s="1"/>
  <c r="M188" i="8"/>
  <c r="X78" i="102"/>
  <c r="M177" i="8"/>
  <c r="AI33" i="102" s="1"/>
  <c r="L178" i="8"/>
  <c r="Q176" i="8"/>
  <c r="Q177" i="8"/>
  <c r="J176" i="8"/>
  <c r="AF31" i="102" s="1"/>
  <c r="AF6" i="102" s="1"/>
  <c r="I177" i="8"/>
  <c r="AE33" i="102" s="1"/>
  <c r="H178" i="8"/>
  <c r="W26" i="102"/>
  <c r="BH6" i="102" s="1"/>
  <c r="V188" i="8"/>
  <c r="K194" i="8"/>
  <c r="AG86" i="102" s="1"/>
  <c r="J194" i="8"/>
  <c r="AF86" i="102" s="1"/>
  <c r="Q194" i="8"/>
  <c r="AM86" i="102" s="1"/>
  <c r="I194" i="8"/>
  <c r="AE86" i="102" s="1"/>
  <c r="T194" i="8"/>
  <c r="K86" i="102"/>
  <c r="K25" i="102" s="1"/>
  <c r="P194" i="8"/>
  <c r="AL86" i="102" s="1"/>
  <c r="H194" i="8"/>
  <c r="AD86" i="102" s="1"/>
  <c r="S194" i="8"/>
  <c r="O194" i="8"/>
  <c r="AK86" i="102" s="1"/>
  <c r="G194" i="8"/>
  <c r="AC86" i="102" s="1"/>
  <c r="N194" i="8"/>
  <c r="AJ86" i="102" s="1"/>
  <c r="F194" i="8"/>
  <c r="M194" i="8"/>
  <c r="AI86" i="102" s="1"/>
  <c r="D194" i="8"/>
  <c r="L194" i="8"/>
  <c r="K84" i="102"/>
  <c r="K23" i="102" s="1"/>
  <c r="M192" i="8"/>
  <c r="D192" i="8"/>
  <c r="S192" i="8"/>
  <c r="L192" i="8"/>
  <c r="K192" i="8"/>
  <c r="J192" i="8"/>
  <c r="Q192" i="8"/>
  <c r="I192" i="8"/>
  <c r="P192" i="8"/>
  <c r="H192" i="8"/>
  <c r="O192" i="8"/>
  <c r="G192" i="8"/>
  <c r="N192" i="8"/>
  <c r="F192" i="8"/>
  <c r="T192" i="8"/>
  <c r="V194" i="8"/>
  <c r="V192" i="8"/>
  <c r="J190" i="8"/>
  <c r="AF50" i="102" s="1"/>
  <c r="Q190" i="8"/>
  <c r="AM50" i="102" s="1"/>
  <c r="I190" i="8"/>
  <c r="AE50" i="102" s="1"/>
  <c r="P190" i="8"/>
  <c r="AL50" i="102" s="1"/>
  <c r="H190" i="8"/>
  <c r="AD50" i="102" s="1"/>
  <c r="O190" i="8"/>
  <c r="AK50" i="102" s="1"/>
  <c r="G190" i="8"/>
  <c r="AC50" i="102" s="1"/>
  <c r="N190" i="8"/>
  <c r="AJ50" i="102" s="1"/>
  <c r="F190" i="8"/>
  <c r="T190" i="8"/>
  <c r="M190" i="8"/>
  <c r="AI50" i="102" s="1"/>
  <c r="D190" i="8"/>
  <c r="AA50" i="102" s="1"/>
  <c r="S190" i="8"/>
  <c r="L190" i="8"/>
  <c r="K190" i="8"/>
  <c r="AG50" i="102" s="1"/>
  <c r="P193" i="8"/>
  <c r="AL85" i="102" s="1"/>
  <c r="H193" i="8"/>
  <c r="AD85" i="102" s="1"/>
  <c r="O193" i="8"/>
  <c r="AK85" i="102" s="1"/>
  <c r="G193" i="8"/>
  <c r="AC85" i="102" s="1"/>
  <c r="T193" i="8"/>
  <c r="K85" i="102"/>
  <c r="K24" i="102" s="1"/>
  <c r="N193" i="8"/>
  <c r="AJ85" i="102" s="1"/>
  <c r="F193" i="8"/>
  <c r="S193" i="8"/>
  <c r="M193" i="8"/>
  <c r="AI85" i="102" s="1"/>
  <c r="L193" i="8"/>
  <c r="K193" i="8"/>
  <c r="AG85" i="102" s="1"/>
  <c r="J193" i="8"/>
  <c r="AF85" i="102" s="1"/>
  <c r="Q193" i="8"/>
  <c r="AM85" i="102" s="1"/>
  <c r="I193" i="8"/>
  <c r="AE85" i="102" s="1"/>
  <c r="S177" i="8"/>
  <c r="K176" i="8"/>
  <c r="AG31" i="102" s="1"/>
  <c r="X88" i="102"/>
  <c r="V190" i="8"/>
  <c r="V193" i="8"/>
  <c r="Z17" i="132"/>
  <c r="V40" i="130" s="1"/>
  <c r="AA19" i="90"/>
  <c r="R38" i="8"/>
  <c r="G185" i="8"/>
  <c r="C85" i="8"/>
  <c r="C80" i="8"/>
  <c r="K39" i="102" s="1"/>
  <c r="J185" i="8"/>
  <c r="O185" i="8"/>
  <c r="N185" i="8"/>
  <c r="K185" i="8"/>
  <c r="I185" i="8"/>
  <c r="AD29" i="144" s="1"/>
  <c r="AC29" i="91"/>
  <c r="L185" i="8"/>
  <c r="P185" i="8"/>
  <c r="C115" i="8"/>
  <c r="K2" i="135"/>
  <c r="K110" i="135" s="1"/>
  <c r="N6" i="92"/>
  <c r="K74" i="135" s="1"/>
  <c r="K197" i="135" s="1"/>
  <c r="K6" i="135"/>
  <c r="K185" i="135" s="1"/>
  <c r="L6" i="135"/>
  <c r="L185" i="135" s="1"/>
  <c r="L2" i="135"/>
  <c r="L110" i="135" s="1"/>
  <c r="Z88" i="105"/>
  <c r="AB82" i="135" s="1"/>
  <c r="O6" i="92"/>
  <c r="L74" i="135" s="1"/>
  <c r="L197" i="135" s="1"/>
  <c r="G92" i="8"/>
  <c r="O5" i="92"/>
  <c r="P5" i="92"/>
  <c r="M2" i="135"/>
  <c r="M110" i="135" s="1"/>
  <c r="P6" i="92"/>
  <c r="M74" i="135" s="1"/>
  <c r="M197" i="135" s="1"/>
  <c r="N2" i="135"/>
  <c r="N110" i="135" s="1"/>
  <c r="AB91" i="105"/>
  <c r="AD85" i="135" s="1"/>
  <c r="AD199" i="135" s="1"/>
  <c r="Q6" i="92"/>
  <c r="N74" i="135" s="1"/>
  <c r="N197" i="135" s="1"/>
  <c r="N6" i="135"/>
  <c r="N185" i="135" s="1"/>
  <c r="AB85" i="105"/>
  <c r="AD79" i="135" s="1"/>
  <c r="AD198" i="135" s="1"/>
  <c r="R6" i="92"/>
  <c r="O74" i="135" s="1"/>
  <c r="O197" i="135" s="1"/>
  <c r="R5" i="92"/>
  <c r="P2" i="135"/>
  <c r="P110" i="135" s="1"/>
  <c r="S5" i="92"/>
  <c r="S6" i="92"/>
  <c r="AF32" i="82"/>
  <c r="P6" i="135"/>
  <c r="P185" i="135" s="1"/>
  <c r="S93" i="8"/>
  <c r="AG34" i="82"/>
  <c r="T5" i="92"/>
  <c r="Q2" i="135"/>
  <c r="Q6" i="135"/>
  <c r="Q185" i="135" s="1"/>
  <c r="AI32" i="82"/>
  <c r="AG82" i="105"/>
  <c r="AI76" i="135" s="1"/>
  <c r="AJ34" i="90"/>
  <c r="AJ31" i="90"/>
  <c r="W15" i="82"/>
  <c r="AJ15" i="82" s="1"/>
  <c r="AJ32" i="82"/>
  <c r="AH82" i="105"/>
  <c r="AJ76" i="135" s="1"/>
  <c r="AJ30" i="90"/>
  <c r="AK40" i="91"/>
  <c r="AI90" i="105" s="1"/>
  <c r="AK37" i="91"/>
  <c r="P13" i="8"/>
  <c r="C87" i="8"/>
  <c r="C99" i="8"/>
  <c r="C127" i="8"/>
  <c r="B12" i="124"/>
  <c r="C106" i="8"/>
  <c r="C107" i="8"/>
  <c r="C103" i="8"/>
  <c r="C123" i="8"/>
  <c r="H158" i="8" s="1"/>
  <c r="C91" i="8"/>
  <c r="B15" i="124"/>
  <c r="C109" i="8"/>
  <c r="K9" i="82"/>
  <c r="B11" i="124"/>
  <c r="C105" i="8"/>
  <c r="C102" i="8"/>
  <c r="C121" i="8"/>
  <c r="C90" i="8"/>
  <c r="K9" i="144" s="1"/>
  <c r="C118" i="8"/>
  <c r="AH6" i="85" s="1"/>
  <c r="C88" i="8"/>
  <c r="F132" i="8" s="1"/>
  <c r="C100" i="8"/>
  <c r="C108" i="8"/>
  <c r="B14" i="124"/>
  <c r="K10" i="91"/>
  <c r="B13" i="124"/>
  <c r="K9" i="90"/>
  <c r="X5" i="82"/>
  <c r="E92" i="8"/>
  <c r="AK88" i="105"/>
  <c r="X82" i="135" s="1"/>
  <c r="D92" i="8"/>
  <c r="Y4" i="8"/>
  <c r="AR3" i="105"/>
  <c r="M15" i="82"/>
  <c r="V17" i="102"/>
  <c r="X26" i="102"/>
  <c r="BI6" i="102" s="1"/>
  <c r="W17" i="102"/>
  <c r="U17" i="102"/>
  <c r="X92" i="105"/>
  <c r="AE35" i="69"/>
  <c r="X72" i="105"/>
  <c r="V75" i="105"/>
  <c r="V8" i="120" s="1"/>
  <c r="V53" i="130"/>
  <c r="V54" i="130"/>
  <c r="V48" i="130"/>
  <c r="V42" i="130"/>
  <c r="V62" i="130"/>
  <c r="V35" i="130"/>
  <c r="V30" i="130"/>
  <c r="V43" i="130"/>
  <c r="V29" i="130"/>
  <c r="AK30" i="90"/>
  <c r="X16" i="90"/>
  <c r="X5" i="92"/>
  <c r="X6" i="92"/>
  <c r="AI88" i="105"/>
  <c r="AN61" i="102"/>
  <c r="X86" i="105"/>
  <c r="AF34" i="69"/>
  <c r="W88" i="102"/>
  <c r="V128" i="8"/>
  <c r="W6" i="92"/>
  <c r="W5" i="92"/>
  <c r="U45" i="105" s="1"/>
  <c r="U13" i="120" s="1"/>
  <c r="BB3" i="105"/>
  <c r="AK87" i="105"/>
  <c r="X81" i="135" s="1"/>
  <c r="AC87" i="105"/>
  <c r="AE81" i="135" s="1"/>
  <c r="AD87" i="105"/>
  <c r="AF81" i="135" s="1"/>
  <c r="Z87" i="105"/>
  <c r="AB81" i="135" s="1"/>
  <c r="AE87" i="105"/>
  <c r="AG81" i="135" s="1"/>
  <c r="V6" i="92"/>
  <c r="AG91" i="105"/>
  <c r="AI85" i="135" s="1"/>
  <c r="AK84" i="105"/>
  <c r="X78" i="135" s="1"/>
  <c r="AF40" i="91"/>
  <c r="AI84" i="105"/>
  <c r="AE84" i="105"/>
  <c r="AG78" i="135" s="1"/>
  <c r="BJ83" i="105"/>
  <c r="M5" i="135"/>
  <c r="M166" i="135" s="1"/>
  <c r="L5" i="135"/>
  <c r="L166" i="135" s="1"/>
  <c r="AG90" i="105"/>
  <c r="AI84" i="135" s="1"/>
  <c r="AH84" i="105"/>
  <c r="AJ78" i="135" s="1"/>
  <c r="AG84" i="105"/>
  <c r="AI78" i="135" s="1"/>
  <c r="AO8" i="91"/>
  <c r="Z7" i="92"/>
  <c r="X34" i="105" s="1"/>
  <c r="AF88" i="105"/>
  <c r="AH82" i="135" s="1"/>
  <c r="AH40" i="91"/>
  <c r="AH37" i="91"/>
  <c r="U5" i="92"/>
  <c r="U6" i="92"/>
  <c r="E141" i="8"/>
  <c r="E133" i="8"/>
  <c r="AF30" i="69"/>
  <c r="T52" i="102"/>
  <c r="Q153" i="61"/>
  <c r="O153" i="61"/>
  <c r="AA33" i="90"/>
  <c r="AA37" i="90"/>
  <c r="F124" i="8"/>
  <c r="F229" i="8" s="1"/>
  <c r="F231" i="8" s="1"/>
  <c r="N6" i="85"/>
  <c r="K71" i="135" s="1"/>
  <c r="K142" i="135" s="1"/>
  <c r="AJ37" i="91"/>
  <c r="AD37" i="91"/>
  <c r="AJ40" i="91"/>
  <c r="AA30" i="85"/>
  <c r="Z10" i="92"/>
  <c r="N6" i="90"/>
  <c r="K72" i="135" s="1"/>
  <c r="AD24" i="85"/>
  <c r="S15" i="82"/>
  <c r="S26" i="102"/>
  <c r="BD6" i="102" s="1"/>
  <c r="S9" i="91"/>
  <c r="AA35" i="85"/>
  <c r="AF34" i="82"/>
  <c r="Z9" i="82"/>
  <c r="X17" i="105" s="1"/>
  <c r="AD26" i="85"/>
  <c r="W8" i="8"/>
  <c r="R16" i="102"/>
  <c r="BC7" i="102" s="1"/>
  <c r="W17" i="120"/>
  <c r="T88" i="102"/>
  <c r="Y26" i="102"/>
  <c r="BJ6" i="102" s="1"/>
  <c r="AD29" i="85"/>
  <c r="AB94" i="105" s="1"/>
  <c r="AD88" i="135" s="1"/>
  <c r="AA29" i="85"/>
  <c r="Y94" i="105" s="1"/>
  <c r="AA88" i="135" s="1"/>
  <c r="AF33" i="82"/>
  <c r="Z7" i="91"/>
  <c r="X33" i="105" s="1"/>
  <c r="V149" i="8"/>
  <c r="S8" i="8"/>
  <c r="AD35" i="85"/>
  <c r="N26" i="102"/>
  <c r="AY6" i="102" s="1"/>
  <c r="S9" i="8"/>
  <c r="V8" i="8"/>
  <c r="I13" i="8"/>
  <c r="AD27" i="91"/>
  <c r="O16" i="102"/>
  <c r="AZ7" i="102" s="1"/>
  <c r="V78" i="102"/>
  <c r="U16" i="102"/>
  <c r="BF7" i="102" s="1"/>
  <c r="G9" i="120"/>
  <c r="H9" i="120" s="1"/>
  <c r="AD30" i="85"/>
  <c r="AD34" i="85"/>
  <c r="Z10" i="85"/>
  <c r="AL32" i="82"/>
  <c r="T134" i="8"/>
  <c r="Y15" i="82"/>
  <c r="AL15" i="82" s="1"/>
  <c r="P88" i="102"/>
  <c r="S88" i="102"/>
  <c r="U116" i="8"/>
  <c r="O12" i="102"/>
  <c r="O17" i="102" s="1"/>
  <c r="V95" i="8"/>
  <c r="V89" i="8"/>
  <c r="Q13" i="8"/>
  <c r="F13" i="8"/>
  <c r="W16" i="102"/>
  <c r="BH7" i="102" s="1"/>
  <c r="V88" i="8"/>
  <c r="V90" i="8"/>
  <c r="Z9" i="144" s="1"/>
  <c r="AD23" i="82"/>
  <c r="W46" i="8"/>
  <c r="W47" i="8" s="1"/>
  <c r="R8" i="82"/>
  <c r="J93" i="8"/>
  <c r="M41" i="102"/>
  <c r="Y78" i="102"/>
  <c r="K92" i="8"/>
  <c r="R93" i="8"/>
  <c r="R87" i="8"/>
  <c r="X16" i="102"/>
  <c r="BI7" i="102" s="1"/>
  <c r="S68" i="8"/>
  <c r="S70" i="8" s="1"/>
  <c r="P16" i="102"/>
  <c r="BA7" i="102" s="1"/>
  <c r="AS3" i="105"/>
  <c r="V91" i="8"/>
  <c r="V87" i="8"/>
  <c r="V9" i="8"/>
  <c r="V16" i="102"/>
  <c r="BG7" i="102" s="1"/>
  <c r="P8" i="102"/>
  <c r="AA41" i="92"/>
  <c r="M16" i="102"/>
  <c r="X9" i="120" s="1"/>
  <c r="R19" i="8"/>
  <c r="R98" i="8" s="1"/>
  <c r="AD32" i="82"/>
  <c r="AO40" i="90"/>
  <c r="G13" i="8"/>
  <c r="AB23" i="85"/>
  <c r="P78" i="102"/>
  <c r="AX3" i="105"/>
  <c r="L158" i="8"/>
  <c r="AG6" i="92" s="1"/>
  <c r="AI7" i="82"/>
  <c r="AK7" i="82"/>
  <c r="AI30" i="105" s="1"/>
  <c r="Q26" i="102"/>
  <c r="BB6" i="102" s="1"/>
  <c r="W52" i="102"/>
  <c r="Q14" i="102"/>
  <c r="D225" i="8"/>
  <c r="M10" i="91"/>
  <c r="J5" i="135"/>
  <c r="J166" i="135" s="1"/>
  <c r="R134" i="8"/>
  <c r="BI82" i="105"/>
  <c r="N158" i="8"/>
  <c r="AH7" i="82"/>
  <c r="AG7" i="91"/>
  <c r="T26" i="102"/>
  <c r="BE6" i="102" s="1"/>
  <c r="AJ7" i="82"/>
  <c r="AH30" i="105" s="1"/>
  <c r="AL30" i="105" s="1"/>
  <c r="U128" i="8"/>
  <c r="AG7" i="82"/>
  <c r="R9" i="8"/>
  <c r="AG7" i="85"/>
  <c r="U134" i="8"/>
  <c r="V52" i="102"/>
  <c r="U52" i="102"/>
  <c r="AL7" i="82"/>
  <c r="AJ30" i="105" s="1"/>
  <c r="AJ35" i="105" s="1"/>
  <c r="AT3" i="105"/>
  <c r="T16" i="102"/>
  <c r="BE7" i="102" s="1"/>
  <c r="AK23" i="82"/>
  <c r="AJ23" i="90"/>
  <c r="AK71" i="102"/>
  <c r="AG23" i="82"/>
  <c r="AH67" i="102"/>
  <c r="U182" i="8"/>
  <c r="V9" i="92"/>
  <c r="N155" i="8"/>
  <c r="AI9" i="139" s="1"/>
  <c r="Q92" i="8"/>
  <c r="W16" i="105" s="1"/>
  <c r="BD3" i="105"/>
  <c r="T8" i="82"/>
  <c r="O110" i="8"/>
  <c r="X9" i="92"/>
  <c r="V15" i="105" s="1"/>
  <c r="P155" i="8"/>
  <c r="AK9" i="139" s="1"/>
  <c r="X8" i="82"/>
  <c r="V11" i="105" s="1"/>
  <c r="V5" i="105" s="1"/>
  <c r="Q104" i="8"/>
  <c r="J13" i="8"/>
  <c r="Q16" i="102"/>
  <c r="BB7" i="102" s="1"/>
  <c r="AI23" i="85"/>
  <c r="AJ69" i="102"/>
  <c r="AL27" i="91"/>
  <c r="AM37" i="102"/>
  <c r="AJ21" i="85"/>
  <c r="AK33" i="102"/>
  <c r="Q110" i="8"/>
  <c r="W9" i="91"/>
  <c r="U14" i="105" s="1"/>
  <c r="T9" i="92"/>
  <c r="L155" i="8"/>
  <c r="AG9" i="139" s="1"/>
  <c r="W8" i="90"/>
  <c r="U13" i="105" s="1"/>
  <c r="N110" i="8"/>
  <c r="N92" i="8"/>
  <c r="BA3" i="105"/>
  <c r="Y8" i="82"/>
  <c r="S6" i="82"/>
  <c r="P70" i="135" s="1"/>
  <c r="P123" i="135" s="1"/>
  <c r="T53" i="102"/>
  <c r="AH27" i="91"/>
  <c r="AM73" i="102"/>
  <c r="AL29" i="91"/>
  <c r="AI23" i="82"/>
  <c r="AJ67" i="102"/>
  <c r="AJ29" i="91"/>
  <c r="AI21" i="82"/>
  <c r="O104" i="8"/>
  <c r="U9" i="85"/>
  <c r="V8" i="90"/>
  <c r="Y9" i="92"/>
  <c r="W15" i="105" s="1"/>
  <c r="Q155" i="8"/>
  <c r="AL9" i="139" s="1"/>
  <c r="P124" i="8"/>
  <c r="P229" i="8" s="1"/>
  <c r="L13" i="8"/>
  <c r="Q12" i="102"/>
  <c r="W53" i="102"/>
  <c r="N16" i="102"/>
  <c r="AY7" i="102" s="1"/>
  <c r="BK7" i="102" s="1"/>
  <c r="AK37" i="102"/>
  <c r="AJ27" i="91"/>
  <c r="AL23" i="85"/>
  <c r="AK23" i="90"/>
  <c r="AJ71" i="102"/>
  <c r="AI23" i="90"/>
  <c r="P158" i="8"/>
  <c r="P104" i="8"/>
  <c r="U9" i="92"/>
  <c r="T9" i="85"/>
  <c r="T9" i="91"/>
  <c r="O13" i="8"/>
  <c r="Y6" i="82"/>
  <c r="Q124" i="8"/>
  <c r="Q229" i="8" s="1"/>
  <c r="L110" i="8"/>
  <c r="Y9" i="85"/>
  <c r="Y9" i="91"/>
  <c r="W14" i="105" s="1"/>
  <c r="AV3" i="105"/>
  <c r="I92" i="8"/>
  <c r="L16" i="102"/>
  <c r="Y88" i="102"/>
  <c r="AL23" i="82"/>
  <c r="Q187" i="8"/>
  <c r="AG21" i="85"/>
  <c r="AJ23" i="85"/>
  <c r="AK69" i="102"/>
  <c r="AH23" i="85"/>
  <c r="AI69" i="102"/>
  <c r="AK31" i="102"/>
  <c r="AH71" i="102"/>
  <c r="AG23" i="90"/>
  <c r="U184" i="8"/>
  <c r="Y8" i="90"/>
  <c r="M158" i="8"/>
  <c r="P110" i="8"/>
  <c r="L92" i="8"/>
  <c r="AY3" i="105"/>
  <c r="P92" i="8"/>
  <c r="BC3" i="105"/>
  <c r="L104" i="8"/>
  <c r="Q158" i="8"/>
  <c r="N13" i="8"/>
  <c r="U5" i="82"/>
  <c r="U42" i="82" s="1"/>
  <c r="M13" i="8"/>
  <c r="W6" i="82"/>
  <c r="O124" i="8"/>
  <c r="O229" i="8" s="1"/>
  <c r="P10" i="102"/>
  <c r="X53" i="102"/>
  <c r="W9" i="92"/>
  <c r="U15" i="105" s="1"/>
  <c r="O155" i="8"/>
  <c r="AJ9" i="139" s="1"/>
  <c r="AJ23" i="82"/>
  <c r="AK67" i="102"/>
  <c r="W78" i="102"/>
  <c r="AH23" i="82"/>
  <c r="AI67" i="102"/>
  <c r="V6" i="82"/>
  <c r="N124" i="8"/>
  <c r="N229" i="8" s="1"/>
  <c r="X8" i="90"/>
  <c r="BJ82" i="105"/>
  <c r="N5" i="82"/>
  <c r="T8" i="90"/>
  <c r="U6" i="82"/>
  <c r="M124" i="8"/>
  <c r="M229" i="8" s="1"/>
  <c r="O78" i="102"/>
  <c r="K110" i="8"/>
  <c r="S17" i="102"/>
  <c r="Y53" i="102"/>
  <c r="T78" i="102"/>
  <c r="AH21" i="82"/>
  <c r="AI27" i="91"/>
  <c r="AL23" i="90"/>
  <c r="AI71" i="102"/>
  <c r="AH23" i="90"/>
  <c r="X9" i="91"/>
  <c r="V14" i="105" s="1"/>
  <c r="V9" i="91"/>
  <c r="T6" i="82"/>
  <c r="Q70" i="135" s="1"/>
  <c r="L124" i="8"/>
  <c r="L229" i="8" s="1"/>
  <c r="U9" i="91"/>
  <c r="U8" i="90"/>
  <c r="M110" i="8"/>
  <c r="W8" i="82"/>
  <c r="U11" i="105" s="1"/>
  <c r="U5" i="105" s="1"/>
  <c r="U8" i="82"/>
  <c r="P12" i="102"/>
  <c r="K104" i="8"/>
  <c r="S16" i="102"/>
  <c r="BD7" i="102" s="1"/>
  <c r="V53" i="102"/>
  <c r="U53" i="102"/>
  <c r="O158" i="8"/>
  <c r="AG27" i="91"/>
  <c r="U179" i="8"/>
  <c r="AK29" i="91"/>
  <c r="AH69" i="102"/>
  <c r="AG23" i="85"/>
  <c r="U183" i="8"/>
  <c r="AK27" i="91"/>
  <c r="AL37" i="102"/>
  <c r="W9" i="85"/>
  <c r="U12" i="105" s="1"/>
  <c r="V8" i="82"/>
  <c r="N104" i="8"/>
  <c r="M104" i="8"/>
  <c r="M92" i="8"/>
  <c r="AZ3" i="105"/>
  <c r="X9" i="85"/>
  <c r="V12" i="105" s="1"/>
  <c r="V9" i="85"/>
  <c r="N132" i="8"/>
  <c r="AX17" i="105"/>
  <c r="V17" i="120"/>
  <c r="S78" i="102"/>
  <c r="AG71" i="102"/>
  <c r="AF23" i="90"/>
  <c r="AG69" i="102"/>
  <c r="AF23" i="85"/>
  <c r="AG67" i="102"/>
  <c r="AF23" i="82"/>
  <c r="AF7" i="82"/>
  <c r="S12" i="8"/>
  <c r="S10" i="8"/>
  <c r="T73" i="8"/>
  <c r="T75" i="8" s="1"/>
  <c r="T119" i="8" s="1"/>
  <c r="V12" i="8"/>
  <c r="V10" i="8"/>
  <c r="W9" i="8"/>
  <c r="S8" i="90"/>
  <c r="K13" i="8"/>
  <c r="V105" i="8"/>
  <c r="W12" i="8"/>
  <c r="S8" i="82"/>
  <c r="K124" i="8"/>
  <c r="K229" i="8" s="1"/>
  <c r="AF41" i="92"/>
  <c r="AF98" i="135" s="1"/>
  <c r="S9" i="92"/>
  <c r="K155" i="8"/>
  <c r="AF9" i="139" s="1"/>
  <c r="S9" i="85"/>
  <c r="K223" i="8"/>
  <c r="N17" i="120"/>
  <c r="AE27" i="91"/>
  <c r="R88" i="102"/>
  <c r="AF71" i="102"/>
  <c r="AE23" i="90"/>
  <c r="R6" i="102"/>
  <c r="R17" i="102" s="1"/>
  <c r="AF69" i="102"/>
  <c r="AE23" i="85"/>
  <c r="R78" i="102"/>
  <c r="AE7" i="82"/>
  <c r="S11" i="8"/>
  <c r="V11" i="8"/>
  <c r="J13" i="124"/>
  <c r="K13" i="124" s="1"/>
  <c r="W10" i="8"/>
  <c r="S108" i="8"/>
  <c r="R9" i="92"/>
  <c r="J155" i="8"/>
  <c r="AE9" i="139" s="1"/>
  <c r="J124" i="8"/>
  <c r="J229" i="8" s="1"/>
  <c r="R6" i="82"/>
  <c r="O70" i="135" s="1"/>
  <c r="O123" i="135" s="1"/>
  <c r="R9" i="85"/>
  <c r="R9" i="91"/>
  <c r="J92" i="8"/>
  <c r="AW3" i="105"/>
  <c r="R8" i="90"/>
  <c r="J110" i="8"/>
  <c r="R5" i="91"/>
  <c r="W11" i="8"/>
  <c r="V19" i="8"/>
  <c r="BF201" i="105"/>
  <c r="BI201" i="105" s="1"/>
  <c r="X11" i="120" s="1"/>
  <c r="Q78" i="102"/>
  <c r="Q88" i="102"/>
  <c r="AE71" i="102"/>
  <c r="AD23" i="90"/>
  <c r="AE69" i="102"/>
  <c r="AD23" i="85"/>
  <c r="S116" i="8"/>
  <c r="S226" i="8" s="1"/>
  <c r="S134" i="8"/>
  <c r="I104" i="8"/>
  <c r="Q8" i="82"/>
  <c r="Q8" i="90"/>
  <c r="Q9" i="92"/>
  <c r="I155" i="8"/>
  <c r="AD9" i="139" s="1"/>
  <c r="Q9" i="85"/>
  <c r="Q6" i="82"/>
  <c r="N70" i="135" s="1"/>
  <c r="N123" i="135" s="1"/>
  <c r="I124" i="8"/>
  <c r="I229" i="8" s="1"/>
  <c r="I158" i="8"/>
  <c r="AD33" i="82"/>
  <c r="Q15" i="82"/>
  <c r="AD15" i="82" s="1"/>
  <c r="Q9" i="91"/>
  <c r="I110" i="8"/>
  <c r="AF25" i="69"/>
  <c r="Z16" i="132"/>
  <c r="V39" i="130" s="1"/>
  <c r="V57" i="130" s="1"/>
  <c r="J42" i="105"/>
  <c r="K42" i="105" s="1"/>
  <c r="AA37" i="91"/>
  <c r="AA38" i="90"/>
  <c r="AA31" i="90"/>
  <c r="AA32" i="90"/>
  <c r="N35" i="132"/>
  <c r="AO41" i="90"/>
  <c r="Z9" i="90"/>
  <c r="AA34" i="90"/>
  <c r="AA30" i="90"/>
  <c r="AO36" i="90"/>
  <c r="AA26" i="85"/>
  <c r="V41" i="132"/>
  <c r="W40" i="132"/>
  <c r="L42" i="132"/>
  <c r="Q41" i="132"/>
  <c r="L43" i="132"/>
  <c r="P26" i="102"/>
  <c r="BA6" i="102" s="1"/>
  <c r="AC7" i="82"/>
  <c r="R63" i="8"/>
  <c r="R65" i="8" s="1"/>
  <c r="R117" i="8" s="1"/>
  <c r="AC33" i="82"/>
  <c r="S109" i="8"/>
  <c r="R105" i="8"/>
  <c r="S19" i="8"/>
  <c r="H110" i="8"/>
  <c r="S87" i="8"/>
  <c r="AC32" i="82"/>
  <c r="T106" i="8"/>
  <c r="S106" i="8"/>
  <c r="H13" i="8"/>
  <c r="S63" i="8"/>
  <c r="S65" i="8" s="1"/>
  <c r="S90" i="8"/>
  <c r="P9" i="92"/>
  <c r="H155" i="8"/>
  <c r="AC9" i="139" s="1"/>
  <c r="V68" i="8"/>
  <c r="V70" i="8" s="1"/>
  <c r="W7" i="8"/>
  <c r="X16" i="8" s="1"/>
  <c r="P9" i="85"/>
  <c r="AC35" i="85"/>
  <c r="AC26" i="85"/>
  <c r="AC24" i="85"/>
  <c r="P8" i="82"/>
  <c r="H104" i="8"/>
  <c r="V93" i="8"/>
  <c r="AU3" i="105"/>
  <c r="H92" i="8"/>
  <c r="P6" i="82"/>
  <c r="M70" i="135" s="1"/>
  <c r="M123" i="135" s="1"/>
  <c r="H124" i="8"/>
  <c r="H229" i="8" s="1"/>
  <c r="P9" i="91"/>
  <c r="AV184" i="105"/>
  <c r="AU161" i="105"/>
  <c r="O88" i="102"/>
  <c r="AB23" i="90"/>
  <c r="AC71" i="102"/>
  <c r="AC67" i="102"/>
  <c r="AB23" i="82"/>
  <c r="V73" i="8"/>
  <c r="V119" i="8" s="1"/>
  <c r="V143" i="8" s="1"/>
  <c r="S105" i="8"/>
  <c r="S123" i="8"/>
  <c r="C13" i="124"/>
  <c r="D13" i="124" s="1"/>
  <c r="E13" i="124" s="1"/>
  <c r="D5" i="124" s="1"/>
  <c r="S99" i="8"/>
  <c r="S88" i="8"/>
  <c r="G110" i="8"/>
  <c r="T123" i="8"/>
  <c r="T105" i="8"/>
  <c r="S7" i="8"/>
  <c r="R107" i="8"/>
  <c r="O8" i="90"/>
  <c r="T99" i="8"/>
  <c r="V123" i="8"/>
  <c r="Z6" i="139" s="1"/>
  <c r="V7" i="8"/>
  <c r="G104" i="8"/>
  <c r="L4" i="135"/>
  <c r="O9" i="91"/>
  <c r="V99" i="8"/>
  <c r="V65" i="8"/>
  <c r="S73" i="8"/>
  <c r="R109" i="8"/>
  <c r="Z10" i="91"/>
  <c r="O6" i="82"/>
  <c r="L70" i="135" s="1"/>
  <c r="L123" i="135" s="1"/>
  <c r="G124" i="8"/>
  <c r="G229" i="8" s="1"/>
  <c r="O8" i="82"/>
  <c r="O9" i="92"/>
  <c r="G155" i="8"/>
  <c r="AB9" i="139" s="1"/>
  <c r="T8" i="8"/>
  <c r="T102" i="8"/>
  <c r="T100" i="8"/>
  <c r="T9" i="8"/>
  <c r="G223" i="8"/>
  <c r="K19" i="95"/>
  <c r="AY43" i="105"/>
  <c r="P40" i="132"/>
  <c r="P42" i="132" s="1"/>
  <c r="S40" i="132"/>
  <c r="T41" i="132"/>
  <c r="W41" i="132"/>
  <c r="R41" i="132"/>
  <c r="V36" i="69"/>
  <c r="C22" i="124"/>
  <c r="D22" i="124" s="1"/>
  <c r="E22" i="124" s="1"/>
  <c r="E6" i="124" s="1"/>
  <c r="L36" i="69"/>
  <c r="C20" i="124"/>
  <c r="D20" i="124" s="1"/>
  <c r="E20" i="124" s="1"/>
  <c r="E4" i="124" s="1"/>
  <c r="B36" i="69"/>
  <c r="K18" i="95"/>
  <c r="V100" i="8"/>
  <c r="C14" i="124"/>
  <c r="V108" i="8"/>
  <c r="S101" i="8"/>
  <c r="S89" i="8"/>
  <c r="K4" i="135"/>
  <c r="V109" i="8"/>
  <c r="C15" i="124"/>
  <c r="R91" i="8"/>
  <c r="R103" i="8"/>
  <c r="F104" i="8"/>
  <c r="S107" i="8"/>
  <c r="S102" i="8"/>
  <c r="T103" i="8"/>
  <c r="T12" i="8"/>
  <c r="R100" i="8"/>
  <c r="R88" i="8"/>
  <c r="R108" i="8"/>
  <c r="R73" i="8"/>
  <c r="R75" i="8" s="1"/>
  <c r="R119" i="8" s="1"/>
  <c r="V101" i="8"/>
  <c r="W16" i="8"/>
  <c r="N9" i="91"/>
  <c r="T11" i="8"/>
  <c r="T108" i="8"/>
  <c r="V107" i="8"/>
  <c r="N9" i="92"/>
  <c r="F155" i="8"/>
  <c r="AA9" i="139" s="1"/>
  <c r="V106" i="8"/>
  <c r="C12" i="124"/>
  <c r="R121" i="8"/>
  <c r="R102" i="8"/>
  <c r="R90" i="8"/>
  <c r="N8" i="90"/>
  <c r="R123" i="8"/>
  <c r="S25" i="8"/>
  <c r="R101" i="8"/>
  <c r="R89" i="8"/>
  <c r="C11" i="124"/>
  <c r="V25" i="8"/>
  <c r="V121" i="8"/>
  <c r="Z58" i="144" s="1"/>
  <c r="Z63" i="144" s="1"/>
  <c r="Z6" i="144" s="1"/>
  <c r="N9" i="85"/>
  <c r="R70" i="8"/>
  <c r="R118" i="8" s="1"/>
  <c r="R106" i="8"/>
  <c r="T10" i="8"/>
  <c r="T101" i="8"/>
  <c r="F110" i="8"/>
  <c r="S103" i="8"/>
  <c r="S91" i="8"/>
  <c r="T121" i="8"/>
  <c r="R25" i="8"/>
  <c r="V103" i="8"/>
  <c r="S121" i="8"/>
  <c r="T109" i="8"/>
  <c r="S100" i="8"/>
  <c r="T107" i="8"/>
  <c r="V102" i="8"/>
  <c r="N38" i="132"/>
  <c r="Z38" i="132" s="1"/>
  <c r="R116" i="8"/>
  <c r="R226" i="8" s="1"/>
  <c r="V157" i="8"/>
  <c r="AB73" i="102"/>
  <c r="AA29" i="91"/>
  <c r="T116" i="8"/>
  <c r="T226" i="8" s="1"/>
  <c r="N17" i="102"/>
  <c r="N88" i="102"/>
  <c r="V142" i="8"/>
  <c r="V116" i="8"/>
  <c r="V226" i="8" s="1"/>
  <c r="AB71" i="102"/>
  <c r="R184" i="8"/>
  <c r="AA23" i="90"/>
  <c r="AA21" i="90"/>
  <c r="R178" i="8"/>
  <c r="AA7" i="90"/>
  <c r="R142" i="8"/>
  <c r="S142" i="8"/>
  <c r="T142" i="8"/>
  <c r="AB69" i="102"/>
  <c r="AA23" i="85"/>
  <c r="V134" i="8"/>
  <c r="AA7" i="82"/>
  <c r="S128" i="8"/>
  <c r="R128" i="8"/>
  <c r="T128" i="8"/>
  <c r="AB67" i="102"/>
  <c r="AA23" i="82"/>
  <c r="R182" i="8"/>
  <c r="M9" i="95"/>
  <c r="P24" i="93"/>
  <c r="M11" i="95"/>
  <c r="P31" i="93"/>
  <c r="X41" i="132"/>
  <c r="M91" i="130" s="1"/>
  <c r="X40" i="132"/>
  <c r="M90" i="130" s="1"/>
  <c r="Q40" i="132"/>
  <c r="L44" i="105"/>
  <c r="AK91" i="105"/>
  <c r="X85" i="135" s="1"/>
  <c r="X199" i="135" s="1"/>
  <c r="AK85" i="105"/>
  <c r="X79" i="135" s="1"/>
  <c r="X198" i="135" s="1"/>
  <c r="U40" i="132"/>
  <c r="Y91" i="105"/>
  <c r="AA85" i="135" s="1"/>
  <c r="AA199" i="135" s="1"/>
  <c r="J44" i="105"/>
  <c r="K44" i="105" s="1"/>
  <c r="AZ17" i="105"/>
  <c r="R17" i="120"/>
  <c r="AK83" i="105"/>
  <c r="X77" i="135" s="1"/>
  <c r="T40" i="132"/>
  <c r="V40" i="132"/>
  <c r="U41" i="132"/>
  <c r="AV17" i="105"/>
  <c r="M17" i="120"/>
  <c r="AK89" i="105"/>
  <c r="X83" i="135" s="1"/>
  <c r="N36" i="132"/>
  <c r="O41" i="132"/>
  <c r="O43" i="132" s="1"/>
  <c r="M20" i="91"/>
  <c r="N39" i="132"/>
  <c r="Z39" i="132" s="1"/>
  <c r="Z34" i="132"/>
  <c r="Y41" i="132"/>
  <c r="R40" i="132"/>
  <c r="S41" i="132"/>
  <c r="O40" i="132"/>
  <c r="O42" i="132" s="1"/>
  <c r="Y40" i="132"/>
  <c r="AK103" i="105"/>
  <c r="N37" i="132"/>
  <c r="Z37" i="132" s="1"/>
  <c r="Z13" i="132"/>
  <c r="W47" i="135" s="1"/>
  <c r="W138" i="135" s="1"/>
  <c r="Z14" i="82"/>
  <c r="AT14" i="82" s="1"/>
  <c r="M40" i="105"/>
  <c r="L15" i="120" s="1"/>
  <c r="Z15" i="85"/>
  <c r="F223" i="8"/>
  <c r="F225" i="8" s="1"/>
  <c r="BK6" i="102" l="1"/>
  <c r="AN37" i="102"/>
  <c r="P17" i="102"/>
  <c r="AN67" i="102"/>
  <c r="AN71" i="102"/>
  <c r="AN31" i="102"/>
  <c r="Q10" i="120"/>
  <c r="AO61" i="102"/>
  <c r="V167" i="8"/>
  <c r="AV22" i="135"/>
  <c r="AH36" i="135"/>
  <c r="AV36" i="135" s="1"/>
  <c r="AX78" i="135"/>
  <c r="AX179" i="135" s="1"/>
  <c r="AJ179" i="135"/>
  <c r="AW76" i="135"/>
  <c r="AW124" i="135" s="1"/>
  <c r="AI124" i="135"/>
  <c r="AW84" i="135"/>
  <c r="AW180" i="135" s="1"/>
  <c r="AI180" i="135"/>
  <c r="AI199" i="135"/>
  <c r="AW85" i="135"/>
  <c r="AW199" i="135" s="1"/>
  <c r="AX91" i="135"/>
  <c r="AX181" i="135" s="1"/>
  <c r="AJ181" i="135"/>
  <c r="Y8" i="120"/>
  <c r="AX82" i="135"/>
  <c r="AJ143" i="135"/>
  <c r="AX143" i="135" s="1"/>
  <c r="AW82" i="135"/>
  <c r="AI143" i="135"/>
  <c r="AW143" i="135" s="1"/>
  <c r="AX87" i="135"/>
  <c r="AX126" i="135" s="1"/>
  <c r="AJ126" i="135"/>
  <c r="AH181" i="135"/>
  <c r="AV91" i="135"/>
  <c r="AV181" i="135" s="1"/>
  <c r="AH144" i="135"/>
  <c r="AV144" i="135" s="1"/>
  <c r="AV88" i="135"/>
  <c r="AX76" i="135"/>
  <c r="AX124" i="135" s="1"/>
  <c r="AJ124" i="135"/>
  <c r="AW81" i="135"/>
  <c r="AW125" i="135" s="1"/>
  <c r="AI125" i="135"/>
  <c r="AV19" i="135"/>
  <c r="AV150" i="135" s="1"/>
  <c r="AV153" i="135" s="1"/>
  <c r="AH150" i="135"/>
  <c r="AH153" i="135" s="1"/>
  <c r="AH132" i="135"/>
  <c r="AV18" i="135"/>
  <c r="AH143" i="135"/>
  <c r="AV143" i="135" s="1"/>
  <c r="AV82" i="135"/>
  <c r="AX77" i="135"/>
  <c r="AX160" i="135" s="1"/>
  <c r="AJ160" i="135"/>
  <c r="AX83" i="135"/>
  <c r="AX161" i="135" s="1"/>
  <c r="AJ161" i="135"/>
  <c r="Q8" i="120"/>
  <c r="R23" i="135"/>
  <c r="R37" i="135" s="1"/>
  <c r="R36" i="135"/>
  <c r="AX81" i="135"/>
  <c r="AX125" i="135" s="1"/>
  <c r="AJ125" i="135"/>
  <c r="AX88" i="135"/>
  <c r="AJ144" i="135"/>
  <c r="AX144" i="135" s="1"/>
  <c r="AJ22" i="105"/>
  <c r="AM30" i="105"/>
  <c r="AW78" i="135"/>
  <c r="AW179" i="135" s="1"/>
  <c r="AI179" i="135"/>
  <c r="AI198" i="135"/>
  <c r="AW79" i="135"/>
  <c r="AW198" i="135" s="1"/>
  <c r="AW91" i="135"/>
  <c r="AW181" i="135" s="1"/>
  <c r="AI181" i="135"/>
  <c r="U135" i="135"/>
  <c r="O150" i="135"/>
  <c r="W26" i="105"/>
  <c r="V72" i="135"/>
  <c r="V159" i="135" s="1"/>
  <c r="W25" i="105"/>
  <c r="V71" i="135"/>
  <c r="V142" i="135" s="1"/>
  <c r="W24" i="105"/>
  <c r="V70" i="135"/>
  <c r="V123" i="135" s="1"/>
  <c r="V171" i="135"/>
  <c r="AL7" i="91"/>
  <c r="AJ33" i="105" s="1"/>
  <c r="AL7" i="144"/>
  <c r="V190" i="135"/>
  <c r="AL38" i="91"/>
  <c r="U110" i="8"/>
  <c r="AL30" i="91"/>
  <c r="AJ97" i="105" s="1"/>
  <c r="V166" i="135"/>
  <c r="V7" i="135"/>
  <c r="W28" i="105"/>
  <c r="V74" i="135"/>
  <c r="V197" i="135" s="1"/>
  <c r="W45" i="105"/>
  <c r="W13" i="120" s="1"/>
  <c r="AL37" i="91"/>
  <c r="W27" i="105"/>
  <c r="V73" i="135"/>
  <c r="T16" i="137"/>
  <c r="Y22" i="91"/>
  <c r="W43" i="105" s="1"/>
  <c r="AL40" i="91"/>
  <c r="AJ90" i="105" s="1"/>
  <c r="U190" i="135"/>
  <c r="N71" i="138"/>
  <c r="V28" i="105"/>
  <c r="U74" i="135"/>
  <c r="U197" i="135" s="1"/>
  <c r="AK7" i="91"/>
  <c r="AI33" i="105" s="1"/>
  <c r="AK7" i="144"/>
  <c r="V26" i="105"/>
  <c r="U72" i="135"/>
  <c r="U159" i="135" s="1"/>
  <c r="U15" i="135"/>
  <c r="U16" i="135" s="1"/>
  <c r="U112" i="135"/>
  <c r="U34" i="135"/>
  <c r="U35" i="135" s="1"/>
  <c r="U115" i="135"/>
  <c r="V24" i="105"/>
  <c r="U70" i="135"/>
  <c r="N47" i="138"/>
  <c r="U113" i="135"/>
  <c r="U22" i="135"/>
  <c r="U23" i="135" s="1"/>
  <c r="U171" i="135"/>
  <c r="AI20" i="105"/>
  <c r="U5" i="135"/>
  <c r="U166" i="135" s="1"/>
  <c r="V27" i="105"/>
  <c r="U73" i="135"/>
  <c r="U178" i="135" s="1"/>
  <c r="U151" i="135"/>
  <c r="U153" i="135" s="1"/>
  <c r="U27" i="135"/>
  <c r="U28" i="135" s="1"/>
  <c r="AI19" i="105"/>
  <c r="U4" i="135"/>
  <c r="U148" i="135" s="1"/>
  <c r="U110" i="135"/>
  <c r="BL82" i="105"/>
  <c r="AX24" i="135"/>
  <c r="AX151" i="135" s="1"/>
  <c r="AJ151" i="135"/>
  <c r="AX10" i="135"/>
  <c r="AX112" i="135" s="1"/>
  <c r="AJ112" i="135"/>
  <c r="T186" i="135"/>
  <c r="AJ14" i="135"/>
  <c r="T132" i="135"/>
  <c r="AJ18" i="135"/>
  <c r="AX29" i="135"/>
  <c r="AX115" i="135" s="1"/>
  <c r="AJ115" i="135"/>
  <c r="T187" i="135"/>
  <c r="AJ21" i="135"/>
  <c r="T185" i="135"/>
  <c r="AJ6" i="135"/>
  <c r="T149" i="135"/>
  <c r="AJ12" i="135"/>
  <c r="AX17" i="135"/>
  <c r="AX113" i="135" s="1"/>
  <c r="AJ113" i="135"/>
  <c r="T152" i="135"/>
  <c r="AJ31" i="135"/>
  <c r="T168" i="135"/>
  <c r="AJ20" i="135"/>
  <c r="T150" i="135"/>
  <c r="AJ19" i="135"/>
  <c r="AX3" i="135"/>
  <c r="AJ130" i="135"/>
  <c r="T170" i="135"/>
  <c r="AJ32" i="135"/>
  <c r="T131" i="135"/>
  <c r="AJ11" i="135"/>
  <c r="T169" i="135"/>
  <c r="AJ25" i="135"/>
  <c r="T189" i="135"/>
  <c r="AJ33" i="135"/>
  <c r="T167" i="135"/>
  <c r="AJ13" i="135"/>
  <c r="T188" i="135"/>
  <c r="AJ26" i="135"/>
  <c r="AJ7" i="91"/>
  <c r="AH33" i="105" s="1"/>
  <c r="AL33" i="105" s="1"/>
  <c r="AM33" i="105" s="1"/>
  <c r="AJ7" i="144"/>
  <c r="X35" i="105"/>
  <c r="BA183" i="135"/>
  <c r="BA41" i="135"/>
  <c r="BA172" i="135" s="1"/>
  <c r="BA67" i="135"/>
  <c r="BA176" i="135" s="1"/>
  <c r="BA61" i="135"/>
  <c r="BA175" i="135" s="1"/>
  <c r="T34" i="135"/>
  <c r="T35" i="135" s="1"/>
  <c r="T115" i="135"/>
  <c r="K5" i="85"/>
  <c r="BA146" i="135"/>
  <c r="BA65" i="135"/>
  <c r="BA39" i="135"/>
  <c r="BA136" i="135" s="1"/>
  <c r="Z8" i="142"/>
  <c r="Z8" i="90"/>
  <c r="X13" i="105" s="1"/>
  <c r="T22" i="135"/>
  <c r="T23" i="135" s="1"/>
  <c r="T113" i="135"/>
  <c r="BA60" i="135"/>
  <c r="BA156" i="135" s="1"/>
  <c r="BA66" i="135"/>
  <c r="BA157" i="135" s="1"/>
  <c r="X18" i="105"/>
  <c r="W3" i="135" s="1"/>
  <c r="W130" i="135" s="1"/>
  <c r="K36" i="138"/>
  <c r="K37" i="138" s="1"/>
  <c r="N34" i="138"/>
  <c r="N36" i="138" s="1"/>
  <c r="N37" i="138" s="1"/>
  <c r="X20" i="105"/>
  <c r="W5" i="135" s="1"/>
  <c r="W166" i="135" s="1"/>
  <c r="BA202" i="135"/>
  <c r="BA42" i="135"/>
  <c r="BA191" i="135" s="1"/>
  <c r="BA62" i="135"/>
  <c r="BA194" i="135" s="1"/>
  <c r="BA68" i="135"/>
  <c r="BA195" i="135" s="1"/>
  <c r="BA64" i="135"/>
  <c r="BA121" i="135" s="1"/>
  <c r="BA38" i="135"/>
  <c r="BA117" i="135" s="1"/>
  <c r="BA58" i="135"/>
  <c r="BA120" i="135" s="1"/>
  <c r="BA128" i="135"/>
  <c r="X21" i="105"/>
  <c r="W6" i="135" s="1"/>
  <c r="W185" i="135" s="1"/>
  <c r="T110" i="135"/>
  <c r="U28" i="105"/>
  <c r="T74" i="135"/>
  <c r="T197" i="135" s="1"/>
  <c r="U24" i="105"/>
  <c r="T70" i="135"/>
  <c r="K60" i="138"/>
  <c r="N58" i="138"/>
  <c r="N60" i="138" s="1"/>
  <c r="N61" i="138" s="1"/>
  <c r="AH20" i="105"/>
  <c r="T5" i="135"/>
  <c r="T166" i="135" s="1"/>
  <c r="BK83" i="105"/>
  <c r="T27" i="135"/>
  <c r="T28" i="135" s="1"/>
  <c r="T151" i="135"/>
  <c r="U22" i="105"/>
  <c r="U3" i="120" s="1"/>
  <c r="Y3" i="120" s="1"/>
  <c r="U26" i="105"/>
  <c r="T72" i="135"/>
  <c r="T159" i="135" s="1"/>
  <c r="U27" i="105"/>
  <c r="T73" i="135"/>
  <c r="T178" i="135" s="1"/>
  <c r="T15" i="135"/>
  <c r="T16" i="135" s="1"/>
  <c r="T112" i="135"/>
  <c r="N23" i="138"/>
  <c r="AG93" i="105"/>
  <c r="AI87" i="135" s="1"/>
  <c r="AM102" i="135"/>
  <c r="BA102" i="135" s="1"/>
  <c r="AM103" i="135"/>
  <c r="BA103" i="135" s="1"/>
  <c r="X6" i="135"/>
  <c r="I185" i="135"/>
  <c r="M150" i="135"/>
  <c r="P57" i="135"/>
  <c r="M57" i="135"/>
  <c r="S56" i="135"/>
  <c r="J56" i="135"/>
  <c r="N56" i="135"/>
  <c r="N57" i="135"/>
  <c r="L56" i="135"/>
  <c r="J57" i="135"/>
  <c r="S57" i="135"/>
  <c r="Q56" i="135"/>
  <c r="AM104" i="135"/>
  <c r="BA104" i="135" s="1"/>
  <c r="AO53" i="135"/>
  <c r="AO193" i="135" s="1"/>
  <c r="AM53" i="135"/>
  <c r="BA53" i="135" s="1"/>
  <c r="BA193" i="135" s="1"/>
  <c r="AM100" i="135"/>
  <c r="BA100" i="135" s="1"/>
  <c r="AM101" i="135"/>
  <c r="BA101" i="135" s="1"/>
  <c r="AM47" i="135"/>
  <c r="BA47" i="135" s="1"/>
  <c r="AM51" i="135"/>
  <c r="BA51" i="135" s="1"/>
  <c r="BA174" i="135" s="1"/>
  <c r="AC17" i="135"/>
  <c r="AC113" i="135" s="1"/>
  <c r="N150" i="135"/>
  <c r="K22" i="135"/>
  <c r="Y119" i="135"/>
  <c r="AR49" i="135"/>
  <c r="AR155" i="135" s="1"/>
  <c r="Z180" i="135"/>
  <c r="O22" i="135"/>
  <c r="K113" i="135"/>
  <c r="AD54" i="135"/>
  <c r="M22" i="135"/>
  <c r="P22" i="135"/>
  <c r="AF138" i="135"/>
  <c r="AT138" i="135" s="1"/>
  <c r="L150" i="135"/>
  <c r="P150" i="135"/>
  <c r="AI26" i="135"/>
  <c r="AI188" i="135" s="1"/>
  <c r="S131" i="135"/>
  <c r="AI11" i="135"/>
  <c r="AI6" i="135"/>
  <c r="AI185" i="135" s="1"/>
  <c r="S115" i="135"/>
  <c r="AI29" i="135"/>
  <c r="AW49" i="135"/>
  <c r="AW155" i="135" s="1"/>
  <c r="AI155" i="135"/>
  <c r="N22" i="135"/>
  <c r="AI14" i="135"/>
  <c r="AI186" i="135" s="1"/>
  <c r="S149" i="135"/>
  <c r="AI12" i="135"/>
  <c r="S167" i="135"/>
  <c r="AI13" i="135"/>
  <c r="S111" i="135"/>
  <c r="AI9" i="135"/>
  <c r="AI33" i="135"/>
  <c r="AI189" i="135" s="1"/>
  <c r="S132" i="135"/>
  <c r="AI18" i="135"/>
  <c r="S170" i="135"/>
  <c r="AI32" i="135"/>
  <c r="AW51" i="135"/>
  <c r="AW174" i="135" s="1"/>
  <c r="AI174" i="135"/>
  <c r="AI21" i="135"/>
  <c r="AI187" i="135" s="1"/>
  <c r="S168" i="135"/>
  <c r="AI20" i="135"/>
  <c r="AW53" i="135"/>
  <c r="AW193" i="135" s="1"/>
  <c r="S169" i="135"/>
  <c r="AI25" i="135"/>
  <c r="AW45" i="135"/>
  <c r="AW119" i="135" s="1"/>
  <c r="AI54" i="135"/>
  <c r="AI119" i="135"/>
  <c r="Q22" i="135"/>
  <c r="S150" i="135"/>
  <c r="AI19" i="135"/>
  <c r="AW3" i="135"/>
  <c r="AI130" i="135"/>
  <c r="S152" i="135"/>
  <c r="AI31" i="135"/>
  <c r="S112" i="135"/>
  <c r="AI10" i="135"/>
  <c r="S151" i="135"/>
  <c r="AI24" i="135"/>
  <c r="S113" i="135"/>
  <c r="AI17" i="135"/>
  <c r="AW47" i="135"/>
  <c r="AI138" i="135"/>
  <c r="AW138" i="135" s="1"/>
  <c r="AG98" i="105"/>
  <c r="AI92" i="135" s="1"/>
  <c r="X19" i="105"/>
  <c r="AD22" i="105"/>
  <c r="W52" i="135"/>
  <c r="W192" i="135" s="1"/>
  <c r="W48" i="135"/>
  <c r="W154" i="135" s="1"/>
  <c r="W49" i="135"/>
  <c r="W155" i="135" s="1"/>
  <c r="W50" i="135"/>
  <c r="W173" i="135" s="1"/>
  <c r="AI7" i="91"/>
  <c r="AI7" i="144"/>
  <c r="AT5" i="82"/>
  <c r="S72" i="135"/>
  <c r="S159" i="135" s="1"/>
  <c r="S73" i="135"/>
  <c r="S178" i="135" s="1"/>
  <c r="AI41" i="139"/>
  <c r="AI36" i="139"/>
  <c r="AI30" i="139"/>
  <c r="V22" i="139"/>
  <c r="AI22" i="139" s="1"/>
  <c r="AI38" i="139"/>
  <c r="W17" i="135"/>
  <c r="W113" i="135" s="1"/>
  <c r="W9" i="135"/>
  <c r="W111" i="135" s="1"/>
  <c r="S74" i="135"/>
  <c r="S197" i="135" s="1"/>
  <c r="S7" i="135"/>
  <c r="AA63" i="144"/>
  <c r="AA64" i="144" s="1"/>
  <c r="V122" i="8"/>
  <c r="W21" i="135"/>
  <c r="W187" i="135" s="1"/>
  <c r="W26" i="135"/>
  <c r="W188" i="135" s="1"/>
  <c r="S15" i="135"/>
  <c r="V150" i="8"/>
  <c r="W25" i="135"/>
  <c r="W169" i="135" s="1"/>
  <c r="W20" i="135"/>
  <c r="W168" i="135" s="1"/>
  <c r="S22" i="135"/>
  <c r="S34" i="135"/>
  <c r="W24" i="135"/>
  <c r="W151" i="135" s="1"/>
  <c r="W19" i="135"/>
  <c r="W150" i="135" s="1"/>
  <c r="W18" i="135"/>
  <c r="W132" i="135" s="1"/>
  <c r="W11" i="135"/>
  <c r="W131" i="135" s="1"/>
  <c r="S70" i="135"/>
  <c r="S123" i="135" s="1"/>
  <c r="S27" i="135"/>
  <c r="M24" i="138"/>
  <c r="M25" i="138" s="1"/>
  <c r="AA11" i="95"/>
  <c r="AA9" i="95"/>
  <c r="J10" i="141"/>
  <c r="L22" i="135"/>
  <c r="G34" i="138"/>
  <c r="G36" i="138" s="1"/>
  <c r="G37" i="138" s="1"/>
  <c r="L45" i="105"/>
  <c r="K13" i="120" s="1"/>
  <c r="P113" i="135"/>
  <c r="AB30" i="91"/>
  <c r="Z97" i="105" s="1"/>
  <c r="AB91" i="135" s="1"/>
  <c r="AP91" i="135" s="1"/>
  <c r="AP181" i="135" s="1"/>
  <c r="J16" i="137"/>
  <c r="C58" i="138"/>
  <c r="C60" i="138" s="1"/>
  <c r="C61" i="138" s="1"/>
  <c r="AQ45" i="135"/>
  <c r="AQ119" i="135" s="1"/>
  <c r="L11" i="138"/>
  <c r="S57" i="137" s="1"/>
  <c r="AD69" i="102"/>
  <c r="AN69" i="102" s="1"/>
  <c r="AB37" i="91"/>
  <c r="Z5" i="85"/>
  <c r="R183" i="8"/>
  <c r="I8" i="137"/>
  <c r="I9" i="137" s="1"/>
  <c r="AB40" i="91"/>
  <c r="L116" i="135"/>
  <c r="O45" i="105"/>
  <c r="N13" i="120" s="1"/>
  <c r="AG6" i="135"/>
  <c r="AG185" i="135" s="1"/>
  <c r="AF6" i="135"/>
  <c r="AF185" i="135" s="1"/>
  <c r="M45" i="105"/>
  <c r="L13" i="120" s="1"/>
  <c r="O30" i="139"/>
  <c r="AB30" i="139" s="1"/>
  <c r="O31" i="139"/>
  <c r="AJ73" i="102"/>
  <c r="AI29" i="144"/>
  <c r="AF181" i="135"/>
  <c r="AT91" i="135"/>
  <c r="AT181" i="135" s="1"/>
  <c r="AO18" i="90"/>
  <c r="AD31" i="135"/>
  <c r="N152" i="135"/>
  <c r="AG11" i="135"/>
  <c r="Q131" i="135"/>
  <c r="AC12" i="135"/>
  <c r="M149" i="135"/>
  <c r="AB11" i="135"/>
  <c r="L131" i="135"/>
  <c r="AF12" i="135"/>
  <c r="P149" i="135"/>
  <c r="AN51" i="135"/>
  <c r="AN174" i="135" s="1"/>
  <c r="Z174" i="135"/>
  <c r="Y25" i="135"/>
  <c r="Y169" i="135" s="1"/>
  <c r="J169" i="135"/>
  <c r="L27" i="135"/>
  <c r="AB25" i="135"/>
  <c r="L169" i="135"/>
  <c r="Q115" i="135"/>
  <c r="Q34" i="135"/>
  <c r="AG29" i="135"/>
  <c r="AB14" i="135"/>
  <c r="AB186" i="135" s="1"/>
  <c r="AA18" i="135"/>
  <c r="K132" i="135"/>
  <c r="AA32" i="135"/>
  <c r="K170" i="135"/>
  <c r="AE14" i="135"/>
  <c r="AE186" i="135" s="1"/>
  <c r="AE26" i="135"/>
  <c r="AE188" i="135" s="1"/>
  <c r="AE25" i="135"/>
  <c r="O169" i="135"/>
  <c r="AC21" i="135"/>
  <c r="AC187" i="135" s="1"/>
  <c r="AD33" i="135"/>
  <c r="AD189" i="135" s="1"/>
  <c r="N41" i="139"/>
  <c r="T45" i="105"/>
  <c r="T13" i="120" s="1"/>
  <c r="AF13" i="135"/>
  <c r="P167" i="135"/>
  <c r="Q123" i="135"/>
  <c r="S45" i="105"/>
  <c r="S13" i="120" s="1"/>
  <c r="AK33" i="82"/>
  <c r="X42" i="82"/>
  <c r="AR85" i="135"/>
  <c r="AR199" i="135" s="1"/>
  <c r="AG94" i="135"/>
  <c r="AE94" i="135"/>
  <c r="AD181" i="135"/>
  <c r="AR91" i="135"/>
  <c r="AR181" i="135" s="1"/>
  <c r="AG143" i="135"/>
  <c r="AU143" i="135" s="1"/>
  <c r="AU82" i="135"/>
  <c r="AO18" i="142"/>
  <c r="AT53" i="135"/>
  <c r="AT193" i="135" s="1"/>
  <c r="AD18" i="135"/>
  <c r="N132" i="135"/>
  <c r="AC18" i="135"/>
  <c r="M132" i="135"/>
  <c r="AB12" i="135"/>
  <c r="L149" i="135"/>
  <c r="AF18" i="135"/>
  <c r="P132" i="135"/>
  <c r="AN67" i="135"/>
  <c r="AN176" i="135" s="1"/>
  <c r="Z176" i="135"/>
  <c r="Y32" i="135"/>
  <c r="Y170" i="135" s="1"/>
  <c r="J170" i="135"/>
  <c r="AB13" i="135"/>
  <c r="L167" i="135"/>
  <c r="Z33" i="135"/>
  <c r="Z189" i="135" s="1"/>
  <c r="AG10" i="135"/>
  <c r="Q112" i="135"/>
  <c r="Q15" i="135"/>
  <c r="AG9" i="135"/>
  <c r="Q111" i="135"/>
  <c r="AB33" i="135"/>
  <c r="AB189" i="135" s="1"/>
  <c r="AG26" i="135"/>
  <c r="AG188" i="135" s="1"/>
  <c r="AA13" i="135"/>
  <c r="K167" i="135"/>
  <c r="AA21" i="135"/>
  <c r="AA187" i="135" s="1"/>
  <c r="AE105" i="135"/>
  <c r="AS105" i="135" s="1"/>
  <c r="AC10" i="135"/>
  <c r="M112" i="135"/>
  <c r="M15" i="135"/>
  <c r="AE21" i="135"/>
  <c r="AE187" i="135" s="1"/>
  <c r="AE20" i="135"/>
  <c r="O168" i="135"/>
  <c r="AC33" i="135"/>
  <c r="AC189" i="135" s="1"/>
  <c r="AA10" i="135"/>
  <c r="K15" i="135"/>
  <c r="K112" i="135"/>
  <c r="N31" i="139"/>
  <c r="N34" i="135"/>
  <c r="N115" i="135"/>
  <c r="AD29" i="135"/>
  <c r="AL40" i="144"/>
  <c r="AL30" i="144"/>
  <c r="Y22" i="144"/>
  <c r="AL22" i="144" s="1"/>
  <c r="AL37" i="144"/>
  <c r="AL38" i="144"/>
  <c r="Z26" i="135"/>
  <c r="Z188" i="135" s="1"/>
  <c r="AF32" i="135"/>
  <c r="P170" i="135"/>
  <c r="AS43" i="135"/>
  <c r="AS69" i="135"/>
  <c r="AS63" i="135"/>
  <c r="AR43" i="135"/>
  <c r="AR63" i="135"/>
  <c r="AR69" i="135"/>
  <c r="AF94" i="135"/>
  <c r="P3" i="135"/>
  <c r="AG97" i="135"/>
  <c r="AI73" i="102"/>
  <c r="AI12" i="102" s="1"/>
  <c r="AH29" i="144"/>
  <c r="O6" i="90"/>
  <c r="L72" i="135" s="1"/>
  <c r="L159" i="135" s="1"/>
  <c r="M27" i="135"/>
  <c r="AC24" i="135"/>
  <c r="M151" i="135"/>
  <c r="AB18" i="135"/>
  <c r="AP18" i="135" s="1"/>
  <c r="L132" i="135"/>
  <c r="AF31" i="135"/>
  <c r="P152" i="135"/>
  <c r="AN61" i="135"/>
  <c r="AN175" i="135" s="1"/>
  <c r="Z175" i="135"/>
  <c r="X13" i="135"/>
  <c r="I167" i="135"/>
  <c r="AF26" i="135"/>
  <c r="AF188" i="135" s="1"/>
  <c r="O22" i="144"/>
  <c r="AB22" i="144" s="1"/>
  <c r="AB38" i="144"/>
  <c r="AB30" i="144"/>
  <c r="AB37" i="144"/>
  <c r="AB40" i="144"/>
  <c r="AB26" i="135"/>
  <c r="AB188" i="135" s="1"/>
  <c r="AG14" i="135"/>
  <c r="AG186" i="135" s="1"/>
  <c r="AA25" i="135"/>
  <c r="K169" i="135"/>
  <c r="AE12" i="135"/>
  <c r="O149" i="135"/>
  <c r="AB112" i="135"/>
  <c r="AP10" i="135"/>
  <c r="AP112" i="135" s="1"/>
  <c r="AA14" i="135"/>
  <c r="AA186" i="135" s="1"/>
  <c r="AE32" i="135"/>
  <c r="O170" i="135"/>
  <c r="AC14" i="135"/>
  <c r="AC186" i="135" s="1"/>
  <c r="AA9" i="135"/>
  <c r="K111" i="135"/>
  <c r="AC32" i="135"/>
  <c r="M170" i="135"/>
  <c r="N40" i="139"/>
  <c r="AF20" i="135"/>
  <c r="P168" i="135"/>
  <c r="AT43" i="135"/>
  <c r="AT63" i="135"/>
  <c r="AT69" i="135"/>
  <c r="Q3" i="135"/>
  <c r="P74" i="135"/>
  <c r="P197" i="135" s="1"/>
  <c r="M6" i="135"/>
  <c r="M185" i="135" s="1"/>
  <c r="AL73" i="102"/>
  <c r="AK29" i="144"/>
  <c r="AK73" i="102"/>
  <c r="AJ29" i="144"/>
  <c r="R185" i="8"/>
  <c r="AB29" i="144"/>
  <c r="K23" i="141"/>
  <c r="P42" i="82"/>
  <c r="AU91" i="135"/>
  <c r="AU181" i="135" s="1"/>
  <c r="AG181" i="135"/>
  <c r="AD24" i="135"/>
  <c r="N151" i="135"/>
  <c r="AG12" i="135"/>
  <c r="Q149" i="135"/>
  <c r="AC11" i="135"/>
  <c r="M131" i="135"/>
  <c r="AB31" i="135"/>
  <c r="L152" i="135"/>
  <c r="AF11" i="135"/>
  <c r="P131" i="135"/>
  <c r="AN97" i="135"/>
  <c r="AN182" i="135" s="1"/>
  <c r="Z182" i="135"/>
  <c r="X32" i="135"/>
  <c r="I170" i="135"/>
  <c r="W22" i="144"/>
  <c r="AJ22" i="144" s="1"/>
  <c r="AJ40" i="144"/>
  <c r="AJ38" i="144"/>
  <c r="AJ30" i="144"/>
  <c r="AJ37" i="144"/>
  <c r="AF30" i="85"/>
  <c r="AF24" i="85"/>
  <c r="AD88" i="105" s="1"/>
  <c r="AF82" i="135" s="1"/>
  <c r="AF35" i="85"/>
  <c r="AF29" i="85"/>
  <c r="AD94" i="105" s="1"/>
  <c r="AF88" i="135" s="1"/>
  <c r="AF34" i="85"/>
  <c r="AF21" i="135"/>
  <c r="AF187" i="135" s="1"/>
  <c r="N130" i="135"/>
  <c r="AD3" i="135"/>
  <c r="AA11" i="135"/>
  <c r="K131" i="135"/>
  <c r="AG21" i="135"/>
  <c r="AG187" i="135" s="1"/>
  <c r="AF105" i="135"/>
  <c r="AT105" i="135" s="1"/>
  <c r="AA37" i="144"/>
  <c r="AA40" i="144"/>
  <c r="N22" i="144"/>
  <c r="AA22" i="144" s="1"/>
  <c r="AA30" i="144"/>
  <c r="Z5" i="144"/>
  <c r="Z22" i="144" s="1"/>
  <c r="AA38" i="144"/>
  <c r="AE18" i="135"/>
  <c r="O132" i="135"/>
  <c r="AA33" i="135"/>
  <c r="AA189" i="135" s="1"/>
  <c r="O115" i="135"/>
  <c r="AE29" i="135"/>
  <c r="AC9" i="135"/>
  <c r="AQ9" i="135" s="1"/>
  <c r="M111" i="135"/>
  <c r="P73" i="135"/>
  <c r="P178" i="135" s="1"/>
  <c r="AE40" i="144"/>
  <c r="AE30" i="144"/>
  <c r="R22" i="144"/>
  <c r="AE22" i="144" s="1"/>
  <c r="AE38" i="144"/>
  <c r="AE37" i="144"/>
  <c r="AC26" i="135"/>
  <c r="AC188" i="135" s="1"/>
  <c r="AH38" i="144"/>
  <c r="AH30" i="144"/>
  <c r="AH37" i="144"/>
  <c r="U22" i="144"/>
  <c r="AH22" i="144" s="1"/>
  <c r="AH40" i="144"/>
  <c r="K34" i="135"/>
  <c r="K115" i="135"/>
  <c r="AA29" i="135"/>
  <c r="AC25" i="135"/>
  <c r="M169" i="135"/>
  <c r="N112" i="135"/>
  <c r="AD10" i="135"/>
  <c r="N15" i="135"/>
  <c r="AD9" i="135"/>
  <c r="N111" i="135"/>
  <c r="AG20" i="135"/>
  <c r="Q168" i="135"/>
  <c r="AF25" i="135"/>
  <c r="P169" i="135"/>
  <c r="AF201" i="135"/>
  <c r="AT98" i="135"/>
  <c r="AT201" i="135" s="1"/>
  <c r="AD144" i="135"/>
  <c r="AR144" i="135" s="1"/>
  <c r="AR88" i="135"/>
  <c r="R45" i="105"/>
  <c r="R13" i="120" s="1"/>
  <c r="T41" i="92"/>
  <c r="T40" i="92"/>
  <c r="T40" i="139" s="1"/>
  <c r="Q45" i="105"/>
  <c r="P13" i="120" s="1"/>
  <c r="S22" i="92"/>
  <c r="S41" i="139"/>
  <c r="AF41" i="139" s="1"/>
  <c r="S39" i="139"/>
  <c r="Z39" i="139" s="1"/>
  <c r="S38" i="139"/>
  <c r="S37" i="139"/>
  <c r="Z37" i="139" s="1"/>
  <c r="S30" i="139"/>
  <c r="AF30" i="139" s="1"/>
  <c r="S40" i="139"/>
  <c r="S36" i="139"/>
  <c r="S31" i="139"/>
  <c r="AR79" i="135"/>
  <c r="AR198" i="135" s="1"/>
  <c r="AH73" i="102"/>
  <c r="AG29" i="144"/>
  <c r="AD180" i="135"/>
  <c r="AR84" i="135"/>
  <c r="AR180" i="135" s="1"/>
  <c r="AU84" i="135"/>
  <c r="AU180" i="135" s="1"/>
  <c r="AG180" i="135"/>
  <c r="Q74" i="135"/>
  <c r="Q197" i="135" s="1"/>
  <c r="Z21" i="135"/>
  <c r="Z187" i="135" s="1"/>
  <c r="AG18" i="135"/>
  <c r="Q132" i="135"/>
  <c r="P27" i="135"/>
  <c r="AF24" i="135"/>
  <c r="P151" i="135"/>
  <c r="AN41" i="135"/>
  <c r="AN172" i="135" s="1"/>
  <c r="Z172" i="135"/>
  <c r="AD20" i="135"/>
  <c r="N168" i="135"/>
  <c r="AF14" i="135"/>
  <c r="AF186" i="135" s="1"/>
  <c r="AA31" i="135"/>
  <c r="K152" i="135"/>
  <c r="AG33" i="135"/>
  <c r="AG189" i="135" s="1"/>
  <c r="AU47" i="135"/>
  <c r="AG138" i="135"/>
  <c r="AU138" i="135" s="1"/>
  <c r="AE11" i="135"/>
  <c r="O131" i="135"/>
  <c r="L15" i="135"/>
  <c r="AA26" i="135"/>
  <c r="AA188" i="135" s="1"/>
  <c r="M34" i="135"/>
  <c r="M115" i="135"/>
  <c r="AC29" i="135"/>
  <c r="AC20" i="135"/>
  <c r="AC168" i="135" s="1"/>
  <c r="M168" i="135"/>
  <c r="X22" i="144"/>
  <c r="AK22" i="144" s="1"/>
  <c r="AK37" i="144"/>
  <c r="AK38" i="144"/>
  <c r="AK30" i="144"/>
  <c r="AK40" i="144"/>
  <c r="AG13" i="135"/>
  <c r="Q167" i="135"/>
  <c r="AF38" i="144"/>
  <c r="AF40" i="144"/>
  <c r="AF30" i="144"/>
  <c r="AF37" i="144"/>
  <c r="S22" i="144"/>
  <c r="AF22" i="144" s="1"/>
  <c r="AD6" i="135"/>
  <c r="AD185" i="135" s="1"/>
  <c r="AF73" i="102"/>
  <c r="AE29" i="144"/>
  <c r="AG95" i="135"/>
  <c r="AG31" i="135"/>
  <c r="Q152" i="135"/>
  <c r="AC31" i="135"/>
  <c r="M152" i="135"/>
  <c r="AD25" i="135"/>
  <c r="N169" i="135"/>
  <c r="AF33" i="135"/>
  <c r="AF189" i="135" s="1"/>
  <c r="AB115" i="135"/>
  <c r="AP29" i="135"/>
  <c r="AP115" i="135" s="1"/>
  <c r="AG105" i="135"/>
  <c r="AU105" i="135" s="1"/>
  <c r="AA24" i="135"/>
  <c r="K27" i="135"/>
  <c r="K151" i="135"/>
  <c r="P34" i="135"/>
  <c r="P115" i="135"/>
  <c r="AF29" i="135"/>
  <c r="AI37" i="144"/>
  <c r="AI38" i="144"/>
  <c r="AI40" i="144"/>
  <c r="AI30" i="144"/>
  <c r="V22" i="144"/>
  <c r="AI22" i="144" s="1"/>
  <c r="O34" i="135"/>
  <c r="AE31" i="135"/>
  <c r="O152" i="135"/>
  <c r="Z14" i="135"/>
  <c r="Z186" i="135" s="1"/>
  <c r="O112" i="135"/>
  <c r="O15" i="135"/>
  <c r="AE10" i="135"/>
  <c r="AE9" i="135"/>
  <c r="O111" i="135"/>
  <c r="AD21" i="135"/>
  <c r="AD187" i="135" s="1"/>
  <c r="AC13" i="135"/>
  <c r="M167" i="135"/>
  <c r="AR53" i="135"/>
  <c r="AR193" i="135" s="1"/>
  <c r="AE34" i="85"/>
  <c r="AE29" i="85"/>
  <c r="AC94" i="105" s="1"/>
  <c r="AE88" i="135" s="1"/>
  <c r="AE35" i="85"/>
  <c r="AE30" i="85"/>
  <c r="AE26" i="85"/>
  <c r="AE24" i="85"/>
  <c r="AC88" i="105" s="1"/>
  <c r="AE82" i="135" s="1"/>
  <c r="AG32" i="135"/>
  <c r="Q170" i="135"/>
  <c r="S22" i="91"/>
  <c r="Q43" i="105" s="1"/>
  <c r="AF37" i="91"/>
  <c r="AD94" i="135"/>
  <c r="AU43" i="135"/>
  <c r="AU69" i="135"/>
  <c r="AU63" i="135"/>
  <c r="AD97" i="135"/>
  <c r="R31" i="139"/>
  <c r="R40" i="139"/>
  <c r="R30" i="139"/>
  <c r="AE30" i="139" s="1"/>
  <c r="R41" i="139"/>
  <c r="AE41" i="139" s="1"/>
  <c r="P45" i="105"/>
  <c r="O13" i="120" s="1"/>
  <c r="AG73" i="102"/>
  <c r="AF29" i="144"/>
  <c r="AD12" i="135"/>
  <c r="N149" i="135"/>
  <c r="O130" i="135"/>
  <c r="AE3" i="135"/>
  <c r="AG19" i="135"/>
  <c r="Q150" i="135"/>
  <c r="AB24" i="135"/>
  <c r="L151" i="135"/>
  <c r="X25" i="135"/>
  <c r="I169" i="135"/>
  <c r="AD13" i="135"/>
  <c r="N167" i="135"/>
  <c r="AD32" i="135"/>
  <c r="N170" i="135"/>
  <c r="AB32" i="135"/>
  <c r="L170" i="135"/>
  <c r="AD174" i="135"/>
  <c r="AR51" i="135"/>
  <c r="AR174" i="135" s="1"/>
  <c r="P112" i="135"/>
  <c r="AF10" i="135"/>
  <c r="P15" i="135"/>
  <c r="AF9" i="135"/>
  <c r="P111" i="135"/>
  <c r="O27" i="135"/>
  <c r="AE24" i="135"/>
  <c r="O151" i="135"/>
  <c r="AQ51" i="135"/>
  <c r="AQ174" i="135" s="1"/>
  <c r="AC174" i="135"/>
  <c r="AM174" i="135" s="1"/>
  <c r="N27" i="135"/>
  <c r="AD26" i="135"/>
  <c r="AD188" i="135" s="1"/>
  <c r="P22" i="144"/>
  <c r="AC22" i="144" s="1"/>
  <c r="AC38" i="144"/>
  <c r="AC30" i="144"/>
  <c r="AC40" i="144"/>
  <c r="AC37" i="144"/>
  <c r="AO6" i="139"/>
  <c r="AG25" i="135"/>
  <c r="Q169" i="135"/>
  <c r="I18" i="137"/>
  <c r="I19" i="137" s="1"/>
  <c r="N42" i="82"/>
  <c r="AU78" i="135"/>
  <c r="AU179" i="135" s="1"/>
  <c r="AG179" i="135"/>
  <c r="V45" i="105"/>
  <c r="V13" i="120" s="1"/>
  <c r="O6" i="135"/>
  <c r="O185" i="135" s="1"/>
  <c r="K71" i="141"/>
  <c r="N45" i="105"/>
  <c r="M13" i="120" s="1"/>
  <c r="P31" i="139"/>
  <c r="P30" i="139"/>
  <c r="AC30" i="139" s="1"/>
  <c r="P40" i="139"/>
  <c r="P41" i="139"/>
  <c r="AC41" i="139" s="1"/>
  <c r="AQ91" i="135"/>
  <c r="AQ181" i="135" s="1"/>
  <c r="AC181" i="135"/>
  <c r="AG28" i="90"/>
  <c r="T16" i="85"/>
  <c r="AD138" i="135"/>
  <c r="AR138" i="135" s="1"/>
  <c r="AR47" i="135"/>
  <c r="AD11" i="135"/>
  <c r="N131" i="135"/>
  <c r="AG24" i="135"/>
  <c r="Q151" i="135"/>
  <c r="Q27" i="135"/>
  <c r="AG29" i="85"/>
  <c r="AE94" i="105" s="1"/>
  <c r="AG88" i="135" s="1"/>
  <c r="AG30" i="85"/>
  <c r="X20" i="135"/>
  <c r="I168" i="135"/>
  <c r="AD40" i="144"/>
  <c r="Q22" i="144"/>
  <c r="AD22" i="144" s="1"/>
  <c r="AD37" i="144"/>
  <c r="AD38" i="144"/>
  <c r="AD30" i="144"/>
  <c r="AB20" i="135"/>
  <c r="AB168" i="135" s="1"/>
  <c r="L168" i="135"/>
  <c r="L34" i="135"/>
  <c r="AB21" i="135"/>
  <c r="AA12" i="135"/>
  <c r="K149" i="135"/>
  <c r="AA20" i="135"/>
  <c r="K168" i="135"/>
  <c r="AE33" i="135"/>
  <c r="AE189" i="135" s="1"/>
  <c r="AE13" i="135"/>
  <c r="O167" i="135"/>
  <c r="AD14" i="135"/>
  <c r="AD186" i="135" s="1"/>
  <c r="AD105" i="135"/>
  <c r="AR105" i="135" s="1"/>
  <c r="AG38" i="144"/>
  <c r="T22" i="144"/>
  <c r="AG22" i="144" s="1"/>
  <c r="AG40" i="144"/>
  <c r="AG30" i="144"/>
  <c r="AG37" i="144"/>
  <c r="U92" i="8"/>
  <c r="U149" i="8"/>
  <c r="AH7" i="90"/>
  <c r="AH7" i="142"/>
  <c r="U13" i="8"/>
  <c r="U98" i="8"/>
  <c r="K5" i="92"/>
  <c r="K5" i="91"/>
  <c r="K22" i="91" s="1"/>
  <c r="K5" i="90"/>
  <c r="K16" i="85" s="1"/>
  <c r="AU81" i="135"/>
  <c r="AU125" i="135" s="1"/>
  <c r="AG125" i="135"/>
  <c r="AD126" i="135"/>
  <c r="AR87" i="135"/>
  <c r="AR126" i="135" s="1"/>
  <c r="AF119" i="135"/>
  <c r="AT45" i="135"/>
  <c r="AT119" i="135" s="1"/>
  <c r="Q57" i="135"/>
  <c r="AG113" i="135"/>
  <c r="AU17" i="135"/>
  <c r="AU113" i="135" s="1"/>
  <c r="AT81" i="135"/>
  <c r="AT125" i="135" s="1"/>
  <c r="AF125" i="135"/>
  <c r="AE126" i="135"/>
  <c r="AS87" i="135"/>
  <c r="AS126" i="135" s="1"/>
  <c r="Q23" i="135"/>
  <c r="AD119" i="135"/>
  <c r="AR45" i="135"/>
  <c r="AR119" i="135" s="1"/>
  <c r="AE119" i="135"/>
  <c r="AS45" i="135"/>
  <c r="AS119" i="135" s="1"/>
  <c r="AE125" i="135"/>
  <c r="AS81" i="135"/>
  <c r="AS125" i="135" s="1"/>
  <c r="AF126" i="135"/>
  <c r="AT87" i="135"/>
  <c r="AT126" i="135" s="1"/>
  <c r="N7" i="135"/>
  <c r="F24" i="138"/>
  <c r="F25" i="138" s="1"/>
  <c r="AT17" i="135"/>
  <c r="AT113" i="135" s="1"/>
  <c r="AF113" i="135"/>
  <c r="E23" i="135"/>
  <c r="K119" i="135"/>
  <c r="AA45" i="135"/>
  <c r="AM45" i="135" s="1"/>
  <c r="BA45" i="135" s="1"/>
  <c r="BA119" i="135" s="1"/>
  <c r="AD113" i="135"/>
  <c r="AR17" i="135"/>
  <c r="AR113" i="135" s="1"/>
  <c r="Q110" i="135"/>
  <c r="AU87" i="135"/>
  <c r="AU126" i="135" s="1"/>
  <c r="AG126" i="135"/>
  <c r="AF54" i="135"/>
  <c r="AT55" i="135" s="1"/>
  <c r="AE113" i="135"/>
  <c r="AS17" i="135"/>
  <c r="AS113" i="135" s="1"/>
  <c r="AG119" i="135"/>
  <c r="AG54" i="135"/>
  <c r="AU45" i="135"/>
  <c r="AU119" i="135" s="1"/>
  <c r="Z79" i="135"/>
  <c r="Y79" i="135"/>
  <c r="Y198" i="135" s="1"/>
  <c r="Z85" i="135"/>
  <c r="Y85" i="135"/>
  <c r="Y199" i="135" s="1"/>
  <c r="Y14" i="135"/>
  <c r="Y186" i="135" s="1"/>
  <c r="Y21" i="135"/>
  <c r="Y187" i="135" s="1"/>
  <c r="Z78" i="135"/>
  <c r="AN78" i="135" s="1"/>
  <c r="Y78" i="135"/>
  <c r="Z91" i="135"/>
  <c r="AN91" i="135" s="1"/>
  <c r="Y91" i="135"/>
  <c r="Y13" i="135"/>
  <c r="J167" i="135"/>
  <c r="Y20" i="135"/>
  <c r="Y168" i="135" s="1"/>
  <c r="J168" i="135"/>
  <c r="Y77" i="135"/>
  <c r="Y83" i="135"/>
  <c r="Y161" i="135" s="1"/>
  <c r="Y89" i="135"/>
  <c r="Y162" i="135" s="1"/>
  <c r="Z82" i="135"/>
  <c r="AN82" i="135" s="1"/>
  <c r="AN143" i="135" s="1"/>
  <c r="Y82" i="135"/>
  <c r="Z88" i="135"/>
  <c r="AN88" i="135" s="1"/>
  <c r="AN144" i="135" s="1"/>
  <c r="Y88" i="135"/>
  <c r="Y87" i="135"/>
  <c r="Y126" i="135" s="1"/>
  <c r="Y81" i="135"/>
  <c r="Y125" i="135" s="1"/>
  <c r="Y76" i="135"/>
  <c r="Y124" i="135" s="1"/>
  <c r="AD36" i="69"/>
  <c r="AG7" i="90"/>
  <c r="AG7" i="142"/>
  <c r="H24" i="138"/>
  <c r="H25" i="138" s="1"/>
  <c r="L148" i="135"/>
  <c r="L7" i="135"/>
  <c r="AQ19" i="135"/>
  <c r="AQ150" i="135" s="1"/>
  <c r="AR55" i="135"/>
  <c r="K148" i="135"/>
  <c r="K7" i="135"/>
  <c r="T16" i="90"/>
  <c r="AG26" i="90"/>
  <c r="AE83" i="105" s="1"/>
  <c r="AG77" i="135" s="1"/>
  <c r="J47" i="141"/>
  <c r="J49" i="141" s="1"/>
  <c r="J50" i="141" s="1"/>
  <c r="AB25" i="90"/>
  <c r="N159" i="135"/>
  <c r="N75" i="135"/>
  <c r="AS55" i="135"/>
  <c r="AG30" i="90"/>
  <c r="AG37" i="90"/>
  <c r="L75" i="135"/>
  <c r="M148" i="135"/>
  <c r="K55" i="135"/>
  <c r="K155" i="135"/>
  <c r="AA49" i="135"/>
  <c r="AM49" i="135" s="1"/>
  <c r="BA49" i="135" s="1"/>
  <c r="BA155" i="135" s="1"/>
  <c r="AF150" i="135"/>
  <c r="AT19" i="135"/>
  <c r="K75" i="135"/>
  <c r="K159" i="135"/>
  <c r="M48" i="138"/>
  <c r="M49" i="138" s="1"/>
  <c r="AC24" i="90"/>
  <c r="AA95" i="105" s="1"/>
  <c r="AC89" i="135" s="1"/>
  <c r="AC162" i="135" s="1"/>
  <c r="AQ162" i="135" s="1"/>
  <c r="AC25" i="90"/>
  <c r="AA96" i="105" s="1"/>
  <c r="AC90" i="135" s="1"/>
  <c r="AQ90" i="135" s="1"/>
  <c r="AG38" i="90"/>
  <c r="AG25" i="90"/>
  <c r="AE96" i="105" s="1"/>
  <c r="AG90" i="135" s="1"/>
  <c r="AD150" i="135"/>
  <c r="AR19" i="135"/>
  <c r="AS19" i="135"/>
  <c r="AE150" i="135"/>
  <c r="K54" i="135"/>
  <c r="K154" i="135"/>
  <c r="BG82" i="105"/>
  <c r="P4" i="135"/>
  <c r="U16" i="90"/>
  <c r="S42" i="105" s="1"/>
  <c r="AH25" i="90"/>
  <c r="AF96" i="105" s="1"/>
  <c r="AH90" i="135" s="1"/>
  <c r="Y90" i="135"/>
  <c r="Y163" i="135" s="1"/>
  <c r="AI28" i="90"/>
  <c r="AG89" i="105" s="1"/>
  <c r="AI83" i="135" s="1"/>
  <c r="AI86" i="135" s="1"/>
  <c r="AW86" i="135" s="1"/>
  <c r="AI25" i="90"/>
  <c r="P72" i="135"/>
  <c r="AD28" i="90"/>
  <c r="AB89" i="105" s="1"/>
  <c r="AD83" i="135" s="1"/>
  <c r="AD25" i="90"/>
  <c r="Q16" i="90"/>
  <c r="O42" i="105" s="1"/>
  <c r="O159" i="135"/>
  <c r="O75" i="135"/>
  <c r="AO19" i="142"/>
  <c r="AF21" i="82"/>
  <c r="AF33" i="90"/>
  <c r="AF25" i="90"/>
  <c r="AD96" i="105" s="1"/>
  <c r="AF90" i="135" s="1"/>
  <c r="AE26" i="90"/>
  <c r="AE25" i="90"/>
  <c r="AD95" i="135"/>
  <c r="AF35" i="69"/>
  <c r="AL25" i="102"/>
  <c r="Y99" i="135"/>
  <c r="AN145" i="135"/>
  <c r="Y145" i="135"/>
  <c r="B37" i="138"/>
  <c r="AB98" i="105"/>
  <c r="AD92" i="135" s="1"/>
  <c r="AD7" i="90"/>
  <c r="AD7" i="142"/>
  <c r="E24" i="138"/>
  <c r="E25" i="138" s="1"/>
  <c r="X4" i="120"/>
  <c r="X7" i="120" s="1"/>
  <c r="K77" i="105"/>
  <c r="AC38" i="90"/>
  <c r="AC96" i="135" s="1"/>
  <c r="AC33" i="90"/>
  <c r="AE37" i="90"/>
  <c r="AC26" i="90"/>
  <c r="AC96" i="105"/>
  <c r="AE90" i="135" s="1"/>
  <c r="AC30" i="90"/>
  <c r="P16" i="85"/>
  <c r="AE38" i="90"/>
  <c r="AC37" i="90"/>
  <c r="AC31" i="90"/>
  <c r="K47" i="141"/>
  <c r="K49" i="141" s="1"/>
  <c r="K50" i="141" s="1"/>
  <c r="AC28" i="90"/>
  <c r="AA89" i="105" s="1"/>
  <c r="AC83" i="135" s="1"/>
  <c r="AE30" i="90"/>
  <c r="AE32" i="90"/>
  <c r="AC32" i="90"/>
  <c r="AE28" i="90"/>
  <c r="AC89" i="105" s="1"/>
  <c r="AE83" i="135" s="1"/>
  <c r="K15" i="137"/>
  <c r="K14" i="137"/>
  <c r="U17" i="120"/>
  <c r="P16" i="90"/>
  <c r="N42" i="105" s="1"/>
  <c r="AC34" i="90"/>
  <c r="D46" i="138"/>
  <c r="D48" i="138" s="1"/>
  <c r="D49" i="138" s="1"/>
  <c r="P6" i="90"/>
  <c r="H61" i="138"/>
  <c r="J11" i="138"/>
  <c r="Q57" i="137" s="1"/>
  <c r="H36" i="138"/>
  <c r="H37" i="138" s="1"/>
  <c r="B11" i="138"/>
  <c r="I57" i="137" s="1"/>
  <c r="O61" i="141"/>
  <c r="O62" i="141" s="1"/>
  <c r="Q10" i="141"/>
  <c r="AC54" i="135"/>
  <c r="U124" i="8"/>
  <c r="J61" i="141"/>
  <c r="J62" i="141" s="1"/>
  <c r="T110" i="8"/>
  <c r="J61" i="138"/>
  <c r="P8" i="137"/>
  <c r="P9" i="137" s="1"/>
  <c r="AC24" i="102"/>
  <c r="O16" i="85"/>
  <c r="J14" i="137"/>
  <c r="M8" i="137"/>
  <c r="M9" i="137" s="1"/>
  <c r="I10" i="141"/>
  <c r="E11" i="138"/>
  <c r="L57" i="137" s="1"/>
  <c r="X162" i="135"/>
  <c r="Z162" i="135" s="1"/>
  <c r="I6" i="138"/>
  <c r="P51" i="137"/>
  <c r="P52" i="137" s="1"/>
  <c r="AD33" i="142"/>
  <c r="AD34" i="142"/>
  <c r="AD30" i="142"/>
  <c r="AD28" i="142"/>
  <c r="AD26" i="142"/>
  <c r="AD25" i="142"/>
  <c r="AD32" i="142"/>
  <c r="AD24" i="142"/>
  <c r="AD38" i="142"/>
  <c r="AD31" i="142"/>
  <c r="AD37" i="142"/>
  <c r="Q16" i="142"/>
  <c r="AD16" i="142" s="1"/>
  <c r="AH26" i="90"/>
  <c r="AF83" i="105" s="1"/>
  <c r="AH77" i="135" s="1"/>
  <c r="K59" i="141"/>
  <c r="K61" i="141" s="1"/>
  <c r="K62" i="141" s="1"/>
  <c r="P22" i="91"/>
  <c r="AC37" i="91"/>
  <c r="L25" i="141"/>
  <c r="L26" i="141" s="1"/>
  <c r="S9" i="137"/>
  <c r="Y43" i="135"/>
  <c r="Y172" i="135"/>
  <c r="AJ37" i="142"/>
  <c r="W16" i="142"/>
  <c r="AJ16" i="142" s="1"/>
  <c r="AJ31" i="142"/>
  <c r="AJ34" i="142"/>
  <c r="AJ26" i="142"/>
  <c r="AJ30" i="142"/>
  <c r="AJ32" i="142"/>
  <c r="AJ28" i="142"/>
  <c r="AJ38" i="142"/>
  <c r="AJ33" i="142"/>
  <c r="AJ25" i="142"/>
  <c r="AJ24" i="142"/>
  <c r="AJ58" i="90"/>
  <c r="AK58" i="90" s="1"/>
  <c r="P132" i="8"/>
  <c r="O132" i="8"/>
  <c r="P23" i="141"/>
  <c r="AH24" i="82"/>
  <c r="AH31" i="82"/>
  <c r="I22" i="138"/>
  <c r="P13" i="137"/>
  <c r="AB34" i="90"/>
  <c r="AB30" i="90"/>
  <c r="P71" i="141"/>
  <c r="P73" i="141" s="1"/>
  <c r="P74" i="141" s="1"/>
  <c r="I70" i="138"/>
  <c r="I72" i="138" s="1"/>
  <c r="I73" i="138" s="1"/>
  <c r="P18" i="137"/>
  <c r="P19" i="137" s="1"/>
  <c r="P17" i="137"/>
  <c r="BC83" i="105"/>
  <c r="BN83" i="105" s="1"/>
  <c r="BK84" i="105"/>
  <c r="BL84" i="105"/>
  <c r="V61" i="130"/>
  <c r="K73" i="141"/>
  <c r="K74" i="141" s="1"/>
  <c r="AJ35" i="102"/>
  <c r="AI21" i="142"/>
  <c r="AB35" i="102"/>
  <c r="AA21" i="142"/>
  <c r="AA95" i="135"/>
  <c r="AA163" i="135"/>
  <c r="AO90" i="135"/>
  <c r="AH28" i="90"/>
  <c r="AF89" i="105" s="1"/>
  <c r="AH83" i="135" s="1"/>
  <c r="AB28" i="90"/>
  <c r="L61" i="138"/>
  <c r="C24" i="138"/>
  <c r="C25" i="138" s="1"/>
  <c r="J15" i="137"/>
  <c r="E72" i="138"/>
  <c r="E73" i="138" s="1"/>
  <c r="AC29" i="85"/>
  <c r="AA94" i="105" s="1"/>
  <c r="AC88" i="135" s="1"/>
  <c r="AC30" i="85"/>
  <c r="AC34" i="85"/>
  <c r="I4" i="141"/>
  <c r="I43" i="141"/>
  <c r="AL38" i="139"/>
  <c r="AL36" i="139"/>
  <c r="AL41" i="139"/>
  <c r="AL30" i="139"/>
  <c r="Y22" i="139"/>
  <c r="AL22" i="139" s="1"/>
  <c r="G24" i="138"/>
  <c r="G25" i="138" s="1"/>
  <c r="O8" i="137"/>
  <c r="O9" i="137" s="1"/>
  <c r="O37" i="141"/>
  <c r="O38" i="141" s="1"/>
  <c r="T9" i="137"/>
  <c r="AE33" i="142"/>
  <c r="AE28" i="142"/>
  <c r="AE30" i="142"/>
  <c r="R16" i="142"/>
  <c r="AE16" i="142" s="1"/>
  <c r="AE25" i="142"/>
  <c r="AE24" i="142"/>
  <c r="AE31" i="142"/>
  <c r="AE26" i="142"/>
  <c r="AE37" i="142"/>
  <c r="AE32" i="142"/>
  <c r="AE34" i="142"/>
  <c r="AE38" i="142"/>
  <c r="R47" i="141"/>
  <c r="R49" i="141" s="1"/>
  <c r="R50" i="141" s="1"/>
  <c r="AJ24" i="90"/>
  <c r="AH95" i="105" s="1"/>
  <c r="AJ89" i="135" s="1"/>
  <c r="K46" i="138"/>
  <c r="AJ33" i="90"/>
  <c r="AJ38" i="90"/>
  <c r="W16" i="85"/>
  <c r="AH96" i="105"/>
  <c r="AJ90" i="135" s="1"/>
  <c r="R14" i="137"/>
  <c r="AJ37" i="90"/>
  <c r="R15" i="137"/>
  <c r="AJ32" i="90"/>
  <c r="Z21" i="69"/>
  <c r="AA21" i="69" s="1"/>
  <c r="AA18" i="69"/>
  <c r="G6" i="138"/>
  <c r="N51" i="137"/>
  <c r="N52" i="137" s="1"/>
  <c r="Q47" i="141"/>
  <c r="Q49" i="141" s="1"/>
  <c r="Q50" i="141" s="1"/>
  <c r="AI24" i="90"/>
  <c r="AG95" i="105" s="1"/>
  <c r="AI89" i="135" s="1"/>
  <c r="J46" i="138"/>
  <c r="J10" i="138" s="1"/>
  <c r="Q56" i="137" s="1"/>
  <c r="AI34" i="90"/>
  <c r="AI30" i="90"/>
  <c r="AI37" i="90"/>
  <c r="AI32" i="90"/>
  <c r="AI31" i="90"/>
  <c r="AG96" i="105"/>
  <c r="AI90" i="135" s="1"/>
  <c r="Q15" i="137"/>
  <c r="AI38" i="90"/>
  <c r="Q14" i="137"/>
  <c r="AI33" i="90"/>
  <c r="V16" i="85"/>
  <c r="AF31" i="90"/>
  <c r="N47" i="141"/>
  <c r="N49" i="141" s="1"/>
  <c r="N50" i="141" s="1"/>
  <c r="AF24" i="90"/>
  <c r="G46" i="138"/>
  <c r="S16" i="85"/>
  <c r="N14" i="137"/>
  <c r="N15" i="137"/>
  <c r="BC84" i="105"/>
  <c r="Z5" i="90"/>
  <c r="Z16" i="85" s="1"/>
  <c r="K132" i="8"/>
  <c r="AF9" i="85" s="1"/>
  <c r="AG29" i="91"/>
  <c r="O223" i="8"/>
  <c r="S71" i="141"/>
  <c r="S73" i="141" s="1"/>
  <c r="S74" i="141" s="1"/>
  <c r="L70" i="138"/>
  <c r="L72" i="138" s="1"/>
  <c r="L73" i="138" s="1"/>
  <c r="S18" i="137"/>
  <c r="S19" i="137" s="1"/>
  <c r="S17" i="137"/>
  <c r="K9" i="92"/>
  <c r="K9" i="139"/>
  <c r="J71" i="141"/>
  <c r="J73" i="141" s="1"/>
  <c r="J74" i="141" s="1"/>
  <c r="O41" i="92"/>
  <c r="O40" i="92"/>
  <c r="O22" i="92"/>
  <c r="J18" i="137"/>
  <c r="J19" i="137" s="1"/>
  <c r="AO19" i="90"/>
  <c r="AF35" i="102"/>
  <c r="AE21" i="142"/>
  <c r="AG35" i="102"/>
  <c r="AF21" i="142"/>
  <c r="AI26" i="90"/>
  <c r="AG83" i="105" s="1"/>
  <c r="AI77" i="135" s="1"/>
  <c r="AO91" i="135"/>
  <c r="AO181" i="135" s="1"/>
  <c r="AA181" i="135"/>
  <c r="J6" i="138"/>
  <c r="Q51" i="137"/>
  <c r="Q52" i="137" s="1"/>
  <c r="E6" i="138"/>
  <c r="L51" i="137"/>
  <c r="L52" i="137" s="1"/>
  <c r="L6" i="138"/>
  <c r="S51" i="137"/>
  <c r="S52" i="137" s="1"/>
  <c r="C46" i="138"/>
  <c r="C48" i="138" s="1"/>
  <c r="C49" i="138" s="1"/>
  <c r="D11" i="138"/>
  <c r="K57" i="137" s="1"/>
  <c r="L73" i="141"/>
  <c r="L74" i="141" s="1"/>
  <c r="T71" i="141"/>
  <c r="T73" i="141" s="1"/>
  <c r="T74" i="141" s="1"/>
  <c r="M70" i="138"/>
  <c r="M10" i="138" s="1"/>
  <c r="T17" i="137"/>
  <c r="T18" i="137"/>
  <c r="T19" i="137" s="1"/>
  <c r="AL41" i="92"/>
  <c r="C34" i="138"/>
  <c r="C36" i="138" s="1"/>
  <c r="C37" i="138" s="1"/>
  <c r="J35" i="141"/>
  <c r="J37" i="141" s="1"/>
  <c r="J38" i="141" s="1"/>
  <c r="AB35" i="85"/>
  <c r="AB30" i="85"/>
  <c r="AB34" i="85"/>
  <c r="AB26" i="85"/>
  <c r="AB29" i="85"/>
  <c r="Z94" i="105" s="1"/>
  <c r="AB88" i="135" s="1"/>
  <c r="AJ41" i="139"/>
  <c r="W22" i="139"/>
  <c r="AJ22" i="139" s="1"/>
  <c r="AJ30" i="139"/>
  <c r="AJ36" i="139"/>
  <c r="AJ38" i="139"/>
  <c r="K24" i="138"/>
  <c r="K25" i="138" s="1"/>
  <c r="AA38" i="142"/>
  <c r="AA33" i="142"/>
  <c r="AA25" i="142"/>
  <c r="N16" i="142"/>
  <c r="AA16" i="142" s="1"/>
  <c r="Z5" i="142"/>
  <c r="Z16" i="142" s="1"/>
  <c r="AA32" i="142"/>
  <c r="AA34" i="142"/>
  <c r="AA30" i="142"/>
  <c r="AA37" i="142"/>
  <c r="AA31" i="142"/>
  <c r="AA26" i="142"/>
  <c r="AA24" i="142"/>
  <c r="AA28" i="142"/>
  <c r="S10" i="141"/>
  <c r="M47" i="141"/>
  <c r="M49" i="141" s="1"/>
  <c r="M50" i="141" s="1"/>
  <c r="AE24" i="90"/>
  <c r="AC95" i="105" s="1"/>
  <c r="AE89" i="135" s="1"/>
  <c r="F46" i="138"/>
  <c r="F48" i="138" s="1"/>
  <c r="F49" i="138" s="1"/>
  <c r="M14" i="137"/>
  <c r="AE33" i="90"/>
  <c r="R16" i="85"/>
  <c r="AE34" i="90"/>
  <c r="M15" i="137"/>
  <c r="AE31" i="90"/>
  <c r="AP94" i="135"/>
  <c r="AP127" i="135" s="1"/>
  <c r="AB127" i="135"/>
  <c r="M11" i="138"/>
  <c r="T57" i="137" s="1"/>
  <c r="B72" i="138"/>
  <c r="B73" i="138" s="1"/>
  <c r="AQ78" i="135"/>
  <c r="AQ179" i="135" s="1"/>
  <c r="P47" i="141"/>
  <c r="P49" i="141" s="1"/>
  <c r="P50" i="141" s="1"/>
  <c r="AH24" i="90"/>
  <c r="AF95" i="105" s="1"/>
  <c r="AH89" i="135" s="1"/>
  <c r="I46" i="138"/>
  <c r="I48" i="138" s="1"/>
  <c r="I49" i="138" s="1"/>
  <c r="AH31" i="90"/>
  <c r="P15" i="137"/>
  <c r="AH38" i="90"/>
  <c r="AH33" i="90"/>
  <c r="P14" i="137"/>
  <c r="AH37" i="90"/>
  <c r="U16" i="85"/>
  <c r="AH32" i="90"/>
  <c r="AH30" i="90"/>
  <c r="AH34" i="90"/>
  <c r="O47" i="141"/>
  <c r="O49" i="141" s="1"/>
  <c r="O50" i="141" s="1"/>
  <c r="AG24" i="90"/>
  <c r="AE95" i="105" s="1"/>
  <c r="AG89" i="135" s="1"/>
  <c r="H46" i="138"/>
  <c r="O14" i="137"/>
  <c r="AG32" i="90"/>
  <c r="O15" i="137"/>
  <c r="AG31" i="90"/>
  <c r="AA96" i="135"/>
  <c r="I132" i="8"/>
  <c r="AE6" i="102"/>
  <c r="M59" i="141"/>
  <c r="M61" i="141" s="1"/>
  <c r="M62" i="141" s="1"/>
  <c r="R22" i="91"/>
  <c r="AF37" i="90"/>
  <c r="AB31" i="90"/>
  <c r="BJ84" i="105"/>
  <c r="N71" i="141"/>
  <c r="N73" i="141" s="1"/>
  <c r="N74" i="141" s="1"/>
  <c r="G70" i="138"/>
  <c r="G72" i="138" s="1"/>
  <c r="G73" i="138" s="1"/>
  <c r="N18" i="137"/>
  <c r="N19" i="137" s="1"/>
  <c r="N17" i="137"/>
  <c r="AD35" i="102"/>
  <c r="AC21" i="142"/>
  <c r="AL21" i="90"/>
  <c r="AL21" i="142"/>
  <c r="AC40" i="91"/>
  <c r="AO89" i="135"/>
  <c r="AA162" i="135"/>
  <c r="T42" i="105"/>
  <c r="C6" i="138"/>
  <c r="J51" i="137"/>
  <c r="J52" i="137" s="1"/>
  <c r="K37" i="141"/>
  <c r="K38" i="141" s="1"/>
  <c r="M25" i="141"/>
  <c r="M26" i="141" s="1"/>
  <c r="AK44" i="139"/>
  <c r="J24" i="138"/>
  <c r="J25" i="138" s="1"/>
  <c r="L8" i="137"/>
  <c r="L9" i="137" s="1"/>
  <c r="Y56" i="135"/>
  <c r="I47" i="141"/>
  <c r="I49" i="141" s="1"/>
  <c r="B46" i="138"/>
  <c r="B48" i="138" s="1"/>
  <c r="B49" i="138" s="1"/>
  <c r="I15" i="137"/>
  <c r="I14" i="137"/>
  <c r="N16" i="85"/>
  <c r="O10" i="141"/>
  <c r="T10" i="141"/>
  <c r="J25" i="141"/>
  <c r="J26" i="141" s="1"/>
  <c r="AG30" i="142"/>
  <c r="AG34" i="142"/>
  <c r="AG28" i="142"/>
  <c r="AG25" i="142"/>
  <c r="AG31" i="142"/>
  <c r="T16" i="142"/>
  <c r="AG16" i="142" s="1"/>
  <c r="AG33" i="142"/>
  <c r="AG26" i="142"/>
  <c r="AG24" i="142"/>
  <c r="AG37" i="142"/>
  <c r="AG32" i="142"/>
  <c r="AG38" i="142"/>
  <c r="AF38" i="90"/>
  <c r="AH35" i="102"/>
  <c r="AH10" i="102" s="1"/>
  <c r="AG21" i="142"/>
  <c r="L47" i="141"/>
  <c r="L49" i="141" s="1"/>
  <c r="L50" i="141" s="1"/>
  <c r="AD24" i="90"/>
  <c r="AB95" i="105" s="1"/>
  <c r="AD89" i="135" s="1"/>
  <c r="E46" i="138"/>
  <c r="L15" i="137"/>
  <c r="Q16" i="85"/>
  <c r="AD37" i="90"/>
  <c r="AD32" i="90"/>
  <c r="AB96" i="105"/>
  <c r="AD90" i="135" s="1"/>
  <c r="AD31" i="90"/>
  <c r="AD34" i="90"/>
  <c r="AD30" i="90"/>
  <c r="AD38" i="90"/>
  <c r="L14" i="137"/>
  <c r="AD33" i="90"/>
  <c r="AF34" i="90"/>
  <c r="Z96" i="105"/>
  <c r="AB90" i="135" s="1"/>
  <c r="AB32" i="90"/>
  <c r="BI84" i="105"/>
  <c r="T186" i="8"/>
  <c r="T187" i="8" s="1"/>
  <c r="T169" i="8" s="1"/>
  <c r="K75" i="102"/>
  <c r="K14" i="102" s="1"/>
  <c r="AC35" i="102"/>
  <c r="AC10" i="102" s="1"/>
  <c r="AB21" i="142"/>
  <c r="AD26" i="90"/>
  <c r="AB83" i="105" s="1"/>
  <c r="AD77" i="135" s="1"/>
  <c r="K16" i="137"/>
  <c r="H6" i="138"/>
  <c r="O51" i="137"/>
  <c r="O52" i="137" s="1"/>
  <c r="M6" i="138"/>
  <c r="T51" i="137"/>
  <c r="T52" i="137" s="1"/>
  <c r="D36" i="138"/>
  <c r="D37" i="138" s="1"/>
  <c r="T9" i="141"/>
  <c r="T25" i="141"/>
  <c r="T26" i="141" s="1"/>
  <c r="N25" i="141"/>
  <c r="N26" i="141" s="1"/>
  <c r="N9" i="141"/>
  <c r="J72" i="138"/>
  <c r="J73" i="138" s="1"/>
  <c r="AC34" i="142"/>
  <c r="P16" i="142"/>
  <c r="AC16" i="142" s="1"/>
  <c r="AC30" i="142"/>
  <c r="AC26" i="142"/>
  <c r="AC31" i="142"/>
  <c r="AC33" i="142"/>
  <c r="AC37" i="142"/>
  <c r="AC24" i="142"/>
  <c r="AC28" i="142"/>
  <c r="AC32" i="142"/>
  <c r="AC25" i="142"/>
  <c r="AC38" i="142"/>
  <c r="AB37" i="142"/>
  <c r="AB26" i="142"/>
  <c r="AB28" i="142"/>
  <c r="AB38" i="142"/>
  <c r="AB31" i="142"/>
  <c r="AB30" i="142"/>
  <c r="AB34" i="142"/>
  <c r="AB32" i="142"/>
  <c r="AB25" i="142"/>
  <c r="AB33" i="142"/>
  <c r="AB24" i="142"/>
  <c r="O16" i="142"/>
  <c r="AB16" i="142" s="1"/>
  <c r="AK34" i="142"/>
  <c r="AK30" i="142"/>
  <c r="AK26" i="142"/>
  <c r="AK31" i="142"/>
  <c r="AK33" i="142"/>
  <c r="X16" i="142"/>
  <c r="AK16" i="142" s="1"/>
  <c r="AK38" i="142"/>
  <c r="AK37" i="142"/>
  <c r="AK28" i="142"/>
  <c r="AK24" i="142"/>
  <c r="AK25" i="142"/>
  <c r="AK32" i="142"/>
  <c r="L10" i="141"/>
  <c r="AB54" i="135"/>
  <c r="AB119" i="135"/>
  <c r="AP45" i="135"/>
  <c r="AP119" i="135" s="1"/>
  <c r="AC105" i="135"/>
  <c r="AQ105" i="135" s="1"/>
  <c r="N8" i="137"/>
  <c r="N9" i="137" s="1"/>
  <c r="AA38" i="139"/>
  <c r="N22" i="139"/>
  <c r="AA22" i="139" s="1"/>
  <c r="AA36" i="139"/>
  <c r="AA30" i="139"/>
  <c r="Q18" i="137"/>
  <c r="Q19" i="137" s="1"/>
  <c r="S23" i="141"/>
  <c r="AK24" i="82"/>
  <c r="AK31" i="82"/>
  <c r="N22" i="138"/>
  <c r="S13" i="137"/>
  <c r="AQ43" i="135"/>
  <c r="AQ63" i="135"/>
  <c r="AQ69" i="135"/>
  <c r="AA97" i="135"/>
  <c r="AF30" i="90"/>
  <c r="AF32" i="90"/>
  <c r="I23" i="141"/>
  <c r="AA24" i="82"/>
  <c r="Q132" i="8"/>
  <c r="L132" i="8"/>
  <c r="AJ103" i="105"/>
  <c r="AG34" i="90"/>
  <c r="AB37" i="90"/>
  <c r="AB125" i="135"/>
  <c r="AP81" i="135"/>
  <c r="AP125" i="135" s="1"/>
  <c r="O71" i="141"/>
  <c r="O73" i="141" s="1"/>
  <c r="O74" i="141" s="1"/>
  <c r="H70" i="138"/>
  <c r="H72" i="138" s="1"/>
  <c r="H73" i="138" s="1"/>
  <c r="O18" i="137"/>
  <c r="O19" i="137" s="1"/>
  <c r="O17" i="137"/>
  <c r="BG84" i="105"/>
  <c r="BE84" i="105"/>
  <c r="AF28" i="90"/>
  <c r="K6" i="138"/>
  <c r="R51" i="137"/>
  <c r="R52" i="137" s="1"/>
  <c r="L18" i="137"/>
  <c r="L19" i="137" s="1"/>
  <c r="Q73" i="141"/>
  <c r="Q74" i="141" s="1"/>
  <c r="O25" i="141"/>
  <c r="O26" i="141" s="1"/>
  <c r="R25" i="141"/>
  <c r="R26" i="141" s="1"/>
  <c r="S47" i="141"/>
  <c r="S49" i="141" s="1"/>
  <c r="S50" i="141" s="1"/>
  <c r="AK24" i="90"/>
  <c r="AI95" i="105" s="1"/>
  <c r="L48" i="138"/>
  <c r="L49" i="138" s="1"/>
  <c r="AK31" i="90"/>
  <c r="AI96" i="105"/>
  <c r="AK37" i="90"/>
  <c r="S15" i="137"/>
  <c r="X16" i="85"/>
  <c r="AK32" i="90"/>
  <c r="S14" i="137"/>
  <c r="AK34" i="90"/>
  <c r="AK38" i="90"/>
  <c r="AK33" i="90"/>
  <c r="Q61" i="141"/>
  <c r="Q62" i="141" s="1"/>
  <c r="I73" i="141"/>
  <c r="I74" i="141" s="1"/>
  <c r="BH84" i="105"/>
  <c r="AI35" i="102"/>
  <c r="AH21" i="142"/>
  <c r="AA98" i="135"/>
  <c r="R71" i="141"/>
  <c r="R73" i="141" s="1"/>
  <c r="R74" i="141" s="1"/>
  <c r="K70" i="138"/>
  <c r="R17" i="137"/>
  <c r="R18" i="137"/>
  <c r="R19" i="137" s="1"/>
  <c r="AK21" i="90"/>
  <c r="AK21" i="142"/>
  <c r="AC94" i="135"/>
  <c r="AC127" i="135" s="1"/>
  <c r="AB97" i="135"/>
  <c r="K22" i="92"/>
  <c r="G132" i="8"/>
  <c r="AB9" i="85" s="1"/>
  <c r="AO88" i="135"/>
  <c r="AA144" i="135"/>
  <c r="AB38" i="90"/>
  <c r="AG33" i="90"/>
  <c r="M71" i="141"/>
  <c r="M73" i="141" s="1"/>
  <c r="M74" i="141" s="1"/>
  <c r="F70" i="138"/>
  <c r="F72" i="138" s="1"/>
  <c r="F73" i="138" s="1"/>
  <c r="M17" i="137"/>
  <c r="M18" i="137"/>
  <c r="M19" i="137" s="1"/>
  <c r="AP82" i="135"/>
  <c r="AB143" i="135"/>
  <c r="AP143" i="135" s="1"/>
  <c r="AJ21" i="90"/>
  <c r="AJ21" i="142"/>
  <c r="AF26" i="90"/>
  <c r="AD83" i="105" s="1"/>
  <c r="AF77" i="135" s="1"/>
  <c r="F6" i="138"/>
  <c r="M51" i="137"/>
  <c r="M52" i="137" s="1"/>
  <c r="F11" i="138"/>
  <c r="M57" i="137" s="1"/>
  <c r="H11" i="138"/>
  <c r="O57" i="137" s="1"/>
  <c r="AH38" i="142"/>
  <c r="AH25" i="142"/>
  <c r="AH24" i="142"/>
  <c r="AH33" i="142"/>
  <c r="AH30" i="142"/>
  <c r="AH31" i="142"/>
  <c r="AH28" i="142"/>
  <c r="AH37" i="142"/>
  <c r="AH34" i="142"/>
  <c r="AH32" i="142"/>
  <c r="AH26" i="142"/>
  <c r="U16" i="142"/>
  <c r="AH16" i="142" s="1"/>
  <c r="AI38" i="142"/>
  <c r="V16" i="142"/>
  <c r="AI16" i="142" s="1"/>
  <c r="AI32" i="142"/>
  <c r="AI33" i="142"/>
  <c r="AI25" i="142"/>
  <c r="AI37" i="142"/>
  <c r="AI24" i="142"/>
  <c r="AI34" i="142"/>
  <c r="AI26" i="142"/>
  <c r="AI30" i="142"/>
  <c r="AI31" i="142"/>
  <c r="AI28" i="142"/>
  <c r="N10" i="141"/>
  <c r="Q25" i="141"/>
  <c r="Q26" i="141" s="1"/>
  <c r="R8" i="137"/>
  <c r="R9" i="137" s="1"/>
  <c r="AP49" i="135"/>
  <c r="AP155" i="135" s="1"/>
  <c r="AB155" i="135"/>
  <c r="Q8" i="137"/>
  <c r="Q9" i="137" s="1"/>
  <c r="AF32" i="142"/>
  <c r="S16" i="142"/>
  <c r="AF16" i="142" s="1"/>
  <c r="AF24" i="142"/>
  <c r="AF38" i="142"/>
  <c r="AF30" i="142"/>
  <c r="AF34" i="142"/>
  <c r="AF28" i="142"/>
  <c r="AF26" i="142"/>
  <c r="AF25" i="142"/>
  <c r="AF31" i="142"/>
  <c r="AF33" i="142"/>
  <c r="AF37" i="142"/>
  <c r="L77" i="105"/>
  <c r="AO17" i="135"/>
  <c r="U77" i="105"/>
  <c r="AP19" i="135"/>
  <c r="AP150" i="135" s="1"/>
  <c r="O77" i="105"/>
  <c r="AP9" i="135"/>
  <c r="AB111" i="135"/>
  <c r="N77" i="105"/>
  <c r="W77" i="105"/>
  <c r="R77" i="105"/>
  <c r="AB113" i="135"/>
  <c r="AP17" i="135"/>
  <c r="AP113" i="135" s="1"/>
  <c r="V77" i="105"/>
  <c r="F76" i="105"/>
  <c r="D8" i="120"/>
  <c r="T77" i="105"/>
  <c r="Q77" i="105"/>
  <c r="S77" i="105"/>
  <c r="Q40" i="105"/>
  <c r="P15" i="120" s="1"/>
  <c r="AF15" i="82"/>
  <c r="P77" i="105"/>
  <c r="K9" i="141"/>
  <c r="K25" i="141"/>
  <c r="K26" i="141" s="1"/>
  <c r="D60" i="138"/>
  <c r="D61" i="138" s="1"/>
  <c r="K10" i="141"/>
  <c r="AD25" i="102"/>
  <c r="T149" i="8"/>
  <c r="D6" i="138"/>
  <c r="K51" i="137"/>
  <c r="K52" i="137" s="1"/>
  <c r="U3" i="137"/>
  <c r="Z8" i="82"/>
  <c r="X5" i="105" s="1"/>
  <c r="U6" i="137"/>
  <c r="Z9" i="91"/>
  <c r="X14" i="105" s="1"/>
  <c r="U4" i="137"/>
  <c r="Z9" i="85"/>
  <c r="X12" i="105" s="1"/>
  <c r="BD84" i="105"/>
  <c r="Z9" i="139"/>
  <c r="Z9" i="92"/>
  <c r="X15" i="105" s="1"/>
  <c r="AC24" i="82"/>
  <c r="AC31" i="82"/>
  <c r="D22" i="138"/>
  <c r="D24" i="138" s="1"/>
  <c r="K13" i="137"/>
  <c r="BD83" i="105"/>
  <c r="K8" i="137"/>
  <c r="K9" i="137" s="1"/>
  <c r="K18" i="137"/>
  <c r="K19" i="137" s="1"/>
  <c r="D70" i="138"/>
  <c r="D72" i="138" s="1"/>
  <c r="D73" i="138" s="1"/>
  <c r="K17" i="137"/>
  <c r="AP76" i="135"/>
  <c r="AP124" i="135" s="1"/>
  <c r="AB124" i="135"/>
  <c r="D148" i="8"/>
  <c r="AK8" i="105" s="1"/>
  <c r="AK10" i="105" s="1"/>
  <c r="U5" i="137"/>
  <c r="AP43" i="135"/>
  <c r="AP69" i="135"/>
  <c r="AP63" i="135"/>
  <c r="AB24" i="90"/>
  <c r="Z95" i="105" s="1"/>
  <c r="O16" i="90"/>
  <c r="M42" i="105" s="1"/>
  <c r="AB33" i="90"/>
  <c r="AB160" i="135"/>
  <c r="AP77" i="135"/>
  <c r="AP160" i="135" s="1"/>
  <c r="AB105" i="135"/>
  <c r="AP105" i="135" s="1"/>
  <c r="AO92" i="135"/>
  <c r="AO200" i="135" s="1"/>
  <c r="AA200" i="135"/>
  <c r="BC82" i="105"/>
  <c r="M77" i="105"/>
  <c r="N15" i="82"/>
  <c r="AA15" i="82" s="1"/>
  <c r="AA31" i="82"/>
  <c r="B22" i="138"/>
  <c r="B24" i="138" s="1"/>
  <c r="B25" i="138" s="1"/>
  <c r="I13" i="137"/>
  <c r="F18" i="69"/>
  <c r="AE18" i="69" s="1"/>
  <c r="AO43" i="135"/>
  <c r="AO69" i="135"/>
  <c r="AO63" i="135"/>
  <c r="AA105" i="135"/>
  <c r="Z12" i="102"/>
  <c r="R176" i="8"/>
  <c r="C70" i="138"/>
  <c r="J17" i="137"/>
  <c r="V155" i="8"/>
  <c r="U7" i="137"/>
  <c r="J8" i="137"/>
  <c r="J9" i="137" s="1"/>
  <c r="S92" i="8"/>
  <c r="S223" i="8" s="1"/>
  <c r="S98" i="8"/>
  <c r="T92" i="8"/>
  <c r="T223" i="8" s="1"/>
  <c r="T225" i="8" s="1"/>
  <c r="T98" i="8"/>
  <c r="AA150" i="135"/>
  <c r="AO19" i="135"/>
  <c r="AO150" i="135" s="1"/>
  <c r="H2" i="135"/>
  <c r="AJ2" i="135" s="1"/>
  <c r="Y130" i="135"/>
  <c r="BF84" i="105"/>
  <c r="AO85" i="135"/>
  <c r="AO199" i="135" s="1"/>
  <c r="BB82" i="105"/>
  <c r="H4" i="135"/>
  <c r="AJ4" i="135" s="1"/>
  <c r="H5" i="135"/>
  <c r="AJ5" i="135" s="1"/>
  <c r="AA113" i="135"/>
  <c r="BB84" i="105"/>
  <c r="BN84" i="105" s="1"/>
  <c r="AA132" i="135"/>
  <c r="X124" i="135"/>
  <c r="W40" i="105"/>
  <c r="G61" i="138"/>
  <c r="I51" i="137"/>
  <c r="B6" i="138"/>
  <c r="N5" i="138"/>
  <c r="N6" i="138" s="1"/>
  <c r="B60" i="138"/>
  <c r="B61" i="138" s="1"/>
  <c r="U18" i="69"/>
  <c r="T21" i="69"/>
  <c r="U21" i="69" s="1"/>
  <c r="M61" i="138"/>
  <c r="F58" i="138"/>
  <c r="M16" i="137"/>
  <c r="K61" i="138"/>
  <c r="I61" i="138"/>
  <c r="E61" i="138"/>
  <c r="J21" i="69"/>
  <c r="K18" i="69"/>
  <c r="N21" i="69"/>
  <c r="O18" i="69"/>
  <c r="N17" i="142" s="1"/>
  <c r="AE21" i="85"/>
  <c r="K16" i="90"/>
  <c r="AI16" i="90" s="1"/>
  <c r="Q44" i="105"/>
  <c r="AF30" i="92"/>
  <c r="AF38" i="92"/>
  <c r="AD91" i="105" s="1"/>
  <c r="AF85" i="135" s="1"/>
  <c r="AF199" i="135" s="1"/>
  <c r="AF36" i="92"/>
  <c r="P22" i="92"/>
  <c r="AC30" i="92"/>
  <c r="AC36" i="92"/>
  <c r="AC38" i="92"/>
  <c r="AB30" i="92"/>
  <c r="AB36" i="92"/>
  <c r="AB38" i="92"/>
  <c r="T22" i="92"/>
  <c r="R44" i="105" s="1"/>
  <c r="AG30" i="92"/>
  <c r="AG36" i="92"/>
  <c r="AE85" i="105" s="1"/>
  <c r="AG79" i="135" s="1"/>
  <c r="AG198" i="135" s="1"/>
  <c r="AG38" i="92"/>
  <c r="AE91" i="105" s="1"/>
  <c r="AG85" i="135" s="1"/>
  <c r="AG199" i="135" s="1"/>
  <c r="O44" i="105"/>
  <c r="AE30" i="91"/>
  <c r="AC97" i="105" s="1"/>
  <c r="AE38" i="91"/>
  <c r="AM22" i="92"/>
  <c r="AK44" i="105" s="1"/>
  <c r="I44" i="105"/>
  <c r="W22" i="92"/>
  <c r="U44" i="105" s="1"/>
  <c r="AJ30" i="92"/>
  <c r="AJ36" i="92"/>
  <c r="AJ38" i="92"/>
  <c r="I5" i="135"/>
  <c r="I166" i="135" s="1"/>
  <c r="U22" i="92"/>
  <c r="AH30" i="92"/>
  <c r="AH38" i="92"/>
  <c r="AF91" i="105" s="1"/>
  <c r="AH85" i="135" s="1"/>
  <c r="AH36" i="92"/>
  <c r="X22" i="92"/>
  <c r="AK30" i="92"/>
  <c r="AK36" i="92"/>
  <c r="AK38" i="92"/>
  <c r="T44" i="105"/>
  <c r="AG22" i="91"/>
  <c r="AH22" i="91"/>
  <c r="AI22" i="91"/>
  <c r="AB22" i="91"/>
  <c r="AJ22" i="91"/>
  <c r="AC22" i="91"/>
  <c r="AK22" i="91"/>
  <c r="AA22" i="91"/>
  <c r="AD22" i="91"/>
  <c r="AL22" i="91"/>
  <c r="AE22" i="91"/>
  <c r="AF22" i="91"/>
  <c r="I43" i="105"/>
  <c r="R22" i="92"/>
  <c r="P44" i="105" s="1"/>
  <c r="AE30" i="92"/>
  <c r="AE38" i="92"/>
  <c r="AE36" i="92"/>
  <c r="AK21" i="82"/>
  <c r="U142" i="8"/>
  <c r="S149" i="8"/>
  <c r="AF21" i="90"/>
  <c r="AD21" i="82"/>
  <c r="AF29" i="91"/>
  <c r="AB21" i="90"/>
  <c r="AC26" i="82"/>
  <c r="AH26" i="82"/>
  <c r="AA29" i="82"/>
  <c r="AA26" i="82"/>
  <c r="AK26" i="82"/>
  <c r="T40" i="105"/>
  <c r="T15" i="120" s="1"/>
  <c r="X143" i="135"/>
  <c r="Z143" i="135" s="1"/>
  <c r="AG10" i="102"/>
  <c r="K26" i="102"/>
  <c r="M82" i="130"/>
  <c r="G12" i="120"/>
  <c r="H12" i="120" s="1"/>
  <c r="BI202" i="105"/>
  <c r="X12" i="120" s="1"/>
  <c r="E93" i="8"/>
  <c r="D93" i="8"/>
  <c r="E156" i="8"/>
  <c r="D7" i="120"/>
  <c r="X163" i="135"/>
  <c r="Z163" i="135" s="1"/>
  <c r="AF21" i="85"/>
  <c r="AC21" i="82"/>
  <c r="AH21" i="90"/>
  <c r="AG12" i="102"/>
  <c r="AD6" i="102"/>
  <c r="AA7" i="91"/>
  <c r="R149" i="8"/>
  <c r="AA21" i="82"/>
  <c r="H132" i="8"/>
  <c r="J132" i="8"/>
  <c r="Q181" i="8"/>
  <c r="Q165" i="8" s="1"/>
  <c r="Q168" i="8" s="1"/>
  <c r="AL21" i="82"/>
  <c r="AG21" i="90"/>
  <c r="M132" i="8"/>
  <c r="AH9" i="85" s="1"/>
  <c r="V132" i="8"/>
  <c r="AH29" i="91"/>
  <c r="AC21" i="85"/>
  <c r="D150" i="8"/>
  <c r="D12" i="124"/>
  <c r="E12" i="124" s="1"/>
  <c r="D4" i="124" s="1"/>
  <c r="C4" i="124" s="1"/>
  <c r="AJ25" i="102"/>
  <c r="X179" i="135"/>
  <c r="X144" i="135"/>
  <c r="Z144" i="135" s="1"/>
  <c r="AK29" i="82"/>
  <c r="AI93" i="105" s="1"/>
  <c r="X126" i="135"/>
  <c r="X161" i="135"/>
  <c r="X181" i="135"/>
  <c r="X160" i="135"/>
  <c r="P15" i="82"/>
  <c r="AC15" i="82" s="1"/>
  <c r="AC29" i="82"/>
  <c r="AC82" i="105"/>
  <c r="AE76" i="135" s="1"/>
  <c r="AH29" i="82"/>
  <c r="AF93" i="105" s="1"/>
  <c r="AH87" i="135" s="1"/>
  <c r="X125" i="135"/>
  <c r="E15" i="135"/>
  <c r="E190" i="135" s="1"/>
  <c r="X92" i="135"/>
  <c r="U42" i="105"/>
  <c r="AY17" i="105"/>
  <c r="P17" i="120"/>
  <c r="X86" i="135"/>
  <c r="X80" i="135"/>
  <c r="AV191" i="105"/>
  <c r="G11" i="120"/>
  <c r="H11" i="120" s="1"/>
  <c r="M92" i="130"/>
  <c r="BF204" i="105"/>
  <c r="J92" i="130" s="1"/>
  <c r="L92" i="130" s="1"/>
  <c r="P147" i="8"/>
  <c r="P127" i="8"/>
  <c r="AN29" i="85"/>
  <c r="AO29" i="85" s="1"/>
  <c r="D11" i="124"/>
  <c r="E11" i="124" s="1"/>
  <c r="D3" i="124" s="1"/>
  <c r="AN34" i="85"/>
  <c r="AO34" i="85" s="1"/>
  <c r="AG21" i="82"/>
  <c r="AH21" i="85"/>
  <c r="AC33" i="102"/>
  <c r="AC8" i="102" s="1"/>
  <c r="AD21" i="90"/>
  <c r="AE35" i="102"/>
  <c r="AE10" i="102" s="1"/>
  <c r="AI21" i="85"/>
  <c r="AJ33" i="102"/>
  <c r="G158" i="8"/>
  <c r="AB6" i="92" s="1"/>
  <c r="AE21" i="82"/>
  <c r="V180" i="8"/>
  <c r="V181" i="8" s="1"/>
  <c r="V165" i="8" s="1"/>
  <c r="AG25" i="102"/>
  <c r="AN35" i="85"/>
  <c r="AO35" i="85" s="1"/>
  <c r="U176" i="8"/>
  <c r="AC25" i="102"/>
  <c r="AL12" i="102"/>
  <c r="AI25" i="102"/>
  <c r="AL24" i="102"/>
  <c r="V59" i="130"/>
  <c r="X75" i="105"/>
  <c r="AJ84" i="105"/>
  <c r="T43" i="105"/>
  <c r="N43" i="105"/>
  <c r="AA90" i="105"/>
  <c r="AC84" i="135" s="1"/>
  <c r="R40" i="105"/>
  <c r="R15" i="120" s="1"/>
  <c r="AC34" i="82"/>
  <c r="AJ82" i="105"/>
  <c r="G84" i="130"/>
  <c r="G85" i="130" s="1"/>
  <c r="G89" i="130" s="1"/>
  <c r="P40" i="105"/>
  <c r="O15" i="120" s="1"/>
  <c r="X15" i="82"/>
  <c r="AK15" i="82" s="1"/>
  <c r="AK32" i="82"/>
  <c r="AK34" i="82"/>
  <c r="U40" i="105"/>
  <c r="U15" i="120" s="1"/>
  <c r="AA6" i="92"/>
  <c r="D14" i="124"/>
  <c r="E14" i="124" s="1"/>
  <c r="D6" i="124" s="1"/>
  <c r="C6" i="124" s="1"/>
  <c r="R13" i="8"/>
  <c r="J29" i="124"/>
  <c r="K29" i="124" s="1"/>
  <c r="L29" i="124" s="1"/>
  <c r="M5" i="124" s="1"/>
  <c r="AC6" i="102"/>
  <c r="AB21" i="82"/>
  <c r="U177" i="8"/>
  <c r="U178" i="8"/>
  <c r="P181" i="8"/>
  <c r="J30" i="124"/>
  <c r="K30" i="124" s="1"/>
  <c r="L30" i="124" s="1"/>
  <c r="M6" i="124" s="1"/>
  <c r="AK35" i="102"/>
  <c r="AK10" i="102" s="1"/>
  <c r="U185" i="8"/>
  <c r="AE29" i="91"/>
  <c r="AB21" i="85"/>
  <c r="R177" i="8"/>
  <c r="AE25" i="102"/>
  <c r="V195" i="8"/>
  <c r="V170" i="8" s="1"/>
  <c r="S191" i="8"/>
  <c r="S166" i="8" s="1"/>
  <c r="AI24" i="102"/>
  <c r="AF48" i="102"/>
  <c r="J191" i="8"/>
  <c r="J166" i="8" s="1"/>
  <c r="AI21" i="90"/>
  <c r="AL10" i="102"/>
  <c r="AH85" i="102"/>
  <c r="U193" i="8"/>
  <c r="F195" i="8"/>
  <c r="AB84" i="102"/>
  <c r="R192" i="8"/>
  <c r="J195" i="8"/>
  <c r="J170" i="8" s="1"/>
  <c r="AF84" i="102"/>
  <c r="D205" i="8"/>
  <c r="C240" i="8"/>
  <c r="AA86" i="102"/>
  <c r="E194" i="8"/>
  <c r="T191" i="8"/>
  <c r="T166" i="8" s="1"/>
  <c r="AH48" i="102"/>
  <c r="U188" i="8"/>
  <c r="L191" i="8"/>
  <c r="AF24" i="102"/>
  <c r="AJ24" i="102"/>
  <c r="D204" i="8"/>
  <c r="E193" i="8"/>
  <c r="AA85" i="102"/>
  <c r="C239" i="8"/>
  <c r="AJ84" i="102"/>
  <c r="AJ87" i="102" s="1"/>
  <c r="N195" i="8"/>
  <c r="N170" i="8" s="1"/>
  <c r="AG84" i="102"/>
  <c r="AG87" i="102" s="1"/>
  <c r="K195" i="8"/>
  <c r="K170" i="8" s="1"/>
  <c r="AD10" i="102"/>
  <c r="AC21" i="90"/>
  <c r="AC48" i="102"/>
  <c r="G191" i="8"/>
  <c r="AD48" i="102"/>
  <c r="H191" i="8"/>
  <c r="H166" i="8" s="1"/>
  <c r="AB50" i="102"/>
  <c r="R190" i="8"/>
  <c r="AM25" i="102"/>
  <c r="AC84" i="102"/>
  <c r="AC87" i="102" s="1"/>
  <c r="G195" i="8"/>
  <c r="G170" i="8" s="1"/>
  <c r="AH84" i="102"/>
  <c r="U192" i="8"/>
  <c r="L195" i="8"/>
  <c r="AB86" i="102"/>
  <c r="AN86" i="102" s="1"/>
  <c r="R194" i="8"/>
  <c r="AD21" i="85"/>
  <c r="AE8" i="102"/>
  <c r="M191" i="8"/>
  <c r="M166" i="8" s="1"/>
  <c r="AI48" i="102"/>
  <c r="P191" i="8"/>
  <c r="P166" i="8" s="1"/>
  <c r="AG24" i="102"/>
  <c r="AK24" i="102"/>
  <c r="P195" i="8"/>
  <c r="P170" i="8" s="1"/>
  <c r="AL87" i="102"/>
  <c r="AF25" i="102"/>
  <c r="AK84" i="102"/>
  <c r="AK87" i="102" s="1"/>
  <c r="O195" i="8"/>
  <c r="O170" i="8" s="1"/>
  <c r="S195" i="8"/>
  <c r="S170" i="8" s="1"/>
  <c r="D191" i="8"/>
  <c r="E188" i="8"/>
  <c r="C234" i="8"/>
  <c r="D199" i="8"/>
  <c r="AE48" i="102"/>
  <c r="I191" i="8"/>
  <c r="I166" i="8" s="1"/>
  <c r="AD24" i="102"/>
  <c r="AH49" i="102"/>
  <c r="U189" i="8"/>
  <c r="AB85" i="102"/>
  <c r="AN85" i="102" s="1"/>
  <c r="R193" i="8"/>
  <c r="AD84" i="102"/>
  <c r="AD87" i="102" s="1"/>
  <c r="H195" i="8"/>
  <c r="H170" i="8" s="1"/>
  <c r="C238" i="8"/>
  <c r="D203" i="8"/>
  <c r="D195" i="8"/>
  <c r="E192" i="8"/>
  <c r="AA84" i="102"/>
  <c r="N191" i="8"/>
  <c r="N166" i="8" s="1"/>
  <c r="AJ48" i="102"/>
  <c r="Q191" i="8"/>
  <c r="Q166" i="8" s="1"/>
  <c r="AM48" i="102"/>
  <c r="E189" i="8"/>
  <c r="D200" i="8"/>
  <c r="C235" i="8"/>
  <c r="AA49" i="102"/>
  <c r="U190" i="8"/>
  <c r="AH50" i="102"/>
  <c r="AI84" i="102"/>
  <c r="AI87" i="102" s="1"/>
  <c r="M195" i="8"/>
  <c r="M170" i="8" s="1"/>
  <c r="AE24" i="102"/>
  <c r="AL21" i="85"/>
  <c r="AK25" i="102"/>
  <c r="AE84" i="102"/>
  <c r="AE87" i="102" s="1"/>
  <c r="I195" i="8"/>
  <c r="I170" i="8" s="1"/>
  <c r="K87" i="102"/>
  <c r="AB48" i="102"/>
  <c r="R188" i="8"/>
  <c r="F191" i="8"/>
  <c r="K51" i="102"/>
  <c r="AM24" i="102"/>
  <c r="E190" i="8"/>
  <c r="D201" i="8"/>
  <c r="C236" i="8"/>
  <c r="T195" i="8"/>
  <c r="T170" i="8" s="1"/>
  <c r="Q195" i="8"/>
  <c r="Q170" i="8" s="1"/>
  <c r="AM84" i="102"/>
  <c r="AM87" i="102" s="1"/>
  <c r="U194" i="8"/>
  <c r="AH86" i="102"/>
  <c r="V191" i="8"/>
  <c r="V166" i="8" s="1"/>
  <c r="O191" i="8"/>
  <c r="O166" i="8" s="1"/>
  <c r="AK48" i="102"/>
  <c r="K191" i="8"/>
  <c r="K166" i="8" s="1"/>
  <c r="AG48" i="102"/>
  <c r="AB49" i="102"/>
  <c r="R189" i="8"/>
  <c r="AI29" i="91"/>
  <c r="C116" i="8"/>
  <c r="R227" i="8" s="1"/>
  <c r="P157" i="8"/>
  <c r="AK7" i="139" s="1"/>
  <c r="N157" i="8"/>
  <c r="AI7" i="139" s="1"/>
  <c r="Q157" i="8"/>
  <c r="AL7" i="139" s="1"/>
  <c r="J157" i="8"/>
  <c r="AE7" i="139" s="1"/>
  <c r="K7" i="92"/>
  <c r="M157" i="8"/>
  <c r="AH7" i="139" s="1"/>
  <c r="L157" i="8"/>
  <c r="AG7" i="139" s="1"/>
  <c r="H157" i="8"/>
  <c r="AC7" i="139" s="1"/>
  <c r="AC44" i="139" s="1"/>
  <c r="F157" i="8"/>
  <c r="O157" i="8"/>
  <c r="AJ7" i="139" s="1"/>
  <c r="K157" i="8"/>
  <c r="AF7" i="139" s="1"/>
  <c r="G157" i="8"/>
  <c r="AB7" i="139" s="1"/>
  <c r="I157" i="8"/>
  <c r="AD7" i="139" s="1"/>
  <c r="AD44" i="139" s="1"/>
  <c r="S180" i="8"/>
  <c r="S181" i="8" s="1"/>
  <c r="S165" i="8" s="1"/>
  <c r="T180" i="8"/>
  <c r="T181" i="8" s="1"/>
  <c r="T165" i="8" s="1"/>
  <c r="T168" i="8" s="1"/>
  <c r="AB29" i="91"/>
  <c r="AC73" i="102"/>
  <c r="AC12" i="102" s="1"/>
  <c r="AD29" i="91"/>
  <c r="AE73" i="102"/>
  <c r="AE12" i="102" s="1"/>
  <c r="Q180" i="8"/>
  <c r="AL27" i="139" s="1"/>
  <c r="I180" i="8"/>
  <c r="AD27" i="139" s="1"/>
  <c r="N180" i="8"/>
  <c r="AI27" i="139" s="1"/>
  <c r="H180" i="8"/>
  <c r="AC27" i="139" s="1"/>
  <c r="O180" i="8"/>
  <c r="L180" i="8"/>
  <c r="AG27" i="139" s="1"/>
  <c r="G180" i="8"/>
  <c r="AB27" i="139" s="1"/>
  <c r="K180" i="8"/>
  <c r="AF27" i="139" s="1"/>
  <c r="J180" i="8"/>
  <c r="AE27" i="139" s="1"/>
  <c r="F180" i="8"/>
  <c r="AA27" i="139" s="1"/>
  <c r="M180" i="8"/>
  <c r="AH27" i="139" s="1"/>
  <c r="P180" i="8"/>
  <c r="AK27" i="139" s="1"/>
  <c r="I186" i="8"/>
  <c r="Q186" i="8"/>
  <c r="AL29" i="139" s="1"/>
  <c r="M186" i="8"/>
  <c r="J186" i="8"/>
  <c r="K186" i="8"/>
  <c r="H186" i="8"/>
  <c r="F186" i="8"/>
  <c r="N186" i="8"/>
  <c r="O186" i="8"/>
  <c r="L186" i="8"/>
  <c r="G186" i="8"/>
  <c r="P186" i="8"/>
  <c r="V186" i="8"/>
  <c r="V187" i="8" s="1"/>
  <c r="V169" i="8" s="1"/>
  <c r="S186" i="8"/>
  <c r="S187" i="8" s="1"/>
  <c r="S169" i="8" s="1"/>
  <c r="S172" i="8" s="1"/>
  <c r="Y83" i="105"/>
  <c r="AA77" i="135" s="1"/>
  <c r="Y88" i="105"/>
  <c r="AA82" i="135" s="1"/>
  <c r="Y89" i="105"/>
  <c r="AA83" i="135" s="1"/>
  <c r="Y85" i="105"/>
  <c r="AA79" i="135" s="1"/>
  <c r="AA198" i="135" s="1"/>
  <c r="Z89" i="105"/>
  <c r="AB83" i="135" s="1"/>
  <c r="AB41" i="92"/>
  <c r="AA88" i="105"/>
  <c r="AC82" i="135" s="1"/>
  <c r="AA83" i="105"/>
  <c r="AC77" i="135" s="1"/>
  <c r="X24" i="120"/>
  <c r="AC41" i="92"/>
  <c r="AB88" i="105"/>
  <c r="AD82" i="135" s="1"/>
  <c r="AN24" i="85"/>
  <c r="AO24" i="85" s="1"/>
  <c r="AB82" i="105"/>
  <c r="AD76" i="135" s="1"/>
  <c r="O40" i="105"/>
  <c r="N15" i="120" s="1"/>
  <c r="AC83" i="105"/>
  <c r="AE77" i="135" s="1"/>
  <c r="AE41" i="92"/>
  <c r="AD82" i="105"/>
  <c r="AF76" i="135" s="1"/>
  <c r="AD85" i="105"/>
  <c r="AF79" i="135" s="1"/>
  <c r="AF198" i="135" s="1"/>
  <c r="AE89" i="105"/>
  <c r="AG83" i="135" s="1"/>
  <c r="AE82" i="105"/>
  <c r="AG76" i="135" s="1"/>
  <c r="AG41" i="92"/>
  <c r="AB6" i="85"/>
  <c r="AG86" i="105"/>
  <c r="AJ6" i="85"/>
  <c r="AH25" i="105" s="1"/>
  <c r="AL25" i="105" s="1"/>
  <c r="AM25" i="105" s="1"/>
  <c r="AD6" i="85"/>
  <c r="AA6" i="85"/>
  <c r="AC6" i="85"/>
  <c r="AE6" i="85"/>
  <c r="AI6" i="85"/>
  <c r="AG6" i="85"/>
  <c r="AI6" i="91"/>
  <c r="D15" i="124"/>
  <c r="E15" i="124" s="1"/>
  <c r="D7" i="124" s="1"/>
  <c r="Z43" i="105"/>
  <c r="AL6" i="85"/>
  <c r="AJ25" i="105" s="1"/>
  <c r="J127" i="8"/>
  <c r="M127" i="8"/>
  <c r="AH8" i="82" s="1"/>
  <c r="Q127" i="8"/>
  <c r="Q131" i="8" s="1"/>
  <c r="G127" i="8"/>
  <c r="I127" i="8"/>
  <c r="AD8" i="82" s="1"/>
  <c r="N127" i="8"/>
  <c r="AI8" i="82" s="1"/>
  <c r="K127" i="8"/>
  <c r="AF8" i="82" s="1"/>
  <c r="O127" i="8"/>
  <c r="AJ8" i="82" s="1"/>
  <c r="L127" i="8"/>
  <c r="AG8" i="82" s="1"/>
  <c r="V127" i="8"/>
  <c r="H127" i="8"/>
  <c r="AC8" i="82" s="1"/>
  <c r="AI82" i="105"/>
  <c r="M147" i="8"/>
  <c r="K6" i="91"/>
  <c r="AB6" i="91"/>
  <c r="Q147" i="8"/>
  <c r="K9" i="85"/>
  <c r="D132" i="8"/>
  <c r="K9" i="91"/>
  <c r="D147" i="8"/>
  <c r="AM9" i="144" s="1"/>
  <c r="AM44" i="144" s="1"/>
  <c r="M44" i="144" s="1"/>
  <c r="D135" i="8"/>
  <c r="K6" i="85"/>
  <c r="H71" i="135" s="1"/>
  <c r="AF6" i="85"/>
  <c r="N147" i="8"/>
  <c r="O147" i="8"/>
  <c r="K5" i="82"/>
  <c r="I45" i="105" s="1"/>
  <c r="G13" i="120" s="1"/>
  <c r="H13" i="120" s="1"/>
  <c r="C117" i="8"/>
  <c r="J147" i="8"/>
  <c r="G147" i="8"/>
  <c r="Z5" i="92"/>
  <c r="C110" i="8"/>
  <c r="W113" i="8" s="1"/>
  <c r="W114" i="8" s="1"/>
  <c r="I147" i="8"/>
  <c r="C89" i="8"/>
  <c r="K8" i="142" s="1"/>
  <c r="C101" i="8"/>
  <c r="C104" i="8" s="1"/>
  <c r="C119" i="8"/>
  <c r="M155" i="8"/>
  <c r="AH9" i="139" s="1"/>
  <c r="D155" i="8"/>
  <c r="AM9" i="139" s="1"/>
  <c r="AM44" i="139" s="1"/>
  <c r="M44" i="139" s="1"/>
  <c r="K8" i="82"/>
  <c r="C93" i="8" s="1"/>
  <c r="D127" i="8"/>
  <c r="L147" i="8"/>
  <c r="V147" i="8"/>
  <c r="K147" i="8"/>
  <c r="H147" i="8"/>
  <c r="K6" i="92"/>
  <c r="H74" i="135" s="1"/>
  <c r="H197" i="135" s="1"/>
  <c r="K158" i="8"/>
  <c r="K162" i="8" s="1"/>
  <c r="D158" i="8"/>
  <c r="AM6" i="92" s="1"/>
  <c r="J158" i="8"/>
  <c r="J162" i="8" s="1"/>
  <c r="F147" i="8"/>
  <c r="V42" i="105"/>
  <c r="AC6" i="92"/>
  <c r="AD6" i="92"/>
  <c r="AL6" i="92"/>
  <c r="AB12" i="102"/>
  <c r="M84" i="130"/>
  <c r="M85" i="130" s="1"/>
  <c r="V36" i="130"/>
  <c r="V60" i="130" s="1"/>
  <c r="S118" i="8"/>
  <c r="AK6" i="92"/>
  <c r="AI28" i="105" s="1"/>
  <c r="AK41" i="92"/>
  <c r="V92" i="8"/>
  <c r="X16" i="105" s="1"/>
  <c r="AJ41" i="92"/>
  <c r="AJ6" i="92"/>
  <c r="AH28" i="105" s="1"/>
  <c r="AL28" i="105" s="1"/>
  <c r="AM28" i="105" s="1"/>
  <c r="AB87" i="105"/>
  <c r="AD81" i="135" s="1"/>
  <c r="AG92" i="105"/>
  <c r="AA87" i="105"/>
  <c r="AC81" i="135" s="1"/>
  <c r="AC125" i="135" s="1"/>
  <c r="AJ87" i="105"/>
  <c r="AJ92" i="105" s="1"/>
  <c r="AI87" i="105"/>
  <c r="W19" i="8"/>
  <c r="X23" i="8" s="1"/>
  <c r="AI6" i="92"/>
  <c r="R42" i="105"/>
  <c r="V110" i="8"/>
  <c r="BA17" i="105"/>
  <c r="S17" i="120"/>
  <c r="Y17" i="120" s="1"/>
  <c r="Y90" i="105"/>
  <c r="AA84" i="135" s="1"/>
  <c r="M43" i="105"/>
  <c r="O43" i="105"/>
  <c r="AH90" i="105"/>
  <c r="AJ84" i="135" s="1"/>
  <c r="AB84" i="105"/>
  <c r="AD78" i="135" s="1"/>
  <c r="AD90" i="105"/>
  <c r="AF84" i="135" s="1"/>
  <c r="Z90" i="105"/>
  <c r="AB84" i="135" s="1"/>
  <c r="AD84" i="105"/>
  <c r="AF78" i="135" s="1"/>
  <c r="Z84" i="105"/>
  <c r="AB78" i="135" s="1"/>
  <c r="Y84" i="105"/>
  <c r="AA78" i="135" s="1"/>
  <c r="V22" i="130"/>
  <c r="AF90" i="105"/>
  <c r="AH84" i="135" s="1"/>
  <c r="V20" i="130"/>
  <c r="AH6" i="92"/>
  <c r="AF84" i="105"/>
  <c r="AH78" i="135" s="1"/>
  <c r="Z6" i="92"/>
  <c r="X28" i="105" s="1"/>
  <c r="AH41" i="92"/>
  <c r="V18" i="130"/>
  <c r="V19" i="130"/>
  <c r="P42" i="105"/>
  <c r="E98" i="8"/>
  <c r="Q17" i="102"/>
  <c r="W13" i="8"/>
  <c r="W21" i="8" s="1"/>
  <c r="AH12" i="102"/>
  <c r="V141" i="8"/>
  <c r="AL7" i="105" s="1"/>
  <c r="AM7" i="105" s="1"/>
  <c r="U158" i="8"/>
  <c r="AJ12" i="102"/>
  <c r="Z5" i="82"/>
  <c r="S13" i="8"/>
  <c r="Y14" i="8" s="1"/>
  <c r="AM10" i="102"/>
  <c r="AM8" i="102"/>
  <c r="R92" i="8"/>
  <c r="R223" i="8" s="1"/>
  <c r="W44" i="105"/>
  <c r="AG8" i="102"/>
  <c r="AK12" i="102"/>
  <c r="AF12" i="102"/>
  <c r="AK8" i="102"/>
  <c r="AM12" i="102"/>
  <c r="AI8" i="102"/>
  <c r="L223" i="8"/>
  <c r="AB8" i="102"/>
  <c r="O225" i="8"/>
  <c r="P139" i="8"/>
  <c r="AH8" i="102"/>
  <c r="Q231" i="8"/>
  <c r="AL8" i="102"/>
  <c r="P231" i="8"/>
  <c r="N231" i="8"/>
  <c r="O231" i="8"/>
  <c r="N223" i="8"/>
  <c r="Q169" i="8"/>
  <c r="Q172" i="8" s="1"/>
  <c r="AJ6" i="102"/>
  <c r="AK8" i="82"/>
  <c r="Q223" i="8"/>
  <c r="M223" i="8"/>
  <c r="AJ9" i="85"/>
  <c r="AH12" i="105" s="1"/>
  <c r="AL12" i="105" s="1"/>
  <c r="AM12" i="105" s="1"/>
  <c r="O139" i="8"/>
  <c r="AJ9" i="92"/>
  <c r="AH15" i="105" s="1"/>
  <c r="AL15" i="105" s="1"/>
  <c r="AM15" i="105" s="1"/>
  <c r="O162" i="8"/>
  <c r="AI9" i="92"/>
  <c r="N162" i="8"/>
  <c r="AA34" i="82"/>
  <c r="AA32" i="82"/>
  <c r="AA33" i="82"/>
  <c r="AA94" i="135" s="1"/>
  <c r="AM94" i="135" s="1"/>
  <c r="BA94" i="135" s="1"/>
  <c r="BA127" i="135" s="1"/>
  <c r="P223" i="8"/>
  <c r="AK6" i="102"/>
  <c r="AM6" i="102"/>
  <c r="AB6" i="102"/>
  <c r="AI10" i="102"/>
  <c r="L231" i="8"/>
  <c r="P154" i="8"/>
  <c r="M231" i="8"/>
  <c r="T17" i="120"/>
  <c r="BB17" i="105"/>
  <c r="AH33" i="82"/>
  <c r="AH34" i="82"/>
  <c r="AH15" i="82"/>
  <c r="AH32" i="82"/>
  <c r="AJ10" i="102"/>
  <c r="AL9" i="85"/>
  <c r="Q139" i="8"/>
  <c r="AL9" i="92"/>
  <c r="AJ15" i="105" s="1"/>
  <c r="Q162" i="8"/>
  <c r="AL8" i="82"/>
  <c r="AG9" i="92"/>
  <c r="L162" i="8"/>
  <c r="AK9" i="92"/>
  <c r="AI15" i="105" s="1"/>
  <c r="P162" i="8"/>
  <c r="AL6" i="102"/>
  <c r="AI9" i="85"/>
  <c r="N139" i="8"/>
  <c r="AI6" i="102"/>
  <c r="AG9" i="85"/>
  <c r="L139" i="8"/>
  <c r="U132" i="8"/>
  <c r="AH6" i="102"/>
  <c r="K9" i="95"/>
  <c r="Q42" i="105"/>
  <c r="S117" i="8"/>
  <c r="AG6" i="102"/>
  <c r="V13" i="8"/>
  <c r="K225" i="8"/>
  <c r="K231" i="8"/>
  <c r="AF9" i="92"/>
  <c r="P13" i="124"/>
  <c r="L13" i="124"/>
  <c r="K5" i="124" s="1"/>
  <c r="J5" i="124" s="1"/>
  <c r="AF10" i="102"/>
  <c r="AF8" i="102"/>
  <c r="X18" i="8"/>
  <c r="J223" i="8"/>
  <c r="AE9" i="85"/>
  <c r="J231" i="8"/>
  <c r="Z5" i="91"/>
  <c r="AE37" i="91"/>
  <c r="AE97" i="135" s="1"/>
  <c r="AE40" i="91"/>
  <c r="AE9" i="92"/>
  <c r="AB43" i="105"/>
  <c r="I223" i="8"/>
  <c r="AD9" i="85"/>
  <c r="AD9" i="92"/>
  <c r="I162" i="8"/>
  <c r="Y130" i="8"/>
  <c r="I231" i="8"/>
  <c r="V117" i="8"/>
  <c r="R104" i="8"/>
  <c r="S110" i="8"/>
  <c r="S104" i="8"/>
  <c r="V118" i="8"/>
  <c r="V135" i="8" s="1"/>
  <c r="V104" i="8"/>
  <c r="V75" i="8"/>
  <c r="H162" i="8"/>
  <c r="AC9" i="92"/>
  <c r="AC9" i="85"/>
  <c r="H231" i="8"/>
  <c r="H223" i="8"/>
  <c r="AK92" i="105"/>
  <c r="R124" i="8"/>
  <c r="R229" i="8" s="1"/>
  <c r="R231" i="8" s="1"/>
  <c r="Z6" i="90"/>
  <c r="X26" i="105" s="1"/>
  <c r="V158" i="8"/>
  <c r="R110" i="8"/>
  <c r="T124" i="8"/>
  <c r="T229" i="8" s="1"/>
  <c r="T231" i="8" s="1"/>
  <c r="T104" i="8"/>
  <c r="AB9" i="92"/>
  <c r="G162" i="8"/>
  <c r="T13" i="8"/>
  <c r="G231" i="8"/>
  <c r="G225" i="8"/>
  <c r="S75" i="8"/>
  <c r="S119" i="8"/>
  <c r="AU17" i="105"/>
  <c r="L17" i="120"/>
  <c r="AK86" i="105"/>
  <c r="C23" i="124"/>
  <c r="D23" i="124" s="1"/>
  <c r="E23" i="124" s="1"/>
  <c r="E7" i="124" s="1"/>
  <c r="C21" i="124"/>
  <c r="D21" i="124" s="1"/>
  <c r="E21" i="124" s="1"/>
  <c r="E5" i="124" s="1"/>
  <c r="C5" i="124" s="1"/>
  <c r="C19" i="124"/>
  <c r="D19" i="124" s="1"/>
  <c r="E19" i="124" s="1"/>
  <c r="E3" i="124" s="1"/>
  <c r="R132" i="8"/>
  <c r="AA9" i="85"/>
  <c r="Z6" i="91"/>
  <c r="X27" i="105" s="1"/>
  <c r="S155" i="8"/>
  <c r="AA9" i="92"/>
  <c r="R155" i="8"/>
  <c r="X130" i="8"/>
  <c r="F162" i="8"/>
  <c r="K17" i="120"/>
  <c r="AT17" i="105"/>
  <c r="N40" i="132"/>
  <c r="N42" i="132" s="1"/>
  <c r="T227" i="8"/>
  <c r="K11" i="95"/>
  <c r="Z36" i="132"/>
  <c r="J43" i="105"/>
  <c r="K43" i="105" s="1"/>
  <c r="M22" i="91"/>
  <c r="AM22" i="91"/>
  <c r="N41" i="132"/>
  <c r="N43" i="132" s="1"/>
  <c r="AN33" i="102" l="1"/>
  <c r="AN49" i="102"/>
  <c r="AN12" i="102"/>
  <c r="AN84" i="102"/>
  <c r="AN6" i="102"/>
  <c r="AN48" i="102"/>
  <c r="AN73" i="102"/>
  <c r="AN35" i="102"/>
  <c r="AN50" i="102"/>
  <c r="AV87" i="135"/>
  <c r="AV126" i="135" s="1"/>
  <c r="AH126" i="135"/>
  <c r="AH160" i="135"/>
  <c r="AV77" i="135"/>
  <c r="AV160" i="135" s="1"/>
  <c r="AW77" i="135"/>
  <c r="AW160" i="135" s="1"/>
  <c r="AI160" i="135"/>
  <c r="AX89" i="135"/>
  <c r="AJ162" i="135"/>
  <c r="AX162" i="135" s="1"/>
  <c r="AW89" i="135"/>
  <c r="AI162" i="135"/>
  <c r="AW162" i="135" s="1"/>
  <c r="AH161" i="135"/>
  <c r="AV83" i="135"/>
  <c r="AV161" i="135" s="1"/>
  <c r="AI80" i="135"/>
  <c r="AW80" i="135" s="1"/>
  <c r="AW90" i="135"/>
  <c r="AI163" i="135"/>
  <c r="AW163" i="135" s="1"/>
  <c r="V29" i="105"/>
  <c r="BN82" i="105"/>
  <c r="AX90" i="135"/>
  <c r="AJ163" i="135"/>
  <c r="AX163" i="135" s="1"/>
  <c r="AW83" i="135"/>
  <c r="AW161" i="135" s="1"/>
  <c r="AI161" i="135"/>
  <c r="AH179" i="135"/>
  <c r="AV78" i="135"/>
  <c r="AV179" i="135" s="1"/>
  <c r="AH180" i="135"/>
  <c r="AV84" i="135"/>
  <c r="AV180" i="135" s="1"/>
  <c r="AX84" i="135"/>
  <c r="AX180" i="135" s="1"/>
  <c r="AJ180" i="135"/>
  <c r="AW92" i="135"/>
  <c r="AW200" i="135" s="1"/>
  <c r="AI200" i="135"/>
  <c r="AH199" i="135"/>
  <c r="AV85" i="135"/>
  <c r="AV199" i="135" s="1"/>
  <c r="AH162" i="135"/>
  <c r="AV162" i="135" s="1"/>
  <c r="AV89" i="135"/>
  <c r="AH163" i="135"/>
  <c r="AV163" i="135" s="1"/>
  <c r="AV90" i="135"/>
  <c r="AH22" i="105"/>
  <c r="AL20" i="105"/>
  <c r="AM20" i="105" s="1"/>
  <c r="AV132" i="135"/>
  <c r="AH135" i="135"/>
  <c r="Y13" i="120"/>
  <c r="AQ20" i="135"/>
  <c r="T171" i="135"/>
  <c r="AN16" i="142"/>
  <c r="AO21" i="135"/>
  <c r="AO187" i="135" s="1"/>
  <c r="T190" i="135"/>
  <c r="AM88" i="135"/>
  <c r="BA88" i="135" s="1"/>
  <c r="V21" i="130"/>
  <c r="W29" i="105"/>
  <c r="V8" i="135"/>
  <c r="V37" i="135" s="1"/>
  <c r="V36" i="135"/>
  <c r="AJ28" i="105"/>
  <c r="V178" i="135"/>
  <c r="V75" i="135"/>
  <c r="AI98" i="105"/>
  <c r="AN30" i="92"/>
  <c r="U116" i="135"/>
  <c r="AI22" i="105"/>
  <c r="AN29" i="82"/>
  <c r="N24" i="138"/>
  <c r="N25" i="138" s="1"/>
  <c r="AN24" i="142"/>
  <c r="X22" i="105"/>
  <c r="U123" i="135"/>
  <c r="U75" i="135"/>
  <c r="AI11" i="105"/>
  <c r="AI5" i="105"/>
  <c r="AI10" i="105" s="1"/>
  <c r="U7" i="135"/>
  <c r="T135" i="135"/>
  <c r="T153" i="135"/>
  <c r="W135" i="135"/>
  <c r="AX6" i="135"/>
  <c r="AX185" i="135" s="1"/>
  <c r="AJ185" i="135"/>
  <c r="AX13" i="135"/>
  <c r="AX167" i="135" s="1"/>
  <c r="AJ167" i="135"/>
  <c r="AX32" i="135"/>
  <c r="AX170" i="135" s="1"/>
  <c r="AJ170" i="135"/>
  <c r="AX31" i="135"/>
  <c r="AX152" i="135" s="1"/>
  <c r="AJ152" i="135"/>
  <c r="AX14" i="135"/>
  <c r="AX186" i="135" s="1"/>
  <c r="AJ186" i="135"/>
  <c r="AX21" i="135"/>
  <c r="AX187" i="135" s="1"/>
  <c r="AJ187" i="135"/>
  <c r="AX33" i="135"/>
  <c r="AX189" i="135" s="1"/>
  <c r="AJ189" i="135"/>
  <c r="AX130" i="135"/>
  <c r="AJ116" i="135"/>
  <c r="AX116" i="135"/>
  <c r="T116" i="135"/>
  <c r="AX25" i="135"/>
  <c r="AX169" i="135" s="1"/>
  <c r="AJ169" i="135"/>
  <c r="AX19" i="135"/>
  <c r="AX150" i="135" s="1"/>
  <c r="AJ150" i="135"/>
  <c r="AJ22" i="135"/>
  <c r="AX22" i="135" s="1"/>
  <c r="AJ34" i="135"/>
  <c r="AX5" i="135"/>
  <c r="AX166" i="135" s="1"/>
  <c r="AJ166" i="135"/>
  <c r="AX12" i="135"/>
  <c r="AX149" i="135" s="1"/>
  <c r="AJ149" i="135"/>
  <c r="AX4" i="135"/>
  <c r="AX148" i="135" s="1"/>
  <c r="AJ148" i="135"/>
  <c r="AX26" i="135"/>
  <c r="AX188" i="135" s="1"/>
  <c r="AJ188" i="135"/>
  <c r="AJ15" i="135"/>
  <c r="AX11" i="135"/>
  <c r="AJ131" i="135"/>
  <c r="AX20" i="135"/>
  <c r="AX168" i="135" s="1"/>
  <c r="AJ168" i="135"/>
  <c r="AX18" i="135"/>
  <c r="AJ132" i="135"/>
  <c r="AX132" i="135" s="1"/>
  <c r="AJ27" i="135"/>
  <c r="AX2" i="135"/>
  <c r="AX110" i="135" s="1"/>
  <c r="AJ7" i="135"/>
  <c r="AX7" i="135" s="1"/>
  <c r="AJ110" i="135"/>
  <c r="AH98" i="105"/>
  <c r="AH43" i="105"/>
  <c r="AJ44" i="139"/>
  <c r="AH5" i="105"/>
  <c r="AH10" i="105" s="1"/>
  <c r="AH11" i="105"/>
  <c r="AL11" i="105" s="1"/>
  <c r="T7" i="135"/>
  <c r="W111" i="8"/>
  <c r="BA43" i="135"/>
  <c r="BA69" i="135"/>
  <c r="BA63" i="135"/>
  <c r="U29" i="105"/>
  <c r="T123" i="135"/>
  <c r="T75" i="135"/>
  <c r="K48" i="138"/>
  <c r="K49" i="138" s="1"/>
  <c r="N46" i="138"/>
  <c r="N48" i="138" s="1"/>
  <c r="N49" i="138" s="1"/>
  <c r="K72" i="138"/>
  <c r="K73" i="138" s="1"/>
  <c r="N70" i="138"/>
  <c r="N72" i="138" s="1"/>
  <c r="N73" i="138" s="1"/>
  <c r="AW87" i="135"/>
  <c r="AW126" i="135" s="1"/>
  <c r="AI93" i="135"/>
  <c r="AI126" i="135"/>
  <c r="AM188" i="135"/>
  <c r="AO163" i="135"/>
  <c r="AP21" i="135"/>
  <c r="AP187" i="135" s="1"/>
  <c r="AB187" i="135"/>
  <c r="Z6" i="135"/>
  <c r="X185" i="135"/>
  <c r="AM189" i="135"/>
  <c r="AO144" i="135"/>
  <c r="AO162" i="135"/>
  <c r="AM186" i="135"/>
  <c r="AM105" i="135"/>
  <c r="BA105" i="135" s="1"/>
  <c r="AO105" i="135"/>
  <c r="P23" i="135"/>
  <c r="K23" i="135"/>
  <c r="AM90" i="135"/>
  <c r="BA90" i="135" s="1"/>
  <c r="AN85" i="135"/>
  <c r="AN199" i="135" s="1"/>
  <c r="Z199" i="135"/>
  <c r="M23" i="135"/>
  <c r="L23" i="135"/>
  <c r="AN79" i="135"/>
  <c r="AN198" i="135" s="1"/>
  <c r="Z198" i="135"/>
  <c r="AM19" i="135"/>
  <c r="BA19" i="135" s="1"/>
  <c r="BA150" i="135" s="1"/>
  <c r="AM12" i="135"/>
  <c r="BA12" i="135" s="1"/>
  <c r="BA149" i="135" s="1"/>
  <c r="N23" i="135"/>
  <c r="O23" i="135"/>
  <c r="AM17" i="135"/>
  <c r="BA17" i="135" s="1"/>
  <c r="BA113" i="135" s="1"/>
  <c r="AM82" i="135"/>
  <c r="BA82" i="135" s="1"/>
  <c r="AM21" i="135"/>
  <c r="BA21" i="135" s="1"/>
  <c r="BA187" i="135" s="1"/>
  <c r="AM77" i="135"/>
  <c r="BA77" i="135" s="1"/>
  <c r="BA160" i="135" s="1"/>
  <c r="AM29" i="135"/>
  <c r="BA29" i="135" s="1"/>
  <c r="BA115" i="135" s="1"/>
  <c r="AA168" i="135"/>
  <c r="AM20" i="135"/>
  <c r="BA20" i="135" s="1"/>
  <c r="BA168" i="135" s="1"/>
  <c r="AM24" i="135"/>
  <c r="BA24" i="135" s="1"/>
  <c r="BA151" i="135" s="1"/>
  <c r="AM25" i="135"/>
  <c r="BA25" i="135" s="1"/>
  <c r="BA169" i="135" s="1"/>
  <c r="AM13" i="135"/>
  <c r="BA13" i="135" s="1"/>
  <c r="BA167" i="135" s="1"/>
  <c r="AM32" i="135"/>
  <c r="BA32" i="135" s="1"/>
  <c r="BA170" i="135" s="1"/>
  <c r="AM11" i="135"/>
  <c r="BA11" i="135" s="1"/>
  <c r="AM14" i="135"/>
  <c r="BA14" i="135" s="1"/>
  <c r="BA186" i="135" s="1"/>
  <c r="AM10" i="135"/>
  <c r="BA10" i="135" s="1"/>
  <c r="BA112" i="135" s="1"/>
  <c r="AO18" i="135"/>
  <c r="AM18" i="135"/>
  <c r="BA18" i="135" s="1"/>
  <c r="AM26" i="135"/>
  <c r="BA26" i="135" s="1"/>
  <c r="BA188" i="135" s="1"/>
  <c r="AM31" i="135"/>
  <c r="BA31" i="135" s="1"/>
  <c r="BA152" i="135" s="1"/>
  <c r="AM33" i="135"/>
  <c r="BA33" i="135" s="1"/>
  <c r="BA189" i="135" s="1"/>
  <c r="AO9" i="135"/>
  <c r="AO111" i="135" s="1"/>
  <c r="AM9" i="135"/>
  <c r="BA9" i="135" s="1"/>
  <c r="BA111" i="135" s="1"/>
  <c r="AQ17" i="135"/>
  <c r="AQ113" i="135" s="1"/>
  <c r="AC111" i="135"/>
  <c r="AC22" i="135"/>
  <c r="N153" i="135"/>
  <c r="AD22" i="135"/>
  <c r="AB181" i="135"/>
  <c r="AA22" i="135"/>
  <c r="K190" i="135"/>
  <c r="AO20" i="135"/>
  <c r="AO168" i="135" s="1"/>
  <c r="AE22" i="135"/>
  <c r="L153" i="135"/>
  <c r="O153" i="135"/>
  <c r="P135" i="135"/>
  <c r="AF22" i="135"/>
  <c r="AB132" i="135"/>
  <c r="AP132" i="135" s="1"/>
  <c r="K135" i="135"/>
  <c r="AA111" i="135"/>
  <c r="K153" i="135"/>
  <c r="Z179" i="135"/>
  <c r="S190" i="135"/>
  <c r="AH4" i="135"/>
  <c r="AH148" i="135" s="1"/>
  <c r="AH158" i="135" s="1"/>
  <c r="AI4" i="135"/>
  <c r="AH2" i="135"/>
  <c r="AV2" i="135" s="1"/>
  <c r="AV110" i="135" s="1"/>
  <c r="AI2" i="135"/>
  <c r="W54" i="135"/>
  <c r="W56" i="135" s="1"/>
  <c r="AW10" i="135"/>
  <c r="AW112" i="135" s="1"/>
  <c r="AI112" i="135"/>
  <c r="AW20" i="135"/>
  <c r="AW168" i="135" s="1"/>
  <c r="AI168" i="135"/>
  <c r="AW18" i="135"/>
  <c r="AI132" i="135"/>
  <c r="AW132" i="135" s="1"/>
  <c r="AI34" i="135"/>
  <c r="AW29" i="135"/>
  <c r="AW115" i="135" s="1"/>
  <c r="AI115" i="135"/>
  <c r="AG22" i="135"/>
  <c r="K116" i="135"/>
  <c r="AW12" i="135"/>
  <c r="AW149" i="135" s="1"/>
  <c r="AI149" i="135"/>
  <c r="AI71" i="135"/>
  <c r="AH71" i="135"/>
  <c r="N116" i="135"/>
  <c r="AW31" i="135"/>
  <c r="AW152" i="135" s="1"/>
  <c r="AI152" i="135"/>
  <c r="AW55" i="135"/>
  <c r="AW21" i="135"/>
  <c r="AW187" i="135" s="1"/>
  <c r="AW33" i="135"/>
  <c r="AW189" i="135" s="1"/>
  <c r="S153" i="135"/>
  <c r="AW6" i="135"/>
  <c r="AW185" i="135" s="1"/>
  <c r="M153" i="135"/>
  <c r="AW14" i="135"/>
  <c r="AW186" i="135" s="1"/>
  <c r="AI74" i="135"/>
  <c r="AI197" i="135" s="1"/>
  <c r="AH74" i="135"/>
  <c r="AH197" i="135" s="1"/>
  <c r="AH5" i="135"/>
  <c r="AH166" i="135" s="1"/>
  <c r="AH177" i="135" s="1"/>
  <c r="AI5" i="135"/>
  <c r="AW17" i="135"/>
  <c r="AW113" i="135" s="1"/>
  <c r="AI22" i="135"/>
  <c r="AI113" i="135"/>
  <c r="AM113" i="135" s="1"/>
  <c r="AW130" i="135"/>
  <c r="AW25" i="135"/>
  <c r="AW169" i="135" s="1"/>
  <c r="AI169" i="135"/>
  <c r="AW9" i="135"/>
  <c r="AI111" i="135"/>
  <c r="AI15" i="135"/>
  <c r="AW11" i="135"/>
  <c r="AI131" i="135"/>
  <c r="M135" i="135"/>
  <c r="S171" i="135"/>
  <c r="S116" i="135"/>
  <c r="S135" i="135"/>
  <c r="AI27" i="135"/>
  <c r="AW24" i="135"/>
  <c r="AW151" i="135" s="1"/>
  <c r="AI151" i="135"/>
  <c r="AW19" i="135"/>
  <c r="AW150" i="135" s="1"/>
  <c r="AI150" i="135"/>
  <c r="AW32" i="135"/>
  <c r="AW170" i="135" s="1"/>
  <c r="AI170" i="135"/>
  <c r="AW26" i="135"/>
  <c r="AW188" i="135" s="1"/>
  <c r="O135" i="135"/>
  <c r="AW13" i="135"/>
  <c r="AW167" i="135" s="1"/>
  <c r="AI167" i="135"/>
  <c r="AD95" i="105"/>
  <c r="AF89" i="135" s="1"/>
  <c r="AT89" i="135" s="1"/>
  <c r="AN24" i="90"/>
  <c r="AM19" i="105"/>
  <c r="AL22" i="105"/>
  <c r="AM22" i="105" s="1"/>
  <c r="W4" i="135"/>
  <c r="W148" i="135" s="1"/>
  <c r="W27" i="135"/>
  <c r="W28" i="135" s="1"/>
  <c r="AG42" i="105"/>
  <c r="AJ8" i="102"/>
  <c r="X24" i="105"/>
  <c r="V129" i="8"/>
  <c r="S16" i="135"/>
  <c r="W74" i="135"/>
  <c r="W197" i="135" s="1"/>
  <c r="S28" i="135"/>
  <c r="S35" i="135"/>
  <c r="W72" i="135"/>
  <c r="W159" i="135" s="1"/>
  <c r="AT7" i="82"/>
  <c r="AU7" i="82" s="1"/>
  <c r="S23" i="135"/>
  <c r="W22" i="135"/>
  <c r="V151" i="8"/>
  <c r="S75" i="135"/>
  <c r="W73" i="135"/>
  <c r="W178" i="135" s="1"/>
  <c r="W2" i="135"/>
  <c r="W110" i="135" s="1"/>
  <c r="S8" i="135"/>
  <c r="S36" i="135"/>
  <c r="AI44" i="139"/>
  <c r="J80" i="130"/>
  <c r="L80" i="130" s="1"/>
  <c r="E148" i="8"/>
  <c r="N36" i="135"/>
  <c r="AB96" i="135"/>
  <c r="AP96" i="135" s="1"/>
  <c r="AP164" i="135" s="1"/>
  <c r="S132" i="8"/>
  <c r="AB34" i="135"/>
  <c r="AP34" i="135" s="1"/>
  <c r="AB15" i="135"/>
  <c r="T132" i="8"/>
  <c r="Q196" i="8"/>
  <c r="Q198" i="8" s="1"/>
  <c r="AI44" i="144"/>
  <c r="AP20" i="135"/>
  <c r="AP168" i="135" s="1"/>
  <c r="M171" i="135"/>
  <c r="M116" i="135"/>
  <c r="AH6" i="91"/>
  <c r="Q171" i="135"/>
  <c r="Z181" i="135"/>
  <c r="N190" i="135"/>
  <c r="Q190" i="135"/>
  <c r="AN26" i="85"/>
  <c r="AO26" i="85" s="1"/>
  <c r="P116" i="135"/>
  <c r="O116" i="135"/>
  <c r="P153" i="135"/>
  <c r="AB22" i="135"/>
  <c r="Q9" i="141"/>
  <c r="Q11" i="141" s="1"/>
  <c r="Q12" i="141" s="1"/>
  <c r="N135" i="135"/>
  <c r="Q116" i="135"/>
  <c r="AD8" i="102"/>
  <c r="AN8" i="102" s="1"/>
  <c r="AA6" i="91"/>
  <c r="AN28" i="90"/>
  <c r="AO28" i="90" s="1"/>
  <c r="Y86" i="135"/>
  <c r="AD179" i="135"/>
  <c r="AR78" i="135"/>
  <c r="AR179" i="135" s="1"/>
  <c r="AE98" i="135"/>
  <c r="AD143" i="135"/>
  <c r="AR143" i="135" s="1"/>
  <c r="AR82" i="135"/>
  <c r="AQ84" i="135"/>
  <c r="AQ180" i="135" s="1"/>
  <c r="AC180" i="135"/>
  <c r="AK9" i="91"/>
  <c r="AI14" i="105" s="1"/>
  <c r="AK9" i="144"/>
  <c r="AF6" i="91"/>
  <c r="AO24" i="142"/>
  <c r="AA149" i="135"/>
  <c r="AO12" i="135"/>
  <c r="AO149" i="135" s="1"/>
  <c r="AD167" i="135"/>
  <c r="AR13" i="135"/>
  <c r="AR167" i="135" s="1"/>
  <c r="AE143" i="135"/>
  <c r="AS143" i="135" s="1"/>
  <c r="AS82" i="135"/>
  <c r="O16" i="135"/>
  <c r="K28" i="135"/>
  <c r="AT33" i="135"/>
  <c r="AT189" i="135" s="1"/>
  <c r="AG145" i="135"/>
  <c r="AU95" i="135"/>
  <c r="AU145" i="135" s="1"/>
  <c r="AS11" i="135"/>
  <c r="AE131" i="135"/>
  <c r="P190" i="135"/>
  <c r="AA115" i="135"/>
  <c r="AA34" i="135"/>
  <c r="AO29" i="135"/>
  <c r="AO115" i="135" s="1"/>
  <c r="AU14" i="135"/>
  <c r="AU186" i="135" s="1"/>
  <c r="AT31" i="135"/>
  <c r="AT152" i="135" s="1"/>
  <c r="AF152" i="135"/>
  <c r="AT32" i="135"/>
  <c r="AT170" i="135" s="1"/>
  <c r="AF170" i="135"/>
  <c r="AR29" i="135"/>
  <c r="AR115" i="135" s="1"/>
  <c r="AD34" i="135"/>
  <c r="AD115" i="135"/>
  <c r="AQ33" i="135"/>
  <c r="AQ189" i="135" s="1"/>
  <c r="Q75" i="135"/>
  <c r="AR33" i="135"/>
  <c r="AR189" i="135" s="1"/>
  <c r="O190" i="135"/>
  <c r="Q35" i="135"/>
  <c r="AU11" i="135"/>
  <c r="AG131" i="135"/>
  <c r="AD9" i="91"/>
  <c r="AD9" i="144"/>
  <c r="AU83" i="135"/>
  <c r="AU161" i="135" s="1"/>
  <c r="AG161" i="135"/>
  <c r="AE6" i="91"/>
  <c r="AU85" i="135"/>
  <c r="AU199" i="135" s="1"/>
  <c r="AO7" i="142"/>
  <c r="AG86" i="135"/>
  <c r="AU86" i="135" s="1"/>
  <c r="AU24" i="135"/>
  <c r="AU151" i="135" s="1"/>
  <c r="AG27" i="135"/>
  <c r="AG151" i="135"/>
  <c r="AE27" i="135"/>
  <c r="AE151" i="135"/>
  <c r="AS24" i="135"/>
  <c r="AS151" i="135" s="1"/>
  <c r="AC167" i="135"/>
  <c r="AQ13" i="135"/>
  <c r="AQ167" i="135" s="1"/>
  <c r="AA27" i="135"/>
  <c r="AA151" i="135"/>
  <c r="AO24" i="135"/>
  <c r="AO151" i="135" s="1"/>
  <c r="AC115" i="135"/>
  <c r="AC34" i="135"/>
  <c r="AQ29" i="135"/>
  <c r="AQ115" i="135" s="1"/>
  <c r="AU18" i="135"/>
  <c r="AG132" i="135"/>
  <c r="AU132" i="135" s="1"/>
  <c r="AQ26" i="135"/>
  <c r="AQ188" i="135" s="1"/>
  <c r="AS18" i="135"/>
  <c r="AE132" i="135"/>
  <c r="AS132" i="135" s="1"/>
  <c r="AT21" i="135"/>
  <c r="AT187" i="135" s="1"/>
  <c r="AT11" i="135"/>
  <c r="AF131" i="135"/>
  <c r="AD27" i="135"/>
  <c r="AD151" i="135"/>
  <c r="AR24" i="135"/>
  <c r="AR151" i="135" s="1"/>
  <c r="O171" i="135"/>
  <c r="AP33" i="135"/>
  <c r="AP189" i="135" s="1"/>
  <c r="AN33" i="135"/>
  <c r="AN189" i="135" s="1"/>
  <c r="AT18" i="135"/>
  <c r="AF132" i="135"/>
  <c r="AT132" i="135" s="1"/>
  <c r="AJ9" i="91"/>
  <c r="AH14" i="105" s="1"/>
  <c r="AL14" i="105" s="1"/>
  <c r="AM14" i="105" s="1"/>
  <c r="AJ9" i="144"/>
  <c r="R158" i="8"/>
  <c r="AE74" i="135"/>
  <c r="AE197" i="135" s="1"/>
  <c r="AF74" i="135"/>
  <c r="AF197" i="135" s="1"/>
  <c r="AG74" i="135"/>
  <c r="AG197" i="135" s="1"/>
  <c r="AD74" i="135"/>
  <c r="AD197" i="135" s="1"/>
  <c r="AI9" i="91"/>
  <c r="AI9" i="144"/>
  <c r="AL9" i="91"/>
  <c r="AJ14" i="105" s="1"/>
  <c r="AL9" i="144"/>
  <c r="AL6" i="91"/>
  <c r="AJ27" i="105" s="1"/>
  <c r="AL44" i="144"/>
  <c r="AJ6" i="91"/>
  <c r="AH27" i="105" s="1"/>
  <c r="AL27" i="105" s="1"/>
  <c r="AM27" i="105" s="1"/>
  <c r="AJ44" i="144"/>
  <c r="AU79" i="135"/>
  <c r="AU198" i="135" s="1"/>
  <c r="AG4" i="135"/>
  <c r="Z40" i="92"/>
  <c r="O40" i="139"/>
  <c r="Z40" i="139" s="1"/>
  <c r="AC163" i="135"/>
  <c r="AQ163" i="135" s="1"/>
  <c r="AG160" i="135"/>
  <c r="AU77" i="135"/>
  <c r="AU160" i="135" s="1"/>
  <c r="N8" i="135"/>
  <c r="AE167" i="135"/>
  <c r="AS13" i="135"/>
  <c r="AS167" i="135" s="1"/>
  <c r="AE6" i="135"/>
  <c r="AE185" i="135" s="1"/>
  <c r="O7" i="135"/>
  <c r="O28" i="135"/>
  <c r="Z25" i="135"/>
  <c r="X169" i="135"/>
  <c r="AD149" i="135"/>
  <c r="AR12" i="135"/>
  <c r="AR149" i="135" s="1"/>
  <c r="AD127" i="135"/>
  <c r="AR94" i="135"/>
  <c r="AR127" i="135" s="1"/>
  <c r="AR25" i="135"/>
  <c r="AR169" i="135" s="1"/>
  <c r="AD169" i="135"/>
  <c r="AD168" i="135"/>
  <c r="AR20" i="135"/>
  <c r="AR168" i="135" s="1"/>
  <c r="AD111" i="135"/>
  <c r="AR9" i="135"/>
  <c r="K35" i="135"/>
  <c r="AN38" i="144"/>
  <c r="AO38" i="144" s="1"/>
  <c r="AF95" i="135"/>
  <c r="AC6" i="135"/>
  <c r="AC185" i="135" s="1"/>
  <c r="AT26" i="135"/>
  <c r="AT188" i="135" s="1"/>
  <c r="AG182" i="135"/>
  <c r="AU97" i="135"/>
  <c r="AU182" i="135" s="1"/>
  <c r="AN26" i="135"/>
  <c r="AN188" i="135" s="1"/>
  <c r="N35" i="135"/>
  <c r="AS20" i="135"/>
  <c r="AS168" i="135" s="1"/>
  <c r="AE168" i="135"/>
  <c r="L171" i="135"/>
  <c r="AQ21" i="135"/>
  <c r="AQ187" i="135" s="1"/>
  <c r="AA170" i="135"/>
  <c r="AO32" i="135"/>
  <c r="AO170" i="135" s="1"/>
  <c r="AT12" i="135"/>
  <c r="AT149" i="135" s="1"/>
  <c r="AF149" i="135"/>
  <c r="AD152" i="135"/>
  <c r="AR31" i="135"/>
  <c r="AR152" i="135" s="1"/>
  <c r="AT6" i="135"/>
  <c r="AT185" i="135" s="1"/>
  <c r="H154" i="8"/>
  <c r="AC9" i="144"/>
  <c r="AF38" i="85"/>
  <c r="AT85" i="135"/>
  <c r="AT199" i="135" s="1"/>
  <c r="AD6" i="91"/>
  <c r="W10" i="95"/>
  <c r="X44" i="139"/>
  <c r="AN30" i="85"/>
  <c r="AO30" i="85" s="1"/>
  <c r="O41" i="139"/>
  <c r="AB41" i="139" s="1"/>
  <c r="AB44" i="139" s="1"/>
  <c r="L98" i="135"/>
  <c r="AD200" i="135"/>
  <c r="AR92" i="135"/>
  <c r="AR200" i="135" s="1"/>
  <c r="L35" i="135"/>
  <c r="AR11" i="135"/>
  <c r="AD131" i="135"/>
  <c r="AU25" i="135"/>
  <c r="AU169" i="135" s="1"/>
  <c r="AG169" i="135"/>
  <c r="AR26" i="135"/>
  <c r="AR188" i="135" s="1"/>
  <c r="AR21" i="135"/>
  <c r="AR187" i="135" s="1"/>
  <c r="AN14" i="135"/>
  <c r="AN186" i="135" s="1"/>
  <c r="M35" i="135"/>
  <c r="AN21" i="135"/>
  <c r="AN187" i="135" s="1"/>
  <c r="Z36" i="139"/>
  <c r="AF36" i="139"/>
  <c r="AN36" i="139" s="1"/>
  <c r="AO36" i="139" s="1"/>
  <c r="N16" i="135"/>
  <c r="AU21" i="135"/>
  <c r="AU187" i="135" s="1"/>
  <c r="AF144" i="135"/>
  <c r="AT144" i="135" s="1"/>
  <c r="AT88" i="135"/>
  <c r="AB152" i="135"/>
  <c r="AP31" i="135"/>
  <c r="AP152" i="135" s="1"/>
  <c r="AQ14" i="135"/>
  <c r="AQ186" i="135" s="1"/>
  <c r="AP26" i="135"/>
  <c r="AP188" i="135" s="1"/>
  <c r="I171" i="135"/>
  <c r="Z31" i="139"/>
  <c r="AB167" i="135"/>
  <c r="AP13" i="135"/>
  <c r="AP167" i="135" s="1"/>
  <c r="AB149" i="135"/>
  <c r="AP12" i="135"/>
  <c r="AP149" i="135" s="1"/>
  <c r="P171" i="135"/>
  <c r="AB169" i="135"/>
  <c r="AP25" i="135"/>
  <c r="AP169" i="135" s="1"/>
  <c r="L135" i="135"/>
  <c r="AF9" i="91"/>
  <c r="AF9" i="144"/>
  <c r="AB9" i="91"/>
  <c r="AB9" i="144"/>
  <c r="AB44" i="144" s="1"/>
  <c r="AG71" i="135"/>
  <c r="AF71" i="135"/>
  <c r="AD71" i="135"/>
  <c r="AE71" i="135"/>
  <c r="AH44" i="144"/>
  <c r="Y5" i="135"/>
  <c r="Y166" i="135" s="1"/>
  <c r="AG5" i="135"/>
  <c r="AF5" i="135"/>
  <c r="AE5" i="135"/>
  <c r="AD5" i="135"/>
  <c r="AO22" i="139"/>
  <c r="T11" i="141"/>
  <c r="T12" i="141" s="1"/>
  <c r="AG103" i="105"/>
  <c r="AS33" i="135"/>
  <c r="AS189" i="135" s="1"/>
  <c r="Z20" i="135"/>
  <c r="X168" i="135"/>
  <c r="N28" i="135"/>
  <c r="AB170" i="135"/>
  <c r="AP32" i="135"/>
  <c r="AP170" i="135" s="1"/>
  <c r="AB27" i="135"/>
  <c r="AB151" i="135"/>
  <c r="AP24" i="135"/>
  <c r="AP151" i="135" s="1"/>
  <c r="AF97" i="135"/>
  <c r="AE144" i="135"/>
  <c r="AS144" i="135" s="1"/>
  <c r="AS88" i="135"/>
  <c r="AF34" i="135"/>
  <c r="AF115" i="135"/>
  <c r="AT29" i="135"/>
  <c r="AT115" i="135" s="1"/>
  <c r="AC152" i="135"/>
  <c r="AQ31" i="135"/>
  <c r="AQ152" i="135" s="1"/>
  <c r="AR6" i="135"/>
  <c r="AR185" i="135" s="1"/>
  <c r="AU33" i="135"/>
  <c r="AU189" i="135" s="1"/>
  <c r="AR10" i="135"/>
  <c r="AR112" i="135" s="1"/>
  <c r="AD112" i="135"/>
  <c r="AD15" i="135"/>
  <c r="AE34" i="135"/>
  <c r="AE115" i="135"/>
  <c r="AS29" i="135"/>
  <c r="AS115" i="135" s="1"/>
  <c r="AN30" i="144"/>
  <c r="AF168" i="135"/>
  <c r="AT20" i="135"/>
  <c r="AT168" i="135" s="1"/>
  <c r="M190" i="135"/>
  <c r="Z13" i="135"/>
  <c r="X167" i="135"/>
  <c r="AC151" i="135"/>
  <c r="AC27" i="135"/>
  <c r="AQ24" i="135"/>
  <c r="AQ151" i="135" s="1"/>
  <c r="AS21" i="135"/>
  <c r="AS187" i="135" s="1"/>
  <c r="K171" i="135"/>
  <c r="AU9" i="135"/>
  <c r="AG111" i="135"/>
  <c r="AE127" i="135"/>
  <c r="AS94" i="135"/>
  <c r="AS127" i="135" s="1"/>
  <c r="AH38" i="85"/>
  <c r="AF167" i="135"/>
  <c r="AT13" i="135"/>
  <c r="AT167" i="135" s="1"/>
  <c r="AE169" i="135"/>
  <c r="AS25" i="135"/>
  <c r="AS169" i="135" s="1"/>
  <c r="L28" i="135"/>
  <c r="AP11" i="135"/>
  <c r="AB131" i="135"/>
  <c r="AP131" i="135" s="1"/>
  <c r="AU6" i="135"/>
  <c r="AU185" i="135" s="1"/>
  <c r="AT78" i="135"/>
  <c r="AT179" i="135" s="1"/>
  <c r="AF179" i="135"/>
  <c r="AE9" i="91"/>
  <c r="AE9" i="144"/>
  <c r="AG98" i="135"/>
  <c r="AT79" i="135"/>
  <c r="AT198" i="135" s="1"/>
  <c r="AK6" i="91"/>
  <c r="AI27" i="105" s="1"/>
  <c r="AK44" i="144"/>
  <c r="J139" i="8"/>
  <c r="N23" i="91"/>
  <c r="N23" i="144"/>
  <c r="V10" i="95"/>
  <c r="W44" i="139"/>
  <c r="AB10" i="102"/>
  <c r="AN10" i="102" s="1"/>
  <c r="AT9" i="135"/>
  <c r="AF111" i="135"/>
  <c r="AD182" i="135"/>
  <c r="AR97" i="135"/>
  <c r="AR182" i="135" s="1"/>
  <c r="AE95" i="135"/>
  <c r="AE152" i="135"/>
  <c r="AS31" i="135"/>
  <c r="AS152" i="135" s="1"/>
  <c r="AO26" i="135"/>
  <c r="AO188" i="135" s="1"/>
  <c r="Q98" i="135"/>
  <c r="T41" i="139"/>
  <c r="AG41" i="139" s="1"/>
  <c r="AG44" i="139" s="1"/>
  <c r="AF169" i="135"/>
  <c r="AT25" i="135"/>
  <c r="AT169" i="135" s="1"/>
  <c r="AO22" i="144"/>
  <c r="AO11" i="135"/>
  <c r="AA131" i="135"/>
  <c r="AT82" i="135"/>
  <c r="AF143" i="135"/>
  <c r="AT143" i="135" s="1"/>
  <c r="Z32" i="135"/>
  <c r="X170" i="135"/>
  <c r="AQ11" i="135"/>
  <c r="AC131" i="135"/>
  <c r="Q130" i="135"/>
  <c r="AG3" i="135"/>
  <c r="AS12" i="135"/>
  <c r="AS149" i="135" s="1"/>
  <c r="AE149" i="135"/>
  <c r="M28" i="135"/>
  <c r="P130" i="135"/>
  <c r="AF3" i="135"/>
  <c r="K16" i="135"/>
  <c r="M16" i="135"/>
  <c r="AA167" i="135"/>
  <c r="AO13" i="135"/>
  <c r="AO167" i="135" s="1"/>
  <c r="Q16" i="135"/>
  <c r="AQ18" i="135"/>
  <c r="AC132" i="135"/>
  <c r="AQ132" i="135" s="1"/>
  <c r="AP14" i="135"/>
  <c r="AP186" i="135" s="1"/>
  <c r="AE182" i="135"/>
  <c r="AS97" i="135"/>
  <c r="AS182" i="135" s="1"/>
  <c r="AH9" i="91"/>
  <c r="AH9" i="144"/>
  <c r="AA9" i="91"/>
  <c r="AA9" i="144"/>
  <c r="AO9" i="144" s="1"/>
  <c r="AG9" i="91"/>
  <c r="AG9" i="144"/>
  <c r="AC6" i="91"/>
  <c r="AC44" i="144"/>
  <c r="AU89" i="135"/>
  <c r="AG162" i="135"/>
  <c r="AU162" i="135" s="1"/>
  <c r="AL44" i="139"/>
  <c r="AU90" i="135"/>
  <c r="AG163" i="135"/>
  <c r="AU163" i="135" s="1"/>
  <c r="M7" i="135"/>
  <c r="AG144" i="135"/>
  <c r="AU144" i="135" s="1"/>
  <c r="AU88" i="135"/>
  <c r="P16" i="135"/>
  <c r="AD170" i="135"/>
  <c r="AR32" i="135"/>
  <c r="AR170" i="135" s="1"/>
  <c r="AG150" i="135"/>
  <c r="AM150" i="135" s="1"/>
  <c r="AU19" i="135"/>
  <c r="AU150" i="135" s="1"/>
  <c r="AE111" i="135"/>
  <c r="AS9" i="135"/>
  <c r="O35" i="135"/>
  <c r="P35" i="135"/>
  <c r="AG152" i="135"/>
  <c r="AU31" i="135"/>
  <c r="AU152" i="135" s="1"/>
  <c r="AG167" i="135"/>
  <c r="AU13" i="135"/>
  <c r="AU167" i="135" s="1"/>
  <c r="L16" i="135"/>
  <c r="AA152" i="135"/>
  <c r="AO31" i="135"/>
  <c r="AO152" i="135" s="1"/>
  <c r="AT24" i="135"/>
  <c r="AT151" i="135" s="1"/>
  <c r="AF151" i="135"/>
  <c r="AF27" i="135"/>
  <c r="AN40" i="144"/>
  <c r="AO40" i="144" s="1"/>
  <c r="AD130" i="135"/>
  <c r="AR3" i="135"/>
  <c r="Q153" i="135"/>
  <c r="AS32" i="135"/>
  <c r="AS170" i="135" s="1"/>
  <c r="AE170" i="135"/>
  <c r="AO10" i="135"/>
  <c r="AO112" i="135" s="1"/>
  <c r="AA112" i="135"/>
  <c r="AA15" i="135"/>
  <c r="AS26" i="135"/>
  <c r="AS188" i="135" s="1"/>
  <c r="L190" i="135"/>
  <c r="AC149" i="135"/>
  <c r="AQ12" i="135"/>
  <c r="AQ149" i="135" s="1"/>
  <c r="Z30" i="139"/>
  <c r="AF180" i="135"/>
  <c r="AT84" i="135"/>
  <c r="AT180" i="135" s="1"/>
  <c r="AG6" i="91"/>
  <c r="AG44" i="144"/>
  <c r="AL97" i="105"/>
  <c r="AM97" i="105" s="1"/>
  <c r="AE91" i="135"/>
  <c r="AM91" i="135" s="1"/>
  <c r="BA91" i="135" s="1"/>
  <c r="BA181" i="135" s="1"/>
  <c r="AG96" i="135"/>
  <c r="Q7" i="135"/>
  <c r="AR14" i="135"/>
  <c r="AR186" i="135" s="1"/>
  <c r="Q28" i="135"/>
  <c r="AF112" i="135"/>
  <c r="AF15" i="135"/>
  <c r="AT10" i="135"/>
  <c r="AT112" i="135" s="1"/>
  <c r="N171" i="135"/>
  <c r="AE130" i="135"/>
  <c r="AS3" i="135"/>
  <c r="AU32" i="135"/>
  <c r="AU170" i="135" s="1"/>
  <c r="AG170" i="135"/>
  <c r="AE15" i="135"/>
  <c r="AE112" i="135"/>
  <c r="AS10" i="135"/>
  <c r="AS112" i="135" s="1"/>
  <c r="AT14" i="135"/>
  <c r="AT186" i="135" s="1"/>
  <c r="P28" i="135"/>
  <c r="Z38" i="139"/>
  <c r="AF38" i="139"/>
  <c r="AN38" i="139" s="1"/>
  <c r="AO38" i="139" s="1"/>
  <c r="AU20" i="135"/>
  <c r="AU168" i="135" s="1"/>
  <c r="AG168" i="135"/>
  <c r="AC169" i="135"/>
  <c r="AQ25" i="135"/>
  <c r="AQ169" i="135" s="1"/>
  <c r="AO33" i="135"/>
  <c r="AO189" i="135" s="1"/>
  <c r="AN37" i="144"/>
  <c r="AO37" i="144" s="1"/>
  <c r="AG149" i="135"/>
  <c r="AU12" i="135"/>
  <c r="AU149" i="135" s="1"/>
  <c r="AC170" i="135"/>
  <c r="AQ32" i="135"/>
  <c r="AQ170" i="135" s="1"/>
  <c r="AO14" i="135"/>
  <c r="AO186" i="135" s="1"/>
  <c r="AA169" i="135"/>
  <c r="AO25" i="135"/>
  <c r="AO169" i="135" s="1"/>
  <c r="AF127" i="135"/>
  <c r="AT94" i="135"/>
  <c r="AT127" i="135" s="1"/>
  <c r="AC112" i="135"/>
  <c r="AC15" i="135"/>
  <c r="AQ10" i="135"/>
  <c r="AQ112" i="135" s="1"/>
  <c r="AU26" i="135"/>
  <c r="AU188" i="135" s="1"/>
  <c r="AG112" i="135"/>
  <c r="AU10" i="135"/>
  <c r="AU112" i="135" s="1"/>
  <c r="AG15" i="135"/>
  <c r="AR18" i="135"/>
  <c r="AD132" i="135"/>
  <c r="AR132" i="135" s="1"/>
  <c r="AG127" i="135"/>
  <c r="AU94" i="135"/>
  <c r="AU127" i="135" s="1"/>
  <c r="AS14" i="135"/>
  <c r="AS186" i="135" s="1"/>
  <c r="AG115" i="135"/>
  <c r="AU29" i="135"/>
  <c r="AU115" i="135" s="1"/>
  <c r="AG34" i="135"/>
  <c r="Q135" i="135"/>
  <c r="AF43" i="105"/>
  <c r="AH44" i="139"/>
  <c r="U44" i="139" s="1"/>
  <c r="AF98" i="105"/>
  <c r="AH92" i="135" s="1"/>
  <c r="AH93" i="135" s="1"/>
  <c r="AO30" i="92"/>
  <c r="V63" i="130"/>
  <c r="AY13" i="82"/>
  <c r="AX10" i="82"/>
  <c r="AR5" i="82"/>
  <c r="AR7" i="82" s="1"/>
  <c r="Z42" i="82"/>
  <c r="U8" i="137"/>
  <c r="U9" i="137" s="1"/>
  <c r="AE124" i="135"/>
  <c r="AS76" i="135"/>
  <c r="AS124" i="135" s="1"/>
  <c r="E16" i="135"/>
  <c r="E37" i="135" s="1"/>
  <c r="AU55" i="135"/>
  <c r="AD125" i="135"/>
  <c r="AR81" i="135"/>
  <c r="AR125" i="135" s="1"/>
  <c r="AF124" i="135"/>
  <c r="AT76" i="135"/>
  <c r="AT124" i="135" s="1"/>
  <c r="AD124" i="135"/>
  <c r="AR76" i="135"/>
  <c r="AR124" i="135" s="1"/>
  <c r="AU22" i="135"/>
  <c r="AG2" i="135"/>
  <c r="AG80" i="135"/>
  <c r="AG124" i="135"/>
  <c r="AU76" i="135"/>
  <c r="AU124" i="135" s="1"/>
  <c r="J171" i="135"/>
  <c r="Z92" i="135"/>
  <c r="AN92" i="135" s="1"/>
  <c r="Y92" i="135"/>
  <c r="Y93" i="135" s="1"/>
  <c r="Y80" i="135"/>
  <c r="Y167" i="135"/>
  <c r="Y171" i="135" s="1"/>
  <c r="Y181" i="135"/>
  <c r="AN181" i="135"/>
  <c r="Y179" i="135"/>
  <c r="AN179" i="135"/>
  <c r="Y160" i="135"/>
  <c r="Y144" i="135"/>
  <c r="Y143" i="135"/>
  <c r="AE98" i="105"/>
  <c r="AG38" i="85"/>
  <c r="AQ83" i="135"/>
  <c r="AQ161" i="135" s="1"/>
  <c r="AC161" i="135"/>
  <c r="AF96" i="135"/>
  <c r="P159" i="135"/>
  <c r="P75" i="135"/>
  <c r="AT77" i="135"/>
  <c r="AT160" i="135" s="1"/>
  <c r="AF160" i="135"/>
  <c r="AF80" i="135"/>
  <c r="AE163" i="135"/>
  <c r="AS163" i="135" s="1"/>
  <c r="AS90" i="135"/>
  <c r="AD96" i="135"/>
  <c r="AE162" i="135"/>
  <c r="AS162" i="135" s="1"/>
  <c r="AS89" i="135"/>
  <c r="AQ89" i="135"/>
  <c r="AS150" i="135"/>
  <c r="AE161" i="135"/>
  <c r="AS83" i="135"/>
  <c r="AS161" i="135" s="1"/>
  <c r="AQ77" i="135"/>
  <c r="AQ160" i="135" s="1"/>
  <c r="AC160" i="135"/>
  <c r="P148" i="135"/>
  <c r="P7" i="135"/>
  <c r="AR150" i="135"/>
  <c r="K57" i="135"/>
  <c r="K36" i="135"/>
  <c r="K8" i="135"/>
  <c r="AN26" i="90"/>
  <c r="AO26" i="90" s="1"/>
  <c r="N17" i="85"/>
  <c r="L41" i="105" s="1"/>
  <c r="K16" i="120" s="1"/>
  <c r="Q16" i="120" s="1"/>
  <c r="AN30" i="90"/>
  <c r="AO30" i="90" s="1"/>
  <c r="AD162" i="135"/>
  <c r="AR162" i="135" s="1"/>
  <c r="AR89" i="135"/>
  <c r="AQ96" i="135"/>
  <c r="AQ164" i="135" s="1"/>
  <c r="AC164" i="135"/>
  <c r="AE160" i="135"/>
  <c r="AS77" i="135"/>
  <c r="AS160" i="135" s="1"/>
  <c r="AF4" i="135"/>
  <c r="AE4" i="135"/>
  <c r="AB4" i="135"/>
  <c r="AP4" i="135" s="1"/>
  <c r="AC4" i="135"/>
  <c r="AC148" i="135" s="1"/>
  <c r="AD4" i="135"/>
  <c r="AA4" i="135"/>
  <c r="L36" i="135"/>
  <c r="L8" i="135"/>
  <c r="AD160" i="135"/>
  <c r="AR77" i="135"/>
  <c r="AR160" i="135" s="1"/>
  <c r="AD80" i="135"/>
  <c r="J9" i="141"/>
  <c r="J11" i="141" s="1"/>
  <c r="J12" i="141" s="1"/>
  <c r="M72" i="135"/>
  <c r="AE96" i="135"/>
  <c r="AF163" i="135"/>
  <c r="AT163" i="135" s="1"/>
  <c r="AT90" i="135"/>
  <c r="AD161" i="135"/>
  <c r="AR83" i="135"/>
  <c r="AR161" i="135" s="1"/>
  <c r="AD86" i="135"/>
  <c r="AF103" i="105"/>
  <c r="B10" i="138"/>
  <c r="B12" i="138" s="1"/>
  <c r="B13" i="138" s="1"/>
  <c r="K56" i="135"/>
  <c r="AT150" i="135"/>
  <c r="AE2" i="135"/>
  <c r="AE110" i="135" s="1"/>
  <c r="AF2" i="135"/>
  <c r="AD98" i="105"/>
  <c r="AD89" i="105"/>
  <c r="AF83" i="135" s="1"/>
  <c r="AM83" i="135" s="1"/>
  <c r="BA83" i="135" s="1"/>
  <c r="BA161" i="135" s="1"/>
  <c r="AN33" i="90"/>
  <c r="AO33" i="90" s="1"/>
  <c r="AA2" i="135"/>
  <c r="AB2" i="135"/>
  <c r="AD2" i="135"/>
  <c r="AC2" i="135"/>
  <c r="AC110" i="135" s="1"/>
  <c r="AE44" i="139"/>
  <c r="AF87" i="102"/>
  <c r="AC98" i="105"/>
  <c r="AD163" i="135"/>
  <c r="AR90" i="135"/>
  <c r="AD93" i="135"/>
  <c r="AD145" i="135"/>
  <c r="AR95" i="135"/>
  <c r="AR145" i="135" s="1"/>
  <c r="AP55" i="135"/>
  <c r="AQ168" i="135"/>
  <c r="AQ111" i="135"/>
  <c r="AQ55" i="135"/>
  <c r="AQ88" i="135"/>
  <c r="AC144" i="135"/>
  <c r="AQ144" i="135" s="1"/>
  <c r="AQ82" i="135"/>
  <c r="AC143" i="135"/>
  <c r="AQ143" i="135" s="1"/>
  <c r="AI103" i="105"/>
  <c r="AQ3" i="135"/>
  <c r="AC130" i="135"/>
  <c r="J12" i="138"/>
  <c r="Q58" i="137"/>
  <c r="Q59" i="137" s="1"/>
  <c r="Q60" i="137" s="1"/>
  <c r="O10" i="95"/>
  <c r="P44" i="139"/>
  <c r="AB86" i="105"/>
  <c r="T172" i="8"/>
  <c r="T173" i="8" s="1"/>
  <c r="U14" i="137"/>
  <c r="C3" i="124"/>
  <c r="P10" i="95"/>
  <c r="Q44" i="139"/>
  <c r="AN34" i="90"/>
  <c r="AO34" i="90" s="1"/>
  <c r="R9" i="141"/>
  <c r="R11" i="141" s="1"/>
  <c r="R12" i="141" s="1"/>
  <c r="AO24" i="90"/>
  <c r="AL96" i="105"/>
  <c r="AM96" i="105" s="1"/>
  <c r="AN37" i="90"/>
  <c r="AO37" i="90" s="1"/>
  <c r="AN32" i="90"/>
  <c r="AN31" i="90"/>
  <c r="AO31" i="90" s="1"/>
  <c r="AN25" i="90"/>
  <c r="AO25" i="90" s="1"/>
  <c r="AN38" i="90"/>
  <c r="AB103" i="105"/>
  <c r="O9" i="141"/>
  <c r="O11" i="141" s="1"/>
  <c r="O12" i="141" s="1"/>
  <c r="AG22" i="92"/>
  <c r="AJ22" i="92"/>
  <c r="AK22" i="92"/>
  <c r="AH22" i="92"/>
  <c r="AD22" i="92"/>
  <c r="AI22" i="92"/>
  <c r="AB22" i="92"/>
  <c r="Z44" i="105" s="1"/>
  <c r="AL22" i="92"/>
  <c r="AJ44" i="105" s="1"/>
  <c r="AE22" i="92"/>
  <c r="AF22" i="92"/>
  <c r="L10" i="138"/>
  <c r="AN32" i="142"/>
  <c r="AO32" i="142" s="1"/>
  <c r="AO9" i="139"/>
  <c r="AN30" i="142"/>
  <c r="AO30" i="142" s="1"/>
  <c r="M72" i="138"/>
  <c r="M73" i="138" s="1"/>
  <c r="N11" i="138"/>
  <c r="U57" i="137" s="1"/>
  <c r="AP97" i="135"/>
  <c r="AP182" i="135" s="1"/>
  <c r="AB182" i="135"/>
  <c r="AA155" i="135"/>
  <c r="AM155" i="135" s="1"/>
  <c r="AO49" i="135"/>
  <c r="AO155" i="135" s="1"/>
  <c r="AN25" i="142"/>
  <c r="AO25" i="142" s="1"/>
  <c r="AA22" i="92"/>
  <c r="Y44" i="105" s="1"/>
  <c r="H48" i="138"/>
  <c r="H49" i="138" s="1"/>
  <c r="H10" i="138"/>
  <c r="AN34" i="142"/>
  <c r="AO34" i="142" s="1"/>
  <c r="AB144" i="135"/>
  <c r="AP144" i="135" s="1"/>
  <c r="AP88" i="135"/>
  <c r="AB130" i="135"/>
  <c r="AP130" i="135" s="1"/>
  <c r="AP3" i="135"/>
  <c r="AB179" i="135"/>
  <c r="AP78" i="135"/>
  <c r="AP179" i="135" s="1"/>
  <c r="K187" i="8"/>
  <c r="K169" i="8" s="1"/>
  <c r="K172" i="8" s="1"/>
  <c r="AF29" i="139"/>
  <c r="AO98" i="135"/>
  <c r="AO201" i="135" s="1"/>
  <c r="AA201" i="135"/>
  <c r="I25" i="141"/>
  <c r="I26" i="141" s="1"/>
  <c r="I9" i="141"/>
  <c r="I11" i="141" s="1"/>
  <c r="N23" i="92"/>
  <c r="N23" i="139"/>
  <c r="I50" i="141"/>
  <c r="AQ81" i="135"/>
  <c r="AQ125" i="135" s="1"/>
  <c r="P187" i="8"/>
  <c r="P197" i="8" s="1"/>
  <c r="AK29" i="139"/>
  <c r="J187" i="8"/>
  <c r="J197" i="8" s="1"/>
  <c r="AE29" i="139"/>
  <c r="AO7" i="139"/>
  <c r="U10" i="141"/>
  <c r="AQ94" i="135"/>
  <c r="AQ127" i="135" s="1"/>
  <c r="S9" i="141"/>
  <c r="S11" i="141" s="1"/>
  <c r="S12" i="141" s="1"/>
  <c r="S25" i="141"/>
  <c r="S26" i="141" s="1"/>
  <c r="AO45" i="135"/>
  <c r="AO119" i="135" s="1"/>
  <c r="AA119" i="135"/>
  <c r="AM119" i="135" s="1"/>
  <c r="AA54" i="135"/>
  <c r="AM55" i="135" s="1"/>
  <c r="BA55" i="135" s="1"/>
  <c r="AN28" i="142"/>
  <c r="AO28" i="142" s="1"/>
  <c r="AB95" i="135"/>
  <c r="Z26" i="69"/>
  <c r="AA26" i="69" s="1"/>
  <c r="I5" i="141"/>
  <c r="U4" i="141"/>
  <c r="U5" i="141" s="1"/>
  <c r="M187" i="8"/>
  <c r="M169" i="8" s="1"/>
  <c r="M172" i="8" s="1"/>
  <c r="AH29" i="139"/>
  <c r="AJ16" i="90"/>
  <c r="AA138" i="135"/>
  <c r="AO47" i="135"/>
  <c r="AN38" i="142"/>
  <c r="AO38" i="142" s="1"/>
  <c r="E48" i="138"/>
  <c r="E49" i="138" s="1"/>
  <c r="E10" i="138"/>
  <c r="M9" i="141"/>
  <c r="M11" i="141" s="1"/>
  <c r="M12" i="141" s="1"/>
  <c r="AO16" i="142"/>
  <c r="G48" i="138"/>
  <c r="G49" i="138" s="1"/>
  <c r="G10" i="138"/>
  <c r="J48" i="138"/>
  <c r="J49" i="138" s="1"/>
  <c r="AC95" i="135"/>
  <c r="AO95" i="135"/>
  <c r="AO145" i="135" s="1"/>
  <c r="AA145" i="135"/>
  <c r="I24" i="138"/>
  <c r="I25" i="138" s="1"/>
  <c r="I10" i="138"/>
  <c r="L9" i="141"/>
  <c r="L11" i="141" s="1"/>
  <c r="L12" i="141" s="1"/>
  <c r="AC74" i="135"/>
  <c r="AC197" i="135" s="1"/>
  <c r="AB74" i="135"/>
  <c r="AB197" i="135" s="1"/>
  <c r="AC98" i="135"/>
  <c r="AB98" i="135"/>
  <c r="AM98" i="135" s="1"/>
  <c r="BA98" i="135" s="1"/>
  <c r="BA201" i="135" s="1"/>
  <c r="L187" i="8"/>
  <c r="L169" i="8" s="1"/>
  <c r="AG29" i="139"/>
  <c r="AA41" i="139"/>
  <c r="AN26" i="142"/>
  <c r="AO26" i="142" s="1"/>
  <c r="AL94" i="105"/>
  <c r="AM94" i="105" s="1"/>
  <c r="J13" i="138"/>
  <c r="Z41" i="92"/>
  <c r="O187" i="8"/>
  <c r="O169" i="8" s="1"/>
  <c r="O172" i="8" s="1"/>
  <c r="O173" i="8" s="1"/>
  <c r="AJ29" i="139"/>
  <c r="I187" i="8"/>
  <c r="I169" i="8" s="1"/>
  <c r="I172" i="8" s="1"/>
  <c r="AD29" i="139"/>
  <c r="O181" i="8"/>
  <c r="O165" i="8" s="1"/>
  <c r="O168" i="8" s="1"/>
  <c r="AJ27" i="139"/>
  <c r="AA5" i="135"/>
  <c r="AC5" i="135"/>
  <c r="AB5" i="135"/>
  <c r="AA182" i="135"/>
  <c r="AO97" i="135"/>
  <c r="AO182" i="135" s="1"/>
  <c r="AN33" i="142"/>
  <c r="AO33" i="142" s="1"/>
  <c r="N11" i="141"/>
  <c r="N12" i="141" s="1"/>
  <c r="AN31" i="142"/>
  <c r="AO31" i="142" s="1"/>
  <c r="M12" i="138"/>
  <c r="M13" i="138" s="1"/>
  <c r="T56" i="137"/>
  <c r="T58" i="137" s="1"/>
  <c r="T59" i="137" s="1"/>
  <c r="T60" i="137" s="1"/>
  <c r="L24" i="138"/>
  <c r="L25" i="138" s="1"/>
  <c r="AB71" i="135"/>
  <c r="AC71" i="135"/>
  <c r="N187" i="8"/>
  <c r="N169" i="8" s="1"/>
  <c r="N172" i="8" s="1"/>
  <c r="AI29" i="139"/>
  <c r="K10" i="138"/>
  <c r="AA164" i="135"/>
  <c r="AO96" i="135"/>
  <c r="AO164" i="135" s="1"/>
  <c r="AN37" i="142"/>
  <c r="AO37" i="142" s="1"/>
  <c r="AB6" i="135"/>
  <c r="AB185" i="135" s="1"/>
  <c r="P9" i="141"/>
  <c r="P11" i="141" s="1"/>
  <c r="P12" i="141" s="1"/>
  <c r="P25" i="141"/>
  <c r="P26" i="141" s="1"/>
  <c r="AC97" i="135"/>
  <c r="AP84" i="135"/>
  <c r="AP180" i="135" s="1"/>
  <c r="AB180" i="135"/>
  <c r="AA93" i="105"/>
  <c r="AC87" i="135" s="1"/>
  <c r="AC126" i="135" s="1"/>
  <c r="AO29" i="82"/>
  <c r="AA98" i="105"/>
  <c r="AB116" i="135"/>
  <c r="AB16" i="90"/>
  <c r="Z42" i="105" s="1"/>
  <c r="AP111" i="135"/>
  <c r="AP116" i="135" s="1"/>
  <c r="H139" i="8"/>
  <c r="K11" i="141"/>
  <c r="K12" i="141" s="1"/>
  <c r="H187" i="8"/>
  <c r="H169" i="8" s="1"/>
  <c r="H172" i="8" s="1"/>
  <c r="AC29" i="139"/>
  <c r="U51" i="137"/>
  <c r="U52" i="137" s="1"/>
  <c r="AC22" i="92"/>
  <c r="D25" i="138"/>
  <c r="D10" i="138"/>
  <c r="AP90" i="135"/>
  <c r="AB163" i="135"/>
  <c r="AP163" i="135" s="1"/>
  <c r="AP83" i="135"/>
  <c r="AP161" i="135" s="1"/>
  <c r="AB161" i="135"/>
  <c r="AL95" i="105"/>
  <c r="AM95" i="105" s="1"/>
  <c r="AB89" i="135"/>
  <c r="AM89" i="135" s="1"/>
  <c r="BA89" i="135" s="1"/>
  <c r="Z98" i="105"/>
  <c r="Z103" i="105" s="1"/>
  <c r="X27" i="120"/>
  <c r="X28" i="120" s="1"/>
  <c r="AO94" i="135"/>
  <c r="AO127" i="135" s="1"/>
  <c r="AA127" i="135"/>
  <c r="AM127" i="135" s="1"/>
  <c r="AA99" i="135"/>
  <c r="G18" i="69"/>
  <c r="N16" i="82" s="1"/>
  <c r="F21" i="69"/>
  <c r="G21" i="69" s="1"/>
  <c r="Y93" i="105"/>
  <c r="Y22" i="8"/>
  <c r="V172" i="8"/>
  <c r="G187" i="8"/>
  <c r="G169" i="8" s="1"/>
  <c r="G172" i="8" s="1"/>
  <c r="AB29" i="139"/>
  <c r="U17" i="137"/>
  <c r="C72" i="138"/>
  <c r="C73" i="138" s="1"/>
  <c r="C10" i="138"/>
  <c r="F187" i="8"/>
  <c r="F169" i="8" s="1"/>
  <c r="AA29" i="139"/>
  <c r="H7" i="135"/>
  <c r="H148" i="135"/>
  <c r="AO79" i="135"/>
  <c r="AO198" i="135" s="1"/>
  <c r="AA161" i="135"/>
  <c r="AO83" i="135"/>
  <c r="AO161" i="135" s="1"/>
  <c r="AO78" i="135"/>
  <c r="AO179" i="135" s="1"/>
  <c r="AA179" i="135"/>
  <c r="AO82" i="135"/>
  <c r="AA143" i="135"/>
  <c r="AO113" i="135"/>
  <c r="AD16" i="90"/>
  <c r="H166" i="135"/>
  <c r="AA6" i="135"/>
  <c r="AO132" i="135"/>
  <c r="AO3" i="135"/>
  <c r="AA130" i="135"/>
  <c r="AO84" i="135"/>
  <c r="AO180" i="135" s="1"/>
  <c r="AA180" i="135"/>
  <c r="AA160" i="135"/>
  <c r="AO77" i="135"/>
  <c r="AO160" i="135" s="1"/>
  <c r="AC16" i="90"/>
  <c r="AA42" i="105" s="1"/>
  <c r="H110" i="135"/>
  <c r="AG16" i="90"/>
  <c r="X74" i="135"/>
  <c r="X197" i="135" s="1"/>
  <c r="AA74" i="135"/>
  <c r="X71" i="135"/>
  <c r="AA71" i="135"/>
  <c r="AM71" i="135" s="1"/>
  <c r="BA71" i="135" s="1"/>
  <c r="BA142" i="135" s="1"/>
  <c r="X5" i="135"/>
  <c r="Z5" i="135" s="1"/>
  <c r="AN5" i="135" s="1"/>
  <c r="AH16" i="90"/>
  <c r="AK16" i="90"/>
  <c r="AI42" i="105" s="1"/>
  <c r="AE16" i="90"/>
  <c r="Y43" i="105"/>
  <c r="N40" i="105"/>
  <c r="M15" i="120" s="1"/>
  <c r="AA16" i="90"/>
  <c r="U16" i="137"/>
  <c r="AF16" i="90"/>
  <c r="F10" i="138"/>
  <c r="F60" i="138"/>
  <c r="F61" i="138" s="1"/>
  <c r="T26" i="69"/>
  <c r="U26" i="69" s="1"/>
  <c r="I52" i="137"/>
  <c r="AH11" i="69"/>
  <c r="AF18" i="69"/>
  <c r="N17" i="90"/>
  <c r="N26" i="69"/>
  <c r="O21" i="69"/>
  <c r="J26" i="69"/>
  <c r="K21" i="69"/>
  <c r="V168" i="8"/>
  <c r="S168" i="8"/>
  <c r="S173" i="8" s="1"/>
  <c r="M139" i="8"/>
  <c r="AN38" i="92"/>
  <c r="AO38" i="92" s="1"/>
  <c r="N44" i="105"/>
  <c r="H73" i="135"/>
  <c r="H142" i="135"/>
  <c r="AB44" i="105"/>
  <c r="AN36" i="92"/>
  <c r="AO36" i="92" s="1"/>
  <c r="AE16" i="85"/>
  <c r="AA16" i="85"/>
  <c r="AF16" i="85"/>
  <c r="AG16" i="85"/>
  <c r="AB16" i="85"/>
  <c r="AH16" i="85"/>
  <c r="AM16" i="85"/>
  <c r="AK41" i="105" s="1"/>
  <c r="AI16" i="85"/>
  <c r="AK16" i="85"/>
  <c r="AI41" i="105" s="1"/>
  <c r="AJ16" i="85"/>
  <c r="AC16" i="85"/>
  <c r="AA41" i="105" s="1"/>
  <c r="AD16" i="85"/>
  <c r="AL16" i="85"/>
  <c r="G16" i="120"/>
  <c r="H16" i="120" s="1"/>
  <c r="I42" i="105"/>
  <c r="AM16" i="90"/>
  <c r="AL16" i="90"/>
  <c r="P169" i="8"/>
  <c r="P172" i="8" s="1"/>
  <c r="X93" i="135"/>
  <c r="I93" i="135" s="1"/>
  <c r="AK44" i="91"/>
  <c r="R135" i="8"/>
  <c r="AO85" i="102"/>
  <c r="T197" i="8"/>
  <c r="V197" i="8"/>
  <c r="P196" i="8"/>
  <c r="P198" i="8" s="1"/>
  <c r="X200" i="135"/>
  <c r="E36" i="135"/>
  <c r="AK44" i="92"/>
  <c r="X44" i="92" s="1"/>
  <c r="AA44" i="91"/>
  <c r="N44" i="91" s="1"/>
  <c r="Z44" i="91" s="1"/>
  <c r="AD44" i="91"/>
  <c r="AL44" i="91"/>
  <c r="Y44" i="91" s="1"/>
  <c r="AH44" i="91"/>
  <c r="AI44" i="91"/>
  <c r="AN30" i="91"/>
  <c r="AD86" i="105"/>
  <c r="AB38" i="85"/>
  <c r="AI38" i="85"/>
  <c r="AK38" i="85"/>
  <c r="AL38" i="85"/>
  <c r="AC38" i="85"/>
  <c r="AN38" i="85"/>
  <c r="Z38" i="85" s="1"/>
  <c r="AA38" i="85"/>
  <c r="AD38" i="85"/>
  <c r="P5" i="95" s="1"/>
  <c r="AE38" i="85"/>
  <c r="Q5" i="95" s="1"/>
  <c r="G3" i="120"/>
  <c r="H3" i="120" s="1"/>
  <c r="E195" i="8"/>
  <c r="J28" i="124"/>
  <c r="K28" i="124" s="1"/>
  <c r="L28" i="124" s="1"/>
  <c r="M4" i="124" s="1"/>
  <c r="AB92" i="105"/>
  <c r="AL89" i="105"/>
  <c r="AM89" i="105" s="1"/>
  <c r="AL83" i="105"/>
  <c r="AM83" i="105" s="1"/>
  <c r="AD92" i="105"/>
  <c r="AL88" i="105"/>
  <c r="AM88" i="105" s="1"/>
  <c r="N154" i="8"/>
  <c r="H181" i="8"/>
  <c r="H165" i="8" s="1"/>
  <c r="H168" i="8" s="1"/>
  <c r="AD39" i="102"/>
  <c r="AH87" i="102"/>
  <c r="L154" i="8"/>
  <c r="V125" i="8"/>
  <c r="W125" i="8" s="1"/>
  <c r="W123" i="8" s="1"/>
  <c r="AC9" i="91"/>
  <c r="Q197" i="8"/>
  <c r="M181" i="8"/>
  <c r="M165" i="8" s="1"/>
  <c r="M168" i="8" s="1"/>
  <c r="AI39" i="102"/>
  <c r="AI41" i="102" s="1"/>
  <c r="N181" i="8"/>
  <c r="N165" i="8" s="1"/>
  <c r="N168" i="8" s="1"/>
  <c r="AJ39" i="102"/>
  <c r="AJ41" i="102" s="1"/>
  <c r="F181" i="8"/>
  <c r="F196" i="8" s="1"/>
  <c r="AB39" i="102"/>
  <c r="I181" i="8"/>
  <c r="AE39" i="102"/>
  <c r="AE41" i="102" s="1"/>
  <c r="J181" i="8"/>
  <c r="AF39" i="102"/>
  <c r="K181" i="8"/>
  <c r="AG39" i="102"/>
  <c r="AG41" i="102" s="1"/>
  <c r="G181" i="8"/>
  <c r="G165" i="8" s="1"/>
  <c r="AC39" i="102"/>
  <c r="L181" i="8"/>
  <c r="AH39" i="102"/>
  <c r="J84" i="130"/>
  <c r="L84" i="130" s="1"/>
  <c r="V40" i="105"/>
  <c r="V15" i="120" s="1"/>
  <c r="G197" i="8"/>
  <c r="P165" i="8"/>
  <c r="P168" i="8" s="1"/>
  <c r="C241" i="8"/>
  <c r="J26" i="102"/>
  <c r="U135" i="8"/>
  <c r="Z31" i="92"/>
  <c r="Q154" i="8"/>
  <c r="I139" i="8"/>
  <c r="AJ86" i="105"/>
  <c r="O154" i="8"/>
  <c r="G139" i="8"/>
  <c r="U155" i="8"/>
  <c r="U147" i="8"/>
  <c r="R147" i="8"/>
  <c r="M154" i="8"/>
  <c r="K154" i="8"/>
  <c r="Y129" i="8"/>
  <c r="AA43" i="105"/>
  <c r="T158" i="8"/>
  <c r="S127" i="8"/>
  <c r="I154" i="8"/>
  <c r="T127" i="8"/>
  <c r="X127" i="8"/>
  <c r="AB8" i="82"/>
  <c r="AA82" i="105"/>
  <c r="AC76" i="135" s="1"/>
  <c r="AC124" i="135" s="1"/>
  <c r="C7" i="124"/>
  <c r="S227" i="8"/>
  <c r="V227" i="8"/>
  <c r="L197" i="8"/>
  <c r="F197" i="8"/>
  <c r="O197" i="8"/>
  <c r="S197" i="8"/>
  <c r="O196" i="8"/>
  <c r="S196" i="8"/>
  <c r="G10" i="120"/>
  <c r="H10" i="120" s="1"/>
  <c r="AA25" i="102"/>
  <c r="AA87" i="102"/>
  <c r="AG51" i="102"/>
  <c r="AG23" i="102"/>
  <c r="AG26" i="102" s="1"/>
  <c r="D206" i="8"/>
  <c r="D170" i="8"/>
  <c r="E170" i="8" s="1"/>
  <c r="AC51" i="102"/>
  <c r="AC23" i="102"/>
  <c r="AC26" i="102" s="1"/>
  <c r="E191" i="8"/>
  <c r="AH51" i="102"/>
  <c r="AH23" i="102"/>
  <c r="AK51" i="102"/>
  <c r="AK23" i="102"/>
  <c r="AK26" i="102" s="1"/>
  <c r="AM51" i="102"/>
  <c r="AM23" i="102"/>
  <c r="AM26" i="102" s="1"/>
  <c r="D166" i="8"/>
  <c r="E166" i="8" s="1"/>
  <c r="D202" i="8"/>
  <c r="AH25" i="102"/>
  <c r="AB25" i="102"/>
  <c r="AN25" i="102" s="1"/>
  <c r="AB87" i="102"/>
  <c r="T196" i="8"/>
  <c r="AJ51" i="102"/>
  <c r="AJ23" i="102"/>
  <c r="AJ26" i="102" s="1"/>
  <c r="AE23" i="102"/>
  <c r="AE26" i="102" s="1"/>
  <c r="AE51" i="102"/>
  <c r="AL51" i="102"/>
  <c r="AL23" i="102"/>
  <c r="L170" i="8"/>
  <c r="U170" i="8" s="1"/>
  <c r="U195" i="8"/>
  <c r="F170" i="8"/>
  <c r="R170" i="8" s="1"/>
  <c r="R195" i="8"/>
  <c r="F166" i="8"/>
  <c r="R191" i="8"/>
  <c r="AA23" i="102"/>
  <c r="AA51" i="102"/>
  <c r="AF51" i="102"/>
  <c r="AF23" i="102"/>
  <c r="AI51" i="102"/>
  <c r="AI23" i="102"/>
  <c r="AI26" i="102" s="1"/>
  <c r="AD23" i="102"/>
  <c r="AD26" i="102" s="1"/>
  <c r="AD51" i="102"/>
  <c r="AH24" i="102"/>
  <c r="AO49" i="102"/>
  <c r="AB24" i="102"/>
  <c r="AN24" i="102" s="1"/>
  <c r="AB51" i="102"/>
  <c r="AB23" i="102"/>
  <c r="C237" i="8"/>
  <c r="G166" i="8"/>
  <c r="U191" i="8"/>
  <c r="L166" i="8"/>
  <c r="U166" i="8" s="1"/>
  <c r="I197" i="8"/>
  <c r="V196" i="8"/>
  <c r="AG75" i="102"/>
  <c r="AG77" i="102" s="1"/>
  <c r="R15" i="95" s="1"/>
  <c r="AF29" i="92"/>
  <c r="AL39" i="102"/>
  <c r="AK27" i="92"/>
  <c r="AC27" i="92"/>
  <c r="AD7" i="92"/>
  <c r="AD44" i="92" s="1"/>
  <c r="Q44" i="92" s="1"/>
  <c r="I238" i="8"/>
  <c r="U157" i="8"/>
  <c r="L238" i="8"/>
  <c r="AG7" i="92"/>
  <c r="AK29" i="92"/>
  <c r="AL75" i="102"/>
  <c r="AL77" i="102" s="1"/>
  <c r="W15" i="95" s="1"/>
  <c r="AE29" i="92"/>
  <c r="AF75" i="102"/>
  <c r="AH27" i="92"/>
  <c r="AI27" i="92"/>
  <c r="G238" i="8"/>
  <c r="AB7" i="92"/>
  <c r="AB44" i="92" s="1"/>
  <c r="AH7" i="92"/>
  <c r="M238" i="8"/>
  <c r="AC75" i="102"/>
  <c r="AC77" i="102" s="1"/>
  <c r="N15" i="95" s="1"/>
  <c r="AB29" i="92"/>
  <c r="AH29" i="92"/>
  <c r="AI75" i="102"/>
  <c r="AI77" i="102" s="1"/>
  <c r="T15" i="95" s="1"/>
  <c r="AA27" i="92"/>
  <c r="R180" i="8"/>
  <c r="AD27" i="92"/>
  <c r="AF7" i="92"/>
  <c r="K238" i="8"/>
  <c r="AG29" i="92"/>
  <c r="AH75" i="102"/>
  <c r="U186" i="8"/>
  <c r="AM75" i="102"/>
  <c r="AM77" i="102" s="1"/>
  <c r="X15" i="95" s="1"/>
  <c r="AL29" i="92"/>
  <c r="AE27" i="92"/>
  <c r="AM39" i="102"/>
  <c r="AM41" i="102" s="1"/>
  <c r="AL27" i="92"/>
  <c r="O238" i="8"/>
  <c r="AJ7" i="92"/>
  <c r="AH34" i="105" s="1"/>
  <c r="J238" i="8"/>
  <c r="AE7" i="92"/>
  <c r="AJ29" i="92"/>
  <c r="AK75" i="102"/>
  <c r="AK77" i="102" s="1"/>
  <c r="V15" i="95" s="1"/>
  <c r="AF27" i="92"/>
  <c r="AA7" i="92"/>
  <c r="R157" i="8"/>
  <c r="S157" i="8"/>
  <c r="F238" i="8"/>
  <c r="T157" i="8"/>
  <c r="Q238" i="8"/>
  <c r="AL7" i="92"/>
  <c r="AJ34" i="105" s="1"/>
  <c r="AJ75" i="102"/>
  <c r="AI29" i="92"/>
  <c r="AE75" i="102"/>
  <c r="AE77" i="102" s="1"/>
  <c r="P15" i="95" s="1"/>
  <c r="AD29" i="92"/>
  <c r="AB27" i="92"/>
  <c r="N238" i="8"/>
  <c r="AI7" i="92"/>
  <c r="R186" i="8"/>
  <c r="AA29" i="92"/>
  <c r="AB75" i="102"/>
  <c r="AG27" i="92"/>
  <c r="U180" i="8"/>
  <c r="AK7" i="92"/>
  <c r="AI34" i="105" s="1"/>
  <c r="AI35" i="105" s="1"/>
  <c r="P238" i="8"/>
  <c r="AD75" i="102"/>
  <c r="AD77" i="102" s="1"/>
  <c r="O15" i="95" s="1"/>
  <c r="AC29" i="92"/>
  <c r="AK39" i="102"/>
  <c r="AJ27" i="92"/>
  <c r="H238" i="8"/>
  <c r="AC7" i="92"/>
  <c r="AC44" i="92" s="1"/>
  <c r="D227" i="8"/>
  <c r="P227" i="8"/>
  <c r="Q227" i="8"/>
  <c r="M227" i="8"/>
  <c r="J227" i="8"/>
  <c r="I227" i="8"/>
  <c r="N227" i="8"/>
  <c r="L227" i="8"/>
  <c r="G227" i="8"/>
  <c r="H227" i="8"/>
  <c r="F227" i="8"/>
  <c r="O227" i="8"/>
  <c r="K227" i="8"/>
  <c r="Z85" i="105"/>
  <c r="M44" i="105"/>
  <c r="Z91" i="105"/>
  <c r="AA91" i="105"/>
  <c r="Y24" i="120"/>
  <c r="AA85" i="105"/>
  <c r="AC79" i="135" s="1"/>
  <c r="AC198" i="135" s="1"/>
  <c r="AC85" i="105"/>
  <c r="AE79" i="135" s="1"/>
  <c r="AE198" i="135" s="1"/>
  <c r="AC91" i="105"/>
  <c r="AE85" i="135" s="1"/>
  <c r="AE199" i="135" s="1"/>
  <c r="AE86" i="105"/>
  <c r="AE92" i="105"/>
  <c r="Z30" i="92"/>
  <c r="X98" i="105" s="1"/>
  <c r="W92" i="135" s="1"/>
  <c r="U150" i="8"/>
  <c r="X129" i="8"/>
  <c r="T155" i="8"/>
  <c r="T147" i="8"/>
  <c r="G154" i="8"/>
  <c r="Y127" i="8"/>
  <c r="S147" i="8"/>
  <c r="R150" i="8"/>
  <c r="J154" i="8"/>
  <c r="M162" i="8"/>
  <c r="T162" i="8" s="1"/>
  <c r="F154" i="8"/>
  <c r="S150" i="8"/>
  <c r="AH9" i="92"/>
  <c r="T150" i="8"/>
  <c r="M89" i="130"/>
  <c r="T135" i="8"/>
  <c r="S158" i="8"/>
  <c r="S135" i="8"/>
  <c r="K139" i="8"/>
  <c r="U127" i="8"/>
  <c r="AA8" i="82"/>
  <c r="K8" i="90"/>
  <c r="D140" i="8"/>
  <c r="AM8" i="142" s="1"/>
  <c r="AM44" i="142" s="1"/>
  <c r="M44" i="142" s="1"/>
  <c r="J140" i="8"/>
  <c r="AE8" i="142" s="1"/>
  <c r="AE44" i="142" s="1"/>
  <c r="P140" i="8"/>
  <c r="AK8" i="142" s="1"/>
  <c r="H140" i="8"/>
  <c r="AC8" i="142" s="1"/>
  <c r="M140" i="8"/>
  <c r="AH8" i="142" s="1"/>
  <c r="K140" i="8"/>
  <c r="AF8" i="142" s="1"/>
  <c r="F140" i="8"/>
  <c r="AA8" i="90" s="1"/>
  <c r="N140" i="8"/>
  <c r="AI8" i="142" s="1"/>
  <c r="Q140" i="8"/>
  <c r="AL8" i="142" s="1"/>
  <c r="I140" i="8"/>
  <c r="AD8" i="142" s="1"/>
  <c r="O140" i="8"/>
  <c r="AJ8" i="142" s="1"/>
  <c r="G140" i="8"/>
  <c r="AB8" i="142" s="1"/>
  <c r="L140" i="8"/>
  <c r="AG8" i="142" s="1"/>
  <c r="AM15" i="82"/>
  <c r="E147" i="8"/>
  <c r="AM9" i="91"/>
  <c r="AF6" i="92"/>
  <c r="AM8" i="82"/>
  <c r="E127" i="8"/>
  <c r="U21" i="130"/>
  <c r="U18" i="130"/>
  <c r="E135" i="8"/>
  <c r="AM6" i="85"/>
  <c r="U20" i="130"/>
  <c r="G17" i="120"/>
  <c r="H17" i="120" s="1"/>
  <c r="C92" i="8"/>
  <c r="L224" i="8" s="1"/>
  <c r="AQ3" i="105"/>
  <c r="W23" i="8"/>
  <c r="AJ43" i="105"/>
  <c r="U19" i="130"/>
  <c r="AM6" i="91"/>
  <c r="E150" i="8"/>
  <c r="V140" i="8"/>
  <c r="E155" i="8"/>
  <c r="AM9" i="92"/>
  <c r="AG43" i="105"/>
  <c r="AE6" i="92"/>
  <c r="K6" i="90"/>
  <c r="H72" i="135" s="1"/>
  <c r="D143" i="8"/>
  <c r="AM6" i="90" s="1"/>
  <c r="AI44" i="142"/>
  <c r="AG44" i="142"/>
  <c r="AF44" i="142"/>
  <c r="AK44" i="142"/>
  <c r="AJ44" i="142"/>
  <c r="AH44" i="142"/>
  <c r="U22" i="130"/>
  <c r="AI43" i="105"/>
  <c r="E132" i="8"/>
  <c r="AM9" i="85"/>
  <c r="AF17" i="119"/>
  <c r="R127" i="8"/>
  <c r="E158" i="8"/>
  <c r="AD43" i="105"/>
  <c r="K6" i="82"/>
  <c r="H70" i="135" s="1"/>
  <c r="C124" i="8"/>
  <c r="D129" i="8"/>
  <c r="P131" i="8"/>
  <c r="AI91" i="105"/>
  <c r="AI92" i="105" s="1"/>
  <c r="V44" i="105"/>
  <c r="AF16" i="119"/>
  <c r="AI85" i="105"/>
  <c r="AI86" i="105" s="1"/>
  <c r="AD44" i="105"/>
  <c r="AB40" i="105"/>
  <c r="J27" i="124"/>
  <c r="K27" i="124" s="1"/>
  <c r="L27" i="124" s="1"/>
  <c r="M3" i="124" s="1"/>
  <c r="J31" i="124"/>
  <c r="AH91" i="105"/>
  <c r="AH85" i="105"/>
  <c r="Y87" i="105"/>
  <c r="AN41" i="92"/>
  <c r="J82" i="130"/>
  <c r="AC84" i="105"/>
  <c r="AE78" i="135" s="1"/>
  <c r="AM78" i="135" s="1"/>
  <c r="BA78" i="135" s="1"/>
  <c r="BA179" i="135" s="1"/>
  <c r="AE43" i="105"/>
  <c r="AF87" i="105"/>
  <c r="S44" i="105"/>
  <c r="AF85" i="105"/>
  <c r="AH79" i="135" s="1"/>
  <c r="AD42" i="105"/>
  <c r="R225" i="8"/>
  <c r="AN26" i="82"/>
  <c r="AO26" i="82" s="1"/>
  <c r="Z130" i="8"/>
  <c r="AN31" i="82"/>
  <c r="AO31" i="82" s="1"/>
  <c r="S124" i="8"/>
  <c r="S229" i="8" s="1"/>
  <c r="S231" i="8" s="1"/>
  <c r="U139" i="8"/>
  <c r="S40" i="105"/>
  <c r="S15" i="120" s="1"/>
  <c r="Y15" i="120" s="1"/>
  <c r="Q225" i="8"/>
  <c r="AN37" i="91"/>
  <c r="AN32" i="82"/>
  <c r="AO32" i="82" s="1"/>
  <c r="M225" i="8"/>
  <c r="L225" i="8"/>
  <c r="AN33" i="82"/>
  <c r="N225" i="8"/>
  <c r="AN24" i="82"/>
  <c r="Y82" i="105"/>
  <c r="AA76" i="135" s="1"/>
  <c r="Q173" i="8"/>
  <c r="AF82" i="105"/>
  <c r="AH76" i="135" s="1"/>
  <c r="P225" i="8"/>
  <c r="AN34" i="82"/>
  <c r="L172" i="8"/>
  <c r="J11" i="124"/>
  <c r="K11" i="124" s="1"/>
  <c r="P11" i="124" s="1"/>
  <c r="S225" i="8"/>
  <c r="AN38" i="91"/>
  <c r="AO38" i="91" s="1"/>
  <c r="V223" i="8"/>
  <c r="V225" i="8" s="1"/>
  <c r="AC44" i="105"/>
  <c r="AC90" i="105"/>
  <c r="AE84" i="135" s="1"/>
  <c r="AM84" i="135" s="1"/>
  <c r="BA84" i="135" s="1"/>
  <c r="BA180" i="135" s="1"/>
  <c r="AN40" i="91"/>
  <c r="AO40" i="91" s="1"/>
  <c r="J225" i="8"/>
  <c r="P43" i="105"/>
  <c r="I225" i="8"/>
  <c r="V124" i="8"/>
  <c r="V229" i="8" s="1"/>
  <c r="Z6" i="85"/>
  <c r="X25" i="105" s="1"/>
  <c r="H225" i="8"/>
  <c r="Q17" i="120"/>
  <c r="R230" i="8"/>
  <c r="T230" i="8"/>
  <c r="Z40" i="132"/>
  <c r="J90" i="130" s="1"/>
  <c r="L90" i="130" s="1"/>
  <c r="S162" i="8"/>
  <c r="R162" i="8"/>
  <c r="F172" i="8"/>
  <c r="AK43" i="105"/>
  <c r="AN75" i="102" l="1"/>
  <c r="AN39" i="102"/>
  <c r="X14" i="95"/>
  <c r="X17" i="95" s="1"/>
  <c r="AV93" i="135"/>
  <c r="R93" i="135"/>
  <c r="AH103" i="105"/>
  <c r="AJ92" i="135"/>
  <c r="AF92" i="105"/>
  <c r="AH81" i="135"/>
  <c r="AH124" i="135"/>
  <c r="AV76" i="135"/>
  <c r="AV124" i="135" s="1"/>
  <c r="AH80" i="135"/>
  <c r="AV80" i="135" s="1"/>
  <c r="AM11" i="105"/>
  <c r="AV135" i="135"/>
  <c r="AH141" i="135"/>
  <c r="AV141" i="135" s="1"/>
  <c r="AH198" i="135"/>
  <c r="AV79" i="135"/>
  <c r="AV198" i="135" s="1"/>
  <c r="AH200" i="135"/>
  <c r="AV92" i="135"/>
  <c r="AV200" i="135" s="1"/>
  <c r="AH86" i="105"/>
  <c r="AJ79" i="135"/>
  <c r="AH92" i="105"/>
  <c r="AJ85" i="135"/>
  <c r="AH35" i="105"/>
  <c r="AL34" i="105"/>
  <c r="AB148" i="135"/>
  <c r="AM152" i="135"/>
  <c r="AJ122" i="135"/>
  <c r="AX122" i="135" s="1"/>
  <c r="AM169" i="135"/>
  <c r="AM160" i="135"/>
  <c r="AN16" i="90"/>
  <c r="AJ153" i="135"/>
  <c r="AJ158" i="135" s="1"/>
  <c r="AX158" i="135" s="1"/>
  <c r="AX153" i="135"/>
  <c r="AL44" i="92"/>
  <c r="Y44" i="92" s="1"/>
  <c r="AL26" i="102"/>
  <c r="AN23" i="102"/>
  <c r="AO24" i="82"/>
  <c r="AA3" i="95"/>
  <c r="U8" i="135"/>
  <c r="U37" i="135" s="1"/>
  <c r="U36" i="135"/>
  <c r="AM187" i="135"/>
  <c r="AM4" i="135"/>
  <c r="BA4" i="135" s="1"/>
  <c r="BA148" i="135" s="1"/>
  <c r="AX131" i="135"/>
  <c r="AJ135" i="135"/>
  <c r="AJ171" i="135"/>
  <c r="AJ177" i="135" s="1"/>
  <c r="AX15" i="135"/>
  <c r="AX16" i="135" s="1"/>
  <c r="AJ16" i="135"/>
  <c r="AJ36" i="135"/>
  <c r="AX36" i="135" s="1"/>
  <c r="AX190" i="135"/>
  <c r="AX171" i="135"/>
  <c r="AJ28" i="135"/>
  <c r="AX27" i="135"/>
  <c r="AX28" i="135" s="1"/>
  <c r="AJ35" i="135"/>
  <c r="AX34" i="135"/>
  <c r="AX35" i="135" s="1"/>
  <c r="AJ190" i="135"/>
  <c r="AJ196" i="135" s="1"/>
  <c r="W93" i="135"/>
  <c r="W200" i="135"/>
  <c r="AJ44" i="92"/>
  <c r="W44" i="92" s="1"/>
  <c r="O198" i="8"/>
  <c r="AH41" i="105"/>
  <c r="AH42" i="105"/>
  <c r="X29" i="105"/>
  <c r="BA153" i="135"/>
  <c r="T8" i="135"/>
  <c r="T37" i="135" s="1"/>
  <c r="T36" i="135"/>
  <c r="S93" i="135"/>
  <c r="AW93" i="135"/>
  <c r="AJ77" i="102"/>
  <c r="U15" i="95" s="1"/>
  <c r="AO138" i="135"/>
  <c r="AM138" i="135"/>
  <c r="BA138" i="135" s="1"/>
  <c r="BA190" i="135"/>
  <c r="AM144" i="135"/>
  <c r="BA144" i="135" s="1"/>
  <c r="AM76" i="135"/>
  <c r="BA76" i="135" s="1"/>
  <c r="BA124" i="135" s="1"/>
  <c r="AM6" i="135"/>
  <c r="BA6" i="135" s="1"/>
  <c r="BA185" i="135" s="1"/>
  <c r="AA185" i="135"/>
  <c r="AM185" i="135" s="1"/>
  <c r="AM97" i="135"/>
  <c r="BA97" i="135" s="1"/>
  <c r="BA182" i="135" s="1"/>
  <c r="AM167" i="135"/>
  <c r="AO131" i="135"/>
  <c r="AM131" i="135"/>
  <c r="BA131" i="135" s="1"/>
  <c r="AM170" i="135"/>
  <c r="AM163" i="135"/>
  <c r="BA163" i="135" s="1"/>
  <c r="AM151" i="135"/>
  <c r="AM132" i="135"/>
  <c r="BA132" i="135" s="1"/>
  <c r="AM149" i="135"/>
  <c r="AO143" i="135"/>
  <c r="AM143" i="135"/>
  <c r="BA143" i="135" s="1"/>
  <c r="AM115" i="135"/>
  <c r="BA171" i="135"/>
  <c r="AN6" i="135"/>
  <c r="AN185" i="135" s="1"/>
  <c r="Z185" i="135"/>
  <c r="AA116" i="135"/>
  <c r="AM112" i="135"/>
  <c r="AM111" i="135"/>
  <c r="BA116" i="135"/>
  <c r="AM168" i="135"/>
  <c r="AR22" i="135"/>
  <c r="AQ22" i="135"/>
  <c r="Q8" i="135"/>
  <c r="AS22" i="135"/>
  <c r="AM74" i="135"/>
  <c r="BA74" i="135" s="1"/>
  <c r="BA197" i="135" s="1"/>
  <c r="AA197" i="135"/>
  <c r="AM197" i="135" s="1"/>
  <c r="AP22" i="135"/>
  <c r="AP15" i="135"/>
  <c r="AP16" i="135" s="1"/>
  <c r="AB190" i="135"/>
  <c r="H8" i="135"/>
  <c r="H37" i="135" s="1"/>
  <c r="AB35" i="135"/>
  <c r="M36" i="135"/>
  <c r="AM95" i="135"/>
  <c r="BA95" i="135" s="1"/>
  <c r="BA145" i="135" s="1"/>
  <c r="AM3" i="135"/>
  <c r="BA3" i="135" s="1"/>
  <c r="AT22" i="135"/>
  <c r="AO5" i="135"/>
  <c r="AO166" i="135" s="1"/>
  <c r="AM5" i="135"/>
  <c r="BA5" i="135" s="1"/>
  <c r="BA166" i="135" s="1"/>
  <c r="AM34" i="135"/>
  <c r="BA34" i="135" s="1"/>
  <c r="AA110" i="135"/>
  <c r="AM2" i="135"/>
  <c r="BA2" i="135" s="1"/>
  <c r="BA110" i="135" s="1"/>
  <c r="AM15" i="135"/>
  <c r="BA15" i="135" s="1"/>
  <c r="K99" i="135"/>
  <c r="AM27" i="135"/>
  <c r="BA27" i="135" s="1"/>
  <c r="AO22" i="135"/>
  <c r="AM22" i="135"/>
  <c r="BA22" i="135" s="1"/>
  <c r="AM96" i="135"/>
  <c r="BA96" i="135" s="1"/>
  <c r="BA164" i="135" s="1"/>
  <c r="AV4" i="135"/>
  <c r="AV148" i="135" s="1"/>
  <c r="AE36" i="135"/>
  <c r="AS36" i="135" s="1"/>
  <c r="AC116" i="135"/>
  <c r="AC122" i="135" s="1"/>
  <c r="AA153" i="135"/>
  <c r="W7" i="135"/>
  <c r="W8" i="135" s="1"/>
  <c r="AD153" i="135"/>
  <c r="AB164" i="135"/>
  <c r="AM164" i="135" s="1"/>
  <c r="AD36" i="135"/>
  <c r="AR36" i="135" s="1"/>
  <c r="AB135" i="135"/>
  <c r="AP135" i="135" s="1"/>
  <c r="L37" i="135"/>
  <c r="AG99" i="135"/>
  <c r="Q99" i="135" s="1"/>
  <c r="M8" i="135"/>
  <c r="M37" i="135" s="1"/>
  <c r="K37" i="135"/>
  <c r="AO153" i="135"/>
  <c r="N37" i="135"/>
  <c r="AH110" i="135"/>
  <c r="AH122" i="135" s="1"/>
  <c r="AH204" i="135" s="1"/>
  <c r="AF116" i="135"/>
  <c r="Z200" i="135"/>
  <c r="AA135" i="135"/>
  <c r="AI171" i="135"/>
  <c r="AA171" i="135"/>
  <c r="AV5" i="135"/>
  <c r="AV166" i="135" s="1"/>
  <c r="AA36" i="135"/>
  <c r="AA166" i="135"/>
  <c r="AB36" i="135"/>
  <c r="AP36" i="135" s="1"/>
  <c r="AH7" i="135"/>
  <c r="AF162" i="135"/>
  <c r="AT162" i="135" s="1"/>
  <c r="AI116" i="135"/>
  <c r="AD190" i="135"/>
  <c r="AQ116" i="135"/>
  <c r="AE153" i="135"/>
  <c r="X171" i="135"/>
  <c r="AD116" i="135"/>
  <c r="AW171" i="135"/>
  <c r="AI73" i="135"/>
  <c r="AH73" i="135"/>
  <c r="AG36" i="135"/>
  <c r="AU36" i="135" s="1"/>
  <c r="AF153" i="135"/>
  <c r="AB16" i="135"/>
  <c r="AW111" i="135"/>
  <c r="AW116" i="135" s="1"/>
  <c r="AW5" i="135"/>
  <c r="AW166" i="135" s="1"/>
  <c r="AI166" i="135"/>
  <c r="AW153" i="135"/>
  <c r="AV74" i="135"/>
  <c r="AV197" i="135" s="1"/>
  <c r="AP153" i="135"/>
  <c r="AW131" i="135"/>
  <c r="AI135" i="135"/>
  <c r="AW74" i="135"/>
  <c r="AW197" i="135" s="1"/>
  <c r="AH142" i="135"/>
  <c r="AH147" i="135" s="1"/>
  <c r="AV147" i="135" s="1"/>
  <c r="AV71" i="135"/>
  <c r="AV142" i="135" s="1"/>
  <c r="AI35" i="135"/>
  <c r="AW34" i="135"/>
  <c r="AI7" i="135"/>
  <c r="AW2" i="135"/>
  <c r="AW110" i="135" s="1"/>
  <c r="AI110" i="135"/>
  <c r="AI190" i="135"/>
  <c r="AW71" i="135"/>
  <c r="AW142" i="135" s="1"/>
  <c r="AI142" i="135"/>
  <c r="AI70" i="135"/>
  <c r="AH70" i="135"/>
  <c r="AG72" i="135"/>
  <c r="AG159" i="135" s="1"/>
  <c r="AI72" i="135"/>
  <c r="AH72" i="135"/>
  <c r="AW15" i="135"/>
  <c r="AI16" i="135"/>
  <c r="AI36" i="135"/>
  <c r="AW36" i="135" s="1"/>
  <c r="AI153" i="135"/>
  <c r="AW4" i="135"/>
  <c r="AW148" i="135" s="1"/>
  <c r="AI148" i="135"/>
  <c r="AE116" i="135"/>
  <c r="AE122" i="135" s="1"/>
  <c r="AI28" i="135"/>
  <c r="AW27" i="135"/>
  <c r="AW190" i="135" s="1"/>
  <c r="AW22" i="135"/>
  <c r="Y44" i="144"/>
  <c r="X8" i="95"/>
  <c r="X44" i="144"/>
  <c r="W8" i="95"/>
  <c r="W44" i="144"/>
  <c r="V8" i="95"/>
  <c r="W98" i="135"/>
  <c r="AA5" i="95"/>
  <c r="AF36" i="135"/>
  <c r="AT36" i="135" s="1"/>
  <c r="AV177" i="135"/>
  <c r="AV158" i="135"/>
  <c r="AG44" i="105"/>
  <c r="AG41" i="105"/>
  <c r="AI44" i="92"/>
  <c r="V44" i="92" s="1"/>
  <c r="U169" i="8"/>
  <c r="N173" i="8"/>
  <c r="N197" i="8"/>
  <c r="AO30" i="144"/>
  <c r="AA8" i="95"/>
  <c r="V44" i="144"/>
  <c r="U8" i="95"/>
  <c r="W23" i="135"/>
  <c r="U10" i="95"/>
  <c r="V44" i="139"/>
  <c r="S37" i="135"/>
  <c r="W71" i="135"/>
  <c r="W142" i="135" s="1"/>
  <c r="W70" i="135"/>
  <c r="W123" i="135" s="1"/>
  <c r="O44" i="144"/>
  <c r="N8" i="95"/>
  <c r="T44" i="144"/>
  <c r="S8" i="95"/>
  <c r="U44" i="144"/>
  <c r="T8" i="95"/>
  <c r="P44" i="144"/>
  <c r="O8" i="95"/>
  <c r="AE44" i="91"/>
  <c r="AP171" i="135"/>
  <c r="AG44" i="91"/>
  <c r="Z41" i="139"/>
  <c r="AU171" i="135"/>
  <c r="AQ171" i="135"/>
  <c r="AC171" i="135"/>
  <c r="AA190" i="135"/>
  <c r="AG116" i="135"/>
  <c r="AQ153" i="135"/>
  <c r="AB44" i="91"/>
  <c r="O44" i="91" s="1"/>
  <c r="T10" i="95"/>
  <c r="AF190" i="135"/>
  <c r="Q37" i="135"/>
  <c r="AJ44" i="91"/>
  <c r="AD44" i="144"/>
  <c r="AU153" i="135"/>
  <c r="AF44" i="91"/>
  <c r="S44" i="91" s="1"/>
  <c r="AF44" i="139"/>
  <c r="AO171" i="135"/>
  <c r="AF171" i="135"/>
  <c r="AB171" i="135"/>
  <c r="S10" i="95"/>
  <c r="T44" i="139"/>
  <c r="AE180" i="135"/>
  <c r="AM180" i="135" s="1"/>
  <c r="AS84" i="135"/>
  <c r="AS180" i="135" s="1"/>
  <c r="AS79" i="135"/>
  <c r="AS198" i="135" s="1"/>
  <c r="Z74" i="135"/>
  <c r="Y74" i="135"/>
  <c r="Y197" i="135" s="1"/>
  <c r="AG153" i="135"/>
  <c r="AS15" i="135"/>
  <c r="AE16" i="135"/>
  <c r="AC153" i="135"/>
  <c r="AC158" i="135" s="1"/>
  <c r="AQ158" i="135" s="1"/>
  <c r="AN32" i="135"/>
  <c r="AN170" i="135" s="1"/>
  <c r="Z170" i="135"/>
  <c r="AT111" i="135"/>
  <c r="AT116" i="135" s="1"/>
  <c r="AU98" i="135"/>
  <c r="AU201" i="135" s="1"/>
  <c r="AG201" i="135"/>
  <c r="AT171" i="135"/>
  <c r="AB28" i="135"/>
  <c r="AP27" i="135"/>
  <c r="AP190" i="135" s="1"/>
  <c r="AF166" i="135"/>
  <c r="AT5" i="135"/>
  <c r="AT166" i="135" s="1"/>
  <c r="AB153" i="135"/>
  <c r="AB158" i="135" s="1"/>
  <c r="AP158" i="135" s="1"/>
  <c r="AD135" i="135"/>
  <c r="AR135" i="135" s="1"/>
  <c r="AR131" i="135"/>
  <c r="AC190" i="135"/>
  <c r="AD171" i="135"/>
  <c r="AN25" i="135"/>
  <c r="AN169" i="135" s="1"/>
  <c r="Z169" i="135"/>
  <c r="AG28" i="135"/>
  <c r="AU27" i="135"/>
  <c r="AC103" i="105"/>
  <c r="AE92" i="135"/>
  <c r="AE103" i="105"/>
  <c r="AG92" i="135"/>
  <c r="AE190" i="135"/>
  <c r="AT34" i="135"/>
  <c r="AF35" i="135"/>
  <c r="AG166" i="135"/>
  <c r="AU5" i="135"/>
  <c r="AU166" i="135" s="1"/>
  <c r="AE142" i="135"/>
  <c r="AS71" i="135"/>
  <c r="AS142" i="135" s="1"/>
  <c r="AR74" i="135"/>
  <c r="AR197" i="135" s="1"/>
  <c r="AD28" i="135"/>
  <c r="AR27" i="135"/>
  <c r="AA28" i="135"/>
  <c r="AO27" i="135"/>
  <c r="AQ79" i="135"/>
  <c r="AQ198" i="135" s="1"/>
  <c r="AQ74" i="135"/>
  <c r="AQ197" i="135" s="1"/>
  <c r="AE86" i="135"/>
  <c r="AS86" i="135" s="1"/>
  <c r="Q201" i="135"/>
  <c r="AE145" i="135"/>
  <c r="AS95" i="135"/>
  <c r="AS145" i="135" s="1"/>
  <c r="AD142" i="135"/>
  <c r="AR71" i="135"/>
  <c r="AR142" i="135" s="1"/>
  <c r="AE171" i="135"/>
  <c r="AU4" i="135"/>
  <c r="AU148" i="135" s="1"/>
  <c r="AG148" i="135"/>
  <c r="AU74" i="135"/>
  <c r="AU197" i="135" s="1"/>
  <c r="AF135" i="135"/>
  <c r="AT135" i="135" s="1"/>
  <c r="AT131" i="135"/>
  <c r="AE135" i="135"/>
  <c r="AS135" i="135" s="1"/>
  <c r="AS131" i="135"/>
  <c r="P173" i="8"/>
  <c r="Q36" i="135"/>
  <c r="AU3" i="135"/>
  <c r="AG130" i="135"/>
  <c r="AC28" i="135"/>
  <c r="AQ27" i="135"/>
  <c r="AF142" i="135"/>
  <c r="AT71" i="135"/>
  <c r="AT142" i="135" s="1"/>
  <c r="AS171" i="135"/>
  <c r="AR111" i="135"/>
  <c r="AR116" i="135" s="1"/>
  <c r="O36" i="135"/>
  <c r="O8" i="135"/>
  <c r="O37" i="135" s="1"/>
  <c r="AT74" i="135"/>
  <c r="AT197" i="135" s="1"/>
  <c r="AG135" i="135"/>
  <c r="AU135" i="135" s="1"/>
  <c r="AU131" i="135"/>
  <c r="AB99" i="135"/>
  <c r="AS130" i="135"/>
  <c r="AE181" i="135"/>
  <c r="AM181" i="135" s="1"/>
  <c r="AS91" i="135"/>
  <c r="AS181" i="135" s="1"/>
  <c r="AO15" i="135"/>
  <c r="AO190" i="135" s="1"/>
  <c r="AA16" i="135"/>
  <c r="AR130" i="135"/>
  <c r="AT97" i="135"/>
  <c r="AT182" i="135" s="1"/>
  <c r="AF182" i="135"/>
  <c r="AG142" i="135"/>
  <c r="AU71" i="135"/>
  <c r="AU142" i="135" s="1"/>
  <c r="AS6" i="135"/>
  <c r="AS185" i="135" s="1"/>
  <c r="AS74" i="135"/>
  <c r="AS197" i="135" s="1"/>
  <c r="AF44" i="144"/>
  <c r="AQ5" i="135"/>
  <c r="AQ166" i="135" s="1"/>
  <c r="AC166" i="135"/>
  <c r="AD103" i="105"/>
  <c r="AF92" i="135"/>
  <c r="AG35" i="135"/>
  <c r="AU34" i="135"/>
  <c r="AQ15" i="135"/>
  <c r="AQ190" i="135" s="1"/>
  <c r="AC16" i="135"/>
  <c r="AS111" i="135"/>
  <c r="AS116" i="135" s="1"/>
  <c r="AF130" i="135"/>
  <c r="AT3" i="135"/>
  <c r="AQ131" i="135"/>
  <c r="AC135" i="135"/>
  <c r="AQ135" i="135" s="1"/>
  <c r="AS34" i="135"/>
  <c r="AE35" i="135"/>
  <c r="AQ6" i="135"/>
  <c r="AQ185" i="135" s="1"/>
  <c r="AQ34" i="135"/>
  <c r="AC35" i="135"/>
  <c r="AE44" i="144"/>
  <c r="AG190" i="135"/>
  <c r="AE201" i="135"/>
  <c r="AS98" i="135"/>
  <c r="AS201" i="135" s="1"/>
  <c r="AE179" i="135"/>
  <c r="AM179" i="135" s="1"/>
  <c r="AS78" i="135"/>
  <c r="AS179" i="135" s="1"/>
  <c r="AU72" i="135"/>
  <c r="AU159" i="135" s="1"/>
  <c r="Z71" i="135"/>
  <c r="AN71" i="135" s="1"/>
  <c r="AN142" i="135" s="1"/>
  <c r="Y71" i="135"/>
  <c r="Y142" i="135" s="1"/>
  <c r="AQ97" i="135"/>
  <c r="AQ182" i="135" s="1"/>
  <c r="AC182" i="135"/>
  <c r="AM182" i="135" s="1"/>
  <c r="AE80" i="135"/>
  <c r="AS80" i="135" s="1"/>
  <c r="AF28" i="135"/>
  <c r="AT27" i="135"/>
  <c r="AG171" i="135"/>
  <c r="X10" i="95"/>
  <c r="Y44" i="139"/>
  <c r="AP35" i="135"/>
  <c r="AU111" i="135"/>
  <c r="AU116" i="135" s="1"/>
  <c r="AN13" i="135"/>
  <c r="AN167" i="135" s="1"/>
  <c r="Z167" i="135"/>
  <c r="AR15" i="135"/>
  <c r="AR190" i="135" s="1"/>
  <c r="AD16" i="135"/>
  <c r="AN20" i="135"/>
  <c r="AN168" i="135" s="1"/>
  <c r="Z168" i="135"/>
  <c r="AD166" i="135"/>
  <c r="AR5" i="135"/>
  <c r="AR166" i="135" s="1"/>
  <c r="AA44" i="144"/>
  <c r="M8" i="95" s="1"/>
  <c r="L201" i="135"/>
  <c r="AT95" i="135"/>
  <c r="AT145" i="135" s="1"/>
  <c r="AF145" i="135"/>
  <c r="AE28" i="135"/>
  <c r="AS27" i="135"/>
  <c r="AS190" i="135" s="1"/>
  <c r="AR34" i="135"/>
  <c r="AD35" i="135"/>
  <c r="AS85" i="135"/>
  <c r="AS199" i="135" s="1"/>
  <c r="AO24" i="102"/>
  <c r="AE73" i="135"/>
  <c r="AG73" i="135"/>
  <c r="AF73" i="135"/>
  <c r="AD73" i="135"/>
  <c r="AQ98" i="135"/>
  <c r="AQ201" i="135" s="1"/>
  <c r="AC201" i="135"/>
  <c r="AC36" i="135"/>
  <c r="AQ36" i="135" s="1"/>
  <c r="AU15" i="135"/>
  <c r="AU190" i="135" s="1"/>
  <c r="AG16" i="135"/>
  <c r="AT15" i="135"/>
  <c r="AT190" i="135" s="1"/>
  <c r="AF16" i="135"/>
  <c r="AU96" i="135"/>
  <c r="AU164" i="135" s="1"/>
  <c r="AG164" i="135"/>
  <c r="AS5" i="135"/>
  <c r="AS166" i="135" s="1"/>
  <c r="AE166" i="135"/>
  <c r="AA35" i="135"/>
  <c r="AO34" i="135"/>
  <c r="AR171" i="135"/>
  <c r="AO16" i="85"/>
  <c r="AO9" i="92"/>
  <c r="AF42" i="105"/>
  <c r="U187" i="8"/>
  <c r="M173" i="8"/>
  <c r="M197" i="8"/>
  <c r="U197" i="8" s="1"/>
  <c r="U154" i="8"/>
  <c r="U181" i="8"/>
  <c r="AG7" i="135"/>
  <c r="AU2" i="135"/>
  <c r="AU110" i="135" s="1"/>
  <c r="AG110" i="135"/>
  <c r="AG70" i="135"/>
  <c r="AF70" i="135"/>
  <c r="AE70" i="135"/>
  <c r="AD70" i="135"/>
  <c r="AU80" i="135"/>
  <c r="Y200" i="135"/>
  <c r="AN200" i="135"/>
  <c r="Y177" i="135"/>
  <c r="AE44" i="105"/>
  <c r="AG44" i="92"/>
  <c r="T44" i="92" s="1"/>
  <c r="AH77" i="102"/>
  <c r="S15" i="95" s="1"/>
  <c r="AH41" i="102"/>
  <c r="S14" i="95" s="1"/>
  <c r="AE41" i="105"/>
  <c r="AE42" i="105"/>
  <c r="T7" i="95"/>
  <c r="U44" i="142"/>
  <c r="V7" i="95"/>
  <c r="W44" i="142"/>
  <c r="X44" i="142"/>
  <c r="S7" i="95"/>
  <c r="T44" i="142"/>
  <c r="U7" i="95"/>
  <c r="V44" i="142"/>
  <c r="AD148" i="135"/>
  <c r="AR4" i="135"/>
  <c r="AR148" i="135" s="1"/>
  <c r="AD164" i="135"/>
  <c r="AR96" i="135"/>
  <c r="AR164" i="135" s="1"/>
  <c r="AR153" i="135"/>
  <c r="I56" i="137"/>
  <c r="AF161" i="135"/>
  <c r="AM161" i="135" s="1"/>
  <c r="AT83" i="135"/>
  <c r="AT161" i="135" s="1"/>
  <c r="AF86" i="135"/>
  <c r="AE164" i="135"/>
  <c r="AS96" i="135"/>
  <c r="AS164" i="135" s="1"/>
  <c r="AE99" i="135"/>
  <c r="O99" i="135" s="1"/>
  <c r="P8" i="135"/>
  <c r="P37" i="135" s="1"/>
  <c r="P36" i="135"/>
  <c r="AT153" i="135"/>
  <c r="AE148" i="135"/>
  <c r="AS4" i="135"/>
  <c r="AS148" i="135" s="1"/>
  <c r="AS153" i="135"/>
  <c r="AO32" i="90"/>
  <c r="M75" i="135"/>
  <c r="M159" i="135"/>
  <c r="AF148" i="135"/>
  <c r="AT4" i="135"/>
  <c r="AT148" i="135" s="1"/>
  <c r="AT80" i="135"/>
  <c r="AF164" i="135"/>
  <c r="AT96" i="135"/>
  <c r="AT164" i="135" s="1"/>
  <c r="AF99" i="135"/>
  <c r="P99" i="135" s="1"/>
  <c r="AF72" i="135"/>
  <c r="AE72" i="135"/>
  <c r="AD72" i="135"/>
  <c r="AR86" i="135"/>
  <c r="AD99" i="135"/>
  <c r="AQ4" i="135"/>
  <c r="AQ148" i="135" s="1"/>
  <c r="AR80" i="135"/>
  <c r="AE7" i="135"/>
  <c r="AS2" i="135"/>
  <c r="AT2" i="135"/>
  <c r="AF110" i="135"/>
  <c r="AF7" i="135"/>
  <c r="R7" i="95"/>
  <c r="S44" i="142"/>
  <c r="AD41" i="105"/>
  <c r="AF44" i="92"/>
  <c r="S44" i="92" s="1"/>
  <c r="K197" i="8"/>
  <c r="AQ2" i="135"/>
  <c r="AO38" i="90"/>
  <c r="Q7" i="95"/>
  <c r="R44" i="142"/>
  <c r="AD110" i="135"/>
  <c r="AR2" i="135"/>
  <c r="AD7" i="135"/>
  <c r="N10" i="95"/>
  <c r="O44" i="139"/>
  <c r="Q10" i="95"/>
  <c r="R44" i="139"/>
  <c r="AF77" i="102"/>
  <c r="Q15" i="95" s="1"/>
  <c r="AF41" i="102"/>
  <c r="Q14" i="95" s="1"/>
  <c r="AF26" i="102"/>
  <c r="J169" i="8"/>
  <c r="J172" i="8" s="1"/>
  <c r="AE44" i="92"/>
  <c r="R44" i="92" s="1"/>
  <c r="AO41" i="92"/>
  <c r="AC42" i="105"/>
  <c r="AC41" i="105"/>
  <c r="AR93" i="135"/>
  <c r="AR163" i="135"/>
  <c r="AM14" i="102"/>
  <c r="AM16" i="102" s="1"/>
  <c r="AQ71" i="135"/>
  <c r="AQ142" i="135" s="1"/>
  <c r="AC142" i="135"/>
  <c r="AQ95" i="135"/>
  <c r="AQ145" i="135" s="1"/>
  <c r="AC145" i="135"/>
  <c r="AQ130" i="135"/>
  <c r="AB41" i="105"/>
  <c r="AB42" i="105"/>
  <c r="P14" i="95"/>
  <c r="P17" i="95" s="1"/>
  <c r="Z129" i="8"/>
  <c r="U9" i="141"/>
  <c r="U11" i="141" s="1"/>
  <c r="AG14" i="102"/>
  <c r="AG16" i="102" s="1"/>
  <c r="AC72" i="135"/>
  <c r="AB72" i="135"/>
  <c r="Z92" i="105"/>
  <c r="AB85" i="135"/>
  <c r="P44" i="92"/>
  <c r="O5" i="95"/>
  <c r="P38" i="85"/>
  <c r="AL98" i="105"/>
  <c r="AM98" i="105" s="1"/>
  <c r="AB92" i="135"/>
  <c r="AB70" i="135"/>
  <c r="AC70" i="135"/>
  <c r="AC123" i="135" s="1"/>
  <c r="AH14" i="102"/>
  <c r="AE14" i="102"/>
  <c r="AE16" i="102" s="1"/>
  <c r="AO2" i="135"/>
  <c r="AP95" i="135"/>
  <c r="AP145" i="135" s="1"/>
  <c r="AB145" i="135"/>
  <c r="AM145" i="135" s="1"/>
  <c r="AL6" i="90"/>
  <c r="AL44" i="142"/>
  <c r="Z86" i="105"/>
  <c r="AB79" i="135"/>
  <c r="G12" i="138"/>
  <c r="G13" i="138" s="1"/>
  <c r="N56" i="137"/>
  <c r="N58" i="137" s="1"/>
  <c r="N59" i="137" s="1"/>
  <c r="N60" i="137" s="1"/>
  <c r="AK41" i="102"/>
  <c r="V14" i="95" s="1"/>
  <c r="V17" i="95" s="1"/>
  <c r="AK14" i="102"/>
  <c r="AK16" i="102" s="1"/>
  <c r="AB41" i="102"/>
  <c r="AB14" i="102"/>
  <c r="AA44" i="92"/>
  <c r="F12" i="138"/>
  <c r="F13" i="138" s="1"/>
  <c r="M56" i="137"/>
  <c r="M58" i="137" s="1"/>
  <c r="M59" i="137" s="1"/>
  <c r="M60" i="137" s="1"/>
  <c r="AP5" i="135"/>
  <c r="AP166" i="135" s="1"/>
  <c r="AB166" i="135"/>
  <c r="AB201" i="135"/>
  <c r="AM201" i="135" s="1"/>
  <c r="AP98" i="135"/>
  <c r="AP201" i="135" s="1"/>
  <c r="I12" i="138"/>
  <c r="I13" i="138" s="1"/>
  <c r="P56" i="137"/>
  <c r="P58" i="137" s="1"/>
  <c r="P59" i="137" s="1"/>
  <c r="P60" i="137" s="1"/>
  <c r="AC99" i="135"/>
  <c r="M99" i="135" s="1"/>
  <c r="I12" i="141"/>
  <c r="F239" i="8"/>
  <c r="AA8" i="142"/>
  <c r="AA7" i="95" s="1"/>
  <c r="AQ76" i="135"/>
  <c r="AQ124" i="135" s="1"/>
  <c r="AC80" i="135"/>
  <c r="H12" i="138"/>
  <c r="H13" i="138" s="1"/>
  <c r="O56" i="137"/>
  <c r="O58" i="137" s="1"/>
  <c r="O59" i="137" s="1"/>
  <c r="O60" i="137" s="1"/>
  <c r="AJ14" i="102"/>
  <c r="AA103" i="105"/>
  <c r="AC92" i="135"/>
  <c r="K12" i="138"/>
  <c r="K13" i="138" s="1"/>
  <c r="R56" i="137"/>
  <c r="R58" i="137" s="1"/>
  <c r="R59" i="137" s="1"/>
  <c r="R60" i="137" s="1"/>
  <c r="AO41" i="139"/>
  <c r="AN41" i="139"/>
  <c r="AO55" i="135"/>
  <c r="AA44" i="139"/>
  <c r="AD6" i="90"/>
  <c r="AD44" i="142"/>
  <c r="AL41" i="102"/>
  <c r="AL14" i="102"/>
  <c r="AL16" i="102" s="1"/>
  <c r="N5" i="95"/>
  <c r="O38" i="85"/>
  <c r="AC73" i="135"/>
  <c r="AB73" i="135"/>
  <c r="AP71" i="135"/>
  <c r="AP142" i="135" s="1"/>
  <c r="AB142" i="135"/>
  <c r="Z36" i="69"/>
  <c r="AA36" i="69" s="1"/>
  <c r="AC7" i="135"/>
  <c r="AO30" i="139"/>
  <c r="AA92" i="105"/>
  <c r="AC85" i="135"/>
  <c r="AC199" i="135" s="1"/>
  <c r="O44" i="92"/>
  <c r="AF14" i="102"/>
  <c r="AI14" i="102"/>
  <c r="AI16" i="102" s="1"/>
  <c r="AQ87" i="135"/>
  <c r="AQ126" i="135" s="1"/>
  <c r="AP6" i="135"/>
  <c r="AP185" i="135" s="1"/>
  <c r="AP74" i="135"/>
  <c r="AP197" i="135" s="1"/>
  <c r="E12" i="138"/>
  <c r="E13" i="138" s="1"/>
  <c r="L56" i="137"/>
  <c r="L58" i="137" s="1"/>
  <c r="L59" i="137" s="1"/>
  <c r="L60" i="137" s="1"/>
  <c r="L12" i="138"/>
  <c r="L13" i="138" s="1"/>
  <c r="S56" i="137"/>
  <c r="S58" i="137" s="1"/>
  <c r="S59" i="137" s="1"/>
  <c r="S60" i="137" s="1"/>
  <c r="AA44" i="105"/>
  <c r="AO22" i="92"/>
  <c r="AC44" i="91"/>
  <c r="P44" i="91" s="1"/>
  <c r="R187" i="8"/>
  <c r="H197" i="8"/>
  <c r="R197" i="8" s="1"/>
  <c r="H173" i="8"/>
  <c r="R169" i="8"/>
  <c r="AD14" i="102"/>
  <c r="AD16" i="102" s="1"/>
  <c r="AD41" i="102"/>
  <c r="O14" i="95" s="1"/>
  <c r="V173" i="8"/>
  <c r="D12" i="138"/>
  <c r="D13" i="138" s="1"/>
  <c r="K56" i="137"/>
  <c r="K58" i="137" s="1"/>
  <c r="K59" i="137" s="1"/>
  <c r="K60" i="137" s="1"/>
  <c r="AP2" i="135"/>
  <c r="AB110" i="135"/>
  <c r="AB122" i="135" s="1"/>
  <c r="AB7" i="135"/>
  <c r="H36" i="135"/>
  <c r="AP89" i="135"/>
  <c r="AB162" i="135"/>
  <c r="AP148" i="135"/>
  <c r="C12" i="138"/>
  <c r="C13" i="138" s="1"/>
  <c r="J56" i="137"/>
  <c r="J58" i="137" s="1"/>
  <c r="J59" i="137" s="1"/>
  <c r="J60" i="137" s="1"/>
  <c r="Y28" i="120"/>
  <c r="Y27" i="120" s="1"/>
  <c r="F26" i="69"/>
  <c r="AO99" i="135"/>
  <c r="AE21" i="69"/>
  <c r="AF21" i="69" s="1"/>
  <c r="AA87" i="135"/>
  <c r="AM87" i="135" s="1"/>
  <c r="BA87" i="135" s="1"/>
  <c r="BA126" i="135" s="1"/>
  <c r="AL93" i="105"/>
  <c r="AM93" i="105" s="1"/>
  <c r="AC14" i="102"/>
  <c r="AC16" i="102" s="1"/>
  <c r="G168" i="8"/>
  <c r="G173" i="8" s="1"/>
  <c r="AC41" i="102"/>
  <c r="AB77" i="102"/>
  <c r="M15" i="95" s="1"/>
  <c r="J15" i="95" s="1"/>
  <c r="AN166" i="135"/>
  <c r="AO4" i="135"/>
  <c r="AO148" i="135" s="1"/>
  <c r="AA148" i="135"/>
  <c r="AA142" i="135"/>
  <c r="AO71" i="135"/>
  <c r="AO142" i="135" s="1"/>
  <c r="AO74" i="135"/>
  <c r="AO197" i="135" s="1"/>
  <c r="Y92" i="105"/>
  <c r="AA81" i="135"/>
  <c r="AM81" i="135" s="1"/>
  <c r="BA81" i="135" s="1"/>
  <c r="BA125" i="135" s="1"/>
  <c r="AA124" i="135"/>
  <c r="AM124" i="135" s="1"/>
  <c r="AO76" i="135"/>
  <c r="AO124" i="135" s="1"/>
  <c r="AA80" i="135"/>
  <c r="AO6" i="135"/>
  <c r="AO185" i="135" s="1"/>
  <c r="AO116" i="135"/>
  <c r="AO130" i="135"/>
  <c r="AA7" i="135"/>
  <c r="X73" i="135"/>
  <c r="AA73" i="135"/>
  <c r="Z166" i="135"/>
  <c r="X70" i="135"/>
  <c r="AA70" i="135"/>
  <c r="X72" i="135"/>
  <c r="AA72" i="135"/>
  <c r="AM72" i="135" s="1"/>
  <c r="BA72" i="135" s="1"/>
  <c r="BA159" i="135" s="1"/>
  <c r="Y41" i="105"/>
  <c r="I58" i="137"/>
  <c r="I59" i="137" s="1"/>
  <c r="I60" i="137" s="1"/>
  <c r="T36" i="69"/>
  <c r="N10" i="138"/>
  <c r="J36" i="69"/>
  <c r="K26" i="69"/>
  <c r="AG13" i="69"/>
  <c r="AH13" i="69"/>
  <c r="N36" i="69"/>
  <c r="O26" i="69"/>
  <c r="AF14" i="119" s="1"/>
  <c r="V198" i="8"/>
  <c r="T198" i="8"/>
  <c r="F198" i="8"/>
  <c r="H196" i="8"/>
  <c r="AF41" i="105"/>
  <c r="H178" i="135"/>
  <c r="H159" i="135"/>
  <c r="AJ41" i="105"/>
  <c r="Z41" i="105"/>
  <c r="AJ42" i="105"/>
  <c r="AK42" i="105"/>
  <c r="X142" i="135"/>
  <c r="H75" i="135"/>
  <c r="H123" i="135"/>
  <c r="M196" i="8"/>
  <c r="M198" i="8" s="1"/>
  <c r="G196" i="8"/>
  <c r="G198" i="8" s="1"/>
  <c r="Y38" i="85"/>
  <c r="AH44" i="92"/>
  <c r="U44" i="92" s="1"/>
  <c r="AO30" i="91"/>
  <c r="N196" i="8"/>
  <c r="N198" i="8" s="1"/>
  <c r="AC86" i="105"/>
  <c r="AO34" i="82"/>
  <c r="Z127" i="8"/>
  <c r="AA86" i="105"/>
  <c r="AF86" i="105"/>
  <c r="AA26" i="102"/>
  <c r="K165" i="8"/>
  <c r="K168" i="8" s="1"/>
  <c r="K173" i="8" s="1"/>
  <c r="K196" i="8"/>
  <c r="K198" i="8" s="1"/>
  <c r="J196" i="8"/>
  <c r="J198" i="8" s="1"/>
  <c r="J165" i="8"/>
  <c r="J168" i="8" s="1"/>
  <c r="L165" i="8"/>
  <c r="L196" i="8"/>
  <c r="L198" i="8" s="1"/>
  <c r="I196" i="8"/>
  <c r="I198" i="8" s="1"/>
  <c r="I165" i="8"/>
  <c r="I168" i="8" s="1"/>
  <c r="I173" i="8" s="1"/>
  <c r="R181" i="8"/>
  <c r="F165" i="8"/>
  <c r="AL84" i="105"/>
  <c r="AM84" i="105" s="1"/>
  <c r="S198" i="8"/>
  <c r="V230" i="8"/>
  <c r="AO6" i="91"/>
  <c r="P224" i="8"/>
  <c r="U162" i="8"/>
  <c r="V162" i="8"/>
  <c r="J224" i="8"/>
  <c r="M224" i="8"/>
  <c r="Q224" i="8"/>
  <c r="R224" i="8"/>
  <c r="N224" i="8"/>
  <c r="I224" i="8"/>
  <c r="H224" i="8"/>
  <c r="AO6" i="85"/>
  <c r="AO6" i="92"/>
  <c r="S154" i="8"/>
  <c r="V154" i="8"/>
  <c r="T14" i="95"/>
  <c r="T154" i="8"/>
  <c r="R238" i="8"/>
  <c r="U14" i="95"/>
  <c r="R14" i="95"/>
  <c r="R17" i="95" s="1"/>
  <c r="AN87" i="102"/>
  <c r="AO87" i="102" s="1"/>
  <c r="AO84" i="102"/>
  <c r="AH26" i="102"/>
  <c r="R166" i="8"/>
  <c r="AO25" i="102"/>
  <c r="AO48" i="102"/>
  <c r="AN51" i="102"/>
  <c r="AO51" i="102" s="1"/>
  <c r="AB26" i="102"/>
  <c r="R154" i="8"/>
  <c r="Q38" i="85"/>
  <c r="X38" i="85"/>
  <c r="J242" i="8"/>
  <c r="AE6" i="82"/>
  <c r="AE37" i="82" s="1"/>
  <c r="R37" i="82" s="1"/>
  <c r="J131" i="8"/>
  <c r="AF6" i="82"/>
  <c r="AF37" i="82" s="1"/>
  <c r="S37" i="82" s="1"/>
  <c r="K131" i="8"/>
  <c r="AH6" i="90"/>
  <c r="M146" i="8"/>
  <c r="Z40" i="105"/>
  <c r="AB8" i="90"/>
  <c r="G239" i="8"/>
  <c r="H239" i="8"/>
  <c r="AC8" i="90"/>
  <c r="AL6" i="82"/>
  <c r="Q242" i="8"/>
  <c r="D242" i="8"/>
  <c r="AM6" i="82"/>
  <c r="E129" i="8"/>
  <c r="AE6" i="90"/>
  <c r="J146" i="8"/>
  <c r="E143" i="8"/>
  <c r="AH40" i="105"/>
  <c r="AA20" i="119"/>
  <c r="AJ8" i="90"/>
  <c r="AH13" i="105" s="1"/>
  <c r="O239" i="8"/>
  <c r="AB20" i="119"/>
  <c r="AK8" i="90"/>
  <c r="AI13" i="105" s="1"/>
  <c r="AI16" i="105" s="1"/>
  <c r="P239" i="8"/>
  <c r="AD6" i="82"/>
  <c r="AD37" i="82" s="1"/>
  <c r="Q37" i="82" s="1"/>
  <c r="I242" i="8"/>
  <c r="I131" i="8"/>
  <c r="AA6" i="82"/>
  <c r="S129" i="8"/>
  <c r="T129" i="8"/>
  <c r="AJ6" i="90"/>
  <c r="O146" i="8"/>
  <c r="I31" i="124"/>
  <c r="K31" i="124" s="1"/>
  <c r="L31" i="124" s="1"/>
  <c r="M7" i="124" s="1"/>
  <c r="AD40" i="105"/>
  <c r="I146" i="8"/>
  <c r="AD8" i="90"/>
  <c r="I239" i="8"/>
  <c r="Y128" i="8"/>
  <c r="Y131" i="8" s="1"/>
  <c r="AE8" i="90"/>
  <c r="J239" i="8"/>
  <c r="AH6" i="82"/>
  <c r="M242" i="8"/>
  <c r="M131" i="8"/>
  <c r="D230" i="8"/>
  <c r="F230" i="8"/>
  <c r="P230" i="8"/>
  <c r="J230" i="8"/>
  <c r="H230" i="8"/>
  <c r="G230" i="8"/>
  <c r="I230" i="8"/>
  <c r="N230" i="8"/>
  <c r="K230" i="8"/>
  <c r="Q230" i="8"/>
  <c r="M230" i="8"/>
  <c r="O230" i="8"/>
  <c r="L230" i="8"/>
  <c r="AK6" i="90"/>
  <c r="P146" i="8"/>
  <c r="AK40" i="105"/>
  <c r="Q146" i="8"/>
  <c r="AC20" i="119"/>
  <c r="Q239" i="8"/>
  <c r="AL8" i="90"/>
  <c r="E140" i="8"/>
  <c r="AM8" i="90"/>
  <c r="F131" i="8"/>
  <c r="L131" i="8"/>
  <c r="AG6" i="82"/>
  <c r="L242" i="8"/>
  <c r="U129" i="8"/>
  <c r="D224" i="8"/>
  <c r="T224" i="8"/>
  <c r="F224" i="8"/>
  <c r="K224" i="8"/>
  <c r="G224" i="8"/>
  <c r="O224" i="8"/>
  <c r="AC40" i="105"/>
  <c r="N239" i="8"/>
  <c r="AI8" i="90"/>
  <c r="AI6" i="82"/>
  <c r="N131" i="8"/>
  <c r="N242" i="8"/>
  <c r="K242" i="8"/>
  <c r="AF6" i="90"/>
  <c r="K146" i="8"/>
  <c r="AA40" i="105"/>
  <c r="AA45" i="105" s="1"/>
  <c r="AE40" i="105"/>
  <c r="X128" i="8"/>
  <c r="S140" i="8"/>
  <c r="R140" i="8"/>
  <c r="T140" i="8"/>
  <c r="P242" i="8"/>
  <c r="AK6" i="82"/>
  <c r="AN6" i="82" s="1"/>
  <c r="AB6" i="82"/>
  <c r="AB37" i="82" s="1"/>
  <c r="O37" i="82" s="1"/>
  <c r="G131" i="8"/>
  <c r="AG6" i="90"/>
  <c r="L146" i="8"/>
  <c r="U143" i="8"/>
  <c r="S224" i="8"/>
  <c r="AG40" i="105"/>
  <c r="K239" i="8"/>
  <c r="AF8" i="90"/>
  <c r="R129" i="8"/>
  <c r="H131" i="8"/>
  <c r="AC6" i="82"/>
  <c r="AC37" i="82" s="1"/>
  <c r="P37" i="82" s="1"/>
  <c r="AJ6" i="82"/>
  <c r="O242" i="8"/>
  <c r="O131" i="8"/>
  <c r="AI6" i="90"/>
  <c r="N146" i="8"/>
  <c r="AJ40" i="105"/>
  <c r="AJ45" i="105" s="1"/>
  <c r="D239" i="8"/>
  <c r="AI40" i="105"/>
  <c r="U140" i="8"/>
  <c r="AG8" i="90"/>
  <c r="L239" i="8"/>
  <c r="M239" i="8"/>
  <c r="AH8" i="90"/>
  <c r="Q44" i="91"/>
  <c r="U5" i="95"/>
  <c r="V38" i="85"/>
  <c r="X44" i="91"/>
  <c r="W44" i="91"/>
  <c r="V44" i="91"/>
  <c r="AI44" i="105"/>
  <c r="L82" i="130"/>
  <c r="AL85" i="105"/>
  <c r="AM85" i="105" s="1"/>
  <c r="AL91" i="105"/>
  <c r="AM91" i="105" s="1"/>
  <c r="AH44" i="105"/>
  <c r="T5" i="95"/>
  <c r="U38" i="85"/>
  <c r="AL87" i="105"/>
  <c r="AM87" i="105" s="1"/>
  <c r="AO22" i="91"/>
  <c r="U44" i="91"/>
  <c r="AF44" i="105"/>
  <c r="AF40" i="105"/>
  <c r="S230" i="8"/>
  <c r="R38" i="85"/>
  <c r="U172" i="8"/>
  <c r="AL82" i="105"/>
  <c r="AM82" i="105" s="1"/>
  <c r="Y86" i="105"/>
  <c r="AO37" i="91"/>
  <c r="Y103" i="105"/>
  <c r="S5" i="95"/>
  <c r="T38" i="85"/>
  <c r="AO33" i="82"/>
  <c r="R5" i="95"/>
  <c r="S38" i="85"/>
  <c r="L11" i="124"/>
  <c r="K3" i="124" s="1"/>
  <c r="J3" i="124" s="1"/>
  <c r="V224" i="8"/>
  <c r="V231" i="8"/>
  <c r="AC43" i="105"/>
  <c r="AL43" i="105" s="1"/>
  <c r="AC92" i="105"/>
  <c r="AL90" i="105"/>
  <c r="AO9" i="85"/>
  <c r="M5" i="95"/>
  <c r="N38" i="85"/>
  <c r="R172" i="8"/>
  <c r="AN14" i="102" l="1"/>
  <c r="AJ129" i="135"/>
  <c r="AX129" i="135" s="1"/>
  <c r="AM34" i="105"/>
  <c r="AL35" i="105"/>
  <c r="AM35" i="105" s="1"/>
  <c r="AV81" i="135"/>
  <c r="AV125" i="135" s="1"/>
  <c r="AH86" i="135"/>
  <c r="AV86" i="135" s="1"/>
  <c r="AH125" i="135"/>
  <c r="AL44" i="105"/>
  <c r="AL41" i="105"/>
  <c r="AM41" i="105" s="1"/>
  <c r="AX85" i="135"/>
  <c r="AX199" i="135" s="1"/>
  <c r="AJ199" i="135"/>
  <c r="AJ86" i="135"/>
  <c r="AX86" i="135" s="1"/>
  <c r="AX92" i="135"/>
  <c r="AX200" i="135" s="1"/>
  <c r="AJ200" i="135"/>
  <c r="AJ93" i="135"/>
  <c r="AX93" i="135" s="1"/>
  <c r="AX79" i="135"/>
  <c r="AX198" i="135" s="1"/>
  <c r="AJ198" i="135"/>
  <c r="AJ203" i="135" s="1"/>
  <c r="AX203" i="135" s="1"/>
  <c r="AJ80" i="135"/>
  <c r="AX80" i="135" s="1"/>
  <c r="AH16" i="105"/>
  <c r="AL13" i="105"/>
  <c r="AJ165" i="135"/>
  <c r="AX165" i="135" s="1"/>
  <c r="AE158" i="135"/>
  <c r="AM130" i="135"/>
  <c r="BA130" i="135" s="1"/>
  <c r="AL37" i="82"/>
  <c r="Y37" i="82" s="1"/>
  <c r="AJ24" i="105"/>
  <c r="AJ29" i="105" s="1"/>
  <c r="AL44" i="90"/>
  <c r="AJ26" i="105"/>
  <c r="W14" i="95"/>
  <c r="AK44" i="90"/>
  <c r="AI26" i="105"/>
  <c r="AK37" i="82"/>
  <c r="X37" i="82" s="1"/>
  <c r="AI24" i="105"/>
  <c r="AI29" i="105" s="1"/>
  <c r="AX196" i="135"/>
  <c r="AX177" i="135"/>
  <c r="AJ205" i="135"/>
  <c r="AX205" i="135" s="1"/>
  <c r="AJ184" i="135"/>
  <c r="AX135" i="135"/>
  <c r="AJ141" i="135"/>
  <c r="AA122" i="135"/>
  <c r="W99" i="135"/>
  <c r="W201" i="135"/>
  <c r="AJ44" i="90"/>
  <c r="AH26" i="105"/>
  <c r="AJ37" i="82"/>
  <c r="W37" i="82" s="1"/>
  <c r="AH24" i="105"/>
  <c r="AJ16" i="102"/>
  <c r="AB141" i="135"/>
  <c r="AP141" i="135" s="1"/>
  <c r="AM110" i="135"/>
  <c r="AM116" i="135"/>
  <c r="AM166" i="135"/>
  <c r="AM190" i="135"/>
  <c r="AM142" i="135"/>
  <c r="AM171" i="135"/>
  <c r="AM153" i="135"/>
  <c r="AO135" i="135"/>
  <c r="AM135" i="135"/>
  <c r="BA135" i="135" s="1"/>
  <c r="AA158" i="135"/>
  <c r="AM148" i="135"/>
  <c r="AP162" i="135"/>
  <c r="AM162" i="135"/>
  <c r="BA162" i="135" s="1"/>
  <c r="AN74" i="135"/>
  <c r="AN197" i="135" s="1"/>
  <c r="Z197" i="135"/>
  <c r="AT7" i="135"/>
  <c r="AF196" i="135"/>
  <c r="AT196" i="135" s="1"/>
  <c r="AW7" i="135"/>
  <c r="AQ7" i="135"/>
  <c r="AG196" i="135"/>
  <c r="AU196" i="135" s="1"/>
  <c r="AP7" i="135"/>
  <c r="AB196" i="135"/>
  <c r="AP196" i="135" s="1"/>
  <c r="AR7" i="135"/>
  <c r="AD196" i="135"/>
  <c r="AM99" i="135"/>
  <c r="BA99" i="135" s="1"/>
  <c r="AM79" i="135"/>
  <c r="BA79" i="135" s="1"/>
  <c r="BA198" i="135" s="1"/>
  <c r="AB198" i="135"/>
  <c r="AM85" i="135"/>
  <c r="BA85" i="135" s="1"/>
  <c r="BA199" i="135" s="1"/>
  <c r="AB199" i="135"/>
  <c r="AM199" i="135" s="1"/>
  <c r="AI196" i="135"/>
  <c r="AW196" i="135" s="1"/>
  <c r="AV7" i="135"/>
  <c r="AH196" i="135"/>
  <c r="AM28" i="135"/>
  <c r="AM35" i="135"/>
  <c r="BA35" i="135" s="1"/>
  <c r="AO7" i="135"/>
  <c r="AM7" i="135"/>
  <c r="BA7" i="135" s="1"/>
  <c r="AB93" i="135"/>
  <c r="AP93" i="135" s="1"/>
  <c r="AM92" i="135"/>
  <c r="BA92" i="135" s="1"/>
  <c r="BA200" i="135" s="1"/>
  <c r="AM70" i="135"/>
  <c r="BA70" i="135" s="1"/>
  <c r="BA123" i="135" s="1"/>
  <c r="AM16" i="135"/>
  <c r="BA16" i="135" s="1"/>
  <c r="AO36" i="135"/>
  <c r="AM36" i="135"/>
  <c r="BA36" i="135" s="1"/>
  <c r="AM73" i="135"/>
  <c r="BA73" i="135" s="1"/>
  <c r="BA178" i="135" s="1"/>
  <c r="AF122" i="135"/>
  <c r="AT122" i="135" s="1"/>
  <c r="AV122" i="135"/>
  <c r="AD158" i="135"/>
  <c r="AR158" i="135" s="1"/>
  <c r="AU99" i="135"/>
  <c r="AV204" i="135"/>
  <c r="AD122" i="135"/>
  <c r="AR122" i="135" s="1"/>
  <c r="AA141" i="135"/>
  <c r="AG122" i="135"/>
  <c r="AU122" i="135" s="1"/>
  <c r="AA196" i="135"/>
  <c r="AP122" i="135"/>
  <c r="AQ122" i="135"/>
  <c r="AS122" i="135"/>
  <c r="AO122" i="135"/>
  <c r="AC141" i="135"/>
  <c r="AQ141" i="135" s="1"/>
  <c r="AG177" i="135"/>
  <c r="AI177" i="135"/>
  <c r="AA177" i="135"/>
  <c r="AI122" i="135"/>
  <c r="AF158" i="135"/>
  <c r="AT158" i="135" s="1"/>
  <c r="AI158" i="135"/>
  <c r="AW158" i="135" s="1"/>
  <c r="AW16" i="135"/>
  <c r="AH159" i="135"/>
  <c r="AH165" i="135" s="1"/>
  <c r="AV165" i="135" s="1"/>
  <c r="AV72" i="135"/>
  <c r="AV159" i="135" s="1"/>
  <c r="AP99" i="135"/>
  <c r="L99" i="135"/>
  <c r="AI75" i="135"/>
  <c r="AW72" i="135"/>
  <c r="AW159" i="135" s="1"/>
  <c r="AI159" i="135"/>
  <c r="AH178" i="135"/>
  <c r="AH184" i="135" s="1"/>
  <c r="AV73" i="135"/>
  <c r="AV178" i="135" s="1"/>
  <c r="AC177" i="135"/>
  <c r="AQ177" i="135" s="1"/>
  <c r="AW135" i="135"/>
  <c r="AI141" i="135"/>
  <c r="AW73" i="135"/>
  <c r="AW178" i="135" s="1"/>
  <c r="AI178" i="135"/>
  <c r="AH123" i="135"/>
  <c r="AV70" i="135"/>
  <c r="AV123" i="135" s="1"/>
  <c r="AH75" i="135"/>
  <c r="N99" i="135"/>
  <c r="AW28" i="135"/>
  <c r="AW70" i="135"/>
  <c r="AW123" i="135" s="1"/>
  <c r="AI123" i="135"/>
  <c r="AW35" i="135"/>
  <c r="U17" i="95"/>
  <c r="AD26" i="105"/>
  <c r="AL26" i="105" s="1"/>
  <c r="AF177" i="135"/>
  <c r="AG45" i="105"/>
  <c r="AI44" i="90"/>
  <c r="W75" i="135"/>
  <c r="AI37" i="82"/>
  <c r="V37" i="82" s="1"/>
  <c r="AB177" i="135"/>
  <c r="AD141" i="135"/>
  <c r="AR141" i="135" s="1"/>
  <c r="T17" i="95"/>
  <c r="S44" i="144"/>
  <c r="R8" i="95"/>
  <c r="Q44" i="144"/>
  <c r="P8" i="95"/>
  <c r="R44" i="144"/>
  <c r="Q8" i="95"/>
  <c r="T44" i="91"/>
  <c r="AO9" i="91"/>
  <c r="AH44" i="90"/>
  <c r="U44" i="90" s="1"/>
  <c r="AN44" i="91"/>
  <c r="AN46" i="91" s="1"/>
  <c r="AC129" i="135"/>
  <c r="AB45" i="105"/>
  <c r="Z142" i="135"/>
  <c r="AR99" i="135"/>
  <c r="AE196" i="135"/>
  <c r="AS196" i="135" s="1"/>
  <c r="AE141" i="135"/>
  <c r="AS141" i="135" s="1"/>
  <c r="AD177" i="135"/>
  <c r="R10" i="95"/>
  <c r="S44" i="139"/>
  <c r="AO35" i="135"/>
  <c r="AM44" i="105"/>
  <c r="Y72" i="135"/>
  <c r="Y159" i="135" s="1"/>
  <c r="AN171" i="135"/>
  <c r="AN177" i="135" s="1"/>
  <c r="AE177" i="135"/>
  <c r="AG200" i="135"/>
  <c r="AU92" i="135"/>
  <c r="AU200" i="135" s="1"/>
  <c r="AG93" i="135"/>
  <c r="Q93" i="135" s="1"/>
  <c r="AF45" i="144"/>
  <c r="AF46" i="144" s="1"/>
  <c r="N44" i="144"/>
  <c r="Z44" i="144" s="1"/>
  <c r="AQ92" i="135"/>
  <c r="AQ200" i="135" s="1"/>
  <c r="AC200" i="135"/>
  <c r="AT16" i="135"/>
  <c r="AS28" i="135"/>
  <c r="AT28" i="135"/>
  <c r="AS35" i="135"/>
  <c r="AQ28" i="135"/>
  <c r="AS16" i="135"/>
  <c r="AO6" i="144"/>
  <c r="AN44" i="144"/>
  <c r="AO44" i="144" s="1"/>
  <c r="AD178" i="135"/>
  <c r="AR73" i="135"/>
  <c r="AR178" i="135" s="1"/>
  <c r="AQ16" i="135"/>
  <c r="AO16" i="135"/>
  <c r="AR28" i="135"/>
  <c r="AE200" i="135"/>
  <c r="AS92" i="135"/>
  <c r="AS200" i="135" s="1"/>
  <c r="AE93" i="135"/>
  <c r="AG158" i="135"/>
  <c r="AQ73" i="135"/>
  <c r="AQ178" i="135" s="1"/>
  <c r="AC178" i="135"/>
  <c r="AF178" i="135"/>
  <c r="AT73" i="135"/>
  <c r="AT178" i="135" s="1"/>
  <c r="AQ35" i="135"/>
  <c r="AU35" i="135"/>
  <c r="AC196" i="135"/>
  <c r="AP28" i="135"/>
  <c r="AU16" i="135"/>
  <c r="AU73" i="135"/>
  <c r="AU178" i="135" s="1"/>
  <c r="AG178" i="135"/>
  <c r="AU130" i="135"/>
  <c r="AG141" i="135"/>
  <c r="Z73" i="135"/>
  <c r="AN73" i="135" s="1"/>
  <c r="AN178" i="135" s="1"/>
  <c r="Y73" i="135"/>
  <c r="Y178" i="135" s="1"/>
  <c r="Y184" i="135" s="1"/>
  <c r="AN16" i="102"/>
  <c r="AS73" i="135"/>
  <c r="AS178" i="135" s="1"/>
  <c r="AE178" i="135"/>
  <c r="AT130" i="135"/>
  <c r="AF141" i="135"/>
  <c r="AT35" i="135"/>
  <c r="AB78" i="102"/>
  <c r="AR35" i="135"/>
  <c r="AR16" i="135"/>
  <c r="AU28" i="135"/>
  <c r="Z171" i="135"/>
  <c r="Z177" i="135" s="1"/>
  <c r="AT92" i="135"/>
  <c r="AT200" i="135" s="1"/>
  <c r="AF200" i="135"/>
  <c r="AF93" i="135"/>
  <c r="AO28" i="135"/>
  <c r="U198" i="8"/>
  <c r="AD123" i="135"/>
  <c r="AR70" i="135"/>
  <c r="AR123" i="135" s="1"/>
  <c r="AE123" i="135"/>
  <c r="AE129" i="135" s="1"/>
  <c r="AS70" i="135"/>
  <c r="AS123" i="135" s="1"/>
  <c r="Y70" i="135"/>
  <c r="AS7" i="135"/>
  <c r="AT70" i="135"/>
  <c r="AT123" i="135" s="1"/>
  <c r="AF123" i="135"/>
  <c r="AE26" i="69"/>
  <c r="AF26" i="69" s="1"/>
  <c r="G26" i="69"/>
  <c r="AG75" i="135"/>
  <c r="AG123" i="135"/>
  <c r="AU70" i="135"/>
  <c r="AU123" i="135" s="1"/>
  <c r="AU7" i="135"/>
  <c r="S17" i="95"/>
  <c r="AS110" i="135"/>
  <c r="U36" i="69"/>
  <c r="AH16" i="102"/>
  <c r="AN44" i="139"/>
  <c r="AO44" i="139" s="1"/>
  <c r="AA10" i="95"/>
  <c r="AA21" i="95" s="1"/>
  <c r="AG44" i="90"/>
  <c r="T44" i="90" s="1"/>
  <c r="AG37" i="82"/>
  <c r="T37" i="82" s="1"/>
  <c r="AE45" i="105"/>
  <c r="Y44" i="142"/>
  <c r="AF44" i="90"/>
  <c r="S44" i="90" s="1"/>
  <c r="AT99" i="135"/>
  <c r="AT86" i="135"/>
  <c r="AQ80" i="135"/>
  <c r="AQ72" i="135"/>
  <c r="AQ159" i="135" s="1"/>
  <c r="AC159" i="135"/>
  <c r="AC165" i="135" s="1"/>
  <c r="AQ165" i="135" s="1"/>
  <c r="AD44" i="90"/>
  <c r="Q44" i="90" s="1"/>
  <c r="AD159" i="135"/>
  <c r="AR72" i="135"/>
  <c r="AR159" i="135" s="1"/>
  <c r="AD75" i="135"/>
  <c r="AS99" i="135"/>
  <c r="AS72" i="135"/>
  <c r="AS159" i="135" s="1"/>
  <c r="AE159" i="135"/>
  <c r="AE165" i="135" s="1"/>
  <c r="AS165" i="135" s="1"/>
  <c r="AE75" i="135"/>
  <c r="AT72" i="135"/>
  <c r="AT159" i="135" s="1"/>
  <c r="AF159" i="135"/>
  <c r="AF75" i="135"/>
  <c r="AS158" i="135"/>
  <c r="AP110" i="135"/>
  <c r="AT110" i="135"/>
  <c r="AO110" i="135"/>
  <c r="AQ110" i="135"/>
  <c r="AD45" i="105"/>
  <c r="Q17" i="95"/>
  <c r="AR110" i="135"/>
  <c r="M10" i="95"/>
  <c r="N44" i="139"/>
  <c r="AE44" i="90"/>
  <c r="R44" i="90" s="1"/>
  <c r="J173" i="8"/>
  <c r="AF16" i="102"/>
  <c r="M14" i="95"/>
  <c r="AQ99" i="135"/>
  <c r="P7" i="95"/>
  <c r="Q44" i="142"/>
  <c r="O17" i="95"/>
  <c r="AQ85" i="135"/>
  <c r="AQ199" i="135" s="1"/>
  <c r="AC86" i="135"/>
  <c r="AC93" i="135"/>
  <c r="N44" i="92"/>
  <c r="AB200" i="135"/>
  <c r="AP92" i="135"/>
  <c r="AP200" i="135" s="1"/>
  <c r="AB16" i="102"/>
  <c r="AB178" i="135"/>
  <c r="AP73" i="135"/>
  <c r="AP178" i="135" s="1"/>
  <c r="AP79" i="135"/>
  <c r="AP198" i="135" s="1"/>
  <c r="AB80" i="135"/>
  <c r="AM80" i="135" s="1"/>
  <c r="BA80" i="135" s="1"/>
  <c r="AO8" i="142"/>
  <c r="AP85" i="135"/>
  <c r="AP199" i="135" s="1"/>
  <c r="AB86" i="135"/>
  <c r="Z23" i="92"/>
  <c r="Z23" i="139"/>
  <c r="AQ70" i="135"/>
  <c r="AQ123" i="135" s="1"/>
  <c r="AC75" i="135"/>
  <c r="AB159" i="135"/>
  <c r="AB165" i="135" s="1"/>
  <c r="AP165" i="135" s="1"/>
  <c r="AP72" i="135"/>
  <c r="AP159" i="135" s="1"/>
  <c r="AP70" i="135"/>
  <c r="AP123" i="135" s="1"/>
  <c r="AB123" i="135"/>
  <c r="AB129" i="135" s="1"/>
  <c r="AB75" i="135"/>
  <c r="AH14" i="69"/>
  <c r="AH15" i="69" s="1"/>
  <c r="AI15" i="69" s="1"/>
  <c r="H198" i="8"/>
  <c r="R198" i="8" s="1"/>
  <c r="N12" i="138"/>
  <c r="N13" i="138" s="1"/>
  <c r="U56" i="137"/>
  <c r="U58" i="137" s="1"/>
  <c r="U59" i="137" s="1"/>
  <c r="U60" i="137" s="1"/>
  <c r="AO87" i="135"/>
  <c r="AO126" i="135" s="1"/>
  <c r="AA93" i="135"/>
  <c r="AA126" i="135"/>
  <c r="AM126" i="135" s="1"/>
  <c r="F36" i="69"/>
  <c r="R196" i="8"/>
  <c r="AA123" i="135"/>
  <c r="AO70" i="135"/>
  <c r="AO123" i="135" s="1"/>
  <c r="AA178" i="135"/>
  <c r="AO73" i="135"/>
  <c r="AO178" i="135" s="1"/>
  <c r="AA159" i="135"/>
  <c r="AO72" i="135"/>
  <c r="AO159" i="135" s="1"/>
  <c r="AA125" i="135"/>
  <c r="AA86" i="135"/>
  <c r="AO81" i="135"/>
  <c r="AO125" i="135" s="1"/>
  <c r="AO80" i="135"/>
  <c r="AK45" i="105"/>
  <c r="AA75" i="135"/>
  <c r="K36" i="69"/>
  <c r="Z17" i="85" s="1"/>
  <c r="X41" i="105" s="1"/>
  <c r="O36" i="69"/>
  <c r="X159" i="135"/>
  <c r="X178" i="135"/>
  <c r="X75" i="135"/>
  <c r="X123" i="135"/>
  <c r="U196" i="8"/>
  <c r="AN44" i="92"/>
  <c r="Z44" i="92" s="1"/>
  <c r="AH37" i="82"/>
  <c r="AN37" i="82"/>
  <c r="AA37" i="82"/>
  <c r="N37" i="82" s="1"/>
  <c r="AO8" i="82"/>
  <c r="L168" i="8"/>
  <c r="U165" i="8"/>
  <c r="F168" i="8"/>
  <c r="R165" i="8"/>
  <c r="Z45" i="105"/>
  <c r="AN77" i="102"/>
  <c r="AN41" i="102"/>
  <c r="AN26" i="102"/>
  <c r="AO26" i="102" s="1"/>
  <c r="AO23" i="102"/>
  <c r="N14" i="95"/>
  <c r="AC78" i="102"/>
  <c r="U146" i="8"/>
  <c r="N3" i="95"/>
  <c r="BQ3" i="105"/>
  <c r="BS3" i="105" s="1"/>
  <c r="V3" i="95"/>
  <c r="O3" i="95"/>
  <c r="AO8" i="90"/>
  <c r="U131" i="8"/>
  <c r="R239" i="8"/>
  <c r="R3" i="95"/>
  <c r="X131" i="8"/>
  <c r="Z131" i="8" s="1"/>
  <c r="Z128" i="8"/>
  <c r="V131" i="8"/>
  <c r="T131" i="8"/>
  <c r="R131" i="8"/>
  <c r="S131" i="8"/>
  <c r="P3" i="95"/>
  <c r="Q3" i="95"/>
  <c r="AF7" i="119"/>
  <c r="AI45" i="105"/>
  <c r="AH45" i="105"/>
  <c r="AF45" i="105"/>
  <c r="AL86" i="105"/>
  <c r="AM86" i="105" s="1"/>
  <c r="AM103" i="105"/>
  <c r="AL103" i="105"/>
  <c r="AC45" i="105"/>
  <c r="AM43" i="105"/>
  <c r="AM90" i="105"/>
  <c r="AL92" i="105"/>
  <c r="AM92" i="105" s="1"/>
  <c r="R44" i="91"/>
  <c r="AF45" i="91"/>
  <c r="M17" i="95" l="1"/>
  <c r="J14" i="95"/>
  <c r="AH129" i="135"/>
  <c r="AH207" i="135" s="1"/>
  <c r="AM198" i="135"/>
  <c r="AM13" i="105"/>
  <c r="AL16" i="105"/>
  <c r="AM16" i="105" s="1"/>
  <c r="AH29" i="105"/>
  <c r="AL24" i="105"/>
  <c r="AM24" i="105" s="1"/>
  <c r="AM125" i="135"/>
  <c r="W17" i="95"/>
  <c r="AJ147" i="135"/>
  <c r="AX141" i="135"/>
  <c r="AJ204" i="135"/>
  <c r="AJ208" i="135"/>
  <c r="AX208" i="135" s="1"/>
  <c r="AX184" i="135"/>
  <c r="AB204" i="135"/>
  <c r="AP204" i="135" s="1"/>
  <c r="AB147" i="135"/>
  <c r="AP147" i="135" s="1"/>
  <c r="AA165" i="135"/>
  <c r="AM159" i="135"/>
  <c r="AM200" i="135"/>
  <c r="AM178" i="135"/>
  <c r="AM177" i="135"/>
  <c r="BA177" i="135" s="1"/>
  <c r="AM122" i="135"/>
  <c r="BA122" i="135" s="1"/>
  <c r="AM196" i="135"/>
  <c r="BA196" i="135" s="1"/>
  <c r="AM123" i="135"/>
  <c r="AO141" i="135"/>
  <c r="AM141" i="135"/>
  <c r="BA141" i="135" s="1"/>
  <c r="AO158" i="135"/>
  <c r="AM158" i="135"/>
  <c r="BA158" i="135" s="1"/>
  <c r="AD165" i="135"/>
  <c r="AR165" i="135" s="1"/>
  <c r="AR196" i="135"/>
  <c r="AD203" i="135"/>
  <c r="AR203" i="135" s="1"/>
  <c r="AI203" i="135"/>
  <c r="AW203" i="135" s="1"/>
  <c r="AG205" i="135"/>
  <c r="AU205" i="135" s="1"/>
  <c r="AV196" i="135"/>
  <c r="AH205" i="135"/>
  <c r="AH203" i="135"/>
  <c r="AV203" i="135" s="1"/>
  <c r="AG203" i="135"/>
  <c r="AU203" i="135" s="1"/>
  <c r="AM93" i="135"/>
  <c r="BA93" i="135" s="1"/>
  <c r="AF203" i="135"/>
  <c r="AT203" i="135" s="1"/>
  <c r="AI205" i="135"/>
  <c r="AW205" i="135" s="1"/>
  <c r="AF129" i="135"/>
  <c r="AT129" i="135" s="1"/>
  <c r="AM86" i="135"/>
  <c r="BA86" i="135" s="1"/>
  <c r="AO196" i="135"/>
  <c r="AM75" i="135"/>
  <c r="BA75" i="135" s="1"/>
  <c r="AA147" i="135"/>
  <c r="AD129" i="135"/>
  <c r="AR129" i="135" s="1"/>
  <c r="AA204" i="135"/>
  <c r="AF165" i="135"/>
  <c r="AT165" i="135" s="1"/>
  <c r="AA184" i="135"/>
  <c r="AE205" i="135"/>
  <c r="AS205" i="135" s="1"/>
  <c r="AS129" i="135"/>
  <c r="AP129" i="135"/>
  <c r="AG184" i="135"/>
  <c r="AU177" i="135"/>
  <c r="AQ129" i="135"/>
  <c r="AV129" i="135"/>
  <c r="AV184" i="135"/>
  <c r="AG129" i="135"/>
  <c r="AF204" i="135"/>
  <c r="AG204" i="135"/>
  <c r="AW177" i="135"/>
  <c r="AE204" i="135"/>
  <c r="AT177" i="135"/>
  <c r="AF205" i="135"/>
  <c r="AT205" i="135" s="1"/>
  <c r="AI184" i="135"/>
  <c r="AW184" i="135" s="1"/>
  <c r="AC204" i="135"/>
  <c r="AD147" i="135"/>
  <c r="AR147" i="135" s="1"/>
  <c r="AC184" i="135"/>
  <c r="AP177" i="135"/>
  <c r="AB205" i="135"/>
  <c r="AP205" i="135" s="1"/>
  <c r="AC205" i="135"/>
  <c r="AQ205" i="135" s="1"/>
  <c r="AA203" i="135"/>
  <c r="AW122" i="135"/>
  <c r="AI204" i="135"/>
  <c r="AC147" i="135"/>
  <c r="AQ147" i="135" s="1"/>
  <c r="AR177" i="135"/>
  <c r="AD205" i="135"/>
  <c r="AR205" i="135" s="1"/>
  <c r="AO177" i="135"/>
  <c r="AA205" i="135"/>
  <c r="AD204" i="135"/>
  <c r="AB184" i="135"/>
  <c r="AE203" i="135"/>
  <c r="AS203" i="135" s="1"/>
  <c r="AI129" i="135"/>
  <c r="AI165" i="135"/>
  <c r="AW165" i="135" s="1"/>
  <c r="Y75" i="135"/>
  <c r="AW75" i="135"/>
  <c r="AV75" i="135"/>
  <c r="AF184" i="135"/>
  <c r="AI147" i="135"/>
  <c r="AW147" i="135" s="1"/>
  <c r="AW141" i="135"/>
  <c r="AD29" i="105"/>
  <c r="U3" i="95"/>
  <c r="U13" i="95" s="1"/>
  <c r="U21" i="95" s="1"/>
  <c r="U27" i="95" s="1"/>
  <c r="AN184" i="135"/>
  <c r="AE147" i="135"/>
  <c r="AS147" i="135" s="1"/>
  <c r="Y123" i="135"/>
  <c r="AB203" i="135"/>
  <c r="AP203" i="135" s="1"/>
  <c r="AD184" i="135"/>
  <c r="AD15" i="95"/>
  <c r="Z178" i="135"/>
  <c r="Z184" i="135" s="1"/>
  <c r="AG147" i="135"/>
  <c r="AU147" i="135" s="1"/>
  <c r="AU141" i="135"/>
  <c r="AC203" i="135"/>
  <c r="AQ203" i="135" s="1"/>
  <c r="AQ196" i="135"/>
  <c r="AU93" i="135"/>
  <c r="AN46" i="144"/>
  <c r="AS177" i="135"/>
  <c r="AE184" i="135"/>
  <c r="AT93" i="135"/>
  <c r="AU158" i="135"/>
  <c r="AG165" i="135"/>
  <c r="AU165" i="135" s="1"/>
  <c r="Z23" i="91"/>
  <c r="Z23" i="144"/>
  <c r="AF147" i="135"/>
  <c r="AT147" i="135" s="1"/>
  <c r="AT141" i="135"/>
  <c r="AS93" i="135"/>
  <c r="T3" i="95"/>
  <c r="T13" i="95" s="1"/>
  <c r="T21" i="95" s="1"/>
  <c r="T27" i="95" s="1"/>
  <c r="U37" i="82"/>
  <c r="AU75" i="135"/>
  <c r="G36" i="69"/>
  <c r="Z16" i="82" s="1"/>
  <c r="S3" i="95"/>
  <c r="J17" i="95"/>
  <c r="AT75" i="135"/>
  <c r="AR75" i="135"/>
  <c r="AS75" i="135"/>
  <c r="Z37" i="82"/>
  <c r="AQ93" i="135"/>
  <c r="AQ86" i="135"/>
  <c r="AQ75" i="135"/>
  <c r="AP75" i="135"/>
  <c r="AP86" i="135"/>
  <c r="AP80" i="135"/>
  <c r="Z17" i="90"/>
  <c r="Z17" i="142"/>
  <c r="AE36" i="69"/>
  <c r="AF36" i="69" s="1"/>
  <c r="AO93" i="135"/>
  <c r="AA129" i="135"/>
  <c r="AO75" i="135"/>
  <c r="AO86" i="135"/>
  <c r="AO6" i="82"/>
  <c r="U168" i="8"/>
  <c r="L173" i="8"/>
  <c r="U173" i="8" s="1"/>
  <c r="R168" i="8"/>
  <c r="F173" i="8"/>
  <c r="R173" i="8" s="1"/>
  <c r="N17" i="95"/>
  <c r="R13" i="95"/>
  <c r="R21" i="95" s="1"/>
  <c r="R27" i="95" s="1"/>
  <c r="AE35" i="82"/>
  <c r="BE3" i="105"/>
  <c r="AJ35" i="82"/>
  <c r="AD35" i="82"/>
  <c r="P13" i="95"/>
  <c r="P21" i="95" s="1"/>
  <c r="AK35" i="82"/>
  <c r="W13" i="95"/>
  <c r="W21" i="95" s="1"/>
  <c r="W27" i="95" s="1"/>
  <c r="AB35" i="82"/>
  <c r="AF35" i="82"/>
  <c r="AC35" i="82"/>
  <c r="AL35" i="82"/>
  <c r="X13" i="95"/>
  <c r="X21" i="95" s="1"/>
  <c r="X27" i="95" s="1"/>
  <c r="Q13" i="95"/>
  <c r="Q21" i="95" s="1"/>
  <c r="AB207" i="135" l="1"/>
  <c r="AX204" i="135"/>
  <c r="AJ206" i="135"/>
  <c r="AX206" i="135" s="1"/>
  <c r="AX147" i="135"/>
  <c r="AJ207" i="135"/>
  <c r="AM203" i="135"/>
  <c r="BA203" i="135" s="1"/>
  <c r="AM205" i="135"/>
  <c r="BA205" i="135" s="1"/>
  <c r="AO184" i="135"/>
  <c r="AM184" i="135"/>
  <c r="BA184" i="135" s="1"/>
  <c r="AO165" i="135"/>
  <c r="AM165" i="135"/>
  <c r="BA165" i="135" s="1"/>
  <c r="AM204" i="135"/>
  <c r="BA204" i="135" s="1"/>
  <c r="AM129" i="135"/>
  <c r="BA129" i="135" s="1"/>
  <c r="AO147" i="135"/>
  <c r="AM147" i="135"/>
  <c r="BA147" i="135" s="1"/>
  <c r="AH208" i="135"/>
  <c r="AV208" i="135" s="1"/>
  <c r="AV205" i="135"/>
  <c r="AH206" i="135"/>
  <c r="AV206" i="135" s="1"/>
  <c r="AO203" i="135"/>
  <c r="AO204" i="135"/>
  <c r="AO205" i="135"/>
  <c r="AA206" i="135"/>
  <c r="AW129" i="135"/>
  <c r="AI207" i="135"/>
  <c r="AR184" i="135"/>
  <c r="AD208" i="135"/>
  <c r="AR208" i="135" s="1"/>
  <c r="AU184" i="135"/>
  <c r="AG208" i="135"/>
  <c r="AU208" i="135" s="1"/>
  <c r="AP184" i="135"/>
  <c r="AB208" i="135"/>
  <c r="AP208" i="135" s="1"/>
  <c r="AI208" i="135"/>
  <c r="AW208" i="135" s="1"/>
  <c r="AC207" i="135"/>
  <c r="AP207" i="135"/>
  <c r="AT184" i="135"/>
  <c r="AF208" i="135"/>
  <c r="AT208" i="135" s="1"/>
  <c r="AO129" i="135"/>
  <c r="AA207" i="135"/>
  <c r="AU129" i="135"/>
  <c r="AG207" i="135"/>
  <c r="AF207" i="135"/>
  <c r="AA208" i="135"/>
  <c r="AS184" i="135"/>
  <c r="AE208" i="135"/>
  <c r="AS208" i="135" s="1"/>
  <c r="AB206" i="135"/>
  <c r="AP206" i="135" s="1"/>
  <c r="AD207" i="135"/>
  <c r="AE207" i="135"/>
  <c r="AQ184" i="135"/>
  <c r="AC208" i="135"/>
  <c r="AQ208" i="135" s="1"/>
  <c r="AV207" i="135"/>
  <c r="AW204" i="135"/>
  <c r="AI206" i="135"/>
  <c r="AW206" i="135" s="1"/>
  <c r="AQ204" i="135"/>
  <c r="AC206" i="135"/>
  <c r="AQ206" i="135" s="1"/>
  <c r="AR204" i="135"/>
  <c r="AD206" i="135"/>
  <c r="AR206" i="135" s="1"/>
  <c r="AS204" i="135"/>
  <c r="AE206" i="135"/>
  <c r="AS206" i="135" s="1"/>
  <c r="AU204" i="135"/>
  <c r="AG206" i="135"/>
  <c r="AU206" i="135" s="1"/>
  <c r="AT204" i="135"/>
  <c r="AF206" i="135"/>
  <c r="AT206" i="135" s="1"/>
  <c r="AI35" i="82"/>
  <c r="AM26" i="105"/>
  <c r="AL29" i="105"/>
  <c r="AM29" i="105" s="1"/>
  <c r="AH35" i="82"/>
  <c r="S13" i="95"/>
  <c r="S21" i="95" s="1"/>
  <c r="S27" i="95" s="1"/>
  <c r="AG35" i="82"/>
  <c r="P27" i="95"/>
  <c r="Q27" i="95"/>
  <c r="AJ209" i="135" l="1"/>
  <c r="AX209" i="135" s="1"/>
  <c r="AX207" i="135"/>
  <c r="AM208" i="135"/>
  <c r="BA208" i="135" s="1"/>
  <c r="AM207" i="135"/>
  <c r="BA207" i="135" s="1"/>
  <c r="AM206" i="135"/>
  <c r="BA206" i="135" s="1"/>
  <c r="AH209" i="135"/>
  <c r="AV209" i="135" s="1"/>
  <c r="AO208" i="135"/>
  <c r="AO206" i="135"/>
  <c r="AB209" i="135"/>
  <c r="AP209" i="135" s="1"/>
  <c r="AG209" i="135"/>
  <c r="AU209" i="135" s="1"/>
  <c r="AU207" i="135"/>
  <c r="AQ207" i="135"/>
  <c r="AC209" i="135"/>
  <c r="AQ209" i="135" s="1"/>
  <c r="AW207" i="135"/>
  <c r="AI209" i="135"/>
  <c r="AW209" i="135" s="1"/>
  <c r="AT207" i="135"/>
  <c r="AF209" i="135"/>
  <c r="AT209" i="135" s="1"/>
  <c r="AS207" i="135"/>
  <c r="AE209" i="135"/>
  <c r="AS209" i="135" s="1"/>
  <c r="AR207" i="135"/>
  <c r="AD209" i="135"/>
  <c r="AR209" i="135" s="1"/>
  <c r="AO207" i="135"/>
  <c r="AA209" i="135"/>
  <c r="Z13" i="91"/>
  <c r="Z21" i="91"/>
  <c r="AM209" i="135" l="1"/>
  <c r="BA209" i="135" s="1"/>
  <c r="AO209" i="135"/>
  <c r="Z22" i="91"/>
  <c r="X49" i="105"/>
  <c r="J14" i="124"/>
  <c r="K14" i="124" s="1"/>
  <c r="L14" i="124" s="1"/>
  <c r="K6" i="124" s="1"/>
  <c r="J6" i="124" s="1"/>
  <c r="AO13" i="91"/>
  <c r="K19" i="120"/>
  <c r="Q19" i="120" s="1"/>
  <c r="W13" i="135" l="1"/>
  <c r="W167" i="135" s="1"/>
  <c r="W171" i="135" s="1"/>
  <c r="X8" i="105"/>
  <c r="V96" i="8"/>
  <c r="V148" i="8" s="1"/>
  <c r="AL8" i="105" s="1"/>
  <c r="AM8" i="105" s="1"/>
  <c r="X43" i="105"/>
  <c r="P14" i="124"/>
  <c r="Z13" i="92" l="1"/>
  <c r="Z21" i="92"/>
  <c r="X50" i="105" l="1"/>
  <c r="Z22" i="92"/>
  <c r="X44" i="105" s="1"/>
  <c r="AO13" i="92"/>
  <c r="J15" i="124"/>
  <c r="K15" i="124" s="1"/>
  <c r="K21" i="120"/>
  <c r="Q21" i="120" s="1"/>
  <c r="Z15" i="90"/>
  <c r="L42" i="105"/>
  <c r="AT18" i="105"/>
  <c r="Z10" i="90"/>
  <c r="U18" i="137" s="1"/>
  <c r="W14" i="135" l="1"/>
  <c r="W186" i="135" s="1"/>
  <c r="W190" i="135" s="1"/>
  <c r="X9" i="105"/>
  <c r="V97" i="8"/>
  <c r="V156" i="8" s="1"/>
  <c r="AL9" i="105" s="1"/>
  <c r="AM9" i="105" s="1"/>
  <c r="U15" i="137"/>
  <c r="X54" i="105"/>
  <c r="W12" i="135" s="1"/>
  <c r="W149" i="135" s="1"/>
  <c r="W153" i="135" s="1"/>
  <c r="Z16" i="90"/>
  <c r="P15" i="124"/>
  <c r="L15" i="124"/>
  <c r="K7" i="124" s="1"/>
  <c r="J7" i="124" s="1"/>
  <c r="Y42" i="105"/>
  <c r="AL42" i="105" s="1"/>
  <c r="K18" i="120"/>
  <c r="Q18" i="120" s="1"/>
  <c r="AO16" i="90" l="1"/>
  <c r="X58" i="105"/>
  <c r="X42" i="105"/>
  <c r="AM42" i="105" l="1"/>
  <c r="Z14" i="85" l="1"/>
  <c r="X45" i="105" l="1"/>
  <c r="Z15" i="82"/>
  <c r="U13" i="137"/>
  <c r="U19" i="137"/>
  <c r="X46" i="105"/>
  <c r="X6" i="105" s="1"/>
  <c r="F94" i="8"/>
  <c r="F133" i="8" s="1"/>
  <c r="Y6" i="105" s="1"/>
  <c r="Y10" i="105" s="1"/>
  <c r="L40" i="105"/>
  <c r="K15" i="120" s="1"/>
  <c r="Q15" i="120" s="1"/>
  <c r="W10" i="135" l="1"/>
  <c r="X51" i="105"/>
  <c r="X10" i="105" s="1"/>
  <c r="F139" i="8"/>
  <c r="T139" i="8" s="1"/>
  <c r="X40" i="105"/>
  <c r="V94" i="8"/>
  <c r="AF38" i="82"/>
  <c r="J12" i="124"/>
  <c r="K12" i="124" s="1"/>
  <c r="Y40" i="105"/>
  <c r="AL40" i="105" s="1"/>
  <c r="W15" i="135" l="1"/>
  <c r="W36" i="135" s="1"/>
  <c r="W112" i="135"/>
  <c r="W116" i="135" s="1"/>
  <c r="X59" i="105"/>
  <c r="AL45" i="105"/>
  <c r="J83" i="130"/>
  <c r="L83" i="130" s="1"/>
  <c r="L85" i="130" s="1"/>
  <c r="L89" i="130" s="1"/>
  <c r="V98" i="8"/>
  <c r="R139" i="8"/>
  <c r="V139" i="8"/>
  <c r="S139" i="8"/>
  <c r="V133" i="8"/>
  <c r="AL6" i="105" s="1"/>
  <c r="AO15" i="82"/>
  <c r="M3" i="95"/>
  <c r="P12" i="124"/>
  <c r="L12" i="124"/>
  <c r="K4" i="124" s="1"/>
  <c r="J4" i="124" s="1"/>
  <c r="Y45" i="105"/>
  <c r="W16" i="135" l="1"/>
  <c r="W37" i="135" s="1"/>
  <c r="X77" i="105"/>
  <c r="AO59" i="105"/>
  <c r="AL10" i="105"/>
  <c r="AM10" i="105" s="1"/>
  <c r="AM6" i="105"/>
  <c r="J85" i="130"/>
  <c r="J89" i="130" s="1"/>
  <c r="AE8" i="119"/>
  <c r="AA35" i="82"/>
  <c r="AN35" i="82" s="1"/>
  <c r="AM45" i="105"/>
  <c r="AM40" i="105"/>
  <c r="AE20" i="119" l="1"/>
  <c r="AO35" i="82"/>
  <c r="X25" i="120" l="1"/>
  <c r="X26" i="120" s="1"/>
  <c r="Y26" i="120" s="1"/>
  <c r="Y25" i="120" s="1"/>
  <c r="P29" i="132"/>
  <c r="Z25" i="92"/>
  <c r="AC25" i="92"/>
  <c r="Z29" i="132" l="1"/>
  <c r="W53" i="135" s="1"/>
  <c r="AO25" i="92"/>
  <c r="P35" i="132"/>
  <c r="V52" i="130" l="1"/>
  <c r="V58" i="130" s="1"/>
  <c r="V64" i="130" s="1"/>
  <c r="W55" i="135"/>
  <c r="W57" i="135" s="1"/>
  <c r="W193" i="135"/>
  <c r="P41" i="132"/>
  <c r="Z35" i="132"/>
  <c r="Z41" i="132" l="1"/>
  <c r="J91" i="130" s="1"/>
  <c r="L91" i="130" s="1"/>
  <c r="P43" i="132"/>
  <c r="E22" i="8"/>
  <c r="E107" i="8" s="1"/>
  <c r="D107" i="8"/>
  <c r="L9" i="90"/>
  <c r="M9" i="90" s="1"/>
  <c r="E10" i="8" l="1"/>
  <c r="J11" i="135" l="1"/>
  <c r="J19" i="135"/>
  <c r="I31" i="135"/>
  <c r="J18" i="135"/>
  <c r="I12" i="135"/>
  <c r="I24" i="135"/>
  <c r="I11" i="135"/>
  <c r="I19" i="135"/>
  <c r="J31" i="135"/>
  <c r="J24" i="135"/>
  <c r="I18" i="135"/>
  <c r="J12" i="135"/>
  <c r="J149" i="135" s="1"/>
  <c r="Z96" i="135"/>
  <c r="Z60" i="135"/>
  <c r="Z66" i="135"/>
  <c r="Z49" i="135"/>
  <c r="Z90" i="135"/>
  <c r="AN90" i="135" s="1"/>
  <c r="AN163" i="135" s="1"/>
  <c r="Z83" i="135"/>
  <c r="Z77" i="135"/>
  <c r="Z89" i="135"/>
  <c r="AN89" i="135" s="1"/>
  <c r="AN162" i="135" s="1"/>
  <c r="Z72" i="135"/>
  <c r="I4" i="135"/>
  <c r="X4" i="135" s="1"/>
  <c r="Z4" i="135" s="1"/>
  <c r="AN4" i="135" s="1"/>
  <c r="J4" i="135"/>
  <c r="Y4" i="135" s="1"/>
  <c r="D25" i="8"/>
  <c r="E20" i="8"/>
  <c r="E105" i="8" s="1"/>
  <c r="E110" i="8" s="1"/>
  <c r="D13" i="8"/>
  <c r="D105" i="8"/>
  <c r="D110" i="8" s="1"/>
  <c r="L9" i="82"/>
  <c r="AN83" i="135" l="1"/>
  <c r="AN161" i="135" s="1"/>
  <c r="Z161" i="135"/>
  <c r="Y24" i="135"/>
  <c r="J27" i="135"/>
  <c r="J151" i="135"/>
  <c r="Y19" i="135"/>
  <c r="Y150" i="135" s="1"/>
  <c r="J150" i="135"/>
  <c r="Y31" i="135"/>
  <c r="Y152" i="135" s="1"/>
  <c r="J152" i="135"/>
  <c r="AN49" i="135"/>
  <c r="AN155" i="135" s="1"/>
  <c r="Z155" i="135"/>
  <c r="X19" i="135"/>
  <c r="I150" i="135"/>
  <c r="X11" i="135"/>
  <c r="I131" i="135"/>
  <c r="AN60" i="135"/>
  <c r="AN156" i="135" s="1"/>
  <c r="Z156" i="135"/>
  <c r="Y12" i="135"/>
  <c r="Y149" i="135" s="1"/>
  <c r="X12" i="135"/>
  <c r="I149" i="135"/>
  <c r="AN66" i="135"/>
  <c r="AN157" i="135" s="1"/>
  <c r="Z157" i="135"/>
  <c r="X24" i="135"/>
  <c r="I151" i="135"/>
  <c r="I27" i="135"/>
  <c r="AN72" i="135"/>
  <c r="AN159" i="135" s="1"/>
  <c r="Z159" i="135"/>
  <c r="AN96" i="135"/>
  <c r="AN164" i="135" s="1"/>
  <c r="Z164" i="135"/>
  <c r="Y18" i="135"/>
  <c r="Y132" i="135" s="1"/>
  <c r="J132" i="135"/>
  <c r="AN77" i="135"/>
  <c r="AN160" i="135" s="1"/>
  <c r="Z160" i="135"/>
  <c r="X18" i="135"/>
  <c r="I132" i="135"/>
  <c r="X31" i="135"/>
  <c r="I152" i="135"/>
  <c r="J131" i="135"/>
  <c r="Y11" i="135"/>
  <c r="Y131" i="135" s="1"/>
  <c r="J148" i="135"/>
  <c r="M9" i="82"/>
  <c r="I148" i="135"/>
  <c r="E8" i="8"/>
  <c r="E25" i="8"/>
  <c r="I135" i="135" l="1"/>
  <c r="J153" i="135"/>
  <c r="Z24" i="135"/>
  <c r="X151" i="135"/>
  <c r="X27" i="135"/>
  <c r="Z12" i="135"/>
  <c r="X149" i="135"/>
  <c r="Y151" i="135"/>
  <c r="Y153" i="135" s="1"/>
  <c r="Y27" i="135"/>
  <c r="Z18" i="135"/>
  <c r="X132" i="135"/>
  <c r="I28" i="135"/>
  <c r="Y135" i="135"/>
  <c r="AN128" i="135"/>
  <c r="J9" i="135"/>
  <c r="Z64" i="135"/>
  <c r="I9" i="135"/>
  <c r="Z38" i="135"/>
  <c r="Z94" i="135"/>
  <c r="Z43" i="135"/>
  <c r="I29" i="135"/>
  <c r="J29" i="135"/>
  <c r="Z58" i="135"/>
  <c r="Z69" i="135"/>
  <c r="AN69" i="135" s="1"/>
  <c r="I17" i="135"/>
  <c r="I10" i="135"/>
  <c r="Z45" i="135"/>
  <c r="J10" i="135"/>
  <c r="J17" i="135"/>
  <c r="Z87" i="135"/>
  <c r="Z81" i="135"/>
  <c r="Z76" i="135"/>
  <c r="Z80" i="135"/>
  <c r="AN80" i="135" s="1"/>
  <c r="Z70" i="135"/>
  <c r="J135" i="135"/>
  <c r="Z11" i="135"/>
  <c r="X131" i="135"/>
  <c r="Z31" i="135"/>
  <c r="X152" i="135"/>
  <c r="I153" i="135"/>
  <c r="Z19" i="135"/>
  <c r="X150" i="135"/>
  <c r="J28" i="135"/>
  <c r="I2" i="135"/>
  <c r="X2" i="135" s="1"/>
  <c r="J2" i="135"/>
  <c r="Y2" i="135" s="1"/>
  <c r="E13" i="8"/>
  <c r="Y148" i="135"/>
  <c r="AN148" i="135"/>
  <c r="X3" i="120"/>
  <c r="Z148" i="135"/>
  <c r="AN11" i="135" l="1"/>
  <c r="AN131" i="135" s="1"/>
  <c r="Z131" i="135"/>
  <c r="AN18" i="135"/>
  <c r="AN132" i="135" s="1"/>
  <c r="Z132" i="135"/>
  <c r="AN43" i="135"/>
  <c r="J110" i="135"/>
  <c r="I110" i="135"/>
  <c r="J7" i="135"/>
  <c r="X153" i="135"/>
  <c r="Y158" i="135"/>
  <c r="Y165" i="135" s="1"/>
  <c r="AN19" i="135"/>
  <c r="AN150" i="135" s="1"/>
  <c r="Z150" i="135"/>
  <c r="AN70" i="135"/>
  <c r="AN123" i="135" s="1"/>
  <c r="Z123" i="135"/>
  <c r="AN45" i="135"/>
  <c r="AN119" i="135" s="1"/>
  <c r="Z119" i="135"/>
  <c r="Y28" i="135"/>
  <c r="X10" i="135"/>
  <c r="I112" i="135"/>
  <c r="I15" i="135"/>
  <c r="J112" i="135"/>
  <c r="J15" i="135"/>
  <c r="Y10" i="135"/>
  <c r="X17" i="135"/>
  <c r="I22" i="135"/>
  <c r="I113" i="135"/>
  <c r="X29" i="135"/>
  <c r="I34" i="135"/>
  <c r="I115" i="135"/>
  <c r="AN31" i="135"/>
  <c r="AN152" i="135" s="1"/>
  <c r="Z152" i="135"/>
  <c r="AN76" i="135"/>
  <c r="AN124" i="135" s="1"/>
  <c r="Z124" i="135"/>
  <c r="AN38" i="135"/>
  <c r="AN117" i="135" s="1"/>
  <c r="Z117" i="135"/>
  <c r="AN12" i="135"/>
  <c r="AN149" i="135" s="1"/>
  <c r="Z149" i="135"/>
  <c r="AN81" i="135"/>
  <c r="AN125" i="135" s="1"/>
  <c r="Z125" i="135"/>
  <c r="X9" i="135"/>
  <c r="I111" i="135"/>
  <c r="X28" i="135"/>
  <c r="Z27" i="135"/>
  <c r="Y141" i="135"/>
  <c r="Y147" i="135" s="1"/>
  <c r="I7" i="135"/>
  <c r="AN87" i="135"/>
  <c r="AN126" i="135" s="1"/>
  <c r="Z126" i="135"/>
  <c r="AN58" i="135"/>
  <c r="AN120" i="135" s="1"/>
  <c r="Z120" i="135"/>
  <c r="AN64" i="135"/>
  <c r="AN121" i="135" s="1"/>
  <c r="Z121" i="135"/>
  <c r="AN94" i="135"/>
  <c r="AN127" i="135" s="1"/>
  <c r="Z127" i="135"/>
  <c r="Z99" i="135"/>
  <c r="AN99" i="135" s="1"/>
  <c r="Z55" i="135"/>
  <c r="AN55" i="135" s="1"/>
  <c r="Z86" i="135"/>
  <c r="AN86" i="135" s="1"/>
  <c r="Z93" i="135"/>
  <c r="AN93" i="135" s="1"/>
  <c r="Z75" i="135"/>
  <c r="AN75" i="135" s="1"/>
  <c r="J22" i="135"/>
  <c r="Y17" i="135"/>
  <c r="J113" i="135"/>
  <c r="J115" i="135"/>
  <c r="Y29" i="135"/>
  <c r="J34" i="135"/>
  <c r="Y9" i="135"/>
  <c r="J111" i="135"/>
  <c r="X135" i="135"/>
  <c r="AN24" i="135"/>
  <c r="AN151" i="135" s="1"/>
  <c r="Z151" i="135"/>
  <c r="Z2" i="135"/>
  <c r="AN2" i="135" s="1"/>
  <c r="Y105" i="135"/>
  <c r="X110" i="135"/>
  <c r="X148" i="135"/>
  <c r="X166" i="135"/>
  <c r="X177" i="135" s="1"/>
  <c r="X7" i="135"/>
  <c r="X130" i="135"/>
  <c r="Z135" i="135" l="1"/>
  <c r="AN135" i="135"/>
  <c r="AN141" i="135" s="1"/>
  <c r="AN147" i="135" s="1"/>
  <c r="J8" i="135"/>
  <c r="J190" i="135"/>
  <c r="I190" i="135"/>
  <c r="X158" i="135"/>
  <c r="X165" i="135" s="1"/>
  <c r="BB165" i="135" s="1"/>
  <c r="J36" i="135"/>
  <c r="I36" i="135"/>
  <c r="I8" i="135"/>
  <c r="Z153" i="135"/>
  <c r="Z158" i="135" s="1"/>
  <c r="Z165" i="135" s="1"/>
  <c r="Y111" i="135"/>
  <c r="Z10" i="135"/>
  <c r="X15" i="135"/>
  <c r="X112" i="135"/>
  <c r="J35" i="135"/>
  <c r="I23" i="135"/>
  <c r="Y34" i="135"/>
  <c r="Y115" i="135"/>
  <c r="Z9" i="135"/>
  <c r="X111" i="135"/>
  <c r="Z17" i="135"/>
  <c r="X113" i="135"/>
  <c r="X22" i="135"/>
  <c r="Y15" i="135"/>
  <c r="Y112" i="135"/>
  <c r="Y22" i="135"/>
  <c r="Y113" i="135"/>
  <c r="J16" i="135"/>
  <c r="Z28" i="135"/>
  <c r="AN28" i="135" s="1"/>
  <c r="AN27" i="135"/>
  <c r="J23" i="135"/>
  <c r="AN153" i="135"/>
  <c r="AN158" i="135" s="1"/>
  <c r="AN165" i="135" s="1"/>
  <c r="I35" i="135"/>
  <c r="I16" i="135"/>
  <c r="J116" i="135"/>
  <c r="Z29" i="135"/>
  <c r="X115" i="135"/>
  <c r="X34" i="135"/>
  <c r="I116" i="135"/>
  <c r="Z7" i="135"/>
  <c r="Z110" i="135"/>
  <c r="Y110" i="135"/>
  <c r="Y7" i="135"/>
  <c r="X184" i="135"/>
  <c r="X141" i="135"/>
  <c r="X147" i="135" s="1"/>
  <c r="BB147" i="135" s="1"/>
  <c r="Y190" i="135" l="1"/>
  <c r="Y196" i="135" s="1"/>
  <c r="X190" i="135"/>
  <c r="AN7" i="135"/>
  <c r="BB184" i="135"/>
  <c r="J37" i="135"/>
  <c r="X116" i="135"/>
  <c r="X122" i="135" s="1"/>
  <c r="I37" i="135"/>
  <c r="X35" i="135"/>
  <c r="Z34" i="135"/>
  <c r="AN17" i="135"/>
  <c r="AN113" i="135" s="1"/>
  <c r="Z113" i="135"/>
  <c r="Y23" i="135"/>
  <c r="AN29" i="135"/>
  <c r="AN115" i="135" s="1"/>
  <c r="Z115" i="135"/>
  <c r="AN9" i="135"/>
  <c r="Z111" i="135"/>
  <c r="Z15" i="135"/>
  <c r="X16" i="135"/>
  <c r="X36" i="135"/>
  <c r="Z36" i="135" s="1"/>
  <c r="AN36" i="135" s="1"/>
  <c r="Y16" i="135"/>
  <c r="Y36" i="135"/>
  <c r="AN10" i="135"/>
  <c r="AN112" i="135" s="1"/>
  <c r="Z112" i="135"/>
  <c r="Y35" i="135"/>
  <c r="Y116" i="135"/>
  <c r="Y122" i="135" s="1"/>
  <c r="Z22" i="135"/>
  <c r="X23" i="135"/>
  <c r="AN110" i="135"/>
  <c r="Z141" i="135"/>
  <c r="Y205" i="135" l="1"/>
  <c r="AN205" i="135" s="1"/>
  <c r="Y203" i="135"/>
  <c r="Y208" i="135" s="1"/>
  <c r="AN208" i="135" s="1"/>
  <c r="AN22" i="135"/>
  <c r="Z190" i="135"/>
  <c r="Y37" i="135"/>
  <c r="Y129" i="135"/>
  <c r="Y207" i="135" s="1"/>
  <c r="Y204" i="135"/>
  <c r="AN204" i="135" s="1"/>
  <c r="X129" i="135"/>
  <c r="Z129" i="135" s="1"/>
  <c r="AN129" i="135" s="1"/>
  <c r="X204" i="135"/>
  <c r="Z204" i="135" s="1"/>
  <c r="X37" i="135"/>
  <c r="Z116" i="135"/>
  <c r="Z122" i="135" s="1"/>
  <c r="AN111" i="135"/>
  <c r="AN116" i="135" s="1"/>
  <c r="AN122" i="135" s="1"/>
  <c r="AN15" i="135"/>
  <c r="Z16" i="135"/>
  <c r="AN16" i="135" s="1"/>
  <c r="AN34" i="135"/>
  <c r="Z35" i="135"/>
  <c r="AN35" i="135" s="1"/>
  <c r="Z147" i="135"/>
  <c r="E113" i="8"/>
  <c r="E114" i="8"/>
  <c r="E112" i="8"/>
  <c r="E115" i="8"/>
  <c r="D116" i="8"/>
  <c r="R228" i="8" s="1"/>
  <c r="M7" i="92"/>
  <c r="L7" i="85"/>
  <c r="E111" i="8"/>
  <c r="L7" i="90"/>
  <c r="L7" i="82"/>
  <c r="M7" i="82" s="1"/>
  <c r="L7" i="91"/>
  <c r="D27" i="8"/>
  <c r="D82" i="8" s="1"/>
  <c r="D26" i="8"/>
  <c r="E26" i="8" s="1"/>
  <c r="D76" i="8"/>
  <c r="D30" i="8"/>
  <c r="D85" i="8" s="1"/>
  <c r="D28" i="8"/>
  <c r="D78" i="8" s="1"/>
  <c r="D29" i="8"/>
  <c r="E29" i="8" s="1"/>
  <c r="AN190" i="135" l="1"/>
  <c r="AN196" i="135" s="1"/>
  <c r="AN203" i="135" s="1"/>
  <c r="BB129" i="135"/>
  <c r="X207" i="135"/>
  <c r="AN207" i="135"/>
  <c r="Y209" i="135"/>
  <c r="AN209" i="135" s="1"/>
  <c r="Y206" i="135"/>
  <c r="AN206" i="135" s="1"/>
  <c r="E116" i="8"/>
  <c r="D178" i="8"/>
  <c r="E78" i="8"/>
  <c r="L35" i="102"/>
  <c r="E82" i="8"/>
  <c r="L69" i="102"/>
  <c r="M69" i="102" s="1"/>
  <c r="D183" i="8"/>
  <c r="D186" i="8"/>
  <c r="L75" i="102"/>
  <c r="M75" i="102" s="1"/>
  <c r="E85" i="8"/>
  <c r="AA31" i="102"/>
  <c r="E176" i="8"/>
  <c r="AM21" i="82" s="1"/>
  <c r="AO21" i="82" s="1"/>
  <c r="C219" i="8"/>
  <c r="D83" i="8"/>
  <c r="D128" i="8"/>
  <c r="E76" i="8"/>
  <c r="M7" i="91"/>
  <c r="D228" i="8"/>
  <c r="L228" i="8"/>
  <c r="D84" i="8"/>
  <c r="D185" i="8" s="1"/>
  <c r="AF18" i="119"/>
  <c r="M7" i="90"/>
  <c r="O228" i="8"/>
  <c r="S228" i="8"/>
  <c r="D149" i="8"/>
  <c r="L31" i="102"/>
  <c r="D157" i="8"/>
  <c r="H228" i="8"/>
  <c r="M228" i="8"/>
  <c r="V228" i="8"/>
  <c r="D134" i="8"/>
  <c r="M7" i="85"/>
  <c r="F228" i="8"/>
  <c r="Q228" i="8"/>
  <c r="D142" i="8"/>
  <c r="D77" i="8"/>
  <c r="D80" i="8"/>
  <c r="E30" i="8"/>
  <c r="E27" i="8"/>
  <c r="G228" i="8"/>
  <c r="J228" i="8"/>
  <c r="W136" i="8"/>
  <c r="D79" i="8"/>
  <c r="D179" i="8" s="1"/>
  <c r="N228" i="8"/>
  <c r="K228" i="8"/>
  <c r="E28" i="8"/>
  <c r="AF19" i="119"/>
  <c r="I228" i="8"/>
  <c r="T228" i="8"/>
  <c r="D81" i="8"/>
  <c r="P228" i="8"/>
  <c r="Z207" i="135" l="1"/>
  <c r="L39" i="102"/>
  <c r="D180" i="8"/>
  <c r="E80" i="8"/>
  <c r="D184" i="8"/>
  <c r="L71" i="102"/>
  <c r="M71" i="102" s="1"/>
  <c r="E83" i="8"/>
  <c r="C229" i="8"/>
  <c r="E186" i="8"/>
  <c r="AA75" i="102"/>
  <c r="AO75" i="102" s="1"/>
  <c r="D209" i="8"/>
  <c r="AA69" i="102"/>
  <c r="AO69" i="102" s="1"/>
  <c r="E183" i="8"/>
  <c r="AM23" i="85" s="1"/>
  <c r="AO23" i="85" s="1"/>
  <c r="C226" i="8"/>
  <c r="D182" i="8"/>
  <c r="E81" i="8"/>
  <c r="L67" i="102"/>
  <c r="E79" i="8"/>
  <c r="L37" i="102"/>
  <c r="E142" i="8"/>
  <c r="E146" i="8" s="1"/>
  <c r="AM7" i="90"/>
  <c r="D146" i="8"/>
  <c r="E84" i="8"/>
  <c r="L73" i="102"/>
  <c r="M73" i="102" s="1"/>
  <c r="AO31" i="102"/>
  <c r="M35" i="102"/>
  <c r="L33" i="102"/>
  <c r="D177" i="8"/>
  <c r="E77" i="8"/>
  <c r="E149" i="8"/>
  <c r="E154" i="8" s="1"/>
  <c r="D154" i="8"/>
  <c r="AM7" i="91"/>
  <c r="AM7" i="82"/>
  <c r="D238" i="8"/>
  <c r="D131" i="8"/>
  <c r="E128" i="8"/>
  <c r="E131" i="8" s="1"/>
  <c r="D162" i="8"/>
  <c r="E157" i="8"/>
  <c r="E162" i="8" s="1"/>
  <c r="AM7" i="92"/>
  <c r="D139" i="8"/>
  <c r="AM7" i="85"/>
  <c r="AM38" i="85" s="1"/>
  <c r="M38" i="85" s="1"/>
  <c r="E134" i="8"/>
  <c r="E139" i="8" s="1"/>
  <c r="E178" i="8"/>
  <c r="AA35" i="102"/>
  <c r="C221" i="8"/>
  <c r="L6" i="102" l="1"/>
  <c r="M6" i="102" s="1"/>
  <c r="M67" i="102"/>
  <c r="AM29" i="92"/>
  <c r="AO29" i="92" s="1"/>
  <c r="AM29" i="139"/>
  <c r="AO29" i="139" s="1"/>
  <c r="AM21" i="90"/>
  <c r="AO21" i="90" s="1"/>
  <c r="AM21" i="142"/>
  <c r="AO21" i="142" s="1"/>
  <c r="E184" i="8"/>
  <c r="AA71" i="102"/>
  <c r="AO71" i="102" s="1"/>
  <c r="C227" i="8"/>
  <c r="D207" i="8"/>
  <c r="AA37" i="102"/>
  <c r="E179" i="8"/>
  <c r="C222" i="8"/>
  <c r="AO7" i="90"/>
  <c r="AM44" i="90"/>
  <c r="M44" i="90" s="1"/>
  <c r="C223" i="8"/>
  <c r="E180" i="8"/>
  <c r="AA39" i="102"/>
  <c r="L12" i="102"/>
  <c r="M12" i="102" s="1"/>
  <c r="M37" i="102"/>
  <c r="M33" i="102"/>
  <c r="L8" i="102"/>
  <c r="M8" i="102" s="1"/>
  <c r="AO7" i="82"/>
  <c r="AM37" i="82"/>
  <c r="M37" i="82" s="1"/>
  <c r="L14" i="102"/>
  <c r="M14" i="102" s="1"/>
  <c r="M39" i="102"/>
  <c r="L10" i="102"/>
  <c r="M10" i="102" s="1"/>
  <c r="C225" i="8"/>
  <c r="E182" i="8"/>
  <c r="AM23" i="82" s="1"/>
  <c r="AO23" i="82" s="1"/>
  <c r="AA67" i="102"/>
  <c r="D187" i="8"/>
  <c r="AO35" i="102"/>
  <c r="AA33" i="102"/>
  <c r="E177" i="8"/>
  <c r="AM21" i="85" s="1"/>
  <c r="AO21" i="85" s="1"/>
  <c r="C220" i="8"/>
  <c r="D181" i="8"/>
  <c r="AO7" i="85"/>
  <c r="AO7" i="91"/>
  <c r="AM44" i="91"/>
  <c r="AM44" i="92"/>
  <c r="M44" i="92" s="1"/>
  <c r="AO7" i="92"/>
  <c r="E185" i="8"/>
  <c r="C228" i="8"/>
  <c r="AA73" i="102"/>
  <c r="AO73" i="102" s="1"/>
  <c r="D208" i="8"/>
  <c r="AM29" i="91" l="1"/>
  <c r="AO29" i="91" s="1"/>
  <c r="AM29" i="144"/>
  <c r="AO29" i="144" s="1"/>
  <c r="AM27" i="91"/>
  <c r="AO27" i="91" s="1"/>
  <c r="AM27" i="144"/>
  <c r="AO27" i="144" s="1"/>
  <c r="AM27" i="92"/>
  <c r="AO27" i="92" s="1"/>
  <c r="AM27" i="139"/>
  <c r="AO27" i="139" s="1"/>
  <c r="AM23" i="90"/>
  <c r="AO23" i="90" s="1"/>
  <c r="AM23" i="142"/>
  <c r="AO23" i="142" s="1"/>
  <c r="AA10" i="102"/>
  <c r="AO10" i="102" s="1"/>
  <c r="AA12" i="102"/>
  <c r="AO12" i="102" s="1"/>
  <c r="AO37" i="102"/>
  <c r="L43" i="142"/>
  <c r="M43" i="142" s="1"/>
  <c r="AO44" i="92"/>
  <c r="L43" i="139"/>
  <c r="AA8" i="102"/>
  <c r="AO8" i="102" s="1"/>
  <c r="AO33" i="102"/>
  <c r="AF20" i="119"/>
  <c r="AF8" i="119"/>
  <c r="AO38" i="85"/>
  <c r="D169" i="8"/>
  <c r="D197" i="8"/>
  <c r="E197" i="8" s="1"/>
  <c r="C230" i="8"/>
  <c r="D210" i="8"/>
  <c r="E187" i="8"/>
  <c r="AO39" i="102"/>
  <c r="AA41" i="102"/>
  <c r="AO41" i="102" s="1"/>
  <c r="AA14" i="102"/>
  <c r="D196" i="8"/>
  <c r="E181" i="8"/>
  <c r="D165" i="8"/>
  <c r="AA77" i="102"/>
  <c r="AO67" i="102"/>
  <c r="AA6" i="102"/>
  <c r="AO6" i="102" s="1"/>
  <c r="AO37" i="82"/>
  <c r="AF39" i="82"/>
  <c r="L43" i="144"/>
  <c r="M43" i="144" s="1"/>
  <c r="M44" i="91"/>
  <c r="AF46" i="91"/>
  <c r="AO44" i="91"/>
  <c r="C224" i="8"/>
  <c r="AC15" i="95" l="1"/>
  <c r="AE15" i="95" s="1"/>
  <c r="AC14" i="95"/>
  <c r="L36" i="82"/>
  <c r="M36" i="82" s="1"/>
  <c r="K3" i="95"/>
  <c r="L43" i="90"/>
  <c r="M43" i="90" s="1"/>
  <c r="E196" i="8"/>
  <c r="E198" i="8" s="1"/>
  <c r="D198" i="8"/>
  <c r="AO14" i="102"/>
  <c r="AA16" i="102"/>
  <c r="AO16" i="102" s="1"/>
  <c r="K8" i="95"/>
  <c r="L43" i="91"/>
  <c r="M43" i="91" s="1"/>
  <c r="AO3" i="105"/>
  <c r="L37" i="85"/>
  <c r="M37" i="85" s="1"/>
  <c r="AO77" i="102"/>
  <c r="AA78" i="102"/>
  <c r="E165" i="8"/>
  <c r="E168" i="8" s="1"/>
  <c r="D168" i="8"/>
  <c r="D172" i="8"/>
  <c r="E169" i="8"/>
  <c r="L43" i="92"/>
  <c r="K10" i="95"/>
  <c r="K15" i="95" l="1"/>
  <c r="E172" i="8"/>
  <c r="E173" i="8" s="1"/>
  <c r="D173" i="8"/>
  <c r="K14" i="95"/>
  <c r="K17" i="95" l="1"/>
  <c r="P22" i="95" l="1"/>
  <c r="Q22" i="95"/>
  <c r="X63" i="135" l="1"/>
  <c r="X196" i="135"/>
  <c r="X203" i="135" l="1"/>
  <c r="X205" i="135"/>
  <c r="Z205" i="135" s="1"/>
  <c r="Z63" i="135"/>
  <c r="AN63" i="135" s="1"/>
  <c r="Z196" i="135"/>
  <c r="BB203" i="135" l="1"/>
  <c r="X208" i="135"/>
  <c r="X206" i="135"/>
  <c r="Z206" i="135" s="1"/>
  <c r="Z203" i="135"/>
  <c r="Z208" i="135" l="1"/>
  <c r="X209" i="135"/>
  <c r="Z209" i="135" s="1"/>
  <c r="G146" i="8"/>
  <c r="AA6" i="90"/>
  <c r="AA44" i="90" l="1"/>
  <c r="F242" i="8"/>
  <c r="G242" i="8"/>
  <c r="F146" i="8"/>
  <c r="AB6" i="90"/>
  <c r="AB44" i="142"/>
  <c r="O44" i="142" l="1"/>
  <c r="N7" i="95"/>
  <c r="AB44" i="90"/>
  <c r="AA44" i="142"/>
  <c r="N44" i="90"/>
  <c r="N44" i="142" l="1"/>
  <c r="M7" i="95"/>
  <c r="O44" i="90"/>
  <c r="M13" i="95" l="1"/>
  <c r="M21" i="95" s="1"/>
  <c r="M27" i="95" s="1"/>
  <c r="N13" i="95"/>
  <c r="N21" i="95" s="1"/>
  <c r="M22" i="95" l="1"/>
  <c r="N27" i="95"/>
  <c r="N22" i="95"/>
  <c r="S143" i="8" l="1"/>
  <c r="AC6" i="90" l="1"/>
  <c r="T143" i="8"/>
  <c r="H242" i="8"/>
  <c r="R242" i="8" s="1"/>
  <c r="H146" i="8"/>
  <c r="R143" i="8"/>
  <c r="AN44" i="90" l="1"/>
  <c r="AC44" i="142"/>
  <c r="AC44" i="90"/>
  <c r="T146" i="8"/>
  <c r="R146" i="8"/>
  <c r="V146" i="8"/>
  <c r="S146" i="8"/>
  <c r="P44" i="142" l="1"/>
  <c r="O7" i="95"/>
  <c r="P44" i="90"/>
  <c r="AO6" i="90"/>
  <c r="AO44" i="90"/>
  <c r="AN44" i="142"/>
  <c r="AO44" i="142" s="1"/>
  <c r="AO6" i="142"/>
  <c r="O13" i="95" l="1"/>
  <c r="O21" i="95" s="1"/>
  <c r="K7" i="95" l="1"/>
  <c r="O27" i="95"/>
  <c r="Y27" i="95" s="1"/>
  <c r="O22" i="95"/>
  <c r="W38" i="85"/>
  <c r="V5" i="95"/>
  <c r="J13" i="95" l="1"/>
  <c r="J21" i="95" s="1"/>
  <c r="K5" i="95"/>
  <c r="AD14" i="95"/>
  <c r="AE14" i="95" s="1"/>
  <c r="V13" i="95"/>
  <c r="V21" i="95" s="1"/>
  <c r="V27" i="95" s="1"/>
  <c r="K13" i="95" l="1"/>
  <c r="AB21" i="95" l="1"/>
  <c r="K21" i="95"/>
</calcChain>
</file>

<file path=xl/comments1.xml><?xml version="1.0" encoding="utf-8"?>
<comments xmlns="http://schemas.openxmlformats.org/spreadsheetml/2006/main">
  <authors>
    <author>seah</author>
  </authors>
  <commentList>
    <comment ref="AF1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64</t>
        </r>
        <r>
          <rPr>
            <sz val="9"/>
            <color indexed="81"/>
            <rFont val="돋움"/>
            <family val="3"/>
            <charset val="129"/>
          </rPr>
          <t>건</t>
        </r>
        <r>
          <rPr>
            <sz val="9"/>
            <color indexed="81"/>
            <rFont val="Tahoma"/>
            <family val="2"/>
          </rPr>
          <t xml:space="preserve"> 1, 2CCL 32</t>
        </r>
        <r>
          <rPr>
            <sz val="9"/>
            <color indexed="81"/>
            <rFont val="돋움"/>
            <family val="3"/>
            <charset val="129"/>
          </rPr>
          <t>건씩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나눔</t>
        </r>
      </text>
    </comment>
    <comment ref="F6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24</t>
        </r>
        <r>
          <rPr>
            <sz val="9"/>
            <color indexed="81"/>
            <rFont val="돋움"/>
            <family val="3"/>
            <charset val="129"/>
          </rPr>
          <t>건</t>
        </r>
        <r>
          <rPr>
            <sz val="9"/>
            <color indexed="81"/>
            <rFont val="Tahoma"/>
            <family val="2"/>
          </rPr>
          <t xml:space="preserve"> 1, 2CCL 12</t>
        </r>
        <r>
          <rPr>
            <sz val="9"/>
            <color indexed="81"/>
            <rFont val="돋움"/>
            <family val="3"/>
            <charset val="129"/>
          </rPr>
          <t>건씩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나눔</t>
        </r>
      </text>
    </comment>
    <comment ref="S93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원단위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</text>
    </comment>
    <comment ref="AN204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CPL~CGL 2</t>
        </r>
        <r>
          <rPr>
            <sz val="9"/>
            <color indexed="81"/>
            <rFont val="돋움"/>
            <family val="3"/>
            <charset val="129"/>
          </rPr>
          <t>개월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비가동으로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원단위와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발생함</t>
        </r>
      </text>
    </comment>
    <comment ref="Z20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  <comment ref="AN20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  <comment ref="AN207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CPL~CGL 2</t>
        </r>
        <r>
          <rPr>
            <sz val="9"/>
            <color indexed="81"/>
            <rFont val="돋움"/>
            <family val="3"/>
            <charset val="129"/>
          </rPr>
          <t>개월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비가동으로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원단위와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발생함</t>
        </r>
      </text>
    </comment>
  </commentList>
</comments>
</file>

<file path=xl/comments2.xml><?xml version="1.0" encoding="utf-8"?>
<comments xmlns="http://schemas.openxmlformats.org/spreadsheetml/2006/main">
  <authors>
    <author>seah</author>
  </authors>
  <commentList>
    <comment ref="G22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H</t>
        </r>
        <r>
          <rPr>
            <sz val="9"/>
            <color indexed="81"/>
            <rFont val="돋움"/>
            <family val="3"/>
            <charset val="129"/>
          </rPr>
          <t>급</t>
        </r>
        <r>
          <rPr>
            <sz val="9"/>
            <color indexed="81"/>
            <rFont val="Tahoma"/>
            <family val="2"/>
          </rPr>
          <t xml:space="preserve"> 57</t>
        </r>
        <r>
          <rPr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</text>
    </comment>
    <comment ref="V120" authorId="0">
      <text>
        <r>
          <rPr>
            <b/>
            <sz val="9"/>
            <color indexed="81"/>
            <rFont val="Tahoma"/>
            <family val="2"/>
          </rPr>
          <t xml:space="preserve">seah: CGL </t>
        </r>
        <r>
          <rPr>
            <b/>
            <sz val="9"/>
            <color indexed="81"/>
            <rFont val="돋움"/>
            <family val="3"/>
            <charset val="129"/>
          </rPr>
          <t>누적실적으로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변경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요망</t>
        </r>
      </text>
    </comment>
    <comment ref="V122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매월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</text>
    </comment>
  </commentList>
</comments>
</file>

<file path=xl/comments3.xml><?xml version="1.0" encoding="utf-8"?>
<comments xmlns="http://schemas.openxmlformats.org/spreadsheetml/2006/main">
  <authors>
    <author>seah</author>
  </authors>
  <commentList>
    <comment ref="L1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CGL H</t>
        </r>
        <r>
          <rPr>
            <sz val="9"/>
            <color indexed="81"/>
            <rFont val="돋움"/>
            <family val="3"/>
            <charset val="129"/>
          </rPr>
          <t>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등록됨</t>
        </r>
      </text>
    </comment>
  </commentList>
</comments>
</file>

<file path=xl/comments4.xml><?xml version="1.0" encoding="utf-8"?>
<comments xmlns="http://schemas.openxmlformats.org/spreadsheetml/2006/main">
  <authors>
    <author>seah</author>
  </authors>
  <commentList>
    <comment ref="L3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H</t>
        </r>
        <r>
          <rPr>
            <sz val="9"/>
            <color indexed="81"/>
            <rFont val="돋움"/>
            <family val="3"/>
            <charset val="129"/>
          </rPr>
          <t>급</t>
        </r>
        <r>
          <rPr>
            <sz val="9"/>
            <color indexed="81"/>
            <rFont val="Tahoma"/>
            <family val="2"/>
          </rPr>
          <t xml:space="preserve"> 57</t>
        </r>
        <r>
          <rPr>
            <sz val="9"/>
            <color indexed="81"/>
            <rFont val="돋움"/>
            <family val="3"/>
            <charset val="129"/>
          </rPr>
          <t>톤포함</t>
        </r>
      </text>
    </comment>
  </commentList>
</comments>
</file>

<file path=xl/comments5.xml><?xml version="1.0" encoding="utf-8"?>
<comments xmlns="http://schemas.openxmlformats.org/spreadsheetml/2006/main">
  <authors>
    <author>seah</author>
  </authors>
  <commentList>
    <comment ref="BD8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실적완료시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실적값으로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필요함</t>
        </r>
        <r>
          <rPr>
            <sz val="9"/>
            <color indexed="81"/>
            <rFont val="Tahoma"/>
            <family val="2"/>
          </rPr>
          <t>!!!</t>
        </r>
      </text>
    </comment>
  </commentList>
</comments>
</file>

<file path=xl/comments6.xml><?xml version="1.0" encoding="utf-8"?>
<comments xmlns="http://schemas.openxmlformats.org/spreadsheetml/2006/main">
  <authors>
    <author>seah</author>
  </authors>
  <commentList>
    <comment ref="K34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공정수</t>
        </r>
        <r>
          <rPr>
            <sz val="9"/>
            <color indexed="81"/>
            <rFont val="Tahoma"/>
            <family val="2"/>
          </rPr>
          <t xml:space="preserve"> 3</t>
        </r>
        <r>
          <rPr>
            <sz val="9"/>
            <color indexed="81"/>
            <rFont val="돋움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인건비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추가</t>
        </r>
      </text>
    </comment>
  </commentList>
</comments>
</file>

<file path=xl/comments7.xml><?xml version="1.0" encoding="utf-8"?>
<comments xmlns="http://schemas.openxmlformats.org/spreadsheetml/2006/main">
  <authors>
    <author>seah</author>
  </authors>
  <commentList>
    <comment ref="L12" authorId="0">
      <text>
        <r>
          <rPr>
            <b/>
            <sz val="9"/>
            <color indexed="81"/>
            <rFont val="Tahoma"/>
            <family val="2"/>
          </rPr>
          <t xml:space="preserve">seah: </t>
        </r>
        <r>
          <rPr>
            <b/>
            <sz val="9"/>
            <color indexed="81"/>
            <rFont val="돋움"/>
            <family val="3"/>
            <charset val="129"/>
          </rPr>
          <t>코일형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스크랩에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등록됨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CPL 14.48
CRM 38.52</t>
        </r>
      </text>
    </comment>
    <comment ref="L1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통판은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코일형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스크랩</t>
        </r>
        <r>
          <rPr>
            <sz val="9"/>
            <color indexed="81"/>
            <rFont val="Tahoma"/>
            <family val="2"/>
          </rPr>
          <t xml:space="preserve">,
</t>
        </r>
        <r>
          <rPr>
            <sz val="9"/>
            <color indexed="81"/>
            <rFont val="돋움"/>
            <family val="3"/>
            <charset val="129"/>
          </rPr>
          <t>포장재는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불량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인출에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제외함</t>
        </r>
      </text>
    </comment>
  </commentList>
</comments>
</file>

<file path=xl/comments8.xml><?xml version="1.0" encoding="utf-8"?>
<comments xmlns="http://schemas.openxmlformats.org/spreadsheetml/2006/main">
  <authors>
    <author>seah</author>
  </authors>
  <commentList>
    <comment ref="L12" authorId="0">
      <text>
        <r>
          <rPr>
            <b/>
            <sz val="9"/>
            <color indexed="81"/>
            <rFont val="Tahoma"/>
            <family val="2"/>
          </rPr>
          <t xml:space="preserve">seah: </t>
        </r>
        <r>
          <rPr>
            <b/>
            <sz val="9"/>
            <color indexed="81"/>
            <rFont val="돋움"/>
            <family val="3"/>
            <charset val="129"/>
          </rPr>
          <t>코일형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스크랩에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등록됨</t>
        </r>
      </text>
    </comment>
    <comment ref="L1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통판은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코일형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스크랩</t>
        </r>
        <r>
          <rPr>
            <sz val="9"/>
            <color indexed="81"/>
            <rFont val="Tahoma"/>
            <family val="2"/>
          </rPr>
          <t xml:space="preserve">,
</t>
        </r>
        <r>
          <rPr>
            <sz val="9"/>
            <color indexed="81"/>
            <rFont val="돋움"/>
            <family val="3"/>
            <charset val="129"/>
          </rPr>
          <t>포장재는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불량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인출에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제외함</t>
        </r>
      </text>
    </comment>
  </commentList>
</comments>
</file>

<file path=xl/comments9.xml><?xml version="1.0" encoding="utf-8"?>
<comments xmlns="http://schemas.openxmlformats.org/spreadsheetml/2006/main">
  <authors>
    <author>seah</author>
  </authors>
  <commentList>
    <comment ref="Q13" authorId="0">
      <text>
        <r>
          <rPr>
            <b/>
            <sz val="9"/>
            <color indexed="81"/>
            <rFont val="Tahoma"/>
            <family val="2"/>
          </rPr>
          <t xml:space="preserve">seah: 2CCL </t>
        </r>
        <r>
          <rPr>
            <b/>
            <sz val="9"/>
            <color indexed="81"/>
            <rFont val="돋움"/>
            <family val="3"/>
            <charset val="129"/>
          </rPr>
          <t>중량부족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추가등록</t>
        </r>
        <r>
          <rPr>
            <b/>
            <sz val="9"/>
            <color indexed="81"/>
            <rFont val="Tahoma"/>
            <family val="2"/>
          </rPr>
          <t xml:space="preserve"> 0.49</t>
        </r>
        <r>
          <rPr>
            <b/>
            <sz val="9"/>
            <color indexed="81"/>
            <rFont val="돋움"/>
            <family val="3"/>
            <charset val="129"/>
          </rPr>
          <t>톤</t>
        </r>
      </text>
    </comment>
    <comment ref="O18" authorId="0">
      <text>
        <r>
          <rPr>
            <b/>
            <sz val="9"/>
            <color indexed="81"/>
            <rFont val="Tahoma"/>
            <family val="2"/>
          </rPr>
          <t>seah: LAMI 1.55</t>
        </r>
        <r>
          <rPr>
            <b/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
#2CCL </t>
        </r>
        <r>
          <rPr>
            <sz val="9"/>
            <color indexed="81"/>
            <rFont val="돋움"/>
            <family val="3"/>
            <charset val="129"/>
          </rPr>
          <t>테스트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인출</t>
        </r>
        <r>
          <rPr>
            <sz val="9"/>
            <color indexed="81"/>
            <rFont val="Tahoma"/>
            <family val="2"/>
          </rPr>
          <t xml:space="preserve">(1CCL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>)</t>
        </r>
      </text>
    </comment>
    <comment ref="Y18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대명강재</t>
        </r>
        <r>
          <rPr>
            <sz val="9"/>
            <color indexed="81"/>
            <rFont val="Tahoma"/>
            <family val="2"/>
          </rPr>
          <t xml:space="preserve"> 10.02</t>
        </r>
        <r>
          <rPr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</t>
        </r>
      </text>
    </comment>
  </commentList>
</comments>
</file>

<file path=xl/comments10.xml><?xml version="1.0" encoding="utf-8"?>
<comments xmlns="http://schemas.openxmlformats.org/spreadsheetml/2006/main">
  <authors>
    <author>seah</author>
  </authors>
  <commentList>
    <comment ref="AN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소재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면적으로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톤파워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보정함</t>
        </r>
        <r>
          <rPr>
            <sz val="9"/>
            <color indexed="81"/>
            <rFont val="Tahoma"/>
            <family val="2"/>
          </rPr>
          <t xml:space="preserve"> 9/7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 xml:space="preserve">seah: 2CCL </t>
        </r>
        <r>
          <rPr>
            <b/>
            <sz val="9"/>
            <color indexed="81"/>
            <rFont val="돋움"/>
            <family val="3"/>
            <charset val="129"/>
          </rPr>
          <t>중량부족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추가등록</t>
        </r>
        <r>
          <rPr>
            <b/>
            <sz val="9"/>
            <color indexed="81"/>
            <rFont val="Tahoma"/>
            <family val="2"/>
          </rPr>
          <t xml:space="preserve"> 0.49</t>
        </r>
        <r>
          <rPr>
            <b/>
            <sz val="9"/>
            <color indexed="81"/>
            <rFont val="돋움"/>
            <family val="3"/>
            <charset val="129"/>
          </rPr>
          <t>톤</t>
        </r>
      </text>
    </comment>
    <comment ref="O18" authorId="0">
      <text>
        <r>
          <rPr>
            <b/>
            <sz val="9"/>
            <color indexed="81"/>
            <rFont val="Tahoma"/>
            <family val="2"/>
          </rPr>
          <t>seah: LAMI 1.55</t>
        </r>
        <r>
          <rPr>
            <b/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
#2CCL </t>
        </r>
        <r>
          <rPr>
            <sz val="9"/>
            <color indexed="81"/>
            <rFont val="돋움"/>
            <family val="3"/>
            <charset val="129"/>
          </rPr>
          <t>테스트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인출</t>
        </r>
        <r>
          <rPr>
            <sz val="9"/>
            <color indexed="81"/>
            <rFont val="Tahoma"/>
            <family val="2"/>
          </rPr>
          <t xml:space="preserve">(1CCL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11.xml><?xml version="1.0" encoding="utf-8"?>
<comments xmlns="http://schemas.openxmlformats.org/spreadsheetml/2006/main">
  <authors>
    <author>seah</author>
  </authors>
  <commentList>
    <comment ref="X12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AL </t>
        </r>
        <r>
          <rPr>
            <sz val="9"/>
            <color indexed="81"/>
            <rFont val="돋움"/>
            <family val="3"/>
            <charset val="129"/>
          </rPr>
          <t>백청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코일형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스크랩</t>
        </r>
        <r>
          <rPr>
            <sz val="9"/>
            <color indexed="81"/>
            <rFont val="Tahoma"/>
            <family val="2"/>
          </rPr>
          <t xml:space="preserve"> 2.96(</t>
        </r>
        <r>
          <rPr>
            <sz val="9"/>
            <color indexed="81"/>
            <rFont val="돋움"/>
            <family val="3"/>
            <charset val="129"/>
          </rPr>
          <t>대체전기</t>
        </r>
        <r>
          <rPr>
            <sz val="9"/>
            <color indexed="81"/>
            <rFont val="Tahoma"/>
            <family val="2"/>
          </rPr>
          <t>)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백청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코일</t>
        </r>
        <r>
          <rPr>
            <sz val="9"/>
            <color indexed="81"/>
            <rFont val="Tahoma"/>
            <family val="2"/>
          </rPr>
          <t xml:space="preserve"> DJCC337G02 6.85</t>
        </r>
        <r>
          <rPr>
            <sz val="9"/>
            <color indexed="81"/>
            <rFont val="돋움"/>
            <family val="3"/>
            <charset val="129"/>
          </rPr>
          <t>톤
불량인출로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코일형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스크랩</t>
        </r>
        <r>
          <rPr>
            <sz val="9"/>
            <color indexed="81"/>
            <rFont val="Tahoma"/>
            <family val="2"/>
          </rPr>
          <t xml:space="preserve">  ERP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>)</t>
        </r>
      </text>
    </comment>
    <comment ref="S13" authorId="0">
      <text>
        <r>
          <rPr>
            <b/>
            <sz val="9"/>
            <color indexed="81"/>
            <rFont val="Tahoma"/>
            <family val="2"/>
          </rPr>
          <t xml:space="preserve">seah: AL </t>
        </r>
        <r>
          <rPr>
            <b/>
            <sz val="9"/>
            <color indexed="81"/>
            <rFont val="돋움"/>
            <family val="3"/>
            <charset val="129"/>
          </rPr>
          <t>낙반코일</t>
        </r>
        <r>
          <rPr>
            <b/>
            <sz val="9"/>
            <color indexed="81"/>
            <rFont val="Tahoma"/>
            <family val="2"/>
          </rPr>
          <t xml:space="preserve"> 0.48</t>
        </r>
        <r>
          <rPr>
            <b/>
            <sz val="9"/>
            <color indexed="81"/>
            <rFont val="돋움"/>
            <family val="3"/>
            <charset val="129"/>
          </rPr>
          <t>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보험처리</t>
        </r>
      </text>
    </comment>
    <comment ref="W14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코일형</t>
        </r>
        <r>
          <rPr>
            <sz val="9"/>
            <color indexed="81"/>
            <rFont val="Tahoma"/>
            <family val="2"/>
          </rPr>
          <t xml:space="preserve"> 1.07</t>
        </r>
        <r>
          <rPr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2018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실적등록</t>
        </r>
      </text>
    </comment>
    <comment ref="I17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2018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실적등록</t>
        </r>
      </text>
    </comment>
    <comment ref="J19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</text>
    </comment>
    <comment ref="Y30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1" authorId="0">
      <text>
        <r>
          <rPr>
            <b/>
            <sz val="9"/>
            <color indexed="81"/>
            <rFont val="Tahoma"/>
            <family val="2"/>
          </rPr>
          <t xml:space="preserve">seah: </t>
        </r>
        <r>
          <rPr>
            <b/>
            <sz val="9"/>
            <color indexed="81"/>
            <rFont val="돋움"/>
            <family val="3"/>
            <charset val="129"/>
          </rPr>
          <t>레자엠보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철거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비용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가로무늬엠보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소모품비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</t>
        </r>
      </text>
    </comment>
  </commentList>
</comments>
</file>

<file path=xl/comments12.xml><?xml version="1.0" encoding="utf-8"?>
<comments xmlns="http://schemas.openxmlformats.org/spreadsheetml/2006/main">
  <authors>
    <author>seah</author>
  </authors>
  <commentList>
    <comment ref="R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PRINT 2 PASS 69.85 TON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양면작업</t>
        </r>
        <r>
          <rPr>
            <sz val="9"/>
            <color indexed="81"/>
            <rFont val="Tahoma"/>
            <family val="2"/>
          </rPr>
          <t xml:space="preserve"> 485.06</t>
        </r>
        <r>
          <rPr>
            <sz val="9"/>
            <color indexed="81"/>
            <rFont val="돋움"/>
            <family val="3"/>
            <charset val="129"/>
          </rPr>
          <t>톤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양면작업</t>
        </r>
        <r>
          <rPr>
            <sz val="9"/>
            <color indexed="81"/>
            <rFont val="Tahoma"/>
            <family val="2"/>
          </rPr>
          <t xml:space="preserve"> 96.13</t>
        </r>
        <r>
          <rPr>
            <sz val="9"/>
            <color indexed="81"/>
            <rFont val="돋움"/>
            <family val="3"/>
            <charset val="129"/>
          </rPr>
          <t>톤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2018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실적등록</t>
        </r>
      </text>
    </comment>
    <comment ref="I17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2018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실적등록</t>
        </r>
      </text>
    </comment>
    <comment ref="J19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2019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</text>
    </comment>
  </commentList>
</comments>
</file>

<file path=xl/comments13.xml><?xml version="1.0" encoding="utf-8"?>
<comments xmlns="http://schemas.openxmlformats.org/spreadsheetml/2006/main">
  <authors>
    <author>seah</author>
  </authors>
  <commentList>
    <comment ref="M7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CGL </t>
        </r>
        <r>
          <rPr>
            <sz val="9"/>
            <color indexed="81"/>
            <rFont val="돋움"/>
            <family val="3"/>
            <charset val="129"/>
          </rPr>
          <t>톤파워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보정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양면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프린트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보정</t>
        </r>
      </text>
    </comment>
  </commentList>
</comments>
</file>

<file path=xl/comments14.xml><?xml version="1.0" encoding="utf-8"?>
<comments xmlns="http://schemas.openxmlformats.org/spreadsheetml/2006/main">
  <authors>
    <author>seah</author>
  </authors>
  <commentList>
    <comment ref="C53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87% </t>
        </r>
        <r>
          <rPr>
            <sz val="9"/>
            <color indexed="81"/>
            <rFont val="돋움"/>
            <family val="3"/>
            <charset val="129"/>
          </rPr>
          <t>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맞춤
표준시간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오류</t>
        </r>
      </text>
    </comment>
  </commentList>
</comments>
</file>

<file path=xl/comments15.xml><?xml version="1.0" encoding="utf-8"?>
<comments xmlns="http://schemas.openxmlformats.org/spreadsheetml/2006/main">
  <authors>
    <author>seah</author>
  </authors>
  <commentList>
    <comment ref="R7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MES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변경등록</t>
        </r>
      </text>
    </comment>
    <comment ref="F17" authorId="0">
      <text>
        <r>
          <rPr>
            <b/>
            <sz val="9"/>
            <color indexed="81"/>
            <rFont val="Tahoma"/>
            <family val="2"/>
          </rPr>
          <t xml:space="preserve">seah: </t>
        </r>
        <r>
          <rPr>
            <b/>
            <sz val="9"/>
            <color indexed="81"/>
            <rFont val="돋움"/>
            <family val="3"/>
            <charset val="129"/>
          </rPr>
          <t>한전정전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비가동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제외</t>
        </r>
      </text>
    </comment>
    <comment ref="G25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사강소재</t>
        </r>
        <r>
          <rPr>
            <sz val="9"/>
            <color indexed="81"/>
            <rFont val="Tahoma"/>
            <family val="2"/>
          </rPr>
          <t xml:space="preserve"> RUST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재처리</t>
        </r>
        <r>
          <rPr>
            <sz val="9"/>
            <color indexed="81"/>
            <rFont val="Tahoma"/>
            <family val="2"/>
          </rPr>
          <t xml:space="preserve"> 2000</t>
        </r>
        <r>
          <rPr>
            <sz val="9"/>
            <color indexed="81"/>
            <rFont val="돋움"/>
            <family val="3"/>
            <charset val="129"/>
          </rPr>
          <t>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양품율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성능가동율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하락함</t>
        </r>
      </text>
    </comment>
    <comment ref="B3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87% </t>
        </r>
        <r>
          <rPr>
            <sz val="9"/>
            <color indexed="81"/>
            <rFont val="돋움"/>
            <family val="3"/>
            <charset val="129"/>
          </rPr>
          <t>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맞춤
표준시간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오류</t>
        </r>
      </text>
    </comment>
    <comment ref="O3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MES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변경등록</t>
        </r>
      </text>
    </comment>
    <comment ref="F41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한전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정전</t>
        </r>
        <r>
          <rPr>
            <sz val="9"/>
            <color indexed="81"/>
            <rFont val="Tahoma"/>
            <family val="2"/>
          </rPr>
          <t xml:space="preserve"> 37</t>
        </r>
        <r>
          <rPr>
            <sz val="9"/>
            <color indexed="81"/>
            <rFont val="돋움"/>
            <family val="3"/>
            <charset val="129"/>
          </rPr>
          <t>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</t>
        </r>
      </text>
    </comment>
  </commentList>
</comments>
</file>

<file path=xl/comments16.xml><?xml version="1.0" encoding="utf-8"?>
<comments xmlns="http://schemas.openxmlformats.org/spreadsheetml/2006/main">
  <authors>
    <author>seah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19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MES 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변경등록</t>
        </r>
      </text>
    </comment>
    <comment ref="I32" authorId="0">
      <text>
        <r>
          <rPr>
            <b/>
            <sz val="9"/>
            <color indexed="81"/>
            <rFont val="Tahoma"/>
            <family val="2"/>
          </rPr>
          <t>seah:</t>
        </r>
        <r>
          <rPr>
            <sz val="9"/>
            <color indexed="81"/>
            <rFont val="Tahoma"/>
            <family val="2"/>
          </rPr>
          <t xml:space="preserve">
87% </t>
        </r>
        <r>
          <rPr>
            <sz val="9"/>
            <color indexed="81"/>
            <rFont val="돋움"/>
            <family val="3"/>
            <charset val="129"/>
          </rPr>
          <t>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맞춤
표준시간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오류</t>
        </r>
      </text>
    </comment>
  </commentList>
</comments>
</file>

<file path=xl/sharedStrings.xml><?xml version="1.0" encoding="utf-8"?>
<sst xmlns="http://schemas.openxmlformats.org/spreadsheetml/2006/main" count="7264" uniqueCount="2036">
  <si>
    <t>구분</t>
    <phoneticPr fontId="22" type="noConversion"/>
  </si>
  <si>
    <t>구분</t>
  </si>
  <si>
    <t>CPL</t>
  </si>
  <si>
    <t>CRM</t>
  </si>
  <si>
    <t>CGL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</si>
  <si>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</si>
  <si>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</si>
  <si>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</si>
  <si>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</si>
  <si>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</si>
  <si>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</si>
  <si>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</si>
  <si>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</si>
  <si>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</si>
  <si>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</si>
  <si>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</si>
  <si>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합계</t>
    <phoneticPr fontId="22" type="noConversion"/>
  </si>
  <si>
    <t>#2CCL</t>
  </si>
  <si>
    <t>1월</t>
    <phoneticPr fontId="22" type="noConversion"/>
  </si>
  <si>
    <t>1분기</t>
    <phoneticPr fontId="22" type="noConversion"/>
  </si>
  <si>
    <t>반기</t>
    <phoneticPr fontId="22" type="noConversion"/>
  </si>
  <si>
    <t>3분기</t>
    <phoneticPr fontId="22" type="noConversion"/>
  </si>
  <si>
    <t>년간</t>
    <phoneticPr fontId="22" type="noConversion"/>
  </si>
  <si>
    <t>#1CCL</t>
    <phoneticPr fontId="22" type="noConversion"/>
  </si>
  <si>
    <t>기계</t>
    <phoneticPr fontId="22" type="noConversion"/>
  </si>
  <si>
    <t>전기</t>
    <phoneticPr fontId="22" type="noConversion"/>
  </si>
  <si>
    <t>투입량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</si>
  <si>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</si>
  <si>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</si>
  <si>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</si>
  <si>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#1CCL</t>
    <phoneticPr fontId="22" type="noConversion"/>
  </si>
  <si>
    <t>합계</t>
    <phoneticPr fontId="22" type="noConversion"/>
  </si>
  <si>
    <t>A급
생산량</t>
    <phoneticPr fontId="22" type="noConversion"/>
  </si>
  <si>
    <t>가동시간</t>
    <phoneticPr fontId="22" type="noConversion"/>
  </si>
  <si>
    <t>고장건수
기계</t>
    <phoneticPr fontId="22" type="noConversion"/>
  </si>
  <si>
    <t>고장건수
전기</t>
    <phoneticPr fontId="22" type="noConversion"/>
  </si>
  <si>
    <t>기계
고장시간</t>
    <phoneticPr fontId="22" type="noConversion"/>
  </si>
  <si>
    <t>전기
고장시간</t>
    <phoneticPr fontId="22" type="noConversion"/>
  </si>
  <si>
    <t>1월</t>
    <phoneticPr fontId="22" type="noConversion"/>
  </si>
  <si>
    <t>CPL</t>
    <phoneticPr fontId="22" type="noConversion"/>
  </si>
  <si>
    <t>톤파워</t>
    <phoneticPr fontId="22" type="noConversion"/>
  </si>
  <si>
    <t>보정계수</t>
    <phoneticPr fontId="22" type="noConversion"/>
  </si>
  <si>
    <t>CRM</t>
    <phoneticPr fontId="22" type="noConversion"/>
  </si>
  <si>
    <t>CGL</t>
    <phoneticPr fontId="22" type="noConversion"/>
  </si>
  <si>
    <t>고장율
기계</t>
    <phoneticPr fontId="22" type="noConversion"/>
  </si>
  <si>
    <t>#1CCL</t>
    <phoneticPr fontId="22" type="noConversion"/>
  </si>
  <si>
    <t>고장율
전기</t>
    <phoneticPr fontId="22" type="noConversion"/>
  </si>
  <si>
    <t>구분</t>
    <phoneticPr fontId="22" type="noConversion"/>
  </si>
  <si>
    <t>1월</t>
    <phoneticPr fontId="22" type="noConversion"/>
  </si>
  <si>
    <t>A급 수율</t>
    <phoneticPr fontId="22" type="noConversion"/>
  </si>
  <si>
    <t>라인종합수율</t>
    <phoneticPr fontId="22" type="noConversion"/>
  </si>
  <si>
    <t>라인별 
불량률</t>
    <phoneticPr fontId="22" type="noConversion"/>
  </si>
  <si>
    <t>실가동율</t>
    <phoneticPr fontId="22" type="noConversion"/>
  </si>
  <si>
    <t>라인종합 실가동률</t>
    <phoneticPr fontId="22" type="noConversion"/>
  </si>
  <si>
    <t>라인종합 톤파워</t>
    <phoneticPr fontId="22" type="noConversion"/>
  </si>
  <si>
    <t>수율</t>
    <phoneticPr fontId="22" type="noConversion"/>
  </si>
  <si>
    <t>ARP</t>
    <phoneticPr fontId="22" type="noConversion"/>
  </si>
  <si>
    <t>합계</t>
    <phoneticPr fontId="22" type="noConversion"/>
  </si>
  <si>
    <t>생산원단위</t>
    <phoneticPr fontId="22" type="noConversion"/>
  </si>
  <si>
    <t>ROLL SHOP</t>
    <phoneticPr fontId="22" type="noConversion"/>
  </si>
  <si>
    <t>SSCL</t>
    <phoneticPr fontId="22" type="noConversion"/>
  </si>
  <si>
    <t>#1포장</t>
    <phoneticPr fontId="22" type="noConversion"/>
  </si>
  <si>
    <t>#2CCL</t>
    <phoneticPr fontId="22" type="noConversion"/>
  </si>
  <si>
    <t>#2포장</t>
    <phoneticPr fontId="22" type="noConversion"/>
  </si>
  <si>
    <t>기계</t>
    <phoneticPr fontId="22" type="noConversion"/>
  </si>
  <si>
    <t>고장율</t>
    <phoneticPr fontId="22" type="noConversion"/>
  </si>
  <si>
    <t>고장건수</t>
    <phoneticPr fontId="22" type="noConversion"/>
  </si>
  <si>
    <t>설비개선</t>
    <phoneticPr fontId="22" type="noConversion"/>
  </si>
  <si>
    <t>전기</t>
    <phoneticPr fontId="22" type="noConversion"/>
  </si>
  <si>
    <t>고장율</t>
    <phoneticPr fontId="22" type="noConversion"/>
  </si>
  <si>
    <t>설비팀 합계</t>
    <phoneticPr fontId="22" type="noConversion"/>
  </si>
  <si>
    <t>고장율
기계금액</t>
    <phoneticPr fontId="22" type="noConversion"/>
  </si>
  <si>
    <t>고장율
전기금액</t>
    <phoneticPr fontId="22" type="noConversion"/>
  </si>
  <si>
    <t>고장 기계 금액</t>
    <phoneticPr fontId="22" type="noConversion"/>
  </si>
  <si>
    <t>고장 전기 금액</t>
    <phoneticPr fontId="22" type="noConversion"/>
  </si>
  <si>
    <t xml:space="preserve"> -. 시간당 실질 Loss 금액</t>
    <phoneticPr fontId="24" type="noConversion"/>
  </si>
  <si>
    <t>라인구분</t>
    <phoneticPr fontId="24" type="noConversion"/>
  </si>
  <si>
    <t>기준</t>
    <phoneticPr fontId="24" type="noConversion"/>
  </si>
  <si>
    <t>CPL</t>
    <phoneticPr fontId="24" type="noConversion"/>
  </si>
  <si>
    <t>GI</t>
    <phoneticPr fontId="24" type="noConversion"/>
  </si>
  <si>
    <t>CRM</t>
    <phoneticPr fontId="24" type="noConversion"/>
  </si>
  <si>
    <t>CGL</t>
    <phoneticPr fontId="24" type="noConversion"/>
  </si>
  <si>
    <t>COLOR GI</t>
    <phoneticPr fontId="24" type="noConversion"/>
  </si>
  <si>
    <t>변동비 : gas, 전기, 소모품비(질소, 수소, 전처리제등)</t>
    <phoneticPr fontId="22" type="noConversion"/>
  </si>
  <si>
    <t>계획시간</t>
    <phoneticPr fontId="22" type="noConversion"/>
  </si>
  <si>
    <t>2월</t>
    <phoneticPr fontId="22" type="noConversion"/>
  </si>
  <si>
    <t>1월</t>
    <phoneticPr fontId="22" type="noConversion"/>
  </si>
  <si>
    <t>3월</t>
    <phoneticPr fontId="22" type="noConversion"/>
  </si>
  <si>
    <t>4월</t>
    <phoneticPr fontId="22" type="noConversion"/>
  </si>
  <si>
    <t>5월</t>
    <phoneticPr fontId="22" type="noConversion"/>
  </si>
  <si>
    <t>6월</t>
    <phoneticPr fontId="22" type="noConversion"/>
  </si>
  <si>
    <t>7월</t>
    <phoneticPr fontId="22" type="noConversion"/>
  </si>
  <si>
    <t>8월</t>
    <phoneticPr fontId="22" type="noConversion"/>
  </si>
  <si>
    <t>9월</t>
    <phoneticPr fontId="22" type="noConversion"/>
  </si>
  <si>
    <t>10월</t>
    <phoneticPr fontId="22" type="noConversion"/>
  </si>
  <si>
    <t>11월</t>
    <phoneticPr fontId="22" type="noConversion"/>
  </si>
  <si>
    <t>12월</t>
    <phoneticPr fontId="22" type="noConversion"/>
  </si>
  <si>
    <t>CPL</t>
    <phoneticPr fontId="33" type="noConversion"/>
  </si>
  <si>
    <t>CGL 스크랩</t>
    <phoneticPr fontId="22" type="noConversion"/>
  </si>
  <si>
    <t>2010년 계</t>
  </si>
  <si>
    <t>2011년 계</t>
  </si>
  <si>
    <t>고장률</t>
    <phoneticPr fontId="22" type="noConversion"/>
  </si>
  <si>
    <t>3분기</t>
    <phoneticPr fontId="22" type="noConversion"/>
  </si>
  <si>
    <t>년간</t>
    <phoneticPr fontId="22" type="noConversion"/>
  </si>
  <si>
    <t>1월</t>
    <phoneticPr fontId="22" type="noConversion"/>
  </si>
  <si>
    <t>고장률</t>
    <phoneticPr fontId="22" type="noConversion"/>
  </si>
  <si>
    <t>호칭두께</t>
    <phoneticPr fontId="22" type="noConversion"/>
  </si>
  <si>
    <t>호칭폭</t>
    <phoneticPr fontId="22" type="noConversion"/>
  </si>
  <si>
    <t>개선금액(백만원)</t>
    <phoneticPr fontId="22" type="noConversion"/>
  </si>
  <si>
    <t>개선금액(백만원) 목표</t>
    <phoneticPr fontId="22" type="noConversion"/>
  </si>
  <si>
    <t>목표금액</t>
    <phoneticPr fontId="22" type="noConversion"/>
  </si>
  <si>
    <t>1월</t>
  </si>
  <si>
    <t>합계</t>
    <phoneticPr fontId="22" type="noConversion"/>
  </si>
  <si>
    <t>두께(실)</t>
    <phoneticPr fontId="22" type="noConversion"/>
  </si>
  <si>
    <t>폭(실)</t>
    <phoneticPr fontId="22" type="noConversion"/>
  </si>
  <si>
    <t>WC_ID</t>
  </si>
  <si>
    <t>작업장</t>
  </si>
  <si>
    <t>투입량</t>
  </si>
  <si>
    <t>인출량</t>
  </si>
  <si>
    <t>총투입량</t>
  </si>
  <si>
    <t>A급생산량</t>
  </si>
  <si>
    <t>A급수율</t>
  </si>
  <si>
    <t>B급생산량</t>
  </si>
  <si>
    <t>B급수율</t>
  </si>
  <si>
    <t>C급생산량</t>
  </si>
  <si>
    <t>C급수율</t>
  </si>
  <si>
    <t>H급생산량</t>
  </si>
  <si>
    <t>H급수율</t>
  </si>
  <si>
    <t>총생산량</t>
  </si>
  <si>
    <t>총수율</t>
  </si>
  <si>
    <t>CPL 작업장</t>
  </si>
  <si>
    <t>CRM 작업장</t>
  </si>
  <si>
    <t>CGL 작업장</t>
  </si>
  <si>
    <t>No 1 CCL 작업장</t>
  </si>
  <si>
    <t>Slitting 작업장</t>
  </si>
  <si>
    <t>Sheet 작업장</t>
  </si>
  <si>
    <t>No 2 CCL 작업장</t>
  </si>
  <si>
    <t>2CCL</t>
    <phoneticPr fontId="24" type="noConversion"/>
  </si>
  <si>
    <t>고장 건수</t>
    <phoneticPr fontId="22" type="noConversion"/>
  </si>
  <si>
    <t xml:space="preserve"> - </t>
  </si>
  <si>
    <t>2012년 계</t>
  </si>
  <si>
    <t>13년실적</t>
    <phoneticPr fontId="22" type="noConversion"/>
  </si>
  <si>
    <t>#1CCL</t>
    <phoneticPr fontId="22" type="noConversion"/>
  </si>
  <si>
    <t>생산능력</t>
    <phoneticPr fontId="22" type="noConversion"/>
  </si>
  <si>
    <t>라인</t>
    <phoneticPr fontId="22" type="noConversion"/>
  </si>
  <si>
    <t>#2CCL</t>
    <phoneticPr fontId="22" type="noConversion"/>
  </si>
  <si>
    <t>#3CCL</t>
  </si>
  <si>
    <t>#4CCL</t>
  </si>
  <si>
    <t>#5CCL</t>
  </si>
  <si>
    <t>#6CCL</t>
  </si>
  <si>
    <t>#7CCL</t>
  </si>
  <si>
    <t>#8CCL</t>
  </si>
  <si>
    <t>합계</t>
    <phoneticPr fontId="22" type="noConversion"/>
  </si>
  <si>
    <t>#1CCL</t>
    <phoneticPr fontId="22" type="noConversion"/>
  </si>
  <si>
    <t>M</t>
    <phoneticPr fontId="22" type="noConversion"/>
  </si>
  <si>
    <t>유니온</t>
    <phoneticPr fontId="22" type="noConversion"/>
  </si>
  <si>
    <t>동부제철</t>
    <phoneticPr fontId="22" type="noConversion"/>
  </si>
  <si>
    <t>현대제철</t>
    <phoneticPr fontId="22" type="noConversion"/>
  </si>
  <si>
    <t>순천</t>
    <phoneticPr fontId="22" type="noConversion"/>
  </si>
  <si>
    <t>당진</t>
    <phoneticPr fontId="22" type="noConversion"/>
  </si>
  <si>
    <t>포스코 강판</t>
    <phoneticPr fontId="22" type="noConversion"/>
  </si>
  <si>
    <t>세아제강</t>
    <phoneticPr fontId="22" type="noConversion"/>
  </si>
  <si>
    <t>#1CCL</t>
    <phoneticPr fontId="22" type="noConversion"/>
  </si>
  <si>
    <t>DK동신</t>
    <phoneticPr fontId="22" type="noConversion"/>
  </si>
  <si>
    <t>세일철강</t>
    <phoneticPr fontId="22" type="noConversion"/>
  </si>
  <si>
    <t>#1CCL</t>
    <phoneticPr fontId="22" type="noConversion"/>
  </si>
  <si>
    <t>BN스틸라</t>
    <phoneticPr fontId="22" type="noConversion"/>
  </si>
  <si>
    <t>협성</t>
    <phoneticPr fontId="22" type="noConversion"/>
  </si>
  <si>
    <t>아주스틸</t>
    <phoneticPr fontId="22" type="noConversion"/>
  </si>
  <si>
    <t>아산</t>
    <phoneticPr fontId="22" type="noConversion"/>
  </si>
  <si>
    <t>녹산</t>
    <phoneticPr fontId="22" type="noConversion"/>
  </si>
  <si>
    <t>#1CCL</t>
    <phoneticPr fontId="22" type="noConversion"/>
  </si>
  <si>
    <t>영공판넬</t>
    <phoneticPr fontId="22" type="noConversion"/>
  </si>
  <si>
    <t>메탈플러스</t>
    <phoneticPr fontId="22" type="noConversion"/>
  </si>
  <si>
    <t>합계</t>
    <phoneticPr fontId="22" type="noConversion"/>
  </si>
  <si>
    <t>25개 라인</t>
    <phoneticPr fontId="22" type="noConversion"/>
  </si>
  <si>
    <t>하반기</t>
    <phoneticPr fontId="22" type="noConversion"/>
  </si>
  <si>
    <t>하반기</t>
    <phoneticPr fontId="22" type="noConversion"/>
  </si>
  <si>
    <t>하반기</t>
    <phoneticPr fontId="22" type="noConversion"/>
  </si>
  <si>
    <t>14년 하반기 목표</t>
    <phoneticPr fontId="22" type="noConversion"/>
  </si>
  <si>
    <t>14년 상반기 실적</t>
    <phoneticPr fontId="22" type="noConversion"/>
  </si>
  <si>
    <t>14년 하반기 개선목표</t>
    <phoneticPr fontId="22" type="noConversion"/>
  </si>
  <si>
    <t>소모품비</t>
    <phoneticPr fontId="22" type="noConversion"/>
  </si>
  <si>
    <t>2013년 계</t>
  </si>
  <si>
    <t>2014년 계</t>
  </si>
  <si>
    <t>CRM</t>
    <phoneticPr fontId="22" type="noConversion"/>
  </si>
  <si>
    <t>개선금액/톤</t>
    <phoneticPr fontId="24" type="noConversion"/>
  </si>
  <si>
    <t>구 분</t>
    <phoneticPr fontId="22" type="noConversion"/>
  </si>
  <si>
    <t>담 당</t>
    <phoneticPr fontId="22" type="noConversion"/>
  </si>
  <si>
    <t>#2 CCL</t>
    <phoneticPr fontId="22" type="noConversion"/>
  </si>
  <si>
    <t>F/H
SCRAP</t>
    <phoneticPr fontId="22" type="noConversion"/>
  </si>
  <si>
    <t>2014년 대비</t>
    <phoneticPr fontId="22" type="noConversion"/>
  </si>
  <si>
    <t>2015년 목표</t>
    <phoneticPr fontId="22" type="noConversion"/>
  </si>
  <si>
    <t>#1CCL</t>
  </si>
  <si>
    <t>14년</t>
  </si>
  <si>
    <t>개선금액</t>
  </si>
  <si>
    <t>SSCL</t>
  </si>
  <si>
    <t>누적</t>
    <phoneticPr fontId="22" type="noConversion"/>
  </si>
  <si>
    <t>라인종합 A급수율</t>
    <phoneticPr fontId="22" type="noConversion"/>
  </si>
  <si>
    <t>라인종합불량률</t>
    <phoneticPr fontId="22" type="noConversion"/>
  </si>
  <si>
    <t>합계</t>
  </si>
  <si>
    <t>14년실적</t>
  </si>
  <si>
    <t>전기</t>
    <phoneticPr fontId="22" type="noConversion"/>
  </si>
  <si>
    <t>가스</t>
    <phoneticPr fontId="22" type="noConversion"/>
  </si>
  <si>
    <t>구분</t>
    <phoneticPr fontId="22" type="noConversion"/>
  </si>
  <si>
    <t>효과금액</t>
    <phoneticPr fontId="22" type="noConversion"/>
  </si>
  <si>
    <t>4월</t>
    <phoneticPr fontId="22" type="noConversion"/>
  </si>
  <si>
    <t>7월</t>
    <phoneticPr fontId="22" type="noConversion"/>
  </si>
  <si>
    <t>10월</t>
    <phoneticPr fontId="22" type="noConversion"/>
  </si>
  <si>
    <t>누적</t>
    <phoneticPr fontId="22" type="noConversion"/>
  </si>
  <si>
    <t>라인구분</t>
  </si>
  <si>
    <t>개선금액/톤</t>
  </si>
  <si>
    <t>2CCL</t>
  </si>
  <si>
    <t>1. ARP</t>
    <phoneticPr fontId="22" type="noConversion"/>
  </si>
  <si>
    <t>개선금액</t>
    <phoneticPr fontId="22" type="noConversion"/>
  </si>
  <si>
    <t>2. Roll Shop</t>
    <phoneticPr fontId="22" type="noConversion"/>
  </si>
  <si>
    <t>3. #1포장</t>
    <phoneticPr fontId="22" type="noConversion"/>
  </si>
  <si>
    <t>4. #2포장</t>
    <phoneticPr fontId="22" type="noConversion"/>
  </si>
  <si>
    <t>5. SSCL</t>
    <phoneticPr fontId="22" type="noConversion"/>
  </si>
  <si>
    <t>6. 환경</t>
    <phoneticPr fontId="22" type="noConversion"/>
  </si>
  <si>
    <t>Scrap 량</t>
    <phoneticPr fontId="22" type="noConversion"/>
  </si>
  <si>
    <t>7. 물류</t>
    <phoneticPr fontId="22" type="noConversion"/>
  </si>
  <si>
    <t>생산량</t>
    <phoneticPr fontId="22" type="noConversion"/>
  </si>
  <si>
    <t>합계</t>
    <phoneticPr fontId="22" type="noConversion"/>
  </si>
  <si>
    <t>진행율</t>
    <phoneticPr fontId="22" type="noConversion"/>
  </si>
  <si>
    <t>LNG원단위</t>
    <phoneticPr fontId="22" type="noConversion"/>
  </si>
  <si>
    <t>수선비</t>
    <phoneticPr fontId="22" type="noConversion"/>
  </si>
  <si>
    <t>소모품비</t>
    <phoneticPr fontId="22" type="noConversion"/>
  </si>
  <si>
    <t>ARP</t>
  </si>
  <si>
    <t>기계</t>
  </si>
  <si>
    <t>전기</t>
  </si>
  <si>
    <t>환경</t>
  </si>
  <si>
    <t>-</t>
    <phoneticPr fontId="22" type="noConversion"/>
  </si>
  <si>
    <t>아이엠텍</t>
  </si>
  <si>
    <t>단위</t>
    <phoneticPr fontId="33" type="noConversion"/>
  </si>
  <si>
    <t>%</t>
    <phoneticPr fontId="33" type="noConversion"/>
  </si>
  <si>
    <t>1분기</t>
    <phoneticPr fontId="22" type="noConversion"/>
  </si>
  <si>
    <t>2분기</t>
    <phoneticPr fontId="22" type="noConversion"/>
  </si>
  <si>
    <t>반기</t>
    <phoneticPr fontId="22" type="noConversion"/>
  </si>
  <si>
    <t>구분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</si>
  <si>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</si>
  <si>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</si>
  <si>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</si>
  <si>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#1CCL</t>
    <phoneticPr fontId="22" type="noConversion"/>
  </si>
  <si>
    <t>#2CCL</t>
    <phoneticPr fontId="22" type="noConversion"/>
  </si>
  <si>
    <t>기준</t>
  </si>
  <si>
    <t>GI</t>
  </si>
  <si>
    <t>COLOR</t>
    <phoneticPr fontId="22" type="noConversion"/>
  </si>
  <si>
    <t>A급 가격</t>
    <phoneticPr fontId="22" type="noConversion"/>
  </si>
  <si>
    <t>Scrap 가격</t>
    <phoneticPr fontId="22" type="noConversion"/>
  </si>
  <si>
    <t>반기</t>
  </si>
  <si>
    <t>비고</t>
    <phoneticPr fontId="22" type="noConversion"/>
  </si>
  <si>
    <t>구 분</t>
    <phoneticPr fontId="33" type="noConversion"/>
  </si>
  <si>
    <t>항 목</t>
    <phoneticPr fontId="33" type="noConversion"/>
  </si>
  <si>
    <t>단위</t>
    <phoneticPr fontId="33" type="noConversion"/>
  </si>
  <si>
    <t>년도별 실적</t>
    <phoneticPr fontId="33" type="noConversion"/>
  </si>
  <si>
    <t>12년</t>
  </si>
  <si>
    <t>13년</t>
  </si>
  <si>
    <t>15년</t>
  </si>
  <si>
    <t>16년</t>
  </si>
  <si>
    <t>생산성</t>
    <phoneticPr fontId="33" type="noConversion"/>
  </si>
  <si>
    <t>생산량</t>
    <phoneticPr fontId="33" type="noConversion"/>
  </si>
  <si>
    <t>TON</t>
    <phoneticPr fontId="33" type="noConversion"/>
  </si>
  <si>
    <t>T/H</t>
    <phoneticPr fontId="33" type="noConversion"/>
  </si>
  <si>
    <t>TON/HR</t>
    <phoneticPr fontId="33" type="noConversion"/>
  </si>
  <si>
    <t>가동율</t>
    <phoneticPr fontId="33" type="noConversion"/>
  </si>
  <si>
    <t>%</t>
    <phoneticPr fontId="33" type="noConversion"/>
  </si>
  <si>
    <t>수율</t>
    <phoneticPr fontId="33" type="noConversion"/>
  </si>
  <si>
    <t>A%</t>
    <phoneticPr fontId="33" type="noConversion"/>
  </si>
  <si>
    <t>불량량</t>
    <phoneticPr fontId="33" type="noConversion"/>
  </si>
  <si>
    <t>kg/ton</t>
    <phoneticPr fontId="33" type="noConversion"/>
  </si>
  <si>
    <t>톤</t>
    <phoneticPr fontId="33" type="noConversion"/>
  </si>
  <si>
    <t>UTILITY</t>
    <phoneticPr fontId="33" type="noConversion"/>
  </si>
  <si>
    <t>LNG</t>
    <phoneticPr fontId="33" type="noConversion"/>
  </si>
  <si>
    <t>N㎥/TON</t>
    <phoneticPr fontId="33" type="noConversion"/>
  </si>
  <si>
    <t>전력</t>
    <phoneticPr fontId="33" type="noConversion"/>
  </si>
  <si>
    <t>Kw/TON</t>
    <phoneticPr fontId="33" type="noConversion"/>
  </si>
  <si>
    <t>원/TON</t>
    <phoneticPr fontId="33" type="noConversion"/>
  </si>
  <si>
    <t>염산</t>
    <phoneticPr fontId="33" type="noConversion"/>
  </si>
  <si>
    <t>방청유</t>
    <phoneticPr fontId="33" type="noConversion"/>
  </si>
  <si>
    <t>원/TON</t>
  </si>
  <si>
    <t>소모품</t>
    <phoneticPr fontId="33" type="noConversion"/>
  </si>
  <si>
    <t>구 분</t>
    <phoneticPr fontId="33" type="noConversion"/>
  </si>
  <si>
    <t>항 목</t>
    <phoneticPr fontId="33" type="noConversion"/>
  </si>
  <si>
    <t>단위</t>
    <phoneticPr fontId="33" type="noConversion"/>
  </si>
  <si>
    <t>년도별 실적</t>
    <phoneticPr fontId="33" type="noConversion"/>
  </si>
  <si>
    <t>계획</t>
    <phoneticPr fontId="33" type="noConversion"/>
  </si>
  <si>
    <t>비  고</t>
    <phoneticPr fontId="33" type="noConversion"/>
  </si>
  <si>
    <t>생산성</t>
    <phoneticPr fontId="33" type="noConversion"/>
  </si>
  <si>
    <t>생산량</t>
    <phoneticPr fontId="33" type="noConversion"/>
  </si>
  <si>
    <t>TON</t>
    <phoneticPr fontId="33" type="noConversion"/>
  </si>
  <si>
    <t>T/H</t>
    <phoneticPr fontId="33" type="noConversion"/>
  </si>
  <si>
    <t>TON/HR</t>
    <phoneticPr fontId="33" type="noConversion"/>
  </si>
  <si>
    <t>가동율</t>
    <phoneticPr fontId="33" type="noConversion"/>
  </si>
  <si>
    <t>%</t>
    <phoneticPr fontId="33" type="noConversion"/>
  </si>
  <si>
    <t>재처리</t>
    <phoneticPr fontId="33" type="noConversion"/>
  </si>
  <si>
    <t>수율</t>
    <phoneticPr fontId="33" type="noConversion"/>
  </si>
  <si>
    <t>A%</t>
    <phoneticPr fontId="33" type="noConversion"/>
  </si>
  <si>
    <t>불량량</t>
    <phoneticPr fontId="33" type="noConversion"/>
  </si>
  <si>
    <t>수율에 포함</t>
    <phoneticPr fontId="33" type="noConversion"/>
  </si>
  <si>
    <t>UTILITY</t>
    <phoneticPr fontId="33" type="noConversion"/>
  </si>
  <si>
    <t>전력</t>
    <phoneticPr fontId="33" type="noConversion"/>
  </si>
  <si>
    <t>Kw/TON</t>
    <phoneticPr fontId="33" type="noConversion"/>
  </si>
  <si>
    <t>용수</t>
    <phoneticPr fontId="33" type="noConversion"/>
  </si>
  <si>
    <t>N㎥/TON</t>
    <phoneticPr fontId="33" type="noConversion"/>
  </si>
  <si>
    <t>압연유</t>
    <phoneticPr fontId="33" type="noConversion"/>
  </si>
  <si>
    <t>외주가공</t>
    <phoneticPr fontId="33" type="noConversion"/>
  </si>
  <si>
    <t>도급비</t>
    <phoneticPr fontId="33" type="noConversion"/>
  </si>
  <si>
    <t>TOTAL</t>
    <phoneticPr fontId="33" type="noConversion"/>
  </si>
  <si>
    <t>ton</t>
    <phoneticPr fontId="33" type="noConversion"/>
  </si>
  <si>
    <t>ton/hr</t>
    <phoneticPr fontId="33" type="noConversion"/>
  </si>
  <si>
    <t>kg/ton</t>
    <phoneticPr fontId="33" type="noConversion"/>
  </si>
  <si>
    <t>시간</t>
    <phoneticPr fontId="33" type="noConversion"/>
  </si>
  <si>
    <t>부재료</t>
    <phoneticPr fontId="33" type="noConversion"/>
  </si>
  <si>
    <t>아연부착율</t>
    <phoneticPr fontId="33" type="noConversion"/>
  </si>
  <si>
    <t>DROSS</t>
    <phoneticPr fontId="33" type="noConversion"/>
  </si>
  <si>
    <t>LNG</t>
    <phoneticPr fontId="33" type="noConversion"/>
  </si>
  <si>
    <t>N㎥/ton</t>
    <phoneticPr fontId="33" type="noConversion"/>
  </si>
  <si>
    <t>전력</t>
    <phoneticPr fontId="33" type="noConversion"/>
  </si>
  <si>
    <t>kwh/hr</t>
  </si>
  <si>
    <t>N2</t>
    <phoneticPr fontId="33" type="noConversion"/>
  </si>
  <si>
    <t>kg/ton</t>
  </si>
  <si>
    <t>H2</t>
    <phoneticPr fontId="33" type="noConversion"/>
  </si>
  <si>
    <t>용수</t>
    <phoneticPr fontId="33" type="noConversion"/>
  </si>
  <si>
    <t>ton/ton</t>
  </si>
  <si>
    <t>화공약품</t>
    <phoneticPr fontId="33" type="noConversion"/>
  </si>
  <si>
    <t>전처리제</t>
    <phoneticPr fontId="33" type="noConversion"/>
  </si>
  <si>
    <t>458원/kg</t>
    <phoneticPr fontId="33" type="noConversion"/>
  </si>
  <si>
    <t>압연유</t>
    <phoneticPr fontId="33" type="noConversion"/>
  </si>
  <si>
    <t>ℓ/ton</t>
  </si>
  <si>
    <t>보조재료</t>
    <phoneticPr fontId="33" type="noConversion"/>
  </si>
  <si>
    <t>크롬제</t>
    <phoneticPr fontId="33" type="noConversion"/>
  </si>
  <si>
    <t>2,250원/kg</t>
    <phoneticPr fontId="33" type="noConversion"/>
  </si>
  <si>
    <t>Cr FREE</t>
    <phoneticPr fontId="33" type="noConversion"/>
  </si>
  <si>
    <t>원/ton</t>
  </si>
  <si>
    <t>포장비</t>
    <phoneticPr fontId="33" type="noConversion"/>
  </si>
  <si>
    <t>구매</t>
    <phoneticPr fontId="33" type="noConversion"/>
  </si>
  <si>
    <t>인건비</t>
    <phoneticPr fontId="33" type="noConversion"/>
  </si>
  <si>
    <t>합계</t>
    <phoneticPr fontId="33" type="noConversion"/>
  </si>
  <si>
    <t>구 분</t>
    <phoneticPr fontId="33" type="noConversion"/>
  </si>
  <si>
    <t>항 목</t>
    <phoneticPr fontId="33" type="noConversion"/>
  </si>
  <si>
    <t>단위</t>
    <phoneticPr fontId="33" type="noConversion"/>
  </si>
  <si>
    <t>년도별 실적</t>
    <phoneticPr fontId="33" type="noConversion"/>
  </si>
  <si>
    <t>계획</t>
    <phoneticPr fontId="33" type="noConversion"/>
  </si>
  <si>
    <t>비  고</t>
    <phoneticPr fontId="33" type="noConversion"/>
  </si>
  <si>
    <t>생산성</t>
    <phoneticPr fontId="33" type="noConversion"/>
  </si>
  <si>
    <t>생산량</t>
    <phoneticPr fontId="33" type="noConversion"/>
  </si>
  <si>
    <t>TON</t>
    <phoneticPr fontId="33" type="noConversion"/>
  </si>
  <si>
    <t>T/H</t>
    <phoneticPr fontId="33" type="noConversion"/>
  </si>
  <si>
    <t>TON/HR</t>
    <phoneticPr fontId="33" type="noConversion"/>
  </si>
  <si>
    <t>가동율</t>
    <phoneticPr fontId="33" type="noConversion"/>
  </si>
  <si>
    <t>%</t>
    <phoneticPr fontId="33" type="noConversion"/>
  </si>
  <si>
    <t>수율</t>
    <phoneticPr fontId="33" type="noConversion"/>
  </si>
  <si>
    <t>A%</t>
    <phoneticPr fontId="33" type="noConversion"/>
  </si>
  <si>
    <t>불량량</t>
    <phoneticPr fontId="33" type="noConversion"/>
  </si>
  <si>
    <t>수율에 포함</t>
    <phoneticPr fontId="33" type="noConversion"/>
  </si>
  <si>
    <t>ton</t>
    <phoneticPr fontId="33" type="noConversion"/>
  </si>
  <si>
    <t>부재료</t>
    <phoneticPr fontId="33" type="noConversion"/>
  </si>
  <si>
    <t>PAINT</t>
    <phoneticPr fontId="33" type="noConversion"/>
  </si>
  <si>
    <t>Kg/TON</t>
    <phoneticPr fontId="33" type="noConversion"/>
  </si>
  <si>
    <t>제품 고급화</t>
    <phoneticPr fontId="33" type="noConversion"/>
  </si>
  <si>
    <t>원/TON</t>
    <phoneticPr fontId="33" type="noConversion"/>
  </si>
  <si>
    <t>전년실적</t>
  </si>
  <si>
    <t>LNG</t>
    <phoneticPr fontId="33" type="noConversion"/>
  </si>
  <si>
    <t>TOTAL</t>
    <phoneticPr fontId="33" type="noConversion"/>
  </si>
  <si>
    <t>진행률</t>
    <phoneticPr fontId="33" type="noConversion"/>
  </si>
  <si>
    <t>단가변동없음</t>
    <phoneticPr fontId="33" type="noConversion"/>
  </si>
  <si>
    <t>UTILITY</t>
    <phoneticPr fontId="33" type="noConversion"/>
  </si>
  <si>
    <t>5% 단가 인상</t>
    <phoneticPr fontId="33" type="noConversion"/>
  </si>
  <si>
    <t>N㎥/TON</t>
    <phoneticPr fontId="33" type="noConversion"/>
  </si>
  <si>
    <t>1월(지표)</t>
    <phoneticPr fontId="33" type="noConversion"/>
  </si>
  <si>
    <t>1월(금액)</t>
    <phoneticPr fontId="33" type="noConversion"/>
  </si>
  <si>
    <t>2월(지표)</t>
  </si>
  <si>
    <t>3월(지표)</t>
  </si>
  <si>
    <t>4월(지표)</t>
  </si>
  <si>
    <t>5월(지표)</t>
  </si>
  <si>
    <t>6월(지표)</t>
  </si>
  <si>
    <t>7월(지표)</t>
  </si>
  <si>
    <t>8월(지표)</t>
  </si>
  <si>
    <t>9월(지표)</t>
  </si>
  <si>
    <t>10월(지표)</t>
  </si>
  <si>
    <t>11월(지표)</t>
  </si>
  <si>
    <t>12월(지표)</t>
  </si>
  <si>
    <t>2월(금액)</t>
  </si>
  <si>
    <t>3월(금액)</t>
  </si>
  <si>
    <t>4월(금액)</t>
  </si>
  <si>
    <t>5월(금액)</t>
  </si>
  <si>
    <t>6월(금액)</t>
  </si>
  <si>
    <t>7월(금액)</t>
  </si>
  <si>
    <t>8월(금액)</t>
  </si>
  <si>
    <t>9월(금액)</t>
  </si>
  <si>
    <t>10월(금액)</t>
  </si>
  <si>
    <t>11월(금액)</t>
  </si>
  <si>
    <t>12월(금액)</t>
  </si>
  <si>
    <t>CGL
비가동</t>
    <phoneticPr fontId="22" type="noConversion"/>
  </si>
  <si>
    <t>비가동시간</t>
    <phoneticPr fontId="22" type="noConversion"/>
  </si>
  <si>
    <t>비가동 건수</t>
    <phoneticPr fontId="22" type="noConversion"/>
  </si>
  <si>
    <t>시간 금액</t>
    <phoneticPr fontId="22" type="noConversion"/>
  </si>
  <si>
    <t>건수 금액</t>
    <phoneticPr fontId="22" type="noConversion"/>
  </si>
  <si>
    <t>16년 목표</t>
    <phoneticPr fontId="22" type="noConversion"/>
  </si>
  <si>
    <t>1월(지표)</t>
    <phoneticPr fontId="33" type="noConversion"/>
  </si>
  <si>
    <t>1월(지표)</t>
    <phoneticPr fontId="33" type="noConversion"/>
  </si>
  <si>
    <t>단위 : 천원</t>
    <phoneticPr fontId="22" type="noConversion"/>
  </si>
  <si>
    <t>크롬</t>
    <phoneticPr fontId="22" type="noConversion"/>
  </si>
  <si>
    <t>크롬프리</t>
    <phoneticPr fontId="22" type="noConversion"/>
  </si>
  <si>
    <t>구분</t>
    <phoneticPr fontId="22" type="noConversion"/>
  </si>
  <si>
    <t>1월</t>
    <phoneticPr fontId="22" type="noConversion"/>
  </si>
  <si>
    <t>15년 실적</t>
  </si>
  <si>
    <t>11년 실적</t>
  </si>
  <si>
    <t>12년 실적</t>
  </si>
  <si>
    <t>13년 실적</t>
  </si>
  <si>
    <t>14년 실적</t>
  </si>
  <si>
    <t>고장시간</t>
    <phoneticPr fontId="22" type="noConversion"/>
  </si>
  <si>
    <t>1월(지표)</t>
    <phoneticPr fontId="22" type="noConversion"/>
  </si>
  <si>
    <t>1월(금액)</t>
    <phoneticPr fontId="22" type="noConversion"/>
  </si>
  <si>
    <t>제품</t>
    <phoneticPr fontId="22" type="noConversion"/>
  </si>
  <si>
    <t>외주가공</t>
    <phoneticPr fontId="22" type="noConversion"/>
  </si>
  <si>
    <t>도급비</t>
    <phoneticPr fontId="22" type="noConversion"/>
  </si>
  <si>
    <t>원/TON</t>
    <phoneticPr fontId="22" type="noConversion"/>
  </si>
  <si>
    <t>1월(건수)</t>
    <phoneticPr fontId="22" type="noConversion"/>
  </si>
  <si>
    <t>Claim</t>
  </si>
  <si>
    <t>Roll Shop</t>
  </si>
  <si>
    <t>1포장</t>
  </si>
  <si>
    <t>2포장</t>
  </si>
  <si>
    <t>1월 실적</t>
    <phoneticPr fontId="22" type="noConversion"/>
  </si>
  <si>
    <t>2월 실적</t>
  </si>
  <si>
    <t>3월 실적</t>
  </si>
  <si>
    <t>4월 실적</t>
  </si>
  <si>
    <t>5월 실적</t>
  </si>
  <si>
    <t>6월 실적</t>
  </si>
  <si>
    <t>7월 실적</t>
  </si>
  <si>
    <t>8월 실적</t>
  </si>
  <si>
    <t>9월 실적</t>
  </si>
  <si>
    <t>10월 실적</t>
  </si>
  <si>
    <t>11월 실적</t>
  </si>
  <si>
    <t>12월 실적</t>
  </si>
  <si>
    <t>달성율</t>
    <phoneticPr fontId="22" type="noConversion"/>
  </si>
  <si>
    <t>누적 금액</t>
    <phoneticPr fontId="22" type="noConversion"/>
  </si>
  <si>
    <t>누계금액</t>
    <phoneticPr fontId="22" type="noConversion"/>
  </si>
  <si>
    <t>누적
실적</t>
    <phoneticPr fontId="22" type="noConversion"/>
  </si>
  <si>
    <t>ton</t>
    <phoneticPr fontId="22" type="noConversion"/>
  </si>
  <si>
    <t>CPL</t>
    <phoneticPr fontId="33" type="noConversion"/>
  </si>
  <si>
    <t>1CCL</t>
    <phoneticPr fontId="33" type="noConversion"/>
  </si>
  <si>
    <t>2CCL</t>
    <phoneticPr fontId="33" type="noConversion"/>
  </si>
  <si>
    <t>15년
실적</t>
    <phoneticPr fontId="33" type="noConversion"/>
  </si>
  <si>
    <t>%</t>
    <phoneticPr fontId="33" type="noConversion"/>
  </si>
  <si>
    <t>톤파워</t>
    <phoneticPr fontId="33" type="noConversion"/>
  </si>
  <si>
    <t>종합</t>
    <phoneticPr fontId="22" type="noConversion"/>
  </si>
  <si>
    <t>종합</t>
    <phoneticPr fontId="22" type="noConversion"/>
  </si>
  <si>
    <t>실
가동율</t>
    <phoneticPr fontId="33" type="noConversion"/>
  </si>
  <si>
    <t>Ton/Hr</t>
    <phoneticPr fontId="33" type="noConversion"/>
  </si>
  <si>
    <t>Kg/Ton</t>
    <phoneticPr fontId="33" type="noConversion"/>
  </si>
  <si>
    <t>Ton</t>
    <phoneticPr fontId="33" type="noConversion"/>
  </si>
  <si>
    <t>CGL(F/H)</t>
    <phoneticPr fontId="22" type="noConversion"/>
  </si>
  <si>
    <t>전력</t>
    <phoneticPr fontId="22" type="noConversion"/>
  </si>
  <si>
    <t>LNG</t>
    <phoneticPr fontId="22" type="noConversion"/>
  </si>
  <si>
    <t>N㎥/TON</t>
  </si>
  <si>
    <t>Kw/TON</t>
  </si>
  <si>
    <t>1. 주요 지표 실적</t>
    <phoneticPr fontId="22" type="noConversion"/>
  </si>
  <si>
    <t>2. 주요 원단위 실적</t>
    <phoneticPr fontId="22" type="noConversion"/>
  </si>
  <si>
    <t>3. 고장 관련 실적</t>
    <phoneticPr fontId="22" type="noConversion"/>
  </si>
  <si>
    <t>누적금액</t>
    <phoneticPr fontId="33" type="noConversion"/>
  </si>
  <si>
    <t>누계
금액</t>
    <phoneticPr fontId="22" type="noConversion"/>
  </si>
  <si>
    <t>8. 품질</t>
    <phoneticPr fontId="22" type="noConversion"/>
  </si>
  <si>
    <t>구분</t>
    <phoneticPr fontId="22" type="noConversion"/>
  </si>
  <si>
    <t>4월</t>
    <phoneticPr fontId="22" type="noConversion"/>
  </si>
  <si>
    <t>7월</t>
    <phoneticPr fontId="22" type="noConversion"/>
  </si>
  <si>
    <t>10월</t>
    <phoneticPr fontId="22" type="noConversion"/>
  </si>
  <si>
    <t>누적</t>
    <phoneticPr fontId="22" type="noConversion"/>
  </si>
  <si>
    <t>개선금액</t>
    <phoneticPr fontId="22" type="noConversion"/>
  </si>
  <si>
    <t>활용량</t>
    <phoneticPr fontId="22" type="noConversion"/>
  </si>
  <si>
    <t>장수</t>
    <phoneticPr fontId="22" type="noConversion"/>
  </si>
  <si>
    <t>중량</t>
    <phoneticPr fontId="22" type="noConversion"/>
  </si>
  <si>
    <t>개선내용</t>
    <phoneticPr fontId="22" type="noConversion"/>
  </si>
  <si>
    <t>1. Scrap 발생 : 10.14톤 X 418,000원/톤 = 4,238,520원</t>
  </si>
  <si>
    <t>2. B급 발생 : 5.20톤 X 150,000원/톤 = 780,000원</t>
  </si>
  <si>
    <t>3. Line 불가동 시간 : 608분/60분 X 1,536,412원/hr = 15,568,972원</t>
  </si>
  <si>
    <t>2월(건수)</t>
  </si>
  <si>
    <t>3월(건수)</t>
  </si>
  <si>
    <t>4월(건수)</t>
  </si>
  <si>
    <t>5월(건수)</t>
  </si>
  <si>
    <t>6월(건수)</t>
  </si>
  <si>
    <t>7월(건수)</t>
  </si>
  <si>
    <t>8월(건수)</t>
  </si>
  <si>
    <t>9월(건수)</t>
  </si>
  <si>
    <t>10월(건수)</t>
  </si>
  <si>
    <t>11월(건수)</t>
  </si>
  <si>
    <t>12월(건수)</t>
  </si>
  <si>
    <t>1CCL</t>
  </si>
  <si>
    <t>2014년</t>
  </si>
  <si>
    <t>2015년</t>
  </si>
  <si>
    <t>손실금액</t>
    <phoneticPr fontId="22" type="noConversion"/>
  </si>
  <si>
    <t>2CCL</t>
    <phoneticPr fontId="22" type="noConversion"/>
  </si>
  <si>
    <t>월평균</t>
    <phoneticPr fontId="22" type="noConversion"/>
  </si>
  <si>
    <t>Ton/월</t>
    <phoneticPr fontId="33" type="noConversion"/>
  </si>
  <si>
    <t>실적</t>
    <phoneticPr fontId="33" type="noConversion"/>
  </si>
  <si>
    <t>스크랩/GI+칼라</t>
    <phoneticPr fontId="22" type="noConversion"/>
  </si>
  <si>
    <t>Kg/Ton</t>
  </si>
  <si>
    <t>CGL(1,2CCL)</t>
    <phoneticPr fontId="22" type="noConversion"/>
  </si>
  <si>
    <t>수율</t>
    <phoneticPr fontId="22" type="noConversion"/>
  </si>
  <si>
    <t>2015년 계</t>
  </si>
  <si>
    <t>개선건수</t>
    <phoneticPr fontId="22" type="noConversion"/>
  </si>
  <si>
    <t>진행율</t>
    <phoneticPr fontId="22" type="noConversion"/>
  </si>
  <si>
    <t>2015년 실적</t>
    <phoneticPr fontId="22" type="noConversion"/>
  </si>
  <si>
    <t>16년 상반기 실적</t>
    <phoneticPr fontId="22" type="noConversion"/>
  </si>
  <si>
    <t>1CCL</t>
    <phoneticPr fontId="22" type="noConversion"/>
  </si>
  <si>
    <t>추가과제</t>
    <phoneticPr fontId="22" type="noConversion"/>
  </si>
  <si>
    <t>추가 완료</t>
    <phoneticPr fontId="22" type="noConversion"/>
  </si>
  <si>
    <r>
      <t>1</t>
    </r>
    <r>
      <rPr>
        <sz val="12"/>
        <color rgb="FF000000"/>
        <rFont val="Arial"/>
        <family val="2"/>
      </rPr>
      <t>월</t>
    </r>
  </si>
  <si>
    <r>
      <t>2</t>
    </r>
    <r>
      <rPr>
        <sz val="12"/>
        <color rgb="FF000000"/>
        <rFont val="Arial"/>
        <family val="2"/>
      </rPr>
      <t>월</t>
    </r>
  </si>
  <si>
    <r>
      <t>3</t>
    </r>
    <r>
      <rPr>
        <sz val="12"/>
        <color rgb="FF000000"/>
        <rFont val="Arial"/>
        <family val="2"/>
      </rPr>
      <t>월</t>
    </r>
  </si>
  <si>
    <r>
      <t>4</t>
    </r>
    <r>
      <rPr>
        <sz val="12"/>
        <color rgb="FF000000"/>
        <rFont val="Arial"/>
        <family val="2"/>
      </rPr>
      <t>월</t>
    </r>
  </si>
  <si>
    <r>
      <t>5</t>
    </r>
    <r>
      <rPr>
        <sz val="12"/>
        <color rgb="FF000000"/>
        <rFont val="Arial"/>
        <family val="2"/>
      </rPr>
      <t>월</t>
    </r>
  </si>
  <si>
    <r>
      <t>6</t>
    </r>
    <r>
      <rPr>
        <sz val="12"/>
        <color rgb="FF000000"/>
        <rFont val="Arial"/>
        <family val="2"/>
      </rPr>
      <t>월</t>
    </r>
  </si>
  <si>
    <r>
      <t>7</t>
    </r>
    <r>
      <rPr>
        <sz val="12"/>
        <color rgb="FF000000"/>
        <rFont val="Arial"/>
        <family val="2"/>
      </rPr>
      <t>월</t>
    </r>
  </si>
  <si>
    <r>
      <t>8</t>
    </r>
    <r>
      <rPr>
        <sz val="12"/>
        <color rgb="FF000000"/>
        <rFont val="Arial"/>
        <family val="2"/>
      </rPr>
      <t>월</t>
    </r>
  </si>
  <si>
    <r>
      <t>9</t>
    </r>
    <r>
      <rPr>
        <sz val="12"/>
        <color rgb="FF000000"/>
        <rFont val="Arial"/>
        <family val="2"/>
      </rPr>
      <t>월</t>
    </r>
  </si>
  <si>
    <r>
      <t>10</t>
    </r>
    <r>
      <rPr>
        <sz val="12"/>
        <color rgb="FF000000"/>
        <rFont val="Arial"/>
        <family val="2"/>
      </rPr>
      <t>월</t>
    </r>
  </si>
  <si>
    <t>불량량</t>
  </si>
  <si>
    <r>
      <t>Coil</t>
    </r>
    <r>
      <rPr>
        <sz val="12"/>
        <color rgb="FF000000"/>
        <rFont val="돋움"/>
        <family val="3"/>
        <charset val="129"/>
      </rPr>
      <t>형</t>
    </r>
    <r>
      <rPr>
        <sz val="12"/>
        <color rgb="FF000000"/>
        <rFont val="Calibri"/>
        <family val="2"/>
      </rPr>
      <t xml:space="preserve"> </t>
    </r>
    <r>
      <rPr>
        <sz val="12"/>
        <color rgb="FF000000"/>
        <rFont val="돋움"/>
        <family val="3"/>
        <charset val="129"/>
      </rPr>
      <t>스크랩</t>
    </r>
    <phoneticPr fontId="22" type="noConversion"/>
  </si>
  <si>
    <t>정지건수</t>
    <phoneticPr fontId="22" type="noConversion"/>
  </si>
  <si>
    <r>
      <t>11월</t>
    </r>
    <r>
      <rPr>
        <sz val="12"/>
        <color rgb="FF000000"/>
        <rFont val="Arial"/>
        <family val="2"/>
      </rPr>
      <t/>
    </r>
  </si>
  <si>
    <r>
      <t>12월</t>
    </r>
    <r>
      <rPr>
        <sz val="12"/>
        <color rgb="FF000000"/>
        <rFont val="Arial"/>
        <family val="2"/>
      </rPr>
      <t/>
    </r>
  </si>
  <si>
    <r>
      <t>15</t>
    </r>
    <r>
      <rPr>
        <sz val="12"/>
        <color rgb="FF000000"/>
        <rFont val="돋움"/>
        <family val="3"/>
        <charset val="129"/>
      </rPr>
      <t>년</t>
    </r>
    <r>
      <rPr>
        <sz val="12"/>
        <color rgb="FF000000"/>
        <rFont val="Calibri"/>
        <family val="2"/>
      </rPr>
      <t xml:space="preserve"> </t>
    </r>
    <r>
      <rPr>
        <sz val="12"/>
        <color rgb="FF000000"/>
        <rFont val="돋움"/>
        <family val="3"/>
        <charset val="129"/>
      </rPr>
      <t>월평균</t>
    </r>
    <phoneticPr fontId="22" type="noConversion"/>
  </si>
  <si>
    <t>반품중량</t>
    <phoneticPr fontId="22" type="noConversion"/>
  </si>
  <si>
    <t>반품건수</t>
    <phoneticPr fontId="22" type="noConversion"/>
  </si>
  <si>
    <t>고장 시간(분)</t>
    <phoneticPr fontId="22" type="noConversion"/>
  </si>
  <si>
    <t>불량</t>
    <phoneticPr fontId="22" type="noConversion"/>
  </si>
  <si>
    <t>코일형</t>
    <phoneticPr fontId="22" type="noConversion"/>
  </si>
  <si>
    <t>CPL(PO제외)</t>
    <phoneticPr fontId="22" type="noConversion"/>
  </si>
  <si>
    <t>CRM(SPM제외)</t>
    <phoneticPr fontId="22" type="noConversion"/>
  </si>
  <si>
    <t>CPL</t>
    <phoneticPr fontId="22" type="noConversion"/>
  </si>
  <si>
    <t>1CCL</t>
    <phoneticPr fontId="22" type="noConversion"/>
  </si>
  <si>
    <t>17년</t>
    <phoneticPr fontId="22" type="noConversion"/>
  </si>
  <si>
    <t>kg/ton</t>
    <phoneticPr fontId="33" type="noConversion"/>
  </si>
  <si>
    <t>101원/kwh</t>
    <phoneticPr fontId="33" type="noConversion"/>
  </si>
  <si>
    <t>A%</t>
  </si>
  <si>
    <t>558원/N㎥</t>
    <phoneticPr fontId="33" type="noConversion"/>
  </si>
  <si>
    <t>1,980원/L</t>
    <phoneticPr fontId="33" type="noConversion"/>
  </si>
  <si>
    <t>-</t>
    <phoneticPr fontId="22" type="noConversion"/>
  </si>
  <si>
    <t>kg/ton</t>
    <phoneticPr fontId="33" type="noConversion"/>
  </si>
  <si>
    <t>COIL형 SCRAP</t>
    <phoneticPr fontId="22" type="noConversion"/>
  </si>
  <si>
    <t>C급인출 SCRAP</t>
    <phoneticPr fontId="22" type="noConversion"/>
  </si>
  <si>
    <t>입출측 SHEET형</t>
    <phoneticPr fontId="22" type="noConversion"/>
  </si>
  <si>
    <t>스크랩</t>
    <phoneticPr fontId="22" type="noConversion"/>
  </si>
  <si>
    <t>CHOP'
SCRAP</t>
  </si>
  <si>
    <t>코일형
SCRAP</t>
  </si>
  <si>
    <t>Scrap</t>
    <phoneticPr fontId="22" type="noConversion"/>
  </si>
  <si>
    <t>원/ton</t>
    <phoneticPr fontId="33" type="noConversion"/>
  </si>
  <si>
    <t>Scrap</t>
    <phoneticPr fontId="33" type="noConversion"/>
  </si>
  <si>
    <t>2. GI(A급) 평균가격 : 695,998원/톤</t>
  </si>
  <si>
    <t>3. CL(A급) 평균가격(AL포함) : 1,160,501 원/톤</t>
  </si>
  <si>
    <t>4. CL(A급) 평균가격(AL제외) : 1,020,814 원/톤</t>
  </si>
  <si>
    <t>16년 실적</t>
    <phoneticPr fontId="22" type="noConversion"/>
  </si>
  <si>
    <t>17년 목표</t>
    <phoneticPr fontId="22" type="noConversion"/>
  </si>
  <si>
    <t>16년
실적</t>
  </si>
  <si>
    <t>16년</t>
    <phoneticPr fontId="22" type="noConversion"/>
  </si>
  <si>
    <t>16년</t>
    <phoneticPr fontId="22" type="noConversion"/>
  </si>
  <si>
    <t>1CCL</t>
    <phoneticPr fontId="22" type="noConversion"/>
  </si>
  <si>
    <t>2CCL</t>
    <phoneticPr fontId="22" type="noConversion"/>
  </si>
  <si>
    <t>구분</t>
    <phoneticPr fontId="22" type="noConversion"/>
  </si>
  <si>
    <t>CPL 스크랩 발생율(kg/ton)</t>
    <phoneticPr fontId="22" type="noConversion"/>
  </si>
  <si>
    <t>CRM 스크랩 발생율(kg/ton)</t>
    <phoneticPr fontId="22" type="noConversion"/>
  </si>
  <si>
    <t>Scrap(Sheet 형) 발생현황</t>
    <phoneticPr fontId="22" type="noConversion"/>
  </si>
  <si>
    <t>반품 현황</t>
    <phoneticPr fontId="22" type="noConversion"/>
  </si>
  <si>
    <t>3년평균</t>
  </si>
  <si>
    <t>팀 장</t>
    <phoneticPr fontId="22" type="noConversion"/>
  </si>
  <si>
    <t>결
재</t>
    <phoneticPr fontId="22" type="noConversion"/>
  </si>
  <si>
    <t>구분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</si>
  <si>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</si>
  <si>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</si>
  <si>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</si>
  <si>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#1 CCL</t>
    <phoneticPr fontId="22" type="noConversion"/>
  </si>
  <si>
    <t>SSCL</t>
    <phoneticPr fontId="22" type="noConversion"/>
  </si>
  <si>
    <t>전체계</t>
    <phoneticPr fontId="22" type="noConversion"/>
  </si>
  <si>
    <t>종합</t>
    <phoneticPr fontId="22" type="noConversion"/>
  </si>
  <si>
    <t>CPL
초파</t>
    <phoneticPr fontId="22" type="noConversion"/>
  </si>
  <si>
    <t>CPL
철판</t>
    <phoneticPr fontId="22" type="noConversion"/>
  </si>
  <si>
    <t>생산량</t>
    <phoneticPr fontId="22" type="noConversion"/>
  </si>
  <si>
    <t>원단위</t>
    <phoneticPr fontId="22" type="noConversion"/>
  </si>
  <si>
    <t>CRM
철판</t>
    <phoneticPr fontId="22" type="noConversion"/>
  </si>
  <si>
    <t>생산량
(CGL)</t>
    <phoneticPr fontId="22" type="noConversion"/>
  </si>
  <si>
    <t>원단위</t>
    <phoneticPr fontId="22" type="noConversion"/>
  </si>
  <si>
    <t>경철</t>
    <phoneticPr fontId="22" type="noConversion"/>
  </si>
  <si>
    <t>GI COIL형
SCRAP</t>
    <phoneticPr fontId="22" type="noConversion"/>
  </si>
  <si>
    <t>생산량</t>
    <phoneticPr fontId="22" type="noConversion"/>
  </si>
  <si>
    <t>원단위</t>
    <phoneticPr fontId="22" type="noConversion"/>
  </si>
  <si>
    <t>SHEET형
SCRAP</t>
    <phoneticPr fontId="22" type="noConversion"/>
  </si>
  <si>
    <t>CCL 통판
SCRAP</t>
    <phoneticPr fontId="22" type="noConversion"/>
  </si>
  <si>
    <t>생산량</t>
    <phoneticPr fontId="22" type="noConversion"/>
  </si>
  <si>
    <t>원단위</t>
    <phoneticPr fontId="22" type="noConversion"/>
  </si>
  <si>
    <t>SHEET형
SCRAP</t>
    <phoneticPr fontId="22" type="noConversion"/>
  </si>
  <si>
    <t>CCL 통판
SCRAP</t>
    <phoneticPr fontId="22" type="noConversion"/>
  </si>
  <si>
    <t>생산량</t>
    <phoneticPr fontId="22" type="noConversion"/>
  </si>
  <si>
    <t>전체생산량</t>
    <phoneticPr fontId="22" type="noConversion"/>
  </si>
  <si>
    <t>원단위</t>
    <phoneticPr fontId="22" type="noConversion"/>
  </si>
  <si>
    <t>2009년 계</t>
    <phoneticPr fontId="22" type="noConversion"/>
  </si>
  <si>
    <t>2016년 계</t>
    <phoneticPr fontId="22" type="noConversion"/>
  </si>
  <si>
    <t>전년 월평균</t>
    <phoneticPr fontId="22" type="noConversion"/>
  </si>
  <si>
    <t>1월</t>
    <phoneticPr fontId="22" type="noConversion"/>
  </si>
  <si>
    <t>3월</t>
    <phoneticPr fontId="22" type="noConversion"/>
  </si>
  <si>
    <t>1/4 분기계</t>
    <phoneticPr fontId="22" type="noConversion"/>
  </si>
  <si>
    <t>2/4 분기계</t>
    <phoneticPr fontId="22" type="noConversion"/>
  </si>
  <si>
    <t>상반기 계</t>
    <phoneticPr fontId="22" type="noConversion"/>
  </si>
  <si>
    <t>3/4 분기계</t>
    <phoneticPr fontId="22" type="noConversion"/>
  </si>
  <si>
    <t>12월</t>
    <phoneticPr fontId="22" type="noConversion"/>
  </si>
  <si>
    <t>4/4 분기계</t>
    <phoneticPr fontId="22" type="noConversion"/>
  </si>
  <si>
    <t>하반기 계</t>
    <phoneticPr fontId="22" type="noConversion"/>
  </si>
  <si>
    <t>인출</t>
    <phoneticPr fontId="22" type="noConversion"/>
  </si>
  <si>
    <t>Sheet</t>
    <phoneticPr fontId="22" type="noConversion"/>
  </si>
  <si>
    <t>1CCL</t>
    <phoneticPr fontId="22" type="noConversion"/>
  </si>
  <si>
    <t>Sheet 판매량</t>
    <phoneticPr fontId="22" type="noConversion"/>
  </si>
  <si>
    <t>ton</t>
  </si>
  <si>
    <t>2013년</t>
    <phoneticPr fontId="22" type="noConversion"/>
  </si>
  <si>
    <t>2016년</t>
  </si>
  <si>
    <t>손실금액</t>
    <phoneticPr fontId="22" type="noConversion"/>
  </si>
  <si>
    <t>불량</t>
    <phoneticPr fontId="22" type="noConversion"/>
  </si>
  <si>
    <t>Sheet형</t>
    <phoneticPr fontId="22" type="noConversion"/>
  </si>
  <si>
    <t>570원/N㎥</t>
    <phoneticPr fontId="33" type="noConversion"/>
  </si>
  <si>
    <t>수율
(인출
포함)</t>
    <phoneticPr fontId="33" type="noConversion"/>
  </si>
  <si>
    <t>2014 투입</t>
    <phoneticPr fontId="22" type="noConversion"/>
  </si>
  <si>
    <t>14년 A급</t>
    <phoneticPr fontId="22" type="noConversion"/>
  </si>
  <si>
    <t>2015 투입</t>
  </si>
  <si>
    <t>15년 A급</t>
  </si>
  <si>
    <t>2016 투입</t>
  </si>
  <si>
    <t>16년 A급</t>
  </si>
  <si>
    <t>2017 투입</t>
  </si>
  <si>
    <t>17년 A급</t>
  </si>
  <si>
    <t>3-1. 고장율(기계+전기)</t>
    <phoneticPr fontId="22" type="noConversion"/>
  </si>
  <si>
    <t>3-2. 고장건수(기계+전기)</t>
    <phoneticPr fontId="22" type="noConversion"/>
  </si>
  <si>
    <t>3-3. 기계 고장율</t>
    <phoneticPr fontId="22" type="noConversion"/>
  </si>
  <si>
    <t>3-4. 기계 고장 건수</t>
    <phoneticPr fontId="22" type="noConversion"/>
  </si>
  <si>
    <t>3-5. 기계 설비 개선</t>
    <phoneticPr fontId="22" type="noConversion"/>
  </si>
  <si>
    <t>3-6. 전기 고장율</t>
    <phoneticPr fontId="22" type="noConversion"/>
  </si>
  <si>
    <t>3-7. 전기 고장 건수</t>
    <phoneticPr fontId="22" type="noConversion"/>
  </si>
  <si>
    <t>3-8. 전기 설비 개선</t>
    <phoneticPr fontId="22" type="noConversion"/>
  </si>
  <si>
    <t>홀</t>
  </si>
  <si>
    <t>비고</t>
    <phoneticPr fontId="22" type="noConversion"/>
  </si>
  <si>
    <t>수율현황</t>
    <phoneticPr fontId="22" type="noConversion"/>
  </si>
  <si>
    <t>조업고장</t>
    <phoneticPr fontId="22" type="noConversion"/>
  </si>
  <si>
    <t>6월</t>
    <phoneticPr fontId="22" type="noConversion"/>
  </si>
  <si>
    <t>CPL 생산현황</t>
    <phoneticPr fontId="22" type="noConversion"/>
  </si>
  <si>
    <t>CRM 생산현황</t>
    <phoneticPr fontId="22" type="noConversion"/>
  </si>
  <si>
    <t>CGL 생산현황</t>
    <phoneticPr fontId="22" type="noConversion"/>
  </si>
  <si>
    <t>1CCL 생산현황</t>
    <phoneticPr fontId="22" type="noConversion"/>
  </si>
  <si>
    <t>2CCL 생산현황</t>
    <phoneticPr fontId="22" type="noConversion"/>
  </si>
  <si>
    <t>종합수율 목표</t>
    <phoneticPr fontId="22" type="noConversion"/>
  </si>
  <si>
    <t>종합수율 실적</t>
    <phoneticPr fontId="22" type="noConversion"/>
  </si>
  <si>
    <t>CPL 수율</t>
    <phoneticPr fontId="33" type="noConversion"/>
  </si>
  <si>
    <t>CRM 수율</t>
    <phoneticPr fontId="22" type="noConversion"/>
  </si>
  <si>
    <t>CGL 수율</t>
    <phoneticPr fontId="22" type="noConversion"/>
  </si>
  <si>
    <t>1CCL 수율</t>
    <phoneticPr fontId="33" type="noConversion"/>
  </si>
  <si>
    <t>2CCL 수율</t>
    <phoneticPr fontId="33" type="noConversion"/>
  </si>
  <si>
    <t>CPL 가동율</t>
    <phoneticPr fontId="33" type="noConversion"/>
  </si>
  <si>
    <t>CRM 가동율</t>
    <phoneticPr fontId="22" type="noConversion"/>
  </si>
  <si>
    <t>CGL 가동율</t>
    <phoneticPr fontId="22" type="noConversion"/>
  </si>
  <si>
    <t>1CCL 가동율</t>
    <phoneticPr fontId="33" type="noConversion"/>
  </si>
  <si>
    <t>2CCL 가동율</t>
    <phoneticPr fontId="33" type="noConversion"/>
  </si>
  <si>
    <t>불량</t>
    <phoneticPr fontId="22" type="noConversion"/>
  </si>
  <si>
    <t>CGL 불량 발생 현황</t>
    <phoneticPr fontId="22" type="noConversion"/>
  </si>
  <si>
    <t>1CCL 불량 발생 현황</t>
    <phoneticPr fontId="33" type="noConversion"/>
  </si>
  <si>
    <t>2CCL 불량 발생 현황</t>
    <phoneticPr fontId="33" type="noConversion"/>
  </si>
  <si>
    <t>구분</t>
    <phoneticPr fontId="22" type="noConversion"/>
  </si>
  <si>
    <t>코일형 스크랩</t>
    <phoneticPr fontId="22" type="noConversion"/>
  </si>
  <si>
    <t>고객 불만 건수</t>
    <phoneticPr fontId="22" type="noConversion"/>
  </si>
  <si>
    <t>고객 불만 건수</t>
    <phoneticPr fontId="22" type="noConversion"/>
  </si>
  <si>
    <t>PO 고객 불만</t>
    <phoneticPr fontId="33" type="noConversion"/>
  </si>
  <si>
    <t>GI 고객 불만</t>
    <phoneticPr fontId="22" type="noConversion"/>
  </si>
  <si>
    <t>PPAL 고객 불만</t>
    <phoneticPr fontId="22" type="noConversion"/>
  </si>
  <si>
    <t>PPGI 고객 불만</t>
    <phoneticPr fontId="33" type="noConversion"/>
  </si>
  <si>
    <t>16년 실적</t>
    <phoneticPr fontId="22" type="noConversion"/>
  </si>
  <si>
    <t>PO 고객 불만</t>
    <phoneticPr fontId="33" type="noConversion"/>
  </si>
  <si>
    <t>17년 상반기</t>
    <phoneticPr fontId="22" type="noConversion"/>
  </si>
  <si>
    <t>17년 상반기</t>
    <phoneticPr fontId="22" type="noConversion"/>
  </si>
  <si>
    <t>반품 중량</t>
    <phoneticPr fontId="22" type="noConversion"/>
  </si>
  <si>
    <t>구분</t>
    <phoneticPr fontId="22" type="noConversion"/>
  </si>
  <si>
    <t>월 고장건수</t>
    <phoneticPr fontId="22" type="noConversion"/>
  </si>
  <si>
    <t>월 고장시간</t>
    <phoneticPr fontId="22" type="noConversion"/>
  </si>
  <si>
    <t>프린트</t>
  </si>
  <si>
    <t>7월 목표</t>
    <phoneticPr fontId="22" type="noConversion"/>
  </si>
  <si>
    <t>6월 ~7월 건수</t>
    <phoneticPr fontId="22" type="noConversion"/>
  </si>
  <si>
    <t>N</t>
  </si>
  <si>
    <t>설비</t>
  </si>
  <si>
    <t>Y</t>
  </si>
  <si>
    <t>조업</t>
  </si>
  <si>
    <t>원자재</t>
  </si>
  <si>
    <t>최근 3년</t>
    <phoneticPr fontId="22" type="noConversion"/>
  </si>
  <si>
    <t>3년 평균</t>
    <phoneticPr fontId="22" type="noConversion"/>
  </si>
  <si>
    <t>hole</t>
    <phoneticPr fontId="22" type="noConversion"/>
  </si>
  <si>
    <t>lip mark</t>
    <phoneticPr fontId="22" type="noConversion"/>
  </si>
  <si>
    <t>1CCL</t>
    <phoneticPr fontId="22" type="noConversion"/>
  </si>
  <si>
    <t>9월</t>
    <phoneticPr fontId="22" type="noConversion"/>
  </si>
  <si>
    <t>최근 3년</t>
    <phoneticPr fontId="22" type="noConversion"/>
  </si>
  <si>
    <t>DENT</t>
    <phoneticPr fontId="22" type="noConversion"/>
  </si>
  <si>
    <t>10월</t>
    <phoneticPr fontId="22" type="noConversion"/>
  </si>
  <si>
    <t>향상 점수</t>
    <phoneticPr fontId="22" type="noConversion"/>
  </si>
  <si>
    <t>순위</t>
    <phoneticPr fontId="22" type="noConversion"/>
  </si>
  <si>
    <t>점수합계</t>
    <phoneticPr fontId="22" type="noConversion"/>
  </si>
  <si>
    <t>불량</t>
    <phoneticPr fontId="22" type="noConversion"/>
  </si>
  <si>
    <t>Scrap</t>
    <phoneticPr fontId="22" type="noConversion"/>
  </si>
  <si>
    <t>반품</t>
    <phoneticPr fontId="22" type="noConversion"/>
  </si>
  <si>
    <t>비가동</t>
    <phoneticPr fontId="22" type="noConversion"/>
  </si>
  <si>
    <t>CPL</t>
    <phoneticPr fontId="33" type="noConversion"/>
  </si>
  <si>
    <t>CRM</t>
    <phoneticPr fontId="22" type="noConversion"/>
  </si>
  <si>
    <t>1-1. 불량발생 현황</t>
    <phoneticPr fontId="22" type="noConversion"/>
  </si>
  <si>
    <t>점수</t>
    <phoneticPr fontId="22" type="noConversion"/>
  </si>
  <si>
    <t>1-2. Scrap 발생현황</t>
    <phoneticPr fontId="22" type="noConversion"/>
  </si>
  <si>
    <t>CGL</t>
    <phoneticPr fontId="22" type="noConversion"/>
  </si>
  <si>
    <t>1CCL</t>
    <phoneticPr fontId="33" type="noConversion"/>
  </si>
  <si>
    <t>2CCL</t>
    <phoneticPr fontId="33" type="noConversion"/>
  </si>
  <si>
    <t>1-3. 반품 현황</t>
    <phoneticPr fontId="22" type="noConversion"/>
  </si>
  <si>
    <t>불량</t>
    <phoneticPr fontId="22" type="noConversion"/>
  </si>
  <si>
    <t>점수</t>
    <phoneticPr fontId="22" type="noConversion"/>
  </si>
  <si>
    <t>비고</t>
    <phoneticPr fontId="22" type="noConversion"/>
  </si>
  <si>
    <t>1-4. 조업 비가동 시간(Min)현황</t>
    <phoneticPr fontId="22" type="noConversion"/>
  </si>
  <si>
    <t>2017년 
월평균 실적</t>
    <phoneticPr fontId="22" type="noConversion"/>
  </si>
  <si>
    <t>17년</t>
  </si>
  <si>
    <t>11월</t>
    <phoneticPr fontId="22" type="noConversion"/>
  </si>
  <si>
    <t>18년</t>
  </si>
  <si>
    <t>원/ton</t>
    <phoneticPr fontId="22" type="noConversion"/>
  </si>
  <si>
    <t>18년</t>
    <phoneticPr fontId="22" type="noConversion"/>
  </si>
  <si>
    <t>18년 목표</t>
    <phoneticPr fontId="22" type="noConversion"/>
  </si>
  <si>
    <t>시간 Loss 금액</t>
  </si>
  <si>
    <t>건수당 금액</t>
  </si>
  <si>
    <t>COLOR GI</t>
  </si>
  <si>
    <t>구분</t>
    <phoneticPr fontId="22" type="noConversion"/>
  </si>
  <si>
    <t>1월~6월</t>
    <phoneticPr fontId="22" type="noConversion"/>
  </si>
  <si>
    <t>7월~12월</t>
    <phoneticPr fontId="22" type="noConversion"/>
  </si>
  <si>
    <t>합계</t>
    <phoneticPr fontId="22" type="noConversion"/>
  </si>
  <si>
    <t>계획시간</t>
    <phoneticPr fontId="22" type="noConversion"/>
  </si>
  <si>
    <t>가동시간</t>
    <phoneticPr fontId="22" type="noConversion"/>
  </si>
  <si>
    <t>18년
목표금액</t>
    <phoneticPr fontId="33" type="noConversion"/>
  </si>
  <si>
    <t>2017년 계</t>
  </si>
  <si>
    <t>17년
실적</t>
  </si>
  <si>
    <t>생산량</t>
    <phoneticPr fontId="33" type="noConversion"/>
  </si>
  <si>
    <t>TON</t>
    <phoneticPr fontId="33" type="noConversion"/>
  </si>
  <si>
    <t>1,617,000원/hr</t>
    <phoneticPr fontId="22" type="noConversion"/>
  </si>
  <si>
    <t>493,782원/ton</t>
    <phoneticPr fontId="33" type="noConversion"/>
  </si>
  <si>
    <t>17년
실적</t>
    <phoneticPr fontId="22" type="noConversion"/>
  </si>
  <si>
    <t>항목</t>
  </si>
  <si>
    <t>건수</t>
  </si>
  <si>
    <t>PL301</t>
  </si>
  <si>
    <t>RM301</t>
  </si>
  <si>
    <t>GL301</t>
  </si>
  <si>
    <t>CL301</t>
  </si>
  <si>
    <t>SL301</t>
  </si>
  <si>
    <t>SH301</t>
  </si>
  <si>
    <t>CL302</t>
  </si>
  <si>
    <t>1~6</t>
    <phoneticPr fontId="22" type="noConversion"/>
  </si>
  <si>
    <t>7~12</t>
    <phoneticPr fontId="22" type="noConversion"/>
  </si>
  <si>
    <t>14년
실적</t>
    <phoneticPr fontId="22" type="noConversion"/>
  </si>
  <si>
    <t>18년 목표</t>
    <phoneticPr fontId="22" type="noConversion"/>
  </si>
  <si>
    <t>Scrap(Coil형)</t>
    <phoneticPr fontId="22" type="noConversion"/>
  </si>
  <si>
    <t>Scrap(Sheet 형)</t>
    <phoneticPr fontId="22" type="noConversion"/>
  </si>
  <si>
    <t>고장시간</t>
    <phoneticPr fontId="22" type="noConversion"/>
  </si>
  <si>
    <t>640000원/EA</t>
    <phoneticPr fontId="22" type="noConversion"/>
  </si>
  <si>
    <t>AIR KNIFE</t>
    <phoneticPr fontId="22" type="noConversion"/>
  </si>
  <si>
    <t>원/ton</t>
    <phoneticPr fontId="22" type="noConversion"/>
  </si>
  <si>
    <t>소모품</t>
    <phoneticPr fontId="22" type="noConversion"/>
  </si>
  <si>
    <t>Φ310 → Φ272 연마</t>
    <phoneticPr fontId="22" type="noConversion"/>
  </si>
  <si>
    <t>모든 Air Knife관련</t>
    <phoneticPr fontId="22" type="noConversion"/>
  </si>
  <si>
    <t>TON</t>
    <phoneticPr fontId="22" type="noConversion"/>
  </si>
  <si>
    <t>성과개선</t>
    <phoneticPr fontId="22" type="noConversion"/>
  </si>
  <si>
    <t>금액</t>
    <phoneticPr fontId="22" type="noConversion"/>
  </si>
  <si>
    <t>건수</t>
    <phoneticPr fontId="22" type="noConversion"/>
  </si>
  <si>
    <t>원</t>
    <phoneticPr fontId="33" type="noConversion"/>
  </si>
  <si>
    <t>건</t>
    <phoneticPr fontId="22" type="noConversion"/>
  </si>
  <si>
    <t>소모품</t>
    <phoneticPr fontId="22" type="noConversion"/>
  </si>
  <si>
    <t>KNIFE</t>
    <phoneticPr fontId="22" type="noConversion"/>
  </si>
  <si>
    <t>원/TON</t>
    <phoneticPr fontId="22" type="noConversion"/>
  </si>
  <si>
    <t>주요설비</t>
    <phoneticPr fontId="33" type="noConversion"/>
  </si>
  <si>
    <t>kg/ton</t>
    <phoneticPr fontId="33" type="noConversion"/>
  </si>
  <si>
    <t>합계</t>
    <phoneticPr fontId="22" type="noConversion"/>
  </si>
  <si>
    <t>TON</t>
    <phoneticPr fontId="22" type="noConversion"/>
  </si>
  <si>
    <t>총계</t>
    <phoneticPr fontId="22" type="noConversion"/>
  </si>
  <si>
    <t>TON</t>
    <phoneticPr fontId="22" type="noConversion"/>
  </si>
  <si>
    <t>총계</t>
    <phoneticPr fontId="33" type="noConversion"/>
  </si>
  <si>
    <t>F/H Sheet</t>
    <phoneticPr fontId="22" type="noConversion"/>
  </si>
  <si>
    <t>작동유</t>
    <phoneticPr fontId="22" type="noConversion"/>
  </si>
  <si>
    <t>ton</t>
    <phoneticPr fontId="22" type="noConversion"/>
  </si>
  <si>
    <t>총계</t>
    <phoneticPr fontId="22" type="noConversion"/>
  </si>
  <si>
    <t>총계</t>
    <phoneticPr fontId="33" type="noConversion"/>
  </si>
  <si>
    <t>코팅롤 피복및연마</t>
    <phoneticPr fontId="22" type="noConversion"/>
  </si>
  <si>
    <t>ton</t>
    <phoneticPr fontId="22" type="noConversion"/>
  </si>
  <si>
    <t>조업</t>
    <phoneticPr fontId="22" type="noConversion"/>
  </si>
  <si>
    <t>1CCL</t>
    <phoneticPr fontId="22" type="noConversion"/>
  </si>
  <si>
    <t>2CCL</t>
    <phoneticPr fontId="22" type="noConversion"/>
  </si>
  <si>
    <t>건수</t>
    <phoneticPr fontId="22" type="noConversion"/>
  </si>
  <si>
    <t>비가동</t>
    <phoneticPr fontId="22" type="noConversion"/>
  </si>
  <si>
    <t>기계</t>
    <phoneticPr fontId="22" type="noConversion"/>
  </si>
  <si>
    <t>전기</t>
    <phoneticPr fontId="22" type="noConversion"/>
  </si>
  <si>
    <t>시간(HR)</t>
  </si>
  <si>
    <t>시간(HR)</t>
    <phoneticPr fontId="22" type="noConversion"/>
  </si>
  <si>
    <t>비가동</t>
    <phoneticPr fontId="22" type="noConversion"/>
  </si>
  <si>
    <t>사급 (B,C급 포장재)</t>
    <phoneticPr fontId="33" type="noConversion"/>
  </si>
  <si>
    <t>*. 사급 : B, C급 제품을 포장자재 용도로 변경하는 금액을 말함</t>
    <phoneticPr fontId="22" type="noConversion"/>
  </si>
  <si>
    <t>원/ton</t>
    <phoneticPr fontId="22" type="noConversion"/>
  </si>
  <si>
    <t>15년 2850원/16년 2530원</t>
    <phoneticPr fontId="22" type="noConversion"/>
  </si>
  <si>
    <t>ℓ/ton</t>
    <phoneticPr fontId="22" type="noConversion"/>
  </si>
  <si>
    <t>소모품 총비용</t>
    <phoneticPr fontId="33" type="noConversion"/>
  </si>
  <si>
    <t>소모품 총비용</t>
    <phoneticPr fontId="22" type="noConversion"/>
  </si>
  <si>
    <t>M</t>
    <phoneticPr fontId="22" type="noConversion"/>
  </si>
  <si>
    <t>고객불만</t>
    <phoneticPr fontId="22" type="noConversion"/>
  </si>
  <si>
    <t>반품</t>
    <phoneticPr fontId="22" type="noConversion"/>
  </si>
  <si>
    <t>1월</t>
    <phoneticPr fontId="22" type="noConversion"/>
  </si>
  <si>
    <t>고객불만</t>
    <phoneticPr fontId="22" type="noConversion"/>
  </si>
  <si>
    <t>W/R</t>
  </si>
  <si>
    <t>I.M.R</t>
  </si>
  <si>
    <t>B.U.R</t>
  </si>
  <si>
    <t>923원/ton
(1.5% 저감)</t>
    <phoneticPr fontId="22" type="noConversion"/>
  </si>
  <si>
    <t>ml/ton</t>
  </si>
  <si>
    <t>923원/ton</t>
    <phoneticPr fontId="33" type="noConversion"/>
  </si>
  <si>
    <t>2018 투입</t>
    <phoneticPr fontId="22" type="noConversion"/>
  </si>
  <si>
    <t>18년 A급</t>
    <phoneticPr fontId="22" type="noConversion"/>
  </si>
  <si>
    <t xml:space="preserve">Φ310→Φ270, </t>
    <phoneticPr fontId="22" type="noConversion"/>
  </si>
  <si>
    <t>3-3. 기계 설비 개선(사무)</t>
    <phoneticPr fontId="22" type="noConversion"/>
  </si>
  <si>
    <t>진행률</t>
    <phoneticPr fontId="33" type="noConversion"/>
  </si>
  <si>
    <t>3-3. 기계 설비 개선(아이엠텍)</t>
    <phoneticPr fontId="22" type="noConversion"/>
  </si>
  <si>
    <t>비  고</t>
    <phoneticPr fontId="33" type="noConversion"/>
  </si>
  <si>
    <t>기계고장
건수금액</t>
    <phoneticPr fontId="22" type="noConversion"/>
  </si>
  <si>
    <t>전기고장
건수금액</t>
    <phoneticPr fontId="22" type="noConversion"/>
  </si>
  <si>
    <t>재처리(월)</t>
    <phoneticPr fontId="33" type="noConversion"/>
  </si>
  <si>
    <t>CRM 시간당 톤파워 : 40톤*3(재처리 1~2PASS, 정상작업 3~6PASS)</t>
    <phoneticPr fontId="22" type="noConversion"/>
  </si>
  <si>
    <t>월목표</t>
    <phoneticPr fontId="22" type="noConversion"/>
  </si>
  <si>
    <t>월목표</t>
    <phoneticPr fontId="22" type="noConversion"/>
  </si>
  <si>
    <t>계획</t>
    <phoneticPr fontId="33" type="noConversion"/>
  </si>
  <si>
    <t>공장 합계</t>
    <phoneticPr fontId="22" type="noConversion"/>
  </si>
  <si>
    <t>18년 실적</t>
    <phoneticPr fontId="33" type="noConversion"/>
  </si>
  <si>
    <t>CGL(GI)</t>
  </si>
  <si>
    <t>CGL(F/H)</t>
  </si>
  <si>
    <t>구분</t>
    <phoneticPr fontId="22" type="noConversion"/>
  </si>
  <si>
    <t>스크랩 원인</t>
    <phoneticPr fontId="22" type="noConversion"/>
  </si>
  <si>
    <t>중량</t>
    <phoneticPr fontId="22" type="noConversion"/>
  </si>
  <si>
    <t>노트리밍 38톤, 홀 5톤</t>
    <phoneticPr fontId="22" type="noConversion"/>
  </si>
  <si>
    <t>합계</t>
    <phoneticPr fontId="22" type="noConversion"/>
  </si>
  <si>
    <t>미/과산세 9.7톤, X-RAY 이상 6.32톤</t>
    <phoneticPr fontId="22" type="noConversion"/>
  </si>
  <si>
    <t>WELDER 8.11톤, PINCH 11.12톤</t>
    <phoneticPr fontId="22" type="noConversion"/>
  </si>
  <si>
    <t>14년
실적</t>
    <phoneticPr fontId="33" type="noConversion"/>
  </si>
  <si>
    <t>보호필름 재고현황
지표현황</t>
    <phoneticPr fontId="22" type="noConversion"/>
  </si>
  <si>
    <t>1CCL</t>
    <phoneticPr fontId="22" type="noConversion"/>
  </si>
  <si>
    <t>1. 라인별 특이사항</t>
    <phoneticPr fontId="22" type="noConversion"/>
  </si>
  <si>
    <t>순서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</si>
  <si>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</si>
  <si>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</si>
  <si>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</si>
  <si>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</si>
  <si>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</si>
  <si>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설비</t>
    <phoneticPr fontId="22" type="noConversion"/>
  </si>
  <si>
    <t>구분</t>
    <phoneticPr fontId="22" type="noConversion"/>
  </si>
  <si>
    <t>혁신</t>
    <phoneticPr fontId="22" type="noConversion"/>
  </si>
  <si>
    <t>비고</t>
    <phoneticPr fontId="22" type="noConversion"/>
  </si>
  <si>
    <t>주요 안건</t>
    <phoneticPr fontId="22" type="noConversion"/>
  </si>
  <si>
    <t>재처리</t>
    <phoneticPr fontId="22" type="noConversion"/>
  </si>
  <si>
    <t>TON</t>
    <phoneticPr fontId="22" type="noConversion"/>
  </si>
  <si>
    <t>재처리</t>
    <phoneticPr fontId="22" type="noConversion"/>
  </si>
  <si>
    <t>TON</t>
    <phoneticPr fontId="22" type="noConversion"/>
  </si>
  <si>
    <t>원/TON</t>
    <phoneticPr fontId="22" type="noConversion"/>
  </si>
  <si>
    <t>대상 steam tank 보상(cpl 70%, 2ccl 30%)</t>
    <phoneticPr fontId="22" type="noConversion"/>
  </si>
  <si>
    <t>실제 중량</t>
    <phoneticPr fontId="22" type="noConversion"/>
  </si>
  <si>
    <t>CPL
초파</t>
    <phoneticPr fontId="22" type="noConversion"/>
  </si>
  <si>
    <t>CPL
S + C</t>
    <phoneticPr fontId="22" type="noConversion"/>
  </si>
  <si>
    <t>CRM
Sheet형</t>
    <phoneticPr fontId="22" type="noConversion"/>
  </si>
  <si>
    <t>GI 
COIL형</t>
    <phoneticPr fontId="22" type="noConversion"/>
  </si>
  <si>
    <t>수입 GI
Coil형</t>
  </si>
  <si>
    <t>수입 GI
Coil형</t>
    <phoneticPr fontId="22" type="noConversion"/>
  </si>
  <si>
    <t>CCL 
Sheet형</t>
  </si>
  <si>
    <t>CCL 
Sheet형</t>
    <phoneticPr fontId="22" type="noConversion"/>
  </si>
  <si>
    <t>CCL 
Coil형</t>
  </si>
  <si>
    <t>CCL 
Coil형</t>
    <phoneticPr fontId="22" type="noConversion"/>
  </si>
  <si>
    <t>매출</t>
    <phoneticPr fontId="22" type="noConversion"/>
  </si>
  <si>
    <t>CCL
인출</t>
    <phoneticPr fontId="22" type="noConversion"/>
  </si>
  <si>
    <t>CGL 인출</t>
    <phoneticPr fontId="22" type="noConversion"/>
  </si>
  <si>
    <t>F/H
인출</t>
    <phoneticPr fontId="22" type="noConversion"/>
  </si>
  <si>
    <t>ton</t>
    <phoneticPr fontId="22" type="noConversion"/>
  </si>
  <si>
    <t>ton(월)</t>
    <phoneticPr fontId="22" type="noConversion"/>
  </si>
  <si>
    <t>입출측 SHEET형</t>
  </si>
  <si>
    <t>COIL형 SCRAP</t>
  </si>
  <si>
    <t>C급인출 SCRAP</t>
  </si>
  <si>
    <t>-</t>
  </si>
  <si>
    <t>Scrap</t>
    <phoneticPr fontId="33" type="noConversion"/>
  </si>
  <si>
    <t>합계</t>
    <phoneticPr fontId="22" type="noConversion"/>
  </si>
  <si>
    <t>Coil형 스크랩</t>
    <phoneticPr fontId="22" type="noConversion"/>
  </si>
  <si>
    <t>SCRAP율</t>
    <phoneticPr fontId="22" type="noConversion"/>
  </si>
  <si>
    <t>SHEET SCRAP</t>
    <phoneticPr fontId="22" type="noConversion"/>
  </si>
  <si>
    <t>판매 SCRAP율</t>
    <phoneticPr fontId="33" type="noConversion"/>
  </si>
  <si>
    <t>TON</t>
    <phoneticPr fontId="22" type="noConversion"/>
  </si>
  <si>
    <t>SCRAP율</t>
    <phoneticPr fontId="33" type="noConversion"/>
  </si>
  <si>
    <t>1월</t>
    <phoneticPr fontId="22" type="noConversion"/>
  </si>
  <si>
    <t>개선건수</t>
    <phoneticPr fontId="22" type="noConversion"/>
  </si>
  <si>
    <t>개선금액</t>
    <phoneticPr fontId="22" type="noConversion"/>
  </si>
  <si>
    <t>목표</t>
    <phoneticPr fontId="22" type="noConversion"/>
  </si>
  <si>
    <t>누적</t>
    <phoneticPr fontId="22" type="noConversion"/>
  </si>
  <si>
    <t>총합계</t>
    <phoneticPr fontId="22" type="noConversion"/>
  </si>
  <si>
    <t>누적</t>
    <phoneticPr fontId="22" type="noConversion"/>
  </si>
  <si>
    <t>누적합계</t>
    <phoneticPr fontId="22" type="noConversion"/>
  </si>
  <si>
    <t>기타</t>
    <phoneticPr fontId="22" type="noConversion"/>
  </si>
  <si>
    <t>생산원인</t>
    <phoneticPr fontId="22" type="noConversion"/>
  </si>
  <si>
    <t>14년
실적</t>
    <phoneticPr fontId="22" type="noConversion"/>
  </si>
  <si>
    <t>2월</t>
    <phoneticPr fontId="22" type="noConversion"/>
  </si>
  <si>
    <t>3월</t>
    <phoneticPr fontId="22" type="noConversion"/>
  </si>
  <si>
    <t>종합 가동율</t>
    <phoneticPr fontId="22" type="noConversion"/>
  </si>
  <si>
    <t>최근 3년</t>
  </si>
  <si>
    <t>CPL 톤파워</t>
    <phoneticPr fontId="22" type="noConversion"/>
  </si>
  <si>
    <t>CRM 톤파워</t>
    <phoneticPr fontId="22" type="noConversion"/>
  </si>
  <si>
    <t>CGL 톤파워</t>
    <phoneticPr fontId="22" type="noConversion"/>
  </si>
  <si>
    <t>1CCL 톤파워</t>
    <phoneticPr fontId="22" type="noConversion"/>
  </si>
  <si>
    <t>2CCL 톤파워</t>
    <phoneticPr fontId="22" type="noConversion"/>
  </si>
  <si>
    <t>종합 톤파워</t>
    <phoneticPr fontId="22" type="noConversion"/>
  </si>
  <si>
    <t>17년 1~6월</t>
    <phoneticPr fontId="22" type="noConversion"/>
  </si>
  <si>
    <t>17년 7~ 12월</t>
    <phoneticPr fontId="22" type="noConversion"/>
  </si>
  <si>
    <t>비가동일수</t>
    <phoneticPr fontId="22" type="noConversion"/>
  </si>
  <si>
    <t>385,000원(ℓ당)/200ℓ</t>
    <phoneticPr fontId="22" type="noConversion"/>
  </si>
  <si>
    <t>ℓ/ton</t>
    <phoneticPr fontId="33" type="noConversion"/>
  </si>
  <si>
    <t>12월(금액)</t>
    <phoneticPr fontId="22" type="noConversion"/>
  </si>
  <si>
    <t>11월(금액)</t>
    <phoneticPr fontId="22" type="noConversion"/>
  </si>
  <si>
    <t>10월(금액)</t>
    <phoneticPr fontId="22" type="noConversion"/>
  </si>
  <si>
    <t>월목표</t>
    <phoneticPr fontId="22" type="noConversion"/>
  </si>
  <si>
    <t>월목표</t>
    <phoneticPr fontId="22" type="noConversion"/>
  </si>
  <si>
    <t>월목표</t>
    <phoneticPr fontId="22" type="noConversion"/>
  </si>
  <si>
    <t>CPL철판 후프 뺀 중량(2018년 적용)</t>
    <phoneticPr fontId="22" type="noConversion"/>
  </si>
  <si>
    <t>경철</t>
    <phoneticPr fontId="22" type="noConversion"/>
  </si>
  <si>
    <t>ton</t>
    <phoneticPr fontId="22" type="noConversion"/>
  </si>
  <si>
    <t>SCRAP율</t>
    <phoneticPr fontId="33" type="noConversion"/>
  </si>
  <si>
    <t>경철(Sheet 판매)</t>
    <phoneticPr fontId="22" type="noConversion"/>
  </si>
  <si>
    <t>코일형 스크랩 경철에 포함</t>
    <phoneticPr fontId="22" type="noConversion"/>
  </si>
  <si>
    <t>스크랩 경철에 코일형 스크랩과 인출코일 포함된 중량임</t>
    <phoneticPr fontId="22" type="noConversion"/>
  </si>
  <si>
    <t>실가동율</t>
    <phoneticPr fontId="22" type="noConversion"/>
  </si>
  <si>
    <t>4월</t>
    <phoneticPr fontId="22" type="noConversion"/>
  </si>
  <si>
    <t>비가동일수</t>
  </si>
  <si>
    <t>CPL 가동율</t>
  </si>
  <si>
    <t>CRM 가동율</t>
  </si>
  <si>
    <t>CGL 가동율</t>
  </si>
  <si>
    <t>1CCL 가동율</t>
  </si>
  <si>
    <t>2CCL 가동율</t>
  </si>
  <si>
    <t>종합 가동율</t>
  </si>
  <si>
    <t>1월</t>
    <phoneticPr fontId="22" type="noConversion"/>
  </si>
  <si>
    <t>16년</t>
    <phoneticPr fontId="22" type="noConversion"/>
  </si>
  <si>
    <t>15년</t>
    <phoneticPr fontId="22" type="noConversion"/>
  </si>
  <si>
    <t>비가동일수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</si>
  <si>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</si>
  <si>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</si>
  <si>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</si>
  <si>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</si>
  <si>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</si>
  <si>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누적</t>
    <phoneticPr fontId="22" type="noConversion"/>
  </si>
  <si>
    <t>3월 누적</t>
    <phoneticPr fontId="22" type="noConversion"/>
  </si>
  <si>
    <t>CGL</t>
    <phoneticPr fontId="22" type="noConversion"/>
  </si>
  <si>
    <t>6월</t>
    <phoneticPr fontId="22" type="noConversion"/>
  </si>
  <si>
    <t>비고) Utility &amp; SSCL 개선은 2CCL에 일괄등록</t>
    <phoneticPr fontId="22" type="noConversion"/>
  </si>
  <si>
    <t>수입GI 인출</t>
    <phoneticPr fontId="22" type="noConversion"/>
  </si>
  <si>
    <t>7월(지표)</t>
    <phoneticPr fontId="22" type="noConversion"/>
  </si>
  <si>
    <t>3. 라인별 주요 원단위 실적</t>
    <phoneticPr fontId="22" type="noConversion"/>
  </si>
  <si>
    <t>8월</t>
    <phoneticPr fontId="22" type="noConversion"/>
  </si>
  <si>
    <t>구 분</t>
    <phoneticPr fontId="33" type="noConversion"/>
  </si>
  <si>
    <t>계획</t>
    <phoneticPr fontId="33" type="noConversion"/>
  </si>
  <si>
    <t>16년</t>
    <phoneticPr fontId="22" type="noConversion"/>
  </si>
  <si>
    <t>월목표</t>
    <phoneticPr fontId="22" type="noConversion"/>
  </si>
  <si>
    <t>1월(지표)</t>
    <phoneticPr fontId="33" type="noConversion"/>
  </si>
  <si>
    <t>CPL
비가동</t>
    <phoneticPr fontId="22" type="noConversion"/>
  </si>
  <si>
    <t>조업</t>
    <phoneticPr fontId="22" type="noConversion"/>
  </si>
  <si>
    <t>기계</t>
    <phoneticPr fontId="22" type="noConversion"/>
  </si>
  <si>
    <t>전기</t>
    <phoneticPr fontId="22" type="noConversion"/>
  </si>
  <si>
    <t>CRM
비가동</t>
    <phoneticPr fontId="22" type="noConversion"/>
  </si>
  <si>
    <t>CGL
비가동</t>
    <phoneticPr fontId="22" type="noConversion"/>
  </si>
  <si>
    <t>1CCL
비가동</t>
    <phoneticPr fontId="22" type="noConversion"/>
  </si>
  <si>
    <t>2CCL
비가동</t>
    <phoneticPr fontId="22" type="noConversion"/>
  </si>
  <si>
    <t>합계</t>
    <phoneticPr fontId="22" type="noConversion"/>
  </si>
  <si>
    <t>총합계</t>
    <phoneticPr fontId="22" type="noConversion"/>
  </si>
  <si>
    <t>이론가동율</t>
    <phoneticPr fontId="22" type="noConversion"/>
  </si>
  <si>
    <t>구분</t>
    <phoneticPr fontId="22" type="noConversion"/>
  </si>
  <si>
    <t>성과개선 금액</t>
    <phoneticPr fontId="22" type="noConversion"/>
  </si>
  <si>
    <t>LNG절감 금액</t>
    <phoneticPr fontId="22" type="noConversion"/>
  </si>
  <si>
    <t>총 개선금액</t>
    <phoneticPr fontId="22" type="noConversion"/>
  </si>
  <si>
    <t>불량</t>
  </si>
  <si>
    <t>CGL 불량 발생 현황</t>
  </si>
  <si>
    <t>1CCL 불량 발생 현황</t>
  </si>
  <si>
    <t>2CCL 불량 발생 현황</t>
  </si>
  <si>
    <t>누적</t>
    <phoneticPr fontId="22" type="noConversion"/>
  </si>
  <si>
    <t>(A급 금액 - C급 금액)</t>
    <phoneticPr fontId="22" type="noConversion"/>
  </si>
  <si>
    <t>(감가삼각+유틸리티)</t>
    <phoneticPr fontId="22" type="noConversion"/>
  </si>
  <si>
    <t>(개선금액*건수당 발생스크랩량)</t>
    <phoneticPr fontId="22" type="noConversion"/>
  </si>
  <si>
    <t>10월</t>
    <phoneticPr fontId="22" type="noConversion"/>
  </si>
  <si>
    <t>9월</t>
    <phoneticPr fontId="22" type="noConversion"/>
  </si>
  <si>
    <t>11월</t>
    <phoneticPr fontId="22" type="noConversion"/>
  </si>
  <si>
    <t>누적</t>
  </si>
  <si>
    <t>합계</t>
    <phoneticPr fontId="22" type="noConversion"/>
  </si>
  <si>
    <t>2018년 
월평균 실적</t>
    <phoneticPr fontId="22" type="noConversion"/>
  </si>
  <si>
    <t>증감(17년-18년)</t>
    <phoneticPr fontId="22" type="noConversion"/>
  </si>
  <si>
    <t>1-1. 수율발생 현황</t>
    <phoneticPr fontId="22" type="noConversion"/>
  </si>
  <si>
    <t>점수 계산식
증감/17실적 X 25점</t>
    <phoneticPr fontId="22" type="noConversion"/>
  </si>
  <si>
    <t>1-3. 톤파워 현황</t>
    <phoneticPr fontId="22" type="noConversion"/>
  </si>
  <si>
    <t>증감(17년-18년)</t>
    <phoneticPr fontId="22" type="noConversion"/>
  </si>
  <si>
    <t>증감(18년-17년)</t>
    <phoneticPr fontId="22" type="noConversion"/>
  </si>
  <si>
    <r>
      <t>1. 18년 라인별 생산성 향상 점수</t>
    </r>
    <r>
      <rPr>
        <b/>
        <sz val="14"/>
        <color rgb="FFFF0000"/>
        <rFont val="맑은 고딕"/>
        <family val="3"/>
        <charset val="129"/>
        <scheme val="minor"/>
      </rPr>
      <t>(LOSS 기준 : 불량, Scrap, 반품, 비가동)</t>
    </r>
    <phoneticPr fontId="22" type="noConversion"/>
  </si>
  <si>
    <r>
      <t>1. 18년 라인별 생산성 향상 점수</t>
    </r>
    <r>
      <rPr>
        <b/>
        <sz val="14"/>
        <color rgb="FFFF0000"/>
        <rFont val="맑은 고딕"/>
        <family val="3"/>
        <charset val="129"/>
        <scheme val="minor"/>
      </rPr>
      <t>(생산성 기준 : 수율, Scrap, 톤파워, 비가동)</t>
    </r>
    <phoneticPr fontId="22" type="noConversion"/>
  </si>
  <si>
    <t>점수 계산식
증감/18실적 X 25점</t>
    <phoneticPr fontId="22" type="noConversion"/>
  </si>
  <si>
    <t>누적합계</t>
    <phoneticPr fontId="22" type="noConversion"/>
  </si>
  <si>
    <t>전년(2018년)</t>
    <phoneticPr fontId="22" type="noConversion"/>
  </si>
  <si>
    <t>2018년 계</t>
  </si>
  <si>
    <t>19년</t>
    <phoneticPr fontId="22" type="noConversion"/>
  </si>
  <si>
    <t>18년
실적</t>
  </si>
  <si>
    <t>물동계획 = A급 생산량</t>
    <phoneticPr fontId="22" type="noConversion"/>
  </si>
  <si>
    <t>누적합계</t>
    <phoneticPr fontId="22" type="noConversion"/>
  </si>
  <si>
    <t>누적합계</t>
    <phoneticPr fontId="22" type="noConversion"/>
  </si>
  <si>
    <t>누적합계</t>
    <phoneticPr fontId="22" type="noConversion"/>
  </si>
  <si>
    <t>누적합계</t>
    <phoneticPr fontId="22" type="noConversion"/>
  </si>
  <si>
    <t>17년</t>
    <phoneticPr fontId="22" type="noConversion"/>
  </si>
  <si>
    <t>17년</t>
    <phoneticPr fontId="22" type="noConversion"/>
  </si>
  <si>
    <t>코팅롤(우레탄) 피복</t>
    <phoneticPr fontId="22" type="noConversion"/>
  </si>
  <si>
    <t>2019 투입</t>
  </si>
  <si>
    <t>19년 A급</t>
  </si>
  <si>
    <t>2019년 SCRAP 반출 현황</t>
    <phoneticPr fontId="22" type="noConversion"/>
  </si>
  <si>
    <t>GI 160톤, CL 80톤</t>
    <phoneticPr fontId="22" type="noConversion"/>
  </si>
  <si>
    <t>통판</t>
    <phoneticPr fontId="22" type="noConversion"/>
  </si>
  <si>
    <t>TON</t>
    <phoneticPr fontId="22" type="noConversion"/>
  </si>
  <si>
    <t>TON</t>
    <phoneticPr fontId="22" type="noConversion"/>
  </si>
  <si>
    <t>ton</t>
    <phoneticPr fontId="22" type="noConversion"/>
  </si>
  <si>
    <t>ton</t>
    <phoneticPr fontId="22" type="noConversion"/>
  </si>
  <si>
    <t>목표</t>
    <phoneticPr fontId="22" type="noConversion"/>
  </si>
  <si>
    <t>스팀 공금 중단</t>
    <phoneticPr fontId="22" type="noConversion"/>
  </si>
  <si>
    <t>부자재
(재고관리)</t>
    <phoneticPr fontId="22" type="noConversion"/>
  </si>
  <si>
    <t>보호필름</t>
    <phoneticPr fontId="22" type="noConversion"/>
  </si>
  <si>
    <t>지관</t>
    <phoneticPr fontId="22" type="noConversion"/>
  </si>
  <si>
    <t>스키드</t>
    <phoneticPr fontId="22" type="noConversion"/>
  </si>
  <si>
    <t>EA</t>
    <phoneticPr fontId="22" type="noConversion"/>
  </si>
  <si>
    <t>EA</t>
    <phoneticPr fontId="22" type="noConversion"/>
  </si>
  <si>
    <t>페인트 폐기량</t>
    <phoneticPr fontId="22" type="noConversion"/>
  </si>
  <si>
    <t>kg</t>
    <phoneticPr fontId="22" type="noConversion"/>
  </si>
  <si>
    <t>년 페인트 폐기량 관리</t>
    <phoneticPr fontId="22" type="noConversion"/>
  </si>
  <si>
    <t>보호필름 재고길이</t>
    <phoneticPr fontId="33" type="noConversion"/>
  </si>
  <si>
    <t>지관재고개수(매칭 제외)</t>
    <phoneticPr fontId="22" type="noConversion"/>
  </si>
  <si>
    <t>스키드재고개수(매칭 제외)</t>
    <phoneticPr fontId="22" type="noConversion"/>
  </si>
  <si>
    <t>19년</t>
  </si>
  <si>
    <t>1CCL인출</t>
    <phoneticPr fontId="22" type="noConversion"/>
  </si>
  <si>
    <t>2CCL인출</t>
    <phoneticPr fontId="22" type="noConversion"/>
  </si>
  <si>
    <t>CRM(PO)</t>
    <phoneticPr fontId="22" type="noConversion"/>
  </si>
  <si>
    <t>17년</t>
    <phoneticPr fontId="22" type="noConversion"/>
  </si>
  <si>
    <t>16년</t>
    <phoneticPr fontId="22" type="noConversion"/>
  </si>
  <si>
    <t>15년</t>
    <phoneticPr fontId="22" type="noConversion"/>
  </si>
  <si>
    <t>물류</t>
    <phoneticPr fontId="22" type="noConversion"/>
  </si>
  <si>
    <t>제작년(2017년)</t>
    <phoneticPr fontId="22" type="noConversion"/>
  </si>
  <si>
    <t>구매GI 인출</t>
    <phoneticPr fontId="22" type="noConversion"/>
  </si>
  <si>
    <t>내부GI 인출</t>
    <phoneticPr fontId="22" type="noConversion"/>
  </si>
  <si>
    <t>구매GI 인출</t>
    <phoneticPr fontId="22" type="noConversion"/>
  </si>
  <si>
    <t>18년
실적</t>
    <phoneticPr fontId="33" type="noConversion"/>
  </si>
  <si>
    <t>19년</t>
    <phoneticPr fontId="22" type="noConversion"/>
  </si>
  <si>
    <t>종합 수율
(2015까지
사용)</t>
    <phoneticPr fontId="22" type="noConversion"/>
  </si>
  <si>
    <t>누적</t>
    <phoneticPr fontId="22" type="noConversion"/>
  </si>
  <si>
    <t>누적합계</t>
    <phoneticPr fontId="22" type="noConversion"/>
  </si>
  <si>
    <t>Sheet형
Scrap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</si>
  <si>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</si>
  <si>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</si>
  <si>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</si>
  <si>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18년</t>
    <phoneticPr fontId="22" type="noConversion"/>
  </si>
  <si>
    <t>월평균</t>
    <phoneticPr fontId="22" type="noConversion"/>
  </si>
  <si>
    <t>PO인출</t>
    <phoneticPr fontId="22" type="noConversion"/>
  </si>
  <si>
    <t>2018 시간 loss</t>
    <phoneticPr fontId="22" type="noConversion"/>
  </si>
  <si>
    <t>쉬트형</t>
    <phoneticPr fontId="22" type="noConversion"/>
  </si>
  <si>
    <t>F/H 인출</t>
  </si>
  <si>
    <t>TON</t>
  </si>
  <si>
    <t>기존 쉬트+인출 → 쉬트+인출+코일형</t>
    <phoneticPr fontId="22" type="noConversion"/>
  </si>
  <si>
    <t>합계</t>
    <phoneticPr fontId="22" type="noConversion"/>
  </si>
  <si>
    <t>2CCL</t>
    <phoneticPr fontId="22" type="noConversion"/>
  </si>
  <si>
    <t>CGL</t>
    <phoneticPr fontId="22" type="noConversion"/>
  </si>
  <si>
    <t>GI</t>
    <phoneticPr fontId="22" type="noConversion"/>
  </si>
  <si>
    <t>PO</t>
    <phoneticPr fontId="22" type="noConversion"/>
  </si>
  <si>
    <t>PPGI(건재)</t>
    <phoneticPr fontId="22" type="noConversion"/>
  </si>
  <si>
    <t>PPGI(가전)</t>
    <phoneticPr fontId="22" type="noConversion"/>
  </si>
  <si>
    <t>PRINT</t>
    <phoneticPr fontId="22" type="noConversion"/>
  </si>
  <si>
    <t>PPAL</t>
    <phoneticPr fontId="22" type="noConversion"/>
  </si>
  <si>
    <t>VCM</t>
    <phoneticPr fontId="22" type="noConversion"/>
  </si>
  <si>
    <t>생산량
(투입)</t>
    <phoneticPr fontId="33" type="noConversion"/>
  </si>
  <si>
    <t>SHEET(ton)</t>
    <phoneticPr fontId="22" type="noConversion"/>
  </si>
  <si>
    <t>합계</t>
    <phoneticPr fontId="22" type="noConversion"/>
  </si>
  <si>
    <t>18년</t>
    <phoneticPr fontId="22" type="noConversion"/>
  </si>
  <si>
    <t>18년</t>
    <phoneticPr fontId="22" type="noConversion"/>
  </si>
  <si>
    <t>18년 1~6월</t>
    <phoneticPr fontId="22" type="noConversion"/>
  </si>
  <si>
    <t>18년 7~ 12월</t>
    <phoneticPr fontId="22" type="noConversion"/>
  </si>
  <si>
    <t>17년</t>
    <phoneticPr fontId="22" type="noConversion"/>
  </si>
  <si>
    <t>19' 누적</t>
    <phoneticPr fontId="22" type="noConversion"/>
  </si>
  <si>
    <t>출하</t>
    <phoneticPr fontId="22" type="noConversion"/>
  </si>
  <si>
    <t>통판</t>
    <phoneticPr fontId="22" type="noConversion"/>
  </si>
  <si>
    <t>(건수)</t>
    <phoneticPr fontId="22" type="noConversion"/>
  </si>
  <si>
    <t>비고</t>
    <phoneticPr fontId="22" type="noConversion"/>
  </si>
  <si>
    <t>생산팀</t>
    <phoneticPr fontId="22" type="noConversion"/>
  </si>
  <si>
    <t>설비팀</t>
    <phoneticPr fontId="22" type="noConversion"/>
  </si>
  <si>
    <t>업무
지원팀</t>
    <phoneticPr fontId="22" type="noConversion"/>
  </si>
  <si>
    <t>목표
건수</t>
    <phoneticPr fontId="22" type="noConversion"/>
  </si>
  <si>
    <t>완료
건수</t>
    <phoneticPr fontId="22" type="noConversion"/>
  </si>
  <si>
    <t>목표
금액</t>
    <phoneticPr fontId="22" type="noConversion"/>
  </si>
  <si>
    <t>누적
실적</t>
    <phoneticPr fontId="22" type="noConversion"/>
  </si>
  <si>
    <t>(중량)</t>
    <phoneticPr fontId="22" type="noConversion"/>
  </si>
  <si>
    <t>(용도)</t>
    <phoneticPr fontId="22" type="noConversion"/>
  </si>
  <si>
    <t>고객불만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</si>
  <si>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</si>
  <si>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</si>
  <si>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</si>
  <si>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Ton</t>
    <phoneticPr fontId="22" type="noConversion"/>
  </si>
  <si>
    <t>합계</t>
    <phoneticPr fontId="22" type="noConversion"/>
  </si>
  <si>
    <t>TON</t>
    <phoneticPr fontId="22" type="noConversion"/>
  </si>
  <si>
    <t>통판</t>
    <phoneticPr fontId="22" type="noConversion"/>
  </si>
  <si>
    <t>생산량기준 스크랩율(kg/ton)</t>
    <phoneticPr fontId="22" type="noConversion"/>
  </si>
  <si>
    <t>제품기준 스크랩율(kg/ton)</t>
    <phoneticPr fontId="22" type="noConversion"/>
  </si>
  <si>
    <t>제품생산량</t>
    <phoneticPr fontId="22" type="noConversion"/>
  </si>
  <si>
    <t>스크랩율</t>
    <phoneticPr fontId="22" type="noConversion"/>
  </si>
  <si>
    <t>1월</t>
    <phoneticPr fontId="22" type="noConversion"/>
  </si>
  <si>
    <t>2월</t>
    <phoneticPr fontId="22" type="noConversion"/>
  </si>
  <si>
    <t>스크랩량</t>
    <phoneticPr fontId="22" type="noConversion"/>
  </si>
  <si>
    <t>구분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</si>
  <si>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</si>
  <si>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</si>
  <si>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</si>
  <si>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</si>
  <si>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</si>
  <si>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포장재
Scrap</t>
    <phoneticPr fontId="22" type="noConversion"/>
  </si>
  <si>
    <t>통판
Scrap</t>
    <phoneticPr fontId="22" type="noConversion"/>
  </si>
  <si>
    <t>SSCL</t>
    <phoneticPr fontId="22" type="noConversion"/>
  </si>
  <si>
    <t>Coil형
Scrap
(출측)</t>
    <phoneticPr fontId="22" type="noConversion"/>
  </si>
  <si>
    <t>인출
Scrap
(입측)</t>
    <phoneticPr fontId="22" type="noConversion"/>
  </si>
  <si>
    <t>통판 Scrap 발생량</t>
    <phoneticPr fontId="22" type="noConversion"/>
  </si>
  <si>
    <t>포장재 Scrap 발생량</t>
    <phoneticPr fontId="22" type="noConversion"/>
  </si>
  <si>
    <t>Coil형 Scrap 발생량</t>
    <phoneticPr fontId="22" type="noConversion"/>
  </si>
  <si>
    <t>Coil형 Scrap 총 발생량</t>
    <phoneticPr fontId="22" type="noConversion"/>
  </si>
  <si>
    <t>Sheet형 Scrap
판매량</t>
    <phoneticPr fontId="22" type="noConversion"/>
  </si>
  <si>
    <t>MES C급 인출</t>
    <phoneticPr fontId="22" type="noConversion"/>
  </si>
  <si>
    <t>MES 공정별 Scrap
및 불량 인출
발생현황</t>
    <phoneticPr fontId="22" type="noConversion"/>
  </si>
  <si>
    <t>수동에 의한
통판 사용
(백청, 불량 등)</t>
    <phoneticPr fontId="22" type="noConversion"/>
  </si>
  <si>
    <t>수동에 의한
포장재 사용</t>
    <phoneticPr fontId="22" type="noConversion"/>
  </si>
  <si>
    <t>19' 누적</t>
    <phoneticPr fontId="22" type="noConversion"/>
  </si>
  <si>
    <t>180원/kg</t>
    <phoneticPr fontId="33" type="noConversion"/>
  </si>
  <si>
    <t>CGL</t>
    <phoneticPr fontId="22" type="noConversion"/>
  </si>
  <si>
    <t>1CCL</t>
    <phoneticPr fontId="22" type="noConversion"/>
  </si>
  <si>
    <t>Kw/TON</t>
    <phoneticPr fontId="33" type="noConversion"/>
  </si>
  <si>
    <t>AL 인출</t>
    <phoneticPr fontId="22" type="noConversion"/>
  </si>
  <si>
    <t>스크랩율 = (쉬트판매량 + 코일형+c급 인출+ 통판)/생산량</t>
    <phoneticPr fontId="22" type="noConversion"/>
  </si>
  <si>
    <t>포장재</t>
    <phoneticPr fontId="22" type="noConversion"/>
  </si>
  <si>
    <t>ton</t>
    <phoneticPr fontId="22" type="noConversion"/>
  </si>
  <si>
    <t>포장재</t>
    <phoneticPr fontId="22" type="noConversion"/>
  </si>
  <si>
    <t>1월 ~ 2월 절감금액 수정함(2019.05.02)</t>
    <phoneticPr fontId="22" type="noConversion"/>
  </si>
  <si>
    <t>필히입력요망</t>
    <phoneticPr fontId="22" type="noConversion"/>
  </si>
  <si>
    <t>불량 발생현황</t>
    <phoneticPr fontId="22" type="noConversion"/>
  </si>
  <si>
    <t>FH인출 중복 제거</t>
    <phoneticPr fontId="22" type="noConversion"/>
  </si>
  <si>
    <t>%</t>
  </si>
  <si>
    <t>백청 1CCL 23.19톤</t>
    <phoneticPr fontId="22" type="noConversion"/>
  </si>
  <si>
    <t>백청 2CCL 31.94톤</t>
    <phoneticPr fontId="22" type="noConversion"/>
  </si>
  <si>
    <t>불량 C급 인출 전량(단판+내부 GI+외부 GI)</t>
    <phoneticPr fontId="22" type="noConversion"/>
  </si>
  <si>
    <t>소모품비</t>
    <phoneticPr fontId="22" type="noConversion"/>
  </si>
  <si>
    <t>수율(인출포함)</t>
    <phoneticPr fontId="22" type="noConversion"/>
  </si>
  <si>
    <t>인출포함
A급 수율</t>
    <phoneticPr fontId="22" type="noConversion"/>
  </si>
  <si>
    <t>라인종합 인출포함 수율</t>
    <phoneticPr fontId="22" type="noConversion"/>
  </si>
  <si>
    <t>2019년 목표</t>
    <phoneticPr fontId="22" type="noConversion"/>
  </si>
  <si>
    <t>제안</t>
    <phoneticPr fontId="22" type="noConversion"/>
  </si>
  <si>
    <t>19년 평균생산량</t>
    <phoneticPr fontId="22" type="noConversion"/>
  </si>
  <si>
    <t>19년 평균스크랩량</t>
    <phoneticPr fontId="22" type="noConversion"/>
  </si>
  <si>
    <t>6월평균생산예상</t>
    <phoneticPr fontId="22" type="noConversion"/>
  </si>
  <si>
    <t>19년 평균생산량</t>
    <phoneticPr fontId="22" type="noConversion"/>
  </si>
  <si>
    <t>19년 평균 스크랩</t>
    <phoneticPr fontId="22" type="noConversion"/>
  </si>
  <si>
    <t>6월예상스크랩</t>
    <phoneticPr fontId="22" type="noConversion"/>
  </si>
  <si>
    <t>코일형</t>
    <phoneticPr fontId="22" type="noConversion"/>
  </si>
  <si>
    <t>쉬트형</t>
    <phoneticPr fontId="22" type="noConversion"/>
  </si>
  <si>
    <t>투입량</t>
    <phoneticPr fontId="22" type="noConversion"/>
  </si>
  <si>
    <t>13년</t>
    <phoneticPr fontId="22" type="noConversion"/>
  </si>
  <si>
    <t>누적금액</t>
    <phoneticPr fontId="22" type="noConversion"/>
  </si>
  <si>
    <t>계휴일수</t>
    <phoneticPr fontId="22" type="noConversion"/>
  </si>
  <si>
    <t>누적금액</t>
    <phoneticPr fontId="22" type="noConversion"/>
  </si>
  <si>
    <t>16년
실적</t>
    <phoneticPr fontId="22" type="noConversion"/>
  </si>
  <si>
    <t>17년
실적</t>
    <phoneticPr fontId="22" type="noConversion"/>
  </si>
  <si>
    <t>18년
실적</t>
    <phoneticPr fontId="22" type="noConversion"/>
  </si>
  <si>
    <t>Scrap율</t>
    <phoneticPr fontId="33" type="noConversion"/>
  </si>
  <si>
    <t>19년실적</t>
    <phoneticPr fontId="22" type="noConversion"/>
  </si>
  <si>
    <t>7월 미반출량</t>
    <phoneticPr fontId="22" type="noConversion"/>
  </si>
  <si>
    <t xml:space="preserve">쵸퍼 </t>
    <phoneticPr fontId="22" type="noConversion"/>
  </si>
  <si>
    <t>철판</t>
    <phoneticPr fontId="22" type="noConversion"/>
  </si>
  <si>
    <t>CRM 쉬트</t>
    <phoneticPr fontId="22" type="noConversion"/>
  </si>
  <si>
    <t>외부요인</t>
    <phoneticPr fontId="22" type="noConversion"/>
  </si>
  <si>
    <t>내부요인</t>
    <phoneticPr fontId="22" type="noConversion"/>
  </si>
  <si>
    <t>전체불량</t>
    <phoneticPr fontId="22" type="noConversion"/>
  </si>
  <si>
    <t>전체</t>
    <phoneticPr fontId="22" type="noConversion"/>
  </si>
  <si>
    <t>내부요인</t>
    <phoneticPr fontId="22" type="noConversion"/>
  </si>
  <si>
    <t>상반기</t>
    <phoneticPr fontId="22" type="noConversion"/>
  </si>
  <si>
    <t>18년</t>
    <phoneticPr fontId="22" type="noConversion"/>
  </si>
  <si>
    <t>19년
실적</t>
  </si>
  <si>
    <t>월평균</t>
    <phoneticPr fontId="22" type="noConversion"/>
  </si>
  <si>
    <t>19년</t>
    <phoneticPr fontId="22" type="noConversion"/>
  </si>
  <si>
    <t>비가동</t>
    <phoneticPr fontId="22" type="noConversion"/>
  </si>
  <si>
    <t>불량</t>
    <phoneticPr fontId="33" type="noConversion"/>
  </si>
  <si>
    <t>건수</t>
    <phoneticPr fontId="22" type="noConversion"/>
  </si>
  <si>
    <t>시간(Hr)</t>
    <phoneticPr fontId="22" type="noConversion"/>
  </si>
  <si>
    <t>스크랩</t>
    <phoneticPr fontId="22" type="noConversion"/>
  </si>
  <si>
    <t>코일형</t>
    <phoneticPr fontId="22" type="noConversion"/>
  </si>
  <si>
    <t>쉬트형</t>
    <phoneticPr fontId="22" type="noConversion"/>
  </si>
  <si>
    <t>불만</t>
    <phoneticPr fontId="22" type="noConversion"/>
  </si>
  <si>
    <t>반품</t>
    <phoneticPr fontId="22" type="noConversion"/>
  </si>
  <si>
    <t>고객불만</t>
    <phoneticPr fontId="22" type="noConversion"/>
  </si>
  <si>
    <t>총합계</t>
    <phoneticPr fontId="22" type="noConversion"/>
  </si>
  <si>
    <t>Ton</t>
    <phoneticPr fontId="22" type="noConversion"/>
  </si>
  <si>
    <t>불만(건)</t>
    <phoneticPr fontId="22" type="noConversion"/>
  </si>
  <si>
    <t>반품(톤)</t>
    <phoneticPr fontId="22" type="noConversion"/>
  </si>
  <si>
    <t>16년</t>
    <phoneticPr fontId="22" type="noConversion"/>
  </si>
  <si>
    <t>17년</t>
    <phoneticPr fontId="22" type="noConversion"/>
  </si>
  <si>
    <t>Coil형
Scrap
(합계)</t>
    <phoneticPr fontId="22" type="noConversion"/>
  </si>
  <si>
    <t>PO</t>
    <phoneticPr fontId="22" type="noConversion"/>
  </si>
  <si>
    <t>GI</t>
    <phoneticPr fontId="22" type="noConversion"/>
  </si>
  <si>
    <t>PPGI</t>
    <phoneticPr fontId="22" type="noConversion"/>
  </si>
  <si>
    <t>PPAL</t>
    <phoneticPr fontId="22" type="noConversion"/>
  </si>
  <si>
    <t>합계</t>
    <phoneticPr fontId="22" type="noConversion"/>
  </si>
  <si>
    <t>건수</t>
    <phoneticPr fontId="22" type="noConversion"/>
  </si>
  <si>
    <t>제안</t>
  </si>
  <si>
    <t>불량(톤)</t>
  </si>
  <si>
    <t>비가동(건)</t>
  </si>
  <si>
    <t>비가동(시간)</t>
  </si>
  <si>
    <t>CPL(원)</t>
  </si>
  <si>
    <t>CRM(원)</t>
  </si>
  <si>
    <t>CGL(원)</t>
  </si>
  <si>
    <t>1CCL(원)</t>
  </si>
  <si>
    <t>2CCL(원)</t>
  </si>
  <si>
    <t>코일</t>
  </si>
  <si>
    <t>쉬트</t>
  </si>
  <si>
    <t>불만(건)</t>
  </si>
  <si>
    <t>반품(톤)</t>
  </si>
  <si>
    <t>제조
원가</t>
    <phoneticPr fontId="22" type="noConversion"/>
  </si>
  <si>
    <t xml:space="preserve">4대
지표 </t>
    <phoneticPr fontId="22" type="noConversion"/>
  </si>
  <si>
    <t>스크랩
(톤)</t>
    <phoneticPr fontId="22" type="noConversion"/>
  </si>
  <si>
    <t>2018
실적</t>
    <phoneticPr fontId="22" type="noConversion"/>
  </si>
  <si>
    <t>2019
누적</t>
    <phoneticPr fontId="22" type="noConversion"/>
  </si>
  <si>
    <t>2018
월평균</t>
    <phoneticPr fontId="22" type="noConversion"/>
  </si>
  <si>
    <t>2019
월평균</t>
    <phoneticPr fontId="22" type="noConversion"/>
  </si>
  <si>
    <t>총합계</t>
    <phoneticPr fontId="22" type="noConversion"/>
  </si>
  <si>
    <t>합계</t>
    <phoneticPr fontId="22" type="noConversion"/>
  </si>
  <si>
    <t>포장자재</t>
    <phoneticPr fontId="22" type="noConversion"/>
  </si>
  <si>
    <t>통판</t>
    <phoneticPr fontId="22" type="noConversion"/>
  </si>
  <si>
    <t>2016
실적</t>
    <phoneticPr fontId="22" type="noConversion"/>
  </si>
  <si>
    <t>2017
실적</t>
    <phoneticPr fontId="22" type="noConversion"/>
  </si>
  <si>
    <t>자가
소비</t>
    <phoneticPr fontId="22" type="noConversion"/>
  </si>
  <si>
    <t>16년</t>
    <phoneticPr fontId="22" type="noConversion"/>
  </si>
  <si>
    <t>17년</t>
    <phoneticPr fontId="22" type="noConversion"/>
  </si>
  <si>
    <t>18년</t>
    <phoneticPr fontId="22" type="noConversion"/>
  </si>
  <si>
    <t>성과
개선</t>
    <phoneticPr fontId="22" type="noConversion"/>
  </si>
  <si>
    <t>19년
실적</t>
    <phoneticPr fontId="22" type="noConversion"/>
  </si>
  <si>
    <t>코일형
Scrap</t>
    <phoneticPr fontId="22" type="noConversion"/>
  </si>
  <si>
    <t>쉬트형
Scrap</t>
    <phoneticPr fontId="22" type="noConversion"/>
  </si>
  <si>
    <t>비가동</t>
    <phoneticPr fontId="22" type="noConversion"/>
  </si>
  <si>
    <t>시간</t>
    <phoneticPr fontId="22" type="noConversion"/>
  </si>
  <si>
    <t>건</t>
    <phoneticPr fontId="33" type="noConversion"/>
  </si>
  <si>
    <t>Hr</t>
    <phoneticPr fontId="22" type="noConversion"/>
  </si>
  <si>
    <t>Total 월평균</t>
    <phoneticPr fontId="22" type="noConversion"/>
  </si>
  <si>
    <t>Total 합계</t>
    <phoneticPr fontId="22" type="noConversion"/>
  </si>
  <si>
    <t>CGL</t>
    <phoneticPr fontId="22" type="noConversion"/>
  </si>
  <si>
    <t>고객
불만</t>
    <phoneticPr fontId="22" type="noConversion"/>
  </si>
  <si>
    <t>반품</t>
    <phoneticPr fontId="22" type="noConversion"/>
  </si>
  <si>
    <t>건</t>
    <phoneticPr fontId="33" type="noConversion"/>
  </si>
  <si>
    <t>CPL</t>
    <phoneticPr fontId="22" type="noConversion"/>
  </si>
  <si>
    <t>포장재</t>
    <phoneticPr fontId="33" type="noConversion"/>
  </si>
  <si>
    <t>통판</t>
    <phoneticPr fontId="33" type="noConversion"/>
  </si>
  <si>
    <t>구분</t>
    <phoneticPr fontId="22" type="noConversion"/>
  </si>
  <si>
    <t>라인명</t>
    <phoneticPr fontId="33" type="noConversion"/>
  </si>
  <si>
    <t>스크랩</t>
    <phoneticPr fontId="22" type="noConversion"/>
  </si>
  <si>
    <t>비가동</t>
    <phoneticPr fontId="22" type="noConversion"/>
  </si>
  <si>
    <t>고객불만</t>
    <phoneticPr fontId="22" type="noConversion"/>
  </si>
  <si>
    <t>반품</t>
    <phoneticPr fontId="22" type="noConversion"/>
  </si>
  <si>
    <t>건수</t>
    <phoneticPr fontId="22" type="noConversion"/>
  </si>
  <si>
    <t>건</t>
    <phoneticPr fontId="22" type="noConversion"/>
  </si>
  <si>
    <t>Ton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</si>
  <si>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</si>
  <si>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</si>
  <si>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</si>
  <si>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</si>
  <si>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11월
실적</t>
    <phoneticPr fontId="22" type="noConversion"/>
  </si>
  <si>
    <t>누적합계</t>
    <phoneticPr fontId="22" type="noConversion"/>
  </si>
  <si>
    <t>20년 추정실적</t>
    <phoneticPr fontId="22" type="noConversion"/>
  </si>
  <si>
    <t>20년 목표</t>
    <phoneticPr fontId="22" type="noConversion"/>
  </si>
  <si>
    <t>19년
실적</t>
    <phoneticPr fontId="22" type="noConversion"/>
  </si>
  <si>
    <t>20년</t>
    <phoneticPr fontId="22" type="noConversion"/>
  </si>
  <si>
    <t>20년</t>
    <phoneticPr fontId="22" type="noConversion"/>
  </si>
  <si>
    <t>19년</t>
    <phoneticPr fontId="22" type="noConversion"/>
  </si>
  <si>
    <t>2019년 계</t>
    <phoneticPr fontId="22" type="noConversion"/>
  </si>
  <si>
    <t>2020년 계</t>
    <phoneticPr fontId="22" type="noConversion"/>
  </si>
  <si>
    <t>누적합계</t>
    <phoneticPr fontId="22" type="noConversion"/>
  </si>
  <si>
    <t>누적합계</t>
    <phoneticPr fontId="22" type="noConversion"/>
  </si>
  <si>
    <t>19년
실적</t>
    <phoneticPr fontId="22" type="noConversion"/>
  </si>
  <si>
    <t>20년
목표</t>
    <phoneticPr fontId="22" type="noConversion"/>
  </si>
  <si>
    <t>20년
목표</t>
    <phoneticPr fontId="22" type="noConversion"/>
  </si>
  <si>
    <t>20년
목표</t>
    <phoneticPr fontId="22" type="noConversion"/>
  </si>
  <si>
    <t>1분기</t>
    <phoneticPr fontId="22" type="noConversion"/>
  </si>
  <si>
    <t>→ 보정계수를 왜 곱함??</t>
    <phoneticPr fontId="22" type="noConversion"/>
  </si>
  <si>
    <t>→(A급+불량)/가동시간</t>
    <phoneticPr fontId="22" type="noConversion"/>
  </si>
  <si>
    <t>2020 투입</t>
  </si>
  <si>
    <t>20년 A급</t>
  </si>
  <si>
    <t>연 14회 가동 및 S/D 기준</t>
    <phoneticPr fontId="22" type="noConversion"/>
  </si>
  <si>
    <t>변동비</t>
  </si>
  <si>
    <t>고정비</t>
  </si>
  <si>
    <t>소계</t>
    <phoneticPr fontId="33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</si>
  <si>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</si>
  <si>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</si>
  <si>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</si>
  <si>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</si>
  <si>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</si>
  <si>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라인명</t>
    <phoneticPr fontId="22" type="noConversion"/>
  </si>
  <si>
    <t>20년
목표</t>
    <phoneticPr fontId="22" type="noConversion"/>
  </si>
  <si>
    <t>20년
목표</t>
    <phoneticPr fontId="22" type="noConversion"/>
  </si>
  <si>
    <t>2018
시간 Loss 금액
(원단위_시간)</t>
    <phoneticPr fontId="33" type="noConversion"/>
  </si>
  <si>
    <t>시간 LOSS 금액</t>
    <phoneticPr fontId="22" type="noConversion"/>
  </si>
  <si>
    <t>고객거절제품</t>
    <phoneticPr fontId="22" type="noConversion"/>
  </si>
  <si>
    <t>고객불만 + 반품 비용 (미처리 비용 포함)
69,000,000(1CL)
42,073,369(2CL)</t>
    <phoneticPr fontId="22" type="noConversion"/>
  </si>
  <si>
    <t>*. 고객불만</t>
    <phoneticPr fontId="22" type="noConversion"/>
  </si>
  <si>
    <t xml:space="preserve"> ① 고객불만비용 CPL</t>
    <phoneticPr fontId="22" type="noConversion"/>
  </si>
  <si>
    <t xml:space="preserve"> ② 고객불만비용 CGL</t>
    <phoneticPr fontId="22" type="noConversion"/>
  </si>
  <si>
    <t xml:space="preserve"> ③ 고객불만비용 1CCL</t>
    <phoneticPr fontId="22" type="noConversion"/>
  </si>
  <si>
    <t xml:space="preserve"> ④ 고객불만비용 2CCL</t>
    <phoneticPr fontId="22" type="noConversion"/>
  </si>
  <si>
    <t>*. 고객반품</t>
    <phoneticPr fontId="22" type="noConversion"/>
  </si>
  <si>
    <t xml:space="preserve"> ① 고객반품비용 CGL</t>
    <phoneticPr fontId="22" type="noConversion"/>
  </si>
  <si>
    <t xml:space="preserve"> ② 고객반품비용 1CCL</t>
    <phoneticPr fontId="22" type="noConversion"/>
  </si>
  <si>
    <t xml:space="preserve"> ③ 고객반품비용 2CCL</t>
    <phoneticPr fontId="22" type="noConversion"/>
  </si>
  <si>
    <t>재작업제품</t>
    <phoneticPr fontId="22" type="noConversion"/>
  </si>
  <si>
    <t>*. 재작업량 CPL</t>
    <phoneticPr fontId="22" type="noConversion"/>
  </si>
  <si>
    <t>*. 재작업량 CRM</t>
    <phoneticPr fontId="22" type="noConversion"/>
  </si>
  <si>
    <t>*. 재작업량 1 CCL</t>
    <phoneticPr fontId="22" type="noConversion"/>
  </si>
  <si>
    <t>*. 재작업량 2 CCL</t>
    <phoneticPr fontId="22" type="noConversion"/>
  </si>
  <si>
    <t>계</t>
    <phoneticPr fontId="22" type="noConversion"/>
  </si>
  <si>
    <t>총 제품매출액</t>
  </si>
  <si>
    <t>월평균</t>
    <phoneticPr fontId="22" type="noConversion"/>
  </si>
  <si>
    <t>부재료</t>
    <phoneticPr fontId="22" type="noConversion"/>
  </si>
  <si>
    <t>유틸리티</t>
    <phoneticPr fontId="22" type="noConversion"/>
  </si>
  <si>
    <t>부착율</t>
    <phoneticPr fontId="22" type="noConversion"/>
  </si>
  <si>
    <t>드로스</t>
  </si>
  <si>
    <t>드로스</t>
    <phoneticPr fontId="22" type="noConversion"/>
  </si>
  <si>
    <t>전력비</t>
    <phoneticPr fontId="22" type="noConversion"/>
  </si>
  <si>
    <t>N㎥/ton</t>
  </si>
  <si>
    <t>LNG</t>
    <phoneticPr fontId="22" type="noConversion"/>
  </si>
  <si>
    <t>604원/N㎥</t>
    <phoneticPr fontId="33" type="noConversion"/>
  </si>
  <si>
    <t>604.35원/N㎥</t>
    <phoneticPr fontId="22" type="noConversion"/>
  </si>
  <si>
    <t>101.42원/kwh</t>
    <phoneticPr fontId="22" type="noConversion"/>
  </si>
  <si>
    <t>101.42원/kwh</t>
    <phoneticPr fontId="22" type="noConversion"/>
  </si>
  <si>
    <t>20년</t>
    <phoneticPr fontId="22" type="noConversion"/>
  </si>
  <si>
    <t>20년</t>
    <phoneticPr fontId="22" type="noConversion"/>
  </si>
  <si>
    <t>20년
목표금액</t>
    <phoneticPr fontId="33" type="noConversion"/>
  </si>
  <si>
    <t>20년
목표금액</t>
    <phoneticPr fontId="33" type="noConversion"/>
  </si>
  <si>
    <t>20년 실적</t>
  </si>
  <si>
    <t>20년 실적</t>
    <phoneticPr fontId="33" type="noConversion"/>
  </si>
  <si>
    <t>`</t>
    <phoneticPr fontId="22" type="noConversion"/>
  </si>
  <si>
    <t>20년 실적</t>
    <phoneticPr fontId="33" type="noConversion"/>
  </si>
  <si>
    <t>5. NO 2 CCL 20년 주요 생산 지표 목표 및 개선금액 현황</t>
    <phoneticPr fontId="33" type="noConversion"/>
  </si>
  <si>
    <t>20년 실적</t>
    <phoneticPr fontId="22" type="noConversion"/>
  </si>
  <si>
    <t>4. NO 1 CCL 20년 주요 생산 지표 목표 및 개선금액 현황</t>
    <phoneticPr fontId="33" type="noConversion"/>
  </si>
  <si>
    <t>3. CGL 20년 주요 생산 지표 목표 및 개선금액 현황</t>
    <phoneticPr fontId="33" type="noConversion"/>
  </si>
  <si>
    <t>2. CRM 20년 주요 생산 지표 목표 및 개선금액 현황</t>
    <phoneticPr fontId="33" type="noConversion"/>
  </si>
  <si>
    <t>1. CPL 20년 주요 생산 지표 목표 및 개선금액 현황</t>
    <phoneticPr fontId="33" type="noConversion"/>
  </si>
  <si>
    <t>20년 중점관리 지표(공장장 실)</t>
    <phoneticPr fontId="22" type="noConversion"/>
  </si>
  <si>
    <t>19년</t>
    <phoneticPr fontId="22" type="noConversion"/>
  </si>
  <si>
    <t>20년
상반기</t>
    <phoneticPr fontId="22" type="noConversion"/>
  </si>
  <si>
    <t>합계</t>
    <phoneticPr fontId="22" type="noConversion"/>
  </si>
  <si>
    <t>인출
Coil형
Scrap
(입측)</t>
    <phoneticPr fontId="22" type="noConversion"/>
  </si>
  <si>
    <t>Coil형 합계</t>
    <phoneticPr fontId="22" type="noConversion"/>
  </si>
  <si>
    <t>내부소재</t>
    <phoneticPr fontId="22" type="noConversion"/>
  </si>
  <si>
    <t>11월생산량</t>
    <phoneticPr fontId="22" type="noConversion"/>
  </si>
  <si>
    <t>20년물동</t>
    <phoneticPr fontId="22" type="noConversion"/>
  </si>
  <si>
    <t>1칼라</t>
    <phoneticPr fontId="22" type="noConversion"/>
  </si>
  <si>
    <t>구매소재</t>
    <phoneticPr fontId="22" type="noConversion"/>
  </si>
  <si>
    <t>Scrap율</t>
    <phoneticPr fontId="33" type="noConversion"/>
  </si>
  <si>
    <t>Scrap 총합계</t>
    <phoneticPr fontId="22" type="noConversion"/>
  </si>
  <si>
    <t>라인별
부재료</t>
    <phoneticPr fontId="33" type="noConversion"/>
  </si>
  <si>
    <t>염산</t>
    <phoneticPr fontId="33" type="noConversion"/>
  </si>
  <si>
    <t>압연유</t>
    <phoneticPr fontId="22" type="noConversion"/>
  </si>
  <si>
    <t>아연부착량</t>
    <phoneticPr fontId="22" type="noConversion"/>
  </si>
  <si>
    <t>드로스</t>
    <phoneticPr fontId="22" type="noConversion"/>
  </si>
  <si>
    <t>Kg/TON</t>
  </si>
  <si>
    <t>#1페인트</t>
    <phoneticPr fontId="22" type="noConversion"/>
  </si>
  <si>
    <t>#2페인트</t>
    <phoneticPr fontId="22" type="noConversion"/>
  </si>
  <si>
    <t>101→114원/kg</t>
    <phoneticPr fontId="22" type="noConversion"/>
  </si>
  <si>
    <t>라인별
부재료</t>
  </si>
  <si>
    <t>염산</t>
  </si>
  <si>
    <t>압연유</t>
  </si>
  <si>
    <t>아연부착량</t>
  </si>
  <si>
    <t>#1페인트</t>
  </si>
  <si>
    <t>#2페인트</t>
  </si>
  <si>
    <t>2,490원/ℓ</t>
    <phoneticPr fontId="22" type="noConversion"/>
  </si>
  <si>
    <t>부재료</t>
    <phoneticPr fontId="22" type="noConversion"/>
  </si>
  <si>
    <t>염산</t>
    <phoneticPr fontId="22" type="noConversion"/>
  </si>
  <si>
    <t>6,000원/kg</t>
    <phoneticPr fontId="33" type="noConversion"/>
  </si>
  <si>
    <t>3228.24원/kg</t>
    <phoneticPr fontId="33" type="noConversion"/>
  </si>
  <si>
    <t>645.648원(20%)</t>
    <phoneticPr fontId="33" type="noConversion"/>
  </si>
  <si>
    <t>kg/Ton</t>
    <phoneticPr fontId="22" type="noConversion"/>
  </si>
  <si>
    <t>Kw/Ton</t>
    <phoneticPr fontId="22" type="noConversion"/>
  </si>
  <si>
    <t>전력비</t>
    <phoneticPr fontId="22" type="noConversion"/>
  </si>
  <si>
    <t>#2페인트</t>
    <phoneticPr fontId="22" type="noConversion"/>
  </si>
  <si>
    <t>20년 예상</t>
    <phoneticPr fontId="22" type="noConversion"/>
  </si>
  <si>
    <t>1,082,253원/hr</t>
    <phoneticPr fontId="33" type="noConversion"/>
  </si>
  <si>
    <t>원/Ton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</si>
  <si>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</si>
  <si>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</si>
  <si>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</si>
  <si>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</si>
  <si>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</si>
  <si>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라인별
제조원가</t>
    <phoneticPr fontId="22" type="noConversion"/>
  </si>
  <si>
    <t>원/ton</t>
    <phoneticPr fontId="22" type="noConversion"/>
  </si>
  <si>
    <t>원/ton</t>
    <phoneticPr fontId="22" type="noConversion"/>
  </si>
  <si>
    <t>원/ton</t>
    <phoneticPr fontId="33" type="noConversion"/>
  </si>
  <si>
    <t>실질 제조원가</t>
    <phoneticPr fontId="22" type="noConversion"/>
  </si>
  <si>
    <t>4대 지표 + 대표 부재료 + 유틸리티 개선 목표</t>
  </si>
  <si>
    <t>4대 LOSS 개선 금액 목표</t>
    <phoneticPr fontId="22" type="noConversion"/>
  </si>
  <si>
    <t>4대 LOSS 개선 금액 목표</t>
    <phoneticPr fontId="22" type="noConversion"/>
  </si>
  <si>
    <t>FH</t>
    <phoneticPr fontId="22" type="noConversion"/>
  </si>
  <si>
    <t>PO</t>
    <phoneticPr fontId="22" type="noConversion"/>
  </si>
  <si>
    <t>CGL 가공비</t>
    <phoneticPr fontId="22" type="noConversion"/>
  </si>
  <si>
    <t>CPL 가공비</t>
    <phoneticPr fontId="22" type="noConversion"/>
  </si>
  <si>
    <t>CRM 가공비</t>
    <phoneticPr fontId="22" type="noConversion"/>
  </si>
  <si>
    <t>아연원단위</t>
    <phoneticPr fontId="22" type="noConversion"/>
  </si>
  <si>
    <t>FH 가격이 너무낮아 가공비로 제품가 설정 불가</t>
    <phoneticPr fontId="22" type="noConversion"/>
  </si>
  <si>
    <t>건축법개정으로 1년차 정도막 부착</t>
  </si>
  <si>
    <t>전라인 4대 LOSS 개선 금액 목표</t>
    <phoneticPr fontId="22" type="noConversion"/>
  </si>
  <si>
    <t>4대 지표 + 대표 부재료 + 유틸리티 개선 목표</t>
    <phoneticPr fontId="22" type="noConversion"/>
  </si>
  <si>
    <t>전라인 4대 지표 + 대표 부재료 + 유틸리티 개선 목표</t>
    <phoneticPr fontId="22" type="noConversion"/>
  </si>
  <si>
    <t>%</t>
    <phoneticPr fontId="22" type="noConversion"/>
  </si>
  <si>
    <t>101.42원/kwh</t>
    <phoneticPr fontId="33" type="noConversion"/>
  </si>
  <si>
    <t>604.35원/N㎥</t>
    <phoneticPr fontId="33" type="noConversion"/>
  </si>
  <si>
    <t>18년</t>
    <phoneticPr fontId="22" type="noConversion"/>
  </si>
  <si>
    <t>사무실</t>
    <phoneticPr fontId="22" type="noConversion"/>
  </si>
  <si>
    <t>개선금액</t>
    <phoneticPr fontId="22" type="noConversion"/>
  </si>
  <si>
    <t>5CB</t>
    <phoneticPr fontId="22" type="noConversion"/>
  </si>
  <si>
    <t>사무실</t>
    <phoneticPr fontId="22" type="noConversion"/>
  </si>
  <si>
    <t>아이엠텍</t>
    <phoneticPr fontId="22" type="noConversion"/>
  </si>
  <si>
    <t>천원</t>
    <phoneticPr fontId="22" type="noConversion"/>
  </si>
  <si>
    <t>비고</t>
    <phoneticPr fontId="22" type="noConversion"/>
  </si>
  <si>
    <t>구분</t>
    <phoneticPr fontId="22" type="noConversion"/>
  </si>
  <si>
    <t>20년</t>
    <phoneticPr fontId="22" type="noConversion"/>
  </si>
  <si>
    <t>19년</t>
    <phoneticPr fontId="22" type="noConversion"/>
  </si>
  <si>
    <t>`</t>
    <phoneticPr fontId="22" type="noConversion"/>
  </si>
  <si>
    <t>19년 라인별 실적</t>
    <phoneticPr fontId="22" type="noConversion"/>
  </si>
  <si>
    <t>12월생산량</t>
    <phoneticPr fontId="22" type="noConversion"/>
  </si>
  <si>
    <t>17년</t>
    <phoneticPr fontId="22" type="noConversion"/>
  </si>
  <si>
    <t>누적</t>
    <phoneticPr fontId="22" type="noConversion"/>
  </si>
  <si>
    <t>19년</t>
    <phoneticPr fontId="22" type="noConversion"/>
  </si>
  <si>
    <t>18년</t>
    <phoneticPr fontId="22" type="noConversion"/>
  </si>
  <si>
    <t>PO</t>
    <phoneticPr fontId="22" type="noConversion"/>
  </si>
  <si>
    <t>GI</t>
    <phoneticPr fontId="22" type="noConversion"/>
  </si>
  <si>
    <t>PO+GI</t>
    <phoneticPr fontId="22" type="noConversion"/>
  </si>
  <si>
    <t>1CL</t>
    <phoneticPr fontId="22" type="noConversion"/>
  </si>
  <si>
    <t>2CL</t>
    <phoneticPr fontId="22" type="noConversion"/>
  </si>
  <si>
    <t>1CL+2CL</t>
    <phoneticPr fontId="22" type="noConversion"/>
  </si>
  <si>
    <t>혁신지표</t>
    <phoneticPr fontId="22" type="noConversion"/>
  </si>
  <si>
    <t>18년 실적</t>
    <phoneticPr fontId="22" type="noConversion"/>
  </si>
  <si>
    <t>19년 실적</t>
    <phoneticPr fontId="22" type="noConversion"/>
  </si>
  <si>
    <t>20년 목표</t>
    <phoneticPr fontId="22" type="noConversion"/>
  </si>
  <si>
    <t>3-8. 전기(사무) 설비 개선</t>
    <phoneticPr fontId="22" type="noConversion"/>
  </si>
  <si>
    <t>3-8. 전기(5CB) 설비 개선</t>
    <phoneticPr fontId="22" type="noConversion"/>
  </si>
  <si>
    <t>코일형 : 불량인출+출측 코일형(19년부터 변경)</t>
    <phoneticPr fontId="22" type="noConversion"/>
  </si>
  <si>
    <t>재처리</t>
    <phoneticPr fontId="22" type="noConversion"/>
  </si>
  <si>
    <t>Ton</t>
  </si>
  <si>
    <t>Ton</t>
    <phoneticPr fontId="22" type="noConversion"/>
  </si>
  <si>
    <t>톤파워</t>
    <phoneticPr fontId="22" type="noConversion"/>
  </si>
  <si>
    <t>Ton/Hr</t>
  </si>
  <si>
    <t>Ton/Hr</t>
    <phoneticPr fontId="22" type="noConversion"/>
  </si>
  <si>
    <t>재처리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</si>
  <si>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</si>
  <si>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</si>
  <si>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</si>
  <si>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</si>
  <si>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</si>
  <si>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합계</t>
    <phoneticPr fontId="22" type="noConversion"/>
  </si>
  <si>
    <t>Ton/hr</t>
    <phoneticPr fontId="33" type="noConversion"/>
  </si>
  <si>
    <t>합계</t>
    <phoneticPr fontId="33" type="noConversion"/>
  </si>
  <si>
    <t>소모품비</t>
    <phoneticPr fontId="22" type="noConversion"/>
  </si>
  <si>
    <t>Sheet Scrap 판매량</t>
    <phoneticPr fontId="22" type="noConversion"/>
  </si>
  <si>
    <t>출측 코일형</t>
    <phoneticPr fontId="22" type="noConversion"/>
  </si>
  <si>
    <t>입측 불량인출</t>
    <phoneticPr fontId="22" type="noConversion"/>
  </si>
  <si>
    <t>전산 Sheet형 스크랩</t>
    <phoneticPr fontId="22" type="noConversion"/>
  </si>
  <si>
    <t>1CCL 요인 통판(증복X)</t>
    <phoneticPr fontId="22" type="noConversion"/>
  </si>
  <si>
    <t>1CCL 요인 포장재(중복X)</t>
    <phoneticPr fontId="22" type="noConversion"/>
  </si>
  <si>
    <t>구매 GI 불량 인출</t>
    <phoneticPr fontId="22" type="noConversion"/>
  </si>
  <si>
    <t>내부 GI 불량 인출</t>
    <phoneticPr fontId="22" type="noConversion"/>
  </si>
  <si>
    <t>Sheet제외 스크랩 판매량</t>
    <phoneticPr fontId="22" type="noConversion"/>
  </si>
  <si>
    <t>전체 합계</t>
    <phoneticPr fontId="22" type="noConversion"/>
  </si>
  <si>
    <t>인출+코일형+쉬트형</t>
    <phoneticPr fontId="33" type="noConversion"/>
  </si>
  <si>
    <t>쵸퍼 스크랩</t>
    <phoneticPr fontId="22" type="noConversion"/>
  </si>
  <si>
    <t>쉬트 스크랩</t>
    <phoneticPr fontId="22" type="noConversion"/>
  </si>
  <si>
    <t>코일형 스크랩</t>
    <phoneticPr fontId="22" type="noConversion"/>
  </si>
  <si>
    <t>통판 스크랩</t>
    <phoneticPr fontId="22" type="noConversion"/>
  </si>
  <si>
    <t>총 합계</t>
    <phoneticPr fontId="22" type="noConversion"/>
  </si>
  <si>
    <t>쉬트형 스크랩</t>
    <phoneticPr fontId="22" type="noConversion"/>
  </si>
  <si>
    <t>인출 스크랩</t>
    <phoneticPr fontId="22" type="noConversion"/>
  </si>
  <si>
    <t>코일형 스크랩</t>
    <phoneticPr fontId="22" type="noConversion"/>
  </si>
  <si>
    <t>쉬트형 스크랩</t>
    <phoneticPr fontId="22" type="noConversion"/>
  </si>
  <si>
    <t>통판 스크랩</t>
    <phoneticPr fontId="22" type="noConversion"/>
  </si>
  <si>
    <t>포장재 스크랩</t>
    <phoneticPr fontId="22" type="noConversion"/>
  </si>
  <si>
    <t>인출 스크랩</t>
    <phoneticPr fontId="22" type="noConversion"/>
  </si>
  <si>
    <t>총 합계</t>
    <phoneticPr fontId="22" type="noConversion"/>
  </si>
  <si>
    <t>소모품비</t>
    <phoneticPr fontId="22" type="noConversion"/>
  </si>
  <si>
    <t>ARP 개선금액</t>
    <phoneticPr fontId="22" type="noConversion"/>
  </si>
  <si>
    <t>원</t>
  </si>
  <si>
    <t>원</t>
    <phoneticPr fontId="22" type="noConversion"/>
  </si>
  <si>
    <t>Roll Shop 개선금액</t>
    <phoneticPr fontId="22" type="noConversion"/>
  </si>
  <si>
    <t>건</t>
  </si>
  <si>
    <t>Hr</t>
  </si>
  <si>
    <t>Kw/Ton</t>
  </si>
  <si>
    <t>kg/Ton</t>
  </si>
  <si>
    <t>1CCL 포장 개선금액</t>
    <phoneticPr fontId="22" type="noConversion"/>
  </si>
  <si>
    <t>2CCL 포장 개선금액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</si>
  <si>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</si>
  <si>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</si>
  <si>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</si>
  <si>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</si>
  <si>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GI 합계</t>
    <phoneticPr fontId="22" type="noConversion"/>
  </si>
  <si>
    <t>1CL 합계</t>
    <phoneticPr fontId="22" type="noConversion"/>
  </si>
  <si>
    <t>2CL 합계</t>
    <phoneticPr fontId="22" type="noConversion"/>
  </si>
  <si>
    <t>4대 LOSS 개선 금액 목표 (CPL+CRM+CGL)</t>
    <phoneticPr fontId="22" type="noConversion"/>
  </si>
  <si>
    <t>4대 지표 + 대표 부재료 + 유틸리티 개선 목표 (CPL+CRM+CGL)</t>
    <phoneticPr fontId="22" type="noConversion"/>
  </si>
  <si>
    <t>4대 LOSS 개선 금액 목표 (CPL+CRM+CGL+1CCL)</t>
    <phoneticPr fontId="22" type="noConversion"/>
  </si>
  <si>
    <t>4대 지표 + 대표 부재료 + 유틸리티 개선 목표 (CPL+CRM+CGL+1CCL)</t>
    <phoneticPr fontId="22" type="noConversion"/>
  </si>
  <si>
    <t>4대 LOSS 개선 금액 목표 (CPL+CRM+CGL+2CCL)</t>
    <phoneticPr fontId="22" type="noConversion"/>
  </si>
  <si>
    <t>4대 지표 + 대표 부재료 + 유틸리티 개선 목표 (CPL+CRM+CGL+2CCL)</t>
    <phoneticPr fontId="22" type="noConversion"/>
  </si>
  <si>
    <t>계획
20년</t>
    <phoneticPr fontId="33" type="noConversion"/>
  </si>
  <si>
    <t>SCRAP율</t>
    <phoneticPr fontId="33" type="noConversion"/>
  </si>
  <si>
    <t>판매 SCRAP율</t>
    <phoneticPr fontId="22" type="noConversion"/>
  </si>
  <si>
    <t>판매 SCRAP율</t>
    <phoneticPr fontId="33" type="noConversion"/>
  </si>
  <si>
    <t>18년</t>
    <phoneticPr fontId="22" type="noConversion"/>
  </si>
  <si>
    <t>19년</t>
    <phoneticPr fontId="22" type="noConversion"/>
  </si>
  <si>
    <t>판매 스크랩율</t>
    <phoneticPr fontId="33" type="noConversion"/>
  </si>
  <si>
    <t>18년 개선금액</t>
    <phoneticPr fontId="22" type="noConversion"/>
  </si>
  <si>
    <t>19년 개선금액</t>
    <phoneticPr fontId="22" type="noConversion"/>
  </si>
  <si>
    <t>Sheet 스크랩 전산 등록요망</t>
    <phoneticPr fontId="22" type="noConversion"/>
  </si>
  <si>
    <t>현재 Sheet 판매량 + 코일형 전산 + 인출 전산</t>
    <phoneticPr fontId="22" type="noConversion"/>
  </si>
  <si>
    <t>1,303,502원/hr</t>
    <phoneticPr fontId="22" type="noConversion"/>
  </si>
  <si>
    <t>864,348원/ton</t>
    <phoneticPr fontId="22" type="noConversion"/>
  </si>
  <si>
    <t>Sheet Scrap 판매량</t>
  </si>
  <si>
    <t>출측 코일형</t>
  </si>
  <si>
    <t>입측 불량인출</t>
  </si>
  <si>
    <t>전산 Sheet형 스크랩</t>
  </si>
  <si>
    <t>1CCL 요인 통판(증복X)</t>
  </si>
  <si>
    <t>1CCL 요인 포장재(중복X)</t>
  </si>
  <si>
    <t>구매 GI 불량 인출</t>
  </si>
  <si>
    <t>내부 GI 불량 인출</t>
  </si>
  <si>
    <t>AL 스크랩</t>
  </si>
  <si>
    <t>Sheet제외 스크랩 판매량</t>
  </si>
  <si>
    <t>전체 합계</t>
  </si>
  <si>
    <t>864,348원/ton</t>
  </si>
  <si>
    <t>19년단가 5,298원/kg</t>
    <phoneticPr fontId="22" type="noConversion"/>
  </si>
  <si>
    <t>19년단가 3,785원/kg</t>
    <phoneticPr fontId="22" type="noConversion"/>
  </si>
  <si>
    <t>2,192,114원/hr</t>
    <phoneticPr fontId="22" type="noConversion"/>
  </si>
  <si>
    <t>433,825원/ton</t>
    <phoneticPr fontId="33" type="noConversion"/>
  </si>
  <si>
    <t>1,125,542원/hr</t>
    <phoneticPr fontId="33" type="noConversion"/>
  </si>
  <si>
    <t>1,125,542원/hr,1Pass기준</t>
    <phoneticPr fontId="33" type="noConversion"/>
  </si>
  <si>
    <t>1,106,418원/hr</t>
    <phoneticPr fontId="33" type="noConversion"/>
  </si>
  <si>
    <t>433,825원/ton</t>
    <phoneticPr fontId="33" type="noConversion"/>
  </si>
  <si>
    <t>703,178원/ton</t>
    <phoneticPr fontId="33" type="noConversion"/>
  </si>
  <si>
    <t>1,050,760원/hr</t>
    <phoneticPr fontId="22" type="noConversion"/>
  </si>
  <si>
    <t>703,178원/ton</t>
  </si>
  <si>
    <t>쵸퍼</t>
  </si>
  <si>
    <t>쵸퍼</t>
    <phoneticPr fontId="22" type="noConversion"/>
  </si>
  <si>
    <t>쵸퍼</t>
    <phoneticPr fontId="22" type="noConversion"/>
  </si>
  <si>
    <t>코일형</t>
  </si>
  <si>
    <t>쉬트형</t>
  </si>
  <si>
    <t>포장재</t>
  </si>
  <si>
    <t>통판</t>
  </si>
  <si>
    <t>제품</t>
    <phoneticPr fontId="22" type="noConversion"/>
  </si>
  <si>
    <t>PO</t>
    <phoneticPr fontId="22" type="noConversion"/>
  </si>
  <si>
    <t>GI</t>
    <phoneticPr fontId="22" type="noConversion"/>
  </si>
  <si>
    <t>내수</t>
    <phoneticPr fontId="22" type="noConversion"/>
  </si>
  <si>
    <t>수출</t>
    <phoneticPr fontId="22" type="noConversion"/>
  </si>
  <si>
    <t>합계</t>
    <phoneticPr fontId="22" type="noConversion"/>
  </si>
  <si>
    <t>CL</t>
    <phoneticPr fontId="22" type="noConversion"/>
  </si>
  <si>
    <t>총합계</t>
    <phoneticPr fontId="22" type="noConversion"/>
  </si>
  <si>
    <t>판매량</t>
    <phoneticPr fontId="22" type="noConversion"/>
  </si>
  <si>
    <t>매출액</t>
    <phoneticPr fontId="22" type="noConversion"/>
  </si>
  <si>
    <t>1CCL</t>
    <phoneticPr fontId="22" type="noConversion"/>
  </si>
  <si>
    <t>2CCL</t>
    <phoneticPr fontId="22" type="noConversion"/>
  </si>
  <si>
    <t>영업이익</t>
    <phoneticPr fontId="22" type="noConversion"/>
  </si>
  <si>
    <t>영업이익율</t>
    <phoneticPr fontId="22" type="noConversion"/>
  </si>
  <si>
    <t>라인별 목표 가공비</t>
    <phoneticPr fontId="22" type="noConversion"/>
  </si>
  <si>
    <r>
      <t xml:space="preserve">18,685 </t>
    </r>
    <r>
      <rPr>
        <b/>
        <sz val="12"/>
        <color rgb="FF0214BE"/>
        <rFont val="돋움"/>
        <family val="3"/>
        <charset val="129"/>
      </rPr>
      <t>(18,844)</t>
    </r>
    <phoneticPr fontId="22" type="noConversion"/>
  </si>
  <si>
    <r>
      <t xml:space="preserve">23,752 </t>
    </r>
    <r>
      <rPr>
        <b/>
        <sz val="12"/>
        <color rgb="FF0214BE"/>
        <rFont val="돋움"/>
        <family val="3"/>
        <charset val="129"/>
      </rPr>
      <t>(23,972)</t>
    </r>
    <phoneticPr fontId="22" type="noConversion"/>
  </si>
  <si>
    <r>
      <t xml:space="preserve">61,009 </t>
    </r>
    <r>
      <rPr>
        <b/>
        <sz val="12"/>
        <color rgb="FF0214BE"/>
        <rFont val="돋움"/>
        <family val="3"/>
        <charset val="129"/>
      </rPr>
      <t>(61,587)</t>
    </r>
    <phoneticPr fontId="22" type="noConversion"/>
  </si>
  <si>
    <r>
      <t xml:space="preserve">64,372 </t>
    </r>
    <r>
      <rPr>
        <b/>
        <sz val="12"/>
        <color rgb="FF0214BE"/>
        <rFont val="돋움"/>
        <family val="3"/>
        <charset val="129"/>
      </rPr>
      <t>(66,143)</t>
    </r>
    <phoneticPr fontId="22" type="noConversion"/>
  </si>
  <si>
    <r>
      <t xml:space="preserve">189,310 </t>
    </r>
    <r>
      <rPr>
        <b/>
        <sz val="12"/>
        <color rgb="FF0214BE"/>
        <rFont val="돋움"/>
        <family val="3"/>
        <charset val="129"/>
      </rPr>
      <t>(189,727)</t>
    </r>
    <phoneticPr fontId="22" type="noConversion"/>
  </si>
  <si>
    <t>1월 무예고정전 CPL 535분 제외</t>
    <phoneticPr fontId="22" type="noConversion"/>
  </si>
  <si>
    <t>19년</t>
    <phoneticPr fontId="22" type="noConversion"/>
  </si>
  <si>
    <t>월평균</t>
    <phoneticPr fontId="22" type="noConversion"/>
  </si>
  <si>
    <t>PK303, 304, 305, 306, 307</t>
    <phoneticPr fontId="22" type="noConversion"/>
  </si>
  <si>
    <t>구분</t>
    <phoneticPr fontId="22" type="noConversion"/>
  </si>
  <si>
    <t>20년 목표</t>
    <phoneticPr fontId="22" type="noConversion"/>
  </si>
  <si>
    <t>1월</t>
    <phoneticPr fontId="22" type="noConversion"/>
  </si>
  <si>
    <t>누적</t>
    <phoneticPr fontId="22" type="noConversion"/>
  </si>
  <si>
    <t>총 수율</t>
    <phoneticPr fontId="22" type="noConversion"/>
  </si>
  <si>
    <t>등급</t>
    <phoneticPr fontId="22" type="noConversion"/>
  </si>
  <si>
    <t>10월 누적실적 기준</t>
    <phoneticPr fontId="22" type="noConversion"/>
  </si>
  <si>
    <r>
      <t>1</t>
    </r>
    <r>
      <rPr>
        <sz val="10"/>
        <rFont val="Arial"/>
        <family val="2"/>
      </rPr>
      <t>9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실적</t>
    </r>
    <r>
      <rPr>
        <sz val="10"/>
        <rFont val="Arial"/>
        <family val="2"/>
      </rPr>
      <t>(10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>)</t>
    </r>
    <phoneticPr fontId="22" type="noConversion"/>
  </si>
  <si>
    <t>코일형(쵸퍼)</t>
    <phoneticPr fontId="22" type="noConversion"/>
  </si>
  <si>
    <t>A급 생산량</t>
    <phoneticPr fontId="22" type="noConversion"/>
  </si>
  <si>
    <t>1. 수율</t>
    <phoneticPr fontId="22" type="noConversion"/>
  </si>
  <si>
    <t>2. 스크랩율</t>
    <phoneticPr fontId="22" type="noConversion"/>
  </si>
  <si>
    <t>원(\)</t>
    <phoneticPr fontId="22" type="noConversion"/>
  </si>
  <si>
    <t>레벨</t>
    <phoneticPr fontId="22" type="noConversion"/>
  </si>
  <si>
    <t>고객불만율(PPM)</t>
    <phoneticPr fontId="22" type="noConversion"/>
  </si>
  <si>
    <t>3. 고객불만 비용</t>
    <phoneticPr fontId="22" type="noConversion"/>
  </si>
  <si>
    <t>계획시간
(계휴, 정수 제외)</t>
    <phoneticPr fontId="22" type="noConversion"/>
  </si>
  <si>
    <t>실가동율</t>
    <phoneticPr fontId="22" type="noConversion"/>
  </si>
  <si>
    <t>표준시간(분)</t>
    <phoneticPr fontId="22" type="noConversion"/>
  </si>
  <si>
    <t>성능가동율</t>
    <phoneticPr fontId="22" type="noConversion"/>
  </si>
  <si>
    <t>총생산량</t>
    <phoneticPr fontId="22" type="noConversion"/>
  </si>
  <si>
    <t>품질불량+재처리</t>
    <phoneticPr fontId="22" type="noConversion"/>
  </si>
  <si>
    <t>양품율</t>
    <phoneticPr fontId="22" type="noConversion"/>
  </si>
  <si>
    <t>설비종합효율</t>
    <phoneticPr fontId="22" type="noConversion"/>
  </si>
  <si>
    <t>4. 설비종합효율</t>
    <phoneticPr fontId="22" type="noConversion"/>
  </si>
  <si>
    <t>작업시간(분)
(실제작업시간)</t>
    <phoneticPr fontId="22" type="noConversion"/>
  </si>
  <si>
    <t>19년 실적</t>
    <phoneticPr fontId="22" type="noConversion"/>
  </si>
  <si>
    <t>19년
월실적</t>
    <phoneticPr fontId="22" type="noConversion"/>
  </si>
  <si>
    <t>20년
월목표</t>
    <phoneticPr fontId="22" type="noConversion"/>
  </si>
  <si>
    <t>5. 설비 고장율</t>
    <phoneticPr fontId="22" type="noConversion"/>
  </si>
  <si>
    <t>2020년 목표설정</t>
    <phoneticPr fontId="22" type="noConversion"/>
  </si>
  <si>
    <t>기계고장</t>
    <phoneticPr fontId="22" type="noConversion"/>
  </si>
  <si>
    <t>전기고장</t>
    <phoneticPr fontId="22" type="noConversion"/>
  </si>
  <si>
    <t>기계목표</t>
    <phoneticPr fontId="22" type="noConversion"/>
  </si>
  <si>
    <t>전기목표</t>
    <phoneticPr fontId="22" type="noConversion"/>
  </si>
  <si>
    <t>2CCL</t>
    <phoneticPr fontId="22" type="noConversion"/>
  </si>
  <si>
    <t>합계</t>
    <phoneticPr fontId="22" type="noConversion"/>
  </si>
  <si>
    <t>2019년 실적(11월 누적으로 연간 환산)</t>
    <phoneticPr fontId="22" type="noConversion"/>
  </si>
  <si>
    <t>19년
실적</t>
    <phoneticPr fontId="22" type="noConversion"/>
  </si>
  <si>
    <t>20년
목표</t>
  </si>
  <si>
    <r>
      <t>20</t>
    </r>
    <r>
      <rPr>
        <b/>
        <sz val="10"/>
        <rFont val="돋움"/>
        <family val="3"/>
        <charset val="129"/>
      </rPr>
      <t>년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실적</t>
    </r>
    <phoneticPr fontId="22" type="noConversion"/>
  </si>
  <si>
    <t>6. 재고회전율</t>
    <phoneticPr fontId="22" type="noConversion"/>
  </si>
  <si>
    <t>연간 판매량</t>
    <phoneticPr fontId="22" type="noConversion"/>
  </si>
  <si>
    <t>원소재 순재고 중량</t>
    <phoneticPr fontId="22" type="noConversion"/>
  </si>
  <si>
    <t>재고회전율</t>
    <phoneticPr fontId="22" type="noConversion"/>
  </si>
  <si>
    <t>연간 환산</t>
    <phoneticPr fontId="22" type="noConversion"/>
  </si>
  <si>
    <t>순재고 중량</t>
    <phoneticPr fontId="22" type="noConversion"/>
  </si>
  <si>
    <t>재고회전율</t>
    <phoneticPr fontId="22" type="noConversion"/>
  </si>
  <si>
    <t>10월 수불 기준</t>
  </si>
  <si>
    <t>구분
(11월 누적기준)</t>
    <phoneticPr fontId="22" type="noConversion"/>
  </si>
  <si>
    <t>20년 실적</t>
    <phoneticPr fontId="22" type="noConversion"/>
  </si>
  <si>
    <r>
      <t>20</t>
    </r>
    <r>
      <rPr>
        <b/>
        <sz val="11"/>
        <rFont val="돋움"/>
        <family val="3"/>
        <charset val="129"/>
      </rPr>
      <t>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실적</t>
    </r>
    <phoneticPr fontId="22" type="noConversion"/>
  </si>
  <si>
    <r>
      <t>20</t>
    </r>
    <r>
      <rPr>
        <b/>
        <sz val="11"/>
        <rFont val="돋움"/>
        <family val="3"/>
        <charset val="129"/>
      </rPr>
      <t>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실적</t>
    </r>
    <phoneticPr fontId="22" type="noConversion"/>
  </si>
  <si>
    <t>기타</t>
    <phoneticPr fontId="22" type="noConversion"/>
  </si>
  <si>
    <t>제품 → 스크랩(9.03톤)</t>
    <phoneticPr fontId="22" type="noConversion"/>
  </si>
  <si>
    <t>6. 재고회전율(월목표)</t>
    <phoneticPr fontId="22" type="noConversion"/>
  </si>
  <si>
    <r>
      <t>20</t>
    </r>
    <r>
      <rPr>
        <b/>
        <sz val="10"/>
        <rFont val="돋움"/>
        <family val="3"/>
        <charset val="129"/>
      </rPr>
      <t>년</t>
    </r>
    <r>
      <rPr>
        <b/>
        <sz val="10"/>
        <rFont val="Arial"/>
        <family val="2"/>
      </rPr>
      <t xml:space="preserve"> </t>
    </r>
    <r>
      <rPr>
        <b/>
        <sz val="10"/>
        <rFont val="돋움"/>
        <family val="3"/>
        <charset val="129"/>
      </rPr>
      <t>월목표</t>
    </r>
    <phoneticPr fontId="22" type="noConversion"/>
  </si>
  <si>
    <t>등급</t>
    <phoneticPr fontId="22" type="noConversion"/>
  </si>
  <si>
    <t>내부 GI 백청 13.83톤, 핸들링 1.9톤</t>
    <phoneticPr fontId="22" type="noConversion"/>
  </si>
  <si>
    <t>코일형사용량</t>
    <phoneticPr fontId="22" type="noConversion"/>
  </si>
  <si>
    <t>중량</t>
    <phoneticPr fontId="22" type="noConversion"/>
  </si>
  <si>
    <t>보호판</t>
    <phoneticPr fontId="22" type="noConversion"/>
  </si>
  <si>
    <t>외경소재</t>
    <phoneticPr fontId="22" type="noConversion"/>
  </si>
  <si>
    <t>▶현상:  제품 적재공간 적재량 초과
    1CCL 59 → 0 (59Hr 개선)
    2CCL 0 → 0 (제로 유지)</t>
    <phoneticPr fontId="22" type="noConversion"/>
  </si>
  <si>
    <t>코일형 Scrap</t>
    <phoneticPr fontId="22" type="noConversion"/>
  </si>
  <si>
    <t>F/H 코일형</t>
    <phoneticPr fontId="22" type="noConversion"/>
  </si>
  <si>
    <t>TON</t>
    <phoneticPr fontId="22" type="noConversion"/>
  </si>
  <si>
    <t>판매 scrap율</t>
    <phoneticPr fontId="22" type="noConversion"/>
  </si>
  <si>
    <t xml:space="preserve">CGL 입측 코일형 </t>
    <phoneticPr fontId="22" type="noConversion"/>
  </si>
  <si>
    <t>CRM 코일형 스크랩</t>
    <phoneticPr fontId="22" type="noConversion"/>
  </si>
  <si>
    <t>19년</t>
    <phoneticPr fontId="22" type="noConversion"/>
  </si>
  <si>
    <t>월평균</t>
    <phoneticPr fontId="22" type="noConversion"/>
  </si>
  <si>
    <t>전체(건수)</t>
    <phoneticPr fontId="22" type="noConversion"/>
  </si>
  <si>
    <t>내부(건수)</t>
    <phoneticPr fontId="22" type="noConversion"/>
  </si>
  <si>
    <t>1월
실적</t>
    <phoneticPr fontId="22" type="noConversion"/>
  </si>
  <si>
    <t>1월
개선금액</t>
    <phoneticPr fontId="22" type="noConversion"/>
  </si>
  <si>
    <t>1월
원단위</t>
    <phoneticPr fontId="22" type="noConversion"/>
  </si>
  <si>
    <t>20년
월개선</t>
    <phoneticPr fontId="22" type="noConversion"/>
  </si>
  <si>
    <t>전체(금액)</t>
    <phoneticPr fontId="22" type="noConversion"/>
  </si>
  <si>
    <t>2월
개선금액</t>
  </si>
  <si>
    <t>3월
개선금액</t>
  </si>
  <si>
    <t>4월
개선금액</t>
  </si>
  <si>
    <t>5월
개선금액</t>
  </si>
  <si>
    <t>6월
개선금액</t>
  </si>
  <si>
    <t>7월
개선금액</t>
  </si>
  <si>
    <t>8월
개선금액</t>
  </si>
  <si>
    <t>9월
개선금액</t>
  </si>
  <si>
    <t>10월
개선금액</t>
  </si>
  <si>
    <t>11월
개선금액</t>
  </si>
  <si>
    <t>12월
개선금액</t>
  </si>
  <si>
    <t>1. 2020년 성과개선 실적</t>
    <phoneticPr fontId="22" type="noConversion"/>
  </si>
  <si>
    <t>16년</t>
    <phoneticPr fontId="22" type="noConversion"/>
  </si>
  <si>
    <t>17년</t>
    <phoneticPr fontId="22" type="noConversion"/>
  </si>
  <si>
    <t>2월
원단위</t>
  </si>
  <si>
    <t>3월
원단위</t>
  </si>
  <si>
    <t>4월
원단위</t>
  </si>
  <si>
    <t>5월
원단위</t>
  </si>
  <si>
    <t>6월
원단위</t>
  </si>
  <si>
    <t>7월
원단위</t>
  </si>
  <si>
    <t>8월
원단위</t>
  </si>
  <si>
    <t>9월
원단위</t>
  </si>
  <si>
    <t>10월
원단위</t>
  </si>
  <si>
    <t>11월
원단위</t>
  </si>
  <si>
    <t>12월
원단위</t>
  </si>
  <si>
    <t>20년 
개선금액</t>
    <phoneticPr fontId="22" type="noConversion"/>
  </si>
  <si>
    <t>20년
금액 목표</t>
    <phoneticPr fontId="22" type="noConversion"/>
  </si>
  <si>
    <t>20년
원단위</t>
    <phoneticPr fontId="22" type="noConversion"/>
  </si>
  <si>
    <t>20년
원단위</t>
    <phoneticPr fontId="22" type="noConversion"/>
  </si>
  <si>
    <t>20년 종합 실적</t>
    <phoneticPr fontId="22" type="noConversion"/>
  </si>
  <si>
    <t>20년
목표금액</t>
    <phoneticPr fontId="22" type="noConversion"/>
  </si>
  <si>
    <t>생산만</t>
    <phoneticPr fontId="22" type="noConversion"/>
  </si>
  <si>
    <t>생산+일반</t>
    <phoneticPr fontId="22" type="noConversion"/>
  </si>
  <si>
    <t>B급, C급, 
H급
불량량</t>
    <phoneticPr fontId="22" type="noConversion"/>
  </si>
  <si>
    <t>예일</t>
    <phoneticPr fontId="22" type="noConversion"/>
  </si>
  <si>
    <t>((년간!F18/년간!C121-(년간!F18/N6))*년간!$C$213)/1000</t>
  </si>
  <si>
    <t>2월
실적</t>
  </si>
  <si>
    <t>3월
실적</t>
  </si>
  <si>
    <t>4월
실적</t>
  </si>
  <si>
    <t>5월
실적</t>
  </si>
  <si>
    <t>6월
실적</t>
  </si>
  <si>
    <t>7월
실적</t>
  </si>
  <si>
    <t>8월
실적</t>
  </si>
  <si>
    <t>9월
실적</t>
  </si>
  <si>
    <t>10월
실적</t>
  </si>
  <si>
    <t>11월
실적</t>
  </si>
  <si>
    <t>12월
실적</t>
  </si>
  <si>
    <t>누적
실적</t>
    <phoneticPr fontId="22" type="noConversion"/>
  </si>
  <si>
    <t>6.2 인출 A급 저광 컬러반제품 작업완료</t>
    <phoneticPr fontId="22" type="noConversion"/>
  </si>
  <si>
    <t>%</t>
    <phoneticPr fontId="22" type="noConversion"/>
  </si>
  <si>
    <t>CPL</t>
    <phoneticPr fontId="22" type="noConversion"/>
  </si>
  <si>
    <t>기말중량</t>
    <phoneticPr fontId="22" type="noConversion"/>
  </si>
  <si>
    <t>FERT</t>
    <phoneticPr fontId="22" type="noConversion"/>
  </si>
  <si>
    <t>ROH+HALB</t>
    <phoneticPr fontId="22" type="noConversion"/>
  </si>
  <si>
    <t>KPI 실적</t>
    <phoneticPr fontId="33" type="noConversion"/>
  </si>
  <si>
    <t>3개월</t>
    <phoneticPr fontId="33" type="noConversion"/>
  </si>
  <si>
    <t>2020년</t>
    <phoneticPr fontId="33" type="noConversion"/>
  </si>
  <si>
    <t>제품 매출량</t>
    <phoneticPr fontId="33" type="noConversion"/>
  </si>
  <si>
    <t>재고량</t>
    <phoneticPr fontId="33" type="noConversion"/>
  </si>
  <si>
    <t>공장</t>
    <phoneticPr fontId="33" type="noConversion"/>
  </si>
  <si>
    <t xml:space="preserve">원재료 </t>
    <phoneticPr fontId="33" type="noConversion"/>
  </si>
  <si>
    <t>반제품</t>
    <phoneticPr fontId="33" type="noConversion"/>
  </si>
  <si>
    <t>계</t>
    <phoneticPr fontId="33" type="noConversion"/>
  </si>
  <si>
    <t>회전율</t>
    <phoneticPr fontId="33" type="noConversion"/>
  </si>
  <si>
    <t>영업</t>
    <phoneticPr fontId="33" type="noConversion"/>
  </si>
  <si>
    <t xml:space="preserve">제품 </t>
    <phoneticPr fontId="33" type="noConversion"/>
  </si>
  <si>
    <t>재고 회전율</t>
    <phoneticPr fontId="33" type="noConversion"/>
  </si>
  <si>
    <t>매출량</t>
    <phoneticPr fontId="33" type="noConversion"/>
  </si>
  <si>
    <t>제품/상품</t>
    <phoneticPr fontId="33" type="noConversion"/>
  </si>
  <si>
    <t>1월</t>
    <phoneticPr fontId="22" type="noConversion"/>
  </si>
  <si>
    <t>2월</t>
    <phoneticPr fontId="22" type="noConversion"/>
  </si>
  <si>
    <t>매출중량-반품입고 중량</t>
    <phoneticPr fontId="22" type="noConversion"/>
  </si>
  <si>
    <t>매출관리-매출원장-(정가원-'매출-부산물')</t>
    <phoneticPr fontId="22" type="noConversion"/>
  </si>
  <si>
    <t>3월</t>
    <phoneticPr fontId="22" type="noConversion"/>
  </si>
  <si>
    <t>1. 전체 설비종합효율</t>
    <phoneticPr fontId="22" type="noConversion"/>
  </si>
  <si>
    <t>20년 실적</t>
    <phoneticPr fontId="22" type="noConversion"/>
  </si>
  <si>
    <t>공장 재고량</t>
    <phoneticPr fontId="33" type="noConversion"/>
  </si>
  <si>
    <t xml:space="preserve">원재료 </t>
    <phoneticPr fontId="33" type="noConversion"/>
  </si>
  <si>
    <t>반제품</t>
    <phoneticPr fontId="33" type="noConversion"/>
  </si>
  <si>
    <t>2020년
 실적</t>
    <phoneticPr fontId="33" type="noConversion"/>
  </si>
  <si>
    <t>매출량</t>
    <phoneticPr fontId="33" type="noConversion"/>
  </si>
  <si>
    <t>1. 설비종합효율</t>
    <phoneticPr fontId="22" type="noConversion"/>
  </si>
  <si>
    <t>2. 재고 회전율</t>
    <phoneticPr fontId="22" type="noConversion"/>
  </si>
  <si>
    <t>구분</t>
    <phoneticPr fontId="22" type="noConversion"/>
  </si>
  <si>
    <t>연간매출량</t>
    <phoneticPr fontId="22" type="noConversion"/>
  </si>
  <si>
    <t xml:space="preserve">※   1. HR 코일 중량 상향(1100폭 이상 21.93톤 → 22.73톤), CPL 전극대 정밀관리를 통한 비가동 감소, </t>
    <phoneticPr fontId="22" type="noConversion"/>
  </si>
  <si>
    <t xml:space="preserve">         2CCL PRINT제품 우드(50→60MPM), 헤어라인(40→43MPM), 가전제품(40 → 43MPM) 작업 속도 향상</t>
    <phoneticPr fontId="22" type="noConversion"/>
  </si>
  <si>
    <t xml:space="preserve">※ 2월 입고 예정이던 SHANGHAI MEISHAN 소재 입고 지연으로 4월 15,420톤 선입고 </t>
    <phoneticPr fontId="22" type="noConversion"/>
  </si>
  <si>
    <t xml:space="preserve">   (청흥 5,020톤, 일조 4,900톤, 포스코5,500톤 4월분 선입고)</t>
    <phoneticPr fontId="22" type="noConversion"/>
  </si>
  <si>
    <t xml:space="preserve">   -. HR 재고 2월 40,418톤으로 기존보다 2배 증가하여 6월 원소재 발주량 대폭 축소 예정(29,700톤 → 5,000톤)</t>
    <phoneticPr fontId="27" type="noConversion"/>
  </si>
  <si>
    <t xml:space="preserve">   -. 코로나 19 영향으로 판매 부진(3월 600톤 감소예상)과 라인 가동일수 감소로 반제품  재고 증가됨 </t>
    <phoneticPr fontId="27" type="noConversion"/>
  </si>
  <si>
    <t xml:space="preserve">      → 시장품용 GI 반제품 월 3,000톤 선진행 금지</t>
    <phoneticPr fontId="22" type="noConversion"/>
  </si>
  <si>
    <t>실가동율 = (계획시간-비가동)/계획시간</t>
    <phoneticPr fontId="22" type="noConversion"/>
  </si>
  <si>
    <t>성능가동율 = 표준시간/실제작업시간</t>
    <phoneticPr fontId="22" type="noConversion"/>
  </si>
  <si>
    <t>양품율 = 총생산량-(불량+재처리)/총생산량</t>
    <phoneticPr fontId="22" type="noConversion"/>
  </si>
  <si>
    <t xml:space="preserve">  (#1, 2CCL 작업준비시간 포함)</t>
    <phoneticPr fontId="22" type="noConversion"/>
  </si>
  <si>
    <t>CPL
코일</t>
    <phoneticPr fontId="22" type="noConversion"/>
  </si>
  <si>
    <t>후프외</t>
    <phoneticPr fontId="22" type="noConversion"/>
  </si>
  <si>
    <t>GI
철판</t>
    <phoneticPr fontId="22" type="noConversion"/>
  </si>
  <si>
    <t>#1CCL
철판</t>
    <phoneticPr fontId="22" type="noConversion"/>
  </si>
  <si>
    <t>#1CCL
코일</t>
    <phoneticPr fontId="22" type="noConversion"/>
  </si>
  <si>
    <t>#2CCL
철판</t>
    <phoneticPr fontId="22" type="noConversion"/>
  </si>
  <si>
    <t>#2CCL
코일</t>
    <phoneticPr fontId="22" type="noConversion"/>
  </si>
  <si>
    <t>철판</t>
    <phoneticPr fontId="22" type="noConversion"/>
  </si>
  <si>
    <t>코일</t>
    <phoneticPr fontId="22" type="noConversion"/>
  </si>
  <si>
    <t>중량</t>
    <phoneticPr fontId="22" type="noConversion"/>
  </si>
  <si>
    <t>개선금액</t>
    <phoneticPr fontId="22" type="noConversion"/>
  </si>
  <si>
    <t>톤파워 보정</t>
    <phoneticPr fontId="22" type="noConversion"/>
  </si>
  <si>
    <t>[(19년 게이지*월 성능가동율)/월 게이지*19년 성능가동율)]*월 톤파워</t>
    <phoneticPr fontId="22" type="noConversion"/>
  </si>
  <si>
    <t>sscl 제외</t>
    <phoneticPr fontId="22" type="noConversion"/>
  </si>
  <si>
    <t>※ 임가공 오더도 스크랩을 전산보고 함으로 제품생산량에 포함시킴</t>
    <phoneticPr fontId="22" type="noConversion"/>
  </si>
  <si>
    <t>성과개선 건수 담당자 5건, 소그룹 각 10건(소그룹 공통 1건 완료시 건수 포함)</t>
    <phoneticPr fontId="22" type="noConversion"/>
  </si>
  <si>
    <t>전체생산량</t>
    <phoneticPr fontId="22" type="noConversion"/>
  </si>
  <si>
    <t>실가동율</t>
    <phoneticPr fontId="22" type="noConversion"/>
  </si>
  <si>
    <t>19년</t>
    <phoneticPr fontId="22" type="noConversion"/>
  </si>
  <si>
    <t>고장건수</t>
    <phoneticPr fontId="22" type="noConversion"/>
  </si>
  <si>
    <t>월평균 건수</t>
    <phoneticPr fontId="22" type="noConversion"/>
  </si>
  <si>
    <t>월 목표 건수</t>
    <phoneticPr fontId="22" type="noConversion"/>
  </si>
  <si>
    <t>`</t>
    <phoneticPr fontId="22" type="noConversion"/>
  </si>
  <si>
    <t>[(19년 게이지*월 성능가동율)/(월 게이지*19년 성능가동율)]*월 톤파워-(실제 생산두께)</t>
    <phoneticPr fontId="22" type="noConversion"/>
  </si>
  <si>
    <t>5월</t>
    <phoneticPr fontId="22" type="noConversion"/>
  </si>
  <si>
    <t>FH 좌굴마크</t>
    <phoneticPr fontId="22" type="noConversion"/>
  </si>
  <si>
    <t>협력사 합계</t>
    <phoneticPr fontId="22" type="noConversion"/>
  </si>
  <si>
    <t>0(3)</t>
  </si>
  <si>
    <t>순재고중량</t>
    <phoneticPr fontId="22" type="noConversion"/>
  </si>
  <si>
    <t>6월</t>
    <phoneticPr fontId="22" type="noConversion"/>
  </si>
  <si>
    <t>수불부</t>
    <phoneticPr fontId="22" type="noConversion"/>
  </si>
  <si>
    <t>*. ERP → 수불부 조회 → 제품입 중량</t>
    <phoneticPr fontId="22" type="noConversion"/>
  </si>
  <si>
    <t>6월
개선금액</t>
    <phoneticPr fontId="22" type="noConversion"/>
  </si>
  <si>
    <t>6월
원단위</t>
    <phoneticPr fontId="22" type="noConversion"/>
  </si>
  <si>
    <t>구분 / 항목</t>
    <phoneticPr fontId="22" type="noConversion"/>
  </si>
  <si>
    <t>20년
가공비
누적</t>
    <phoneticPr fontId="22" type="noConversion"/>
  </si>
  <si>
    <t>20년
가공비
목표</t>
    <phoneticPr fontId="22" type="noConversion"/>
  </si>
  <si>
    <t>20년
가공비
월실적</t>
    <phoneticPr fontId="22" type="noConversion"/>
  </si>
  <si>
    <t>평균</t>
    <phoneticPr fontId="22" type="noConversion"/>
  </si>
  <si>
    <t>스크랩 단가 차이 30% 발생으로 월실적 일괄 1.3배 적용(7/15)</t>
    <phoneticPr fontId="22" type="noConversion"/>
  </si>
  <si>
    <t>판매SCRAP율</t>
    <phoneticPr fontId="22" type="noConversion"/>
  </si>
  <si>
    <t>19년실적</t>
    <phoneticPr fontId="22" type="noConversion"/>
  </si>
  <si>
    <t>생산1팀</t>
    <phoneticPr fontId="22" type="noConversion"/>
  </si>
  <si>
    <t>생산2팀</t>
    <phoneticPr fontId="22" type="noConversion"/>
  </si>
  <si>
    <t>실질
금액</t>
  </si>
  <si>
    <t>실질
금액</t>
    <phoneticPr fontId="22" type="noConversion"/>
  </si>
  <si>
    <t>실가동율
포함</t>
    <phoneticPr fontId="22" type="noConversion"/>
  </si>
  <si>
    <t>생산성</t>
    <phoneticPr fontId="22" type="noConversion"/>
  </si>
  <si>
    <t>개선금액</t>
    <phoneticPr fontId="22" type="noConversion"/>
  </si>
  <si>
    <t>원</t>
    <phoneticPr fontId="22" type="noConversion"/>
  </si>
  <si>
    <t>Roll Shop</t>
    <phoneticPr fontId="22" type="noConversion"/>
  </si>
  <si>
    <t>소모품비</t>
    <phoneticPr fontId="22" type="noConversion"/>
  </si>
  <si>
    <t>1CCL 포장</t>
    <phoneticPr fontId="22" type="noConversion"/>
  </si>
  <si>
    <t>개선금액</t>
    <phoneticPr fontId="22" type="noConversion"/>
  </si>
  <si>
    <t>1. CPL 실질 개선금액</t>
    <phoneticPr fontId="22" type="noConversion"/>
  </si>
  <si>
    <t>2. CRM 실질 개선금액</t>
    <phoneticPr fontId="22" type="noConversion"/>
  </si>
  <si>
    <t>3. CGL 실질 개선금액</t>
    <phoneticPr fontId="22" type="noConversion"/>
  </si>
  <si>
    <t>4. 1CCL 실질 개선금액</t>
    <phoneticPr fontId="22" type="noConversion"/>
  </si>
  <si>
    <t>생산성</t>
    <phoneticPr fontId="22" type="noConversion"/>
  </si>
  <si>
    <t>소모품비</t>
    <phoneticPr fontId="22" type="noConversion"/>
  </si>
  <si>
    <t>2CCL 포장</t>
    <phoneticPr fontId="22" type="noConversion"/>
  </si>
  <si>
    <t>개선 금액</t>
    <phoneticPr fontId="22" type="noConversion"/>
  </si>
  <si>
    <t>5. 2CCL 실질 개선금액</t>
    <phoneticPr fontId="22" type="noConversion"/>
  </si>
  <si>
    <t>기타</t>
    <phoneticPr fontId="22" type="noConversion"/>
  </si>
  <si>
    <t>6.  총합계</t>
    <phoneticPr fontId="22" type="noConversion"/>
  </si>
  <si>
    <t>사급 
(B,C급 포장재)</t>
    <phoneticPr fontId="33" type="noConversion"/>
  </si>
  <si>
    <t>구매 AL</t>
    <phoneticPr fontId="22" type="noConversion"/>
  </si>
  <si>
    <t>6월
실적</t>
    <phoneticPr fontId="22" type="noConversion"/>
  </si>
  <si>
    <t>kg/ton</t>
    <phoneticPr fontId="33" type="noConversion"/>
  </si>
  <si>
    <t>20년
월목표</t>
    <phoneticPr fontId="22" type="noConversion"/>
  </si>
  <si>
    <t>20년
월금액 목표</t>
    <phoneticPr fontId="22" type="noConversion"/>
  </si>
  <si>
    <t>노트리밍</t>
    <phoneticPr fontId="22" type="noConversion"/>
  </si>
  <si>
    <t>누적
실적</t>
  </si>
  <si>
    <t>전체 생산량</t>
    <phoneticPr fontId="22" type="noConversion"/>
  </si>
  <si>
    <t>톤파워 보정</t>
    <phoneticPr fontId="22" type="noConversion"/>
  </si>
  <si>
    <t>CGL 보정</t>
    <phoneticPr fontId="22" type="noConversion"/>
  </si>
  <si>
    <t>1CCL 보정</t>
    <phoneticPr fontId="22" type="noConversion"/>
  </si>
  <si>
    <t>구분</t>
    <phoneticPr fontId="33" type="noConversion"/>
  </si>
  <si>
    <t>2019년</t>
    <phoneticPr fontId="33" type="noConversion"/>
  </si>
  <si>
    <t>2020년</t>
    <phoneticPr fontId="33" type="noConversion"/>
  </si>
  <si>
    <t>1월</t>
    <phoneticPr fontId="33" type="noConversion"/>
  </si>
  <si>
    <t>누계</t>
    <phoneticPr fontId="33" type="noConversion"/>
  </si>
  <si>
    <t>톤파워</t>
    <phoneticPr fontId="33" type="noConversion"/>
  </si>
  <si>
    <t>평균두께</t>
    <phoneticPr fontId="33" type="noConversion"/>
  </si>
  <si>
    <t>평균폭</t>
    <phoneticPr fontId="33" type="noConversion"/>
  </si>
  <si>
    <t>Cross section</t>
    <phoneticPr fontId="33" type="noConversion"/>
  </si>
  <si>
    <t>보정율</t>
    <phoneticPr fontId="33" type="noConversion"/>
  </si>
  <si>
    <t>보정톤파워</t>
    <phoneticPr fontId="33" type="noConversion"/>
  </si>
  <si>
    <t>생산량</t>
    <phoneticPr fontId="33" type="noConversion"/>
  </si>
  <si>
    <t>성과개선금액</t>
    <phoneticPr fontId="33" type="noConversion"/>
  </si>
  <si>
    <t>톤파워</t>
    <phoneticPr fontId="22" type="noConversion"/>
  </si>
  <si>
    <t>가동율</t>
    <phoneticPr fontId="22" type="noConversion"/>
  </si>
  <si>
    <t>수율</t>
    <phoneticPr fontId="22" type="noConversion"/>
  </si>
  <si>
    <t>전력</t>
    <phoneticPr fontId="33" type="noConversion"/>
  </si>
  <si>
    <t>생철</t>
    <phoneticPr fontId="22" type="noConversion"/>
  </si>
  <si>
    <t>인출</t>
    <phoneticPr fontId="22" type="noConversion"/>
  </si>
  <si>
    <t>공정</t>
    <phoneticPr fontId="33" type="noConversion"/>
  </si>
  <si>
    <t>포장</t>
    <phoneticPr fontId="33" type="noConversion"/>
  </si>
  <si>
    <t>소모품비</t>
    <phoneticPr fontId="33" type="noConversion"/>
  </si>
  <si>
    <t>19년</t>
    <phoneticPr fontId="22" type="noConversion"/>
  </si>
  <si>
    <t>20년</t>
    <phoneticPr fontId="22" type="noConversion"/>
  </si>
  <si>
    <t>SLIT(ton)</t>
    <phoneticPr fontId="33" type="noConversion"/>
  </si>
  <si>
    <t>소재</t>
    <phoneticPr fontId="33" type="noConversion"/>
  </si>
  <si>
    <t>1월</t>
    <phoneticPr fontId="33" type="noConversion"/>
  </si>
  <si>
    <t>불량</t>
    <phoneticPr fontId="22" type="noConversion"/>
  </si>
  <si>
    <t>전력</t>
    <phoneticPr fontId="22" type="noConversion"/>
  </si>
  <si>
    <t>소모품비(공정)</t>
    <phoneticPr fontId="22" type="noConversion"/>
  </si>
  <si>
    <t>소모품비(포장)</t>
    <phoneticPr fontId="22" type="noConversion"/>
  </si>
  <si>
    <t>스크랩(생철)</t>
    <phoneticPr fontId="22" type="noConversion"/>
  </si>
  <si>
    <t>스크랩(인출)</t>
    <phoneticPr fontId="22" type="noConversion"/>
  </si>
  <si>
    <t>실적</t>
    <phoneticPr fontId="22" type="noConversion"/>
  </si>
  <si>
    <t>20년
목표금액</t>
    <phoneticPr fontId="33" type="noConversion"/>
  </si>
  <si>
    <t>목표?</t>
    <phoneticPr fontId="22" type="noConversion"/>
  </si>
  <si>
    <t>톤파워</t>
    <phoneticPr fontId="22" type="noConversion"/>
  </si>
  <si>
    <t>수율</t>
    <phoneticPr fontId="22" type="noConversion"/>
  </si>
  <si>
    <t>포장재 포함 수율</t>
    <phoneticPr fontId="22" type="noConversion"/>
  </si>
  <si>
    <t>수불부</t>
    <phoneticPr fontId="22" type="noConversion"/>
  </si>
  <si>
    <t>완제품</t>
    <phoneticPr fontId="22" type="noConversion"/>
  </si>
  <si>
    <t>기말중량</t>
    <phoneticPr fontId="22" type="noConversion"/>
  </si>
  <si>
    <t>19년 실적</t>
    <phoneticPr fontId="22" type="noConversion"/>
  </si>
  <si>
    <t>19년실적</t>
    <phoneticPr fontId="22" type="noConversion"/>
  </si>
  <si>
    <t>9월 41.61</t>
    <phoneticPr fontId="22" type="noConversion"/>
  </si>
  <si>
    <t>순서</t>
    <phoneticPr fontId="22" type="noConversion"/>
  </si>
  <si>
    <t>라인명</t>
    <phoneticPr fontId="22" type="noConversion"/>
  </si>
  <si>
    <t>소그룹명</t>
    <phoneticPr fontId="22" type="noConversion"/>
  </si>
  <si>
    <t>조장</t>
    <phoneticPr fontId="22" type="noConversion"/>
  </si>
  <si>
    <t>과제선정 일정</t>
    <phoneticPr fontId="22" type="noConversion"/>
  </si>
  <si>
    <t>장소</t>
    <phoneticPr fontId="22" type="noConversion"/>
  </si>
  <si>
    <t>CPL</t>
    <phoneticPr fontId="22" type="noConversion"/>
  </si>
  <si>
    <t>CRM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</si>
  <si>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</si>
  <si>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</si>
  <si>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</si>
  <si>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기계</t>
    <phoneticPr fontId="22" type="noConversion"/>
  </si>
  <si>
    <t>전기</t>
    <phoneticPr fontId="22" type="noConversion"/>
  </si>
  <si>
    <t>ARP</t>
    <phoneticPr fontId="22" type="noConversion"/>
  </si>
  <si>
    <t>Roll Shop</t>
    <phoneticPr fontId="22" type="noConversion"/>
  </si>
  <si>
    <t>1CCL 포장</t>
    <phoneticPr fontId="22" type="noConversion"/>
  </si>
  <si>
    <t>2CCL 포장</t>
    <phoneticPr fontId="22" type="noConversion"/>
  </si>
  <si>
    <t>시험실</t>
    <phoneticPr fontId="22" type="noConversion"/>
  </si>
  <si>
    <t>환경</t>
    <phoneticPr fontId="22" type="noConversion"/>
  </si>
  <si>
    <t>가온</t>
    <phoneticPr fontId="22" type="noConversion"/>
  </si>
  <si>
    <t>늘찬</t>
    <phoneticPr fontId="22" type="noConversion"/>
  </si>
  <si>
    <t>동심</t>
    <phoneticPr fontId="22" type="noConversion"/>
  </si>
  <si>
    <t>다크호스</t>
    <phoneticPr fontId="22" type="noConversion"/>
  </si>
  <si>
    <t>신화창조</t>
    <phoneticPr fontId="22" type="noConversion"/>
  </si>
  <si>
    <t>그린존</t>
    <phoneticPr fontId="22" type="noConversion"/>
  </si>
  <si>
    <t>터보</t>
    <phoneticPr fontId="22" type="noConversion"/>
  </si>
  <si>
    <t>세롤</t>
    <phoneticPr fontId="22" type="noConversion"/>
  </si>
  <si>
    <t>울프</t>
    <phoneticPr fontId="22" type="noConversion"/>
  </si>
  <si>
    <t>미르뫼</t>
    <phoneticPr fontId="22" type="noConversion"/>
  </si>
  <si>
    <t>카오스</t>
    <phoneticPr fontId="22" type="noConversion"/>
  </si>
  <si>
    <t>한걸음</t>
    <phoneticPr fontId="22" type="noConversion"/>
  </si>
  <si>
    <t>돌풍</t>
    <phoneticPr fontId="22" type="noConversion"/>
  </si>
  <si>
    <t>퍼펙트</t>
    <phoneticPr fontId="22" type="noConversion"/>
  </si>
  <si>
    <t>HOFF</t>
    <phoneticPr fontId="22" type="noConversion"/>
  </si>
  <si>
    <t>피닉스</t>
    <phoneticPr fontId="22" type="noConversion"/>
  </si>
  <si>
    <t>처음처럼</t>
    <phoneticPr fontId="22" type="noConversion"/>
  </si>
  <si>
    <t>레전드</t>
    <phoneticPr fontId="22" type="noConversion"/>
  </si>
  <si>
    <t>디딤돌</t>
    <phoneticPr fontId="22" type="noConversion"/>
  </si>
  <si>
    <t>이노베이션</t>
    <phoneticPr fontId="22" type="noConversion"/>
  </si>
  <si>
    <t>한마루</t>
    <phoneticPr fontId="22" type="noConversion"/>
  </si>
  <si>
    <t>레인보우</t>
    <phoneticPr fontId="22" type="noConversion"/>
  </si>
  <si>
    <t>제우스</t>
    <phoneticPr fontId="22" type="noConversion"/>
  </si>
  <si>
    <t>담당자</t>
    <phoneticPr fontId="22" type="noConversion"/>
  </si>
  <si>
    <t>황정연</t>
    <phoneticPr fontId="22" type="noConversion"/>
  </si>
  <si>
    <t>최대용</t>
    <phoneticPr fontId="22" type="noConversion"/>
  </si>
  <si>
    <t>장훈</t>
    <phoneticPr fontId="22" type="noConversion"/>
  </si>
  <si>
    <t>임경택</t>
    <phoneticPr fontId="22" type="noConversion"/>
  </si>
  <si>
    <t>정부선</t>
    <phoneticPr fontId="22" type="noConversion"/>
  </si>
  <si>
    <t>안봉찬</t>
    <phoneticPr fontId="22" type="noConversion"/>
  </si>
  <si>
    <t>이정석</t>
    <phoneticPr fontId="22" type="noConversion"/>
  </si>
  <si>
    <t>김상순</t>
    <phoneticPr fontId="22" type="noConversion"/>
  </si>
  <si>
    <t>이기호</t>
    <phoneticPr fontId="22" type="noConversion"/>
  </si>
  <si>
    <t>송용석</t>
    <phoneticPr fontId="22" type="noConversion"/>
  </si>
  <si>
    <t>SSCL</t>
    <phoneticPr fontId="22" type="noConversion"/>
  </si>
  <si>
    <t>차돌맹이</t>
    <phoneticPr fontId="22" type="noConversion"/>
  </si>
  <si>
    <t>2021년 소그룹 개선과제 선정 일정</t>
    <phoneticPr fontId="22" type="noConversion"/>
  </si>
  <si>
    <t>작성일 : 2020년 10월 14일</t>
    <phoneticPr fontId="22" type="noConversion"/>
  </si>
  <si>
    <t>2020년 11월 GL 공사시 소그룹 진행일정</t>
    <phoneticPr fontId="22" type="noConversion"/>
  </si>
  <si>
    <t>11월 1주</t>
    <phoneticPr fontId="22" type="noConversion"/>
  </si>
  <si>
    <t>11월 2주</t>
  </si>
  <si>
    <t>11월 3주</t>
  </si>
  <si>
    <t>11월 4주</t>
  </si>
  <si>
    <t>**. 혁신부문외 일정이 있을시 같이 작성 요망</t>
    <phoneticPr fontId="22" type="noConversion"/>
  </si>
  <si>
    <t>*. 하기휴가 일정시 주간계획에 작성 요망</t>
    <phoneticPr fontId="22" type="noConversion"/>
  </si>
  <si>
    <t>20년
가공비
9월실적</t>
    <phoneticPr fontId="22" type="noConversion"/>
  </si>
  <si>
    <t>19년
가공비
실적</t>
    <phoneticPr fontId="22" type="noConversion"/>
  </si>
  <si>
    <t>GI제품 4대 LOSS 개선 금액 목표</t>
    <phoneticPr fontId="22" type="noConversion"/>
  </si>
  <si>
    <t>CL제품 4대 LOSS 개선 금액 목표</t>
    <phoneticPr fontId="22" type="noConversion"/>
  </si>
  <si>
    <t xml:space="preserve">GI 제품 </t>
    <phoneticPr fontId="22" type="noConversion"/>
  </si>
  <si>
    <t>CGL 생산량 기준</t>
    <phoneticPr fontId="22" type="noConversion"/>
  </si>
  <si>
    <t>CL제품</t>
    <phoneticPr fontId="22" type="noConversion"/>
  </si>
  <si>
    <t>CCL 생산량 기준</t>
    <phoneticPr fontId="22" type="noConversion"/>
  </si>
  <si>
    <t>전체</t>
    <phoneticPr fontId="22" type="noConversion"/>
  </si>
  <si>
    <t>제품 생산량</t>
    <phoneticPr fontId="22" type="noConversion"/>
  </si>
  <si>
    <t>GI 반제품량</t>
    <phoneticPr fontId="22" type="noConversion"/>
  </si>
  <si>
    <t>반제품</t>
    <phoneticPr fontId="22" type="noConversion"/>
  </si>
  <si>
    <t>GI제품</t>
    <phoneticPr fontId="22" type="noConversion"/>
  </si>
  <si>
    <t>GI 반제품</t>
    <phoneticPr fontId="22" type="noConversion"/>
  </si>
  <si>
    <t>1월</t>
    <phoneticPr fontId="22" type="noConversion"/>
  </si>
  <si>
    <t>전라인 4대 지표 + 부재료 + 유틸리티 개선 목표</t>
    <phoneticPr fontId="22" type="noConversion"/>
  </si>
  <si>
    <t>20년 월누적</t>
    <phoneticPr fontId="22" type="noConversion"/>
  </si>
  <si>
    <t>GI제품 4대 지표 + 부재료 + 유틸리티 개선 목표</t>
  </si>
  <si>
    <t>GI제품 4대 지표 + 부재료 + 유틸리티 개선 목표</t>
    <phoneticPr fontId="22" type="noConversion"/>
  </si>
  <si>
    <t>CL제품 4대 지표 + 부재료 + 유틸리티 개선 목표</t>
  </si>
  <si>
    <t>CL제품 4대 지표 + 부재료 + 유틸리티 개선 목표</t>
    <phoneticPr fontId="22" type="noConversion"/>
  </si>
  <si>
    <t>라인명</t>
    <phoneticPr fontId="33" type="noConversion"/>
  </si>
  <si>
    <t>누적</t>
    <phoneticPr fontId="22" type="noConversion"/>
  </si>
  <si>
    <t>누적
개선금액</t>
    <phoneticPr fontId="22" type="noConversion"/>
  </si>
  <si>
    <t>누적
원단위</t>
    <phoneticPr fontId="22" type="noConversion"/>
  </si>
  <si>
    <t>누적
원단위</t>
    <phoneticPr fontId="22" type="noConversion"/>
  </si>
  <si>
    <t>월목표금액</t>
    <phoneticPr fontId="22" type="noConversion"/>
  </si>
  <si>
    <t>월목표 원단위</t>
    <phoneticPr fontId="22" type="noConversion"/>
  </si>
  <si>
    <t>월실적 개선금액</t>
    <phoneticPr fontId="22" type="noConversion"/>
  </si>
  <si>
    <t>월 원단위</t>
    <phoneticPr fontId="22" type="noConversion"/>
  </si>
  <si>
    <t>누적 원단위</t>
    <phoneticPr fontId="22" type="noConversion"/>
  </si>
  <si>
    <t>누적
원단위</t>
    <phoneticPr fontId="22" type="noConversion"/>
  </si>
  <si>
    <t>2020 목표</t>
    <phoneticPr fontId="22" type="noConversion"/>
  </si>
  <si>
    <t>년목표시 CPL ~ CGL 2개월 정지로 원단위 차이 발생</t>
    <phoneticPr fontId="22" type="noConversion"/>
  </si>
  <si>
    <t>10월 성과개선 보고회 내용 정리</t>
    <phoneticPr fontId="22" type="noConversion"/>
  </si>
  <si>
    <t>작성일 : 2020년 10월 20일(화)</t>
    <phoneticPr fontId="22" type="noConversion"/>
  </si>
  <si>
    <t>1. 경쟁력 확보는 개선을 통해 만들어 지기 때문에 2021년 성과개선 과제
    선정에 대해 리더가 하나하나 확인하여 선정이 필요함
2. 원가 절감 목표를 달성하기 위해서 코일형 스크랩, 비가동이(4월~9월) 
    지속적으로 증가하는 문제에 대해 근본적인 해결과 긴장이 필요함
3. 수율과 LOSS 지표에서 누락된 통판&amp;포장재 전환이 발생되지 않도록
    명확한 관리와 신속 정확한 처리가 필요함</t>
    <phoneticPr fontId="22" type="noConversion"/>
  </si>
  <si>
    <t>1. 담당자와 현장관리자의 성과개선 과제 진도율이 느린데, 집중적으로
    빠른 진행이 필요함
2. HR 원소재 LOSS에 관한 지속적인 관리 및 분석 진행 바랍니다.</t>
    <phoneticPr fontId="22" type="noConversion"/>
  </si>
  <si>
    <t>1.Roll Grinder Machine Overhaul 2021년 1월 중순 진행 예정임
2. 전기 Main Drive 전압 Drop관련 설비만의 문제가 아니라, 생산에서도
   협업하여 비가동을 최소화 할 수 있도록 노력이 필요함
3. CRM 최고 톤파워 플랜카드 제작 요청(업무지원팀)</t>
    <phoneticPr fontId="22" type="noConversion"/>
  </si>
  <si>
    <t>1. 8월말부터 1MPM씩 총 3MPM 스피드 상향 작업 진행중 
2. 입/출측 Table 전자석 설치 검토 예정 → 박판 컷트시 쏟아짐으로 인한
   쉬트 스크랩 발생량(월 입측 23톤, 출측 10톤 발생) 저감</t>
    <phoneticPr fontId="22" type="noConversion"/>
  </si>
  <si>
    <t>1. 구매GI 투입량이 점점 증가함으로 수입검사에 대한 철저한 관리 필요
2. EMBO 작업시 Gage가 비슷한 제품을 전작업에 연결하여 전코일에 
    EMBO Depth Test 진행 필요함</t>
    <phoneticPr fontId="22" type="noConversion"/>
  </si>
  <si>
    <t>1. 지관 재고 24시간 전 투입 오더 → 16시간으로 지관재고 축소함
2. 보호필름 500M 단위로 발주 및 남은 재고에 대한 제재단 요청 진행중
3. 경관에서 라인별 소모품비 총량에 대한 월별 변화량을 공유하여 
    현장 관리자가 지속적으로 관리할 수 있도록 관리 프로세스 필요함</t>
    <phoneticPr fontId="22" type="noConversion"/>
  </si>
  <si>
    <t>1. 목적(열정)을 가지고 현장을 돌아다니면서 유틸리티, 수선비 절감에 
   대한 고민(개선)이 필요함</t>
    <phoneticPr fontId="22" type="noConversion"/>
  </si>
  <si>
    <t>2019년 실적</t>
    <phoneticPr fontId="22" type="noConversion"/>
  </si>
  <si>
    <t>20년
월목표금액</t>
    <phoneticPr fontId="22" type="noConversion"/>
  </si>
  <si>
    <t>20년
월목표</t>
    <phoneticPr fontId="22" type="noConversion"/>
  </si>
  <si>
    <t>10월
개선건수</t>
    <phoneticPr fontId="22" type="noConversion"/>
  </si>
  <si>
    <t>20년 상반기</t>
    <phoneticPr fontId="22" type="noConversion"/>
  </si>
  <si>
    <t>CCL(GI)</t>
    <phoneticPr fontId="22" type="noConversion"/>
  </si>
  <si>
    <t>10월
개선금액</t>
    <phoneticPr fontId="22" type="noConversion"/>
  </si>
  <si>
    <t>10월
원단위</t>
    <phoneticPr fontId="22" type="noConversion"/>
  </si>
  <si>
    <t>원가관리</t>
    <phoneticPr fontId="22" type="noConversion"/>
  </si>
  <si>
    <t>매출원장-매출중량</t>
    <phoneticPr fontId="22" type="noConversion"/>
  </si>
  <si>
    <t>부산물 중량</t>
    <phoneticPr fontId="22" type="noConversion"/>
  </si>
  <si>
    <t>미니쉐어</t>
    <phoneticPr fontId="22" type="noConversion"/>
  </si>
  <si>
    <t>수율(%)</t>
    <phoneticPr fontId="22" type="noConversion"/>
  </si>
  <si>
    <t>SLIT</t>
    <phoneticPr fontId="33" type="noConversion"/>
  </si>
  <si>
    <t>SHEET</t>
    <phoneticPr fontId="22" type="noConversion"/>
  </si>
  <si>
    <t>목표
금액</t>
    <phoneticPr fontId="22" type="noConversion"/>
  </si>
  <si>
    <t>19년
실적</t>
    <phoneticPr fontId="22" type="noConversion"/>
  </si>
  <si>
    <t>제품손실
제로화</t>
    <phoneticPr fontId="22" type="noConversion"/>
  </si>
  <si>
    <t>라인 
불가동</t>
    <phoneticPr fontId="22" type="noConversion"/>
  </si>
  <si>
    <t>목표시간이 아닌 
전체 시간에서 금액을 구함</t>
    <phoneticPr fontId="22" type="noConversion"/>
  </si>
  <si>
    <t>▶ 현상 : 제품 핸들링에 따른 
손실 제로화</t>
    <phoneticPr fontId="22" type="noConversion"/>
  </si>
  <si>
    <t>(F8-$D$8)/100*R24*$S$21</t>
  </si>
  <si>
    <t>(F12-$D$12)/100*F6*$S$22</t>
  </si>
  <si>
    <t>(($D$13/12)-F13)*$S$22</t>
  </si>
  <si>
    <t>($D$14/12-F14)*$S$22</t>
  </si>
  <si>
    <t>($D$15/12-F15)*$S$22</t>
  </si>
  <si>
    <t>($D$17-F17)*F6</t>
  </si>
  <si>
    <t>($D$18-F18)*F6</t>
  </si>
  <si>
    <t>($D$19-F19)*F6</t>
  </si>
  <si>
    <t>(F6/$D$7-F6/F7)*$S$21</t>
    <phoneticPr fontId="22" type="noConversion"/>
  </si>
  <si>
    <t>언코일링 작업시간 1886분 정수로 빼서 가동시간으로 잡음</t>
    <phoneticPr fontId="22" type="noConversion"/>
  </si>
  <si>
    <t>평균두께-실</t>
    <phoneticPr fontId="22" type="noConversion"/>
  </si>
  <si>
    <t>평균폭-실</t>
    <phoneticPr fontId="22" type="noConversion"/>
  </si>
  <si>
    <t>구분</t>
    <phoneticPr fontId="22" type="noConversion"/>
  </si>
  <si>
    <t>2020 12월 주요 지표 실적</t>
    <phoneticPr fontId="22" type="noConversion"/>
  </si>
  <si>
    <t>20년</t>
  </si>
  <si>
    <t>20년</t>
    <phoneticPr fontId="22" type="noConversion"/>
  </si>
  <si>
    <t>연간발생</t>
    <phoneticPr fontId="22" type="noConversion"/>
  </si>
  <si>
    <t>월평균</t>
    <phoneticPr fontId="22" type="noConversion"/>
  </si>
  <si>
    <t>CGL</t>
    <phoneticPr fontId="22" type="noConversion"/>
  </si>
  <si>
    <t>1CCL</t>
    <phoneticPr fontId="22" type="noConversion"/>
  </si>
  <si>
    <t>2CCL</t>
    <phoneticPr fontId="22" type="noConversion"/>
  </si>
  <si>
    <t>2CCL</t>
    <phoneticPr fontId="22" type="noConversion"/>
  </si>
  <si>
    <t>누적</t>
    <phoneticPr fontId="22" type="noConversion"/>
  </si>
  <si>
    <t>누적</t>
    <phoneticPr fontId="22" type="noConversion"/>
  </si>
  <si>
    <t>반품제외</t>
    <phoneticPr fontId="22" type="noConversion"/>
  </si>
  <si>
    <t>누적</t>
    <phoneticPr fontId="22" type="noConversion"/>
  </si>
  <si>
    <t>약품 원단위</t>
    <phoneticPr fontId="22" type="noConversion"/>
  </si>
  <si>
    <t>17~19년</t>
    <phoneticPr fontId="22" type="noConversion"/>
  </si>
  <si>
    <t>20년 
상반기</t>
    <phoneticPr fontId="22" type="noConversion"/>
  </si>
  <si>
    <t>20년 
하반기</t>
    <phoneticPr fontId="22" type="noConversion"/>
  </si>
  <si>
    <t>20년
하반기</t>
    <phoneticPr fontId="22" type="noConversion"/>
  </si>
  <si>
    <t>21년
목표</t>
    <phoneticPr fontId="22" type="noConversion"/>
  </si>
  <si>
    <t>20년</t>
    <phoneticPr fontId="22" type="noConversion"/>
  </si>
  <si>
    <t xml:space="preserve">추가 성과개선 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</si>
</sst>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0.00_ "/>
    <numFmt numFmtId="177" formatCode="#,##0_ "/>
    <numFmt numFmtId="178" formatCode="0_);[Red]\(0\)"/>
    <numFmt numFmtId="179" formatCode="#,##0.00_ "/>
    <numFmt numFmtId="180" formatCode="_-* #,##0_-;\-* #,##0_-;_-* &quot;-&quot;??_-;_-@_-"/>
    <numFmt numFmtId="181" formatCode="_-* #,##0.00_-;\-* #,##0.00_-;_-* &quot;-&quot;_-;_-@_-"/>
    <numFmt numFmtId="182" formatCode="0.00;_焂"/>
    <numFmt numFmtId="183" formatCode="0.00_);[Red]\(0.00\)"/>
    <numFmt numFmtId="184" formatCode="0.000;\-0.000"/>
    <numFmt numFmtId="185" formatCode="0_ "/>
    <numFmt numFmtId="186" formatCode="#,##0.0_ "/>
    <numFmt numFmtId="187" formatCode="#,##0_);[Red]\(#,##0\)"/>
    <numFmt numFmtId="188" formatCode="0.0%"/>
    <numFmt numFmtId="189" formatCode="0.000"/>
    <numFmt numFmtId="190" formatCode="0.00000"/>
    <numFmt numFmtId="191" formatCode="_ * #,##0_ ;_ * \-#,##0_ ;_ * &quot;-&quot;_ ;_ @_ "/>
    <numFmt numFmtId="192" formatCode="_ * #,##0.00_ ;_ * \-#,##0.00_ ;_ * &quot;-&quot;??_ ;_ @_ "/>
    <numFmt numFmtId="193" formatCode="&quot;₩&quot;#,##0"/>
    <numFmt numFmtId="194" formatCode="_ * #,##0.000_ ;_ * \-#,##0.000_ ;_ * &quot;-&quot;_ ;_ @_ "/>
    <numFmt numFmtId="195" formatCode="&quot;kr&quot;\ #,##0;&quot;kr&quot;\ \-#,##0"/>
    <numFmt numFmtId="196" formatCode="\$#,##0.00"/>
    <numFmt numFmtId="197" formatCode="0.0000%"/>
    <numFmt numFmtId="198" formatCode="_(&quot;$&quot;* #,##0_);_(&quot;$&quot;* \(#,##0\);_(&quot;$&quot;* &quot;-&quot;_);_(@_)"/>
    <numFmt numFmtId="199" formatCode="_(&quot;$&quot;* #,##0.00_);_(&quot;$&quot;* \(#,##0.00\);_(&quot;$&quot;* &quot;-&quot;??_);_(@_)"/>
    <numFmt numFmtId="200" formatCode="#.##"/>
    <numFmt numFmtId="201" formatCode="#,##0.000;[Red]&quot;-&quot;#,##0.000"/>
    <numFmt numFmtId="202" formatCode="#,##0\ \ \ \ \ "/>
    <numFmt numFmtId="203" formatCode="\$#.00"/>
    <numFmt numFmtId="204" formatCode="%#.00"/>
    <numFmt numFmtId="205" formatCode="#,##0&quot;  &quot;"/>
    <numFmt numFmtId="206" formatCode="\-\2\2\4&quot; &quot;"/>
    <numFmt numFmtId="207" formatCode="\-\1&quot; &quot;"/>
    <numFmt numFmtId="208" formatCode="\-\1\4\4&quot; &quot;"/>
    <numFmt numFmtId="209" formatCode="\-\2\2\5&quot; &quot;"/>
    <numFmt numFmtId="210" formatCode="\1\4\4&quot; &quot;"/>
    <numFmt numFmtId="211" formatCode="#,##0.0&quot;     &quot;"/>
    <numFmt numFmtId="212" formatCode="&quot; &quot;@"/>
    <numFmt numFmtId="213" formatCode="yy&quot;년&quot;\ mm&quot;월&quot;\ dd&quot;일 &quot;"/>
    <numFmt numFmtId="214" formatCode="&quot;₩&quot;#,##0;&quot;₩&quot;&quot;₩&quot;\!\-#,##0"/>
    <numFmt numFmtId="215" formatCode="##,##0"/>
    <numFmt numFmtId="216" formatCode="&quot;₩&quot;\ #,##0.00;[Red]&quot;₩&quot;\ \-#,##0.00"/>
    <numFmt numFmtId="217" formatCode="&quot;RM&quot;#,##0.00_);[Red]\(&quot;RM&quot;#,##0.00\)"/>
    <numFmt numFmtId="218" formatCode="_(&quot;RM&quot;* #,##0.00_);_(&quot;RM&quot;* \(#,##0.00\);_(&quot;RM&quot;* &quot;-&quot;??_);_(@_)"/>
    <numFmt numFmtId="219" formatCode="_(* #,##0_);_(* \(#,##0\);_(* &quot;-&quot;_);_(@_)"/>
    <numFmt numFmtId="220" formatCode="&quot;$&quot;#,##0"/>
    <numFmt numFmtId="221" formatCode="0.000000000000000000%"/>
    <numFmt numFmtId="222" formatCode="0.00000000000000000%"/>
    <numFmt numFmtId="223" formatCode="#,##0_ ;[Red]\-#,##0\ "/>
    <numFmt numFmtId="224" formatCode="0.0000000000000_ "/>
    <numFmt numFmtId="225" formatCode="0.0"/>
    <numFmt numFmtId="226" formatCode="#,##0.00_);[Red]\(#,##0.00\)"/>
    <numFmt numFmtId="227" formatCode="#,##0.0"/>
    <numFmt numFmtId="228" formatCode="0.0_);[Red]\(0.0\)"/>
    <numFmt numFmtId="229" formatCode="0.00000000000000_ "/>
    <numFmt numFmtId="230" formatCode="0.0_ "/>
    <numFmt numFmtId="231" formatCode="#,##0.0_);[Red]\(#,##0.0\)"/>
    <numFmt numFmtId="232" formatCode="0.000_ "/>
    <numFmt numFmtId="233" formatCode="#,##0.0000_ "/>
    <numFmt numFmtId="234" formatCode="#,##0.000000000000_);[Red]\(#,##0.000000000000\)"/>
    <numFmt numFmtId="235" formatCode="&quot;₩&quot;#,##0_);[Red]\(&quot;₩&quot;#,##0\)"/>
    <numFmt numFmtId="236" formatCode="#,##0.000_ "/>
    <numFmt numFmtId="237" formatCode="0.000_);[Red]\(0.000\)"/>
    <numFmt numFmtId="238" formatCode="0_ ;[Red]\-0\ "/>
    <numFmt numFmtId="239" formatCode="_-* #,##0.000_-;\-* #,##0.000_-;_-* &quot;-&quot;???_-;_-@_-"/>
    <numFmt numFmtId="240" formatCode="&quot;Level &quot;0"/>
    <numFmt numFmtId="241" formatCode="0.0000_);[Red]\(0.0000\)"/>
    <numFmt numFmtId="242" formatCode="0.000000000_ "/>
    <numFmt numFmtId="243" formatCode="#,##0.00_ ;[Red]\-#,##0.00\ "/>
    <numFmt numFmtId="244" formatCode="0.00000000_ "/>
    <numFmt numFmtId="245" formatCode="#,##0.000_);[Red]\(#,##0.000\)"/>
  </numFmts>
  <fonts count="27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굴림체"/>
      <family val="3"/>
      <charset val="129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9"/>
      <color indexed="8"/>
      <name val="굴림"/>
      <family val="3"/>
      <charset val="129"/>
    </font>
    <font>
      <b/>
      <sz val="14"/>
      <color theme="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indexed="10"/>
      <name val="돋움"/>
      <family val="3"/>
      <charset val="129"/>
    </font>
    <font>
      <sz val="11"/>
      <color indexed="14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name val="돋움"/>
      <family val="3"/>
      <charset val="129"/>
    </font>
    <font>
      <sz val="10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10"/>
      <color indexed="8"/>
      <name val="돋움"/>
      <family val="3"/>
      <charset val="129"/>
    </font>
    <font>
      <b/>
      <sz val="12"/>
      <color rgb="FFFFFF00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70C0"/>
      <name val="돋움"/>
      <family val="3"/>
      <charset val="129"/>
    </font>
    <font>
      <b/>
      <sz val="12"/>
      <color rgb="FFFF0000"/>
      <name val="맑은 고딕"/>
      <family val="3"/>
      <charset val="129"/>
    </font>
    <font>
      <b/>
      <sz val="10"/>
      <color rgb="FF0070C0"/>
      <name val="돋움"/>
      <family val="3"/>
      <charset val="129"/>
    </font>
    <font>
      <b/>
      <sz val="9"/>
      <color indexed="12"/>
      <name val="굴림"/>
      <family val="3"/>
      <charset val="129"/>
    </font>
    <font>
      <sz val="10"/>
      <name val="Arial"/>
      <family val="2"/>
    </font>
    <font>
      <sz val="18"/>
      <name val="Arial"/>
      <family val="2"/>
    </font>
    <font>
      <sz val="11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</font>
    <font>
      <sz val="10"/>
      <color indexed="8"/>
      <name val="Arial"/>
      <family val="2"/>
    </font>
    <font>
      <sz val="9"/>
      <name val="굴림"/>
      <family val="3"/>
    </font>
    <font>
      <sz val="11"/>
      <name val="굴림체"/>
      <family val="3"/>
      <charset val="129"/>
    </font>
    <font>
      <sz val="12"/>
      <name val="굴림체"/>
      <family val="3"/>
      <charset val="129"/>
    </font>
    <font>
      <sz val="12"/>
      <name val="바탕체"/>
      <family val="1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2"/>
      <color indexed="22"/>
      <name val="바탕체"/>
      <family val="1"/>
      <charset val="129"/>
    </font>
    <font>
      <b/>
      <sz val="18"/>
      <color indexed="22"/>
      <name val="바탕체"/>
      <family val="1"/>
      <charset val="129"/>
    </font>
    <font>
      <b/>
      <sz val="15"/>
      <color indexed="22"/>
      <name val="바탕체"/>
      <family val="1"/>
      <charset val="129"/>
    </font>
    <font>
      <u/>
      <sz val="7.5"/>
      <color indexed="36"/>
      <name val="Arial"/>
      <family val="2"/>
    </font>
    <font>
      <sz val="14"/>
      <name val="뼻뮝"/>
      <family val="3"/>
      <charset val="129"/>
    </font>
    <font>
      <sz val="10"/>
      <name val="돋움체"/>
      <family val="3"/>
      <charset val="129"/>
    </font>
    <font>
      <sz val="8"/>
      <name val="Times New Roman"/>
      <family val="1"/>
    </font>
    <font>
      <sz val="10"/>
      <name val="굴림"/>
      <family val="3"/>
      <charset val="129"/>
    </font>
    <font>
      <b/>
      <sz val="12"/>
      <name val="Arial MT"/>
      <family val="2"/>
    </font>
    <font>
      <sz val="12"/>
      <name val="¹UAAA¼"/>
      <family val="3"/>
      <charset val="129"/>
    </font>
    <font>
      <sz val="9"/>
      <name val="Times New Roman"/>
      <family val="1"/>
    </font>
    <font>
      <b/>
      <sz val="10"/>
      <name val="Helv"/>
      <family val="2"/>
    </font>
    <font>
      <sz val="1"/>
      <color indexed="8"/>
      <name val="Courier"/>
      <family val="3"/>
    </font>
    <font>
      <sz val="12"/>
      <name val="Arial MT"/>
      <family val="2"/>
    </font>
    <font>
      <sz val="10"/>
      <name val="MS Serif"/>
      <family val="1"/>
    </font>
    <font>
      <b/>
      <sz val="9"/>
      <name val="Helv"/>
      <family val="2"/>
    </font>
    <font>
      <sz val="10"/>
      <color indexed="16"/>
      <name val="MS Serif"/>
      <family val="1"/>
    </font>
    <font>
      <sz val="12"/>
      <color indexed="24"/>
      <name val="Arial"/>
      <family val="2"/>
    </font>
    <font>
      <u/>
      <sz val="14"/>
      <color indexed="36"/>
      <name val="Cordia New"/>
      <family val="2"/>
    </font>
    <font>
      <sz val="10"/>
      <name val="Genev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8"/>
      <name val="MS Sans Serif"/>
      <family val="2"/>
    </font>
    <font>
      <u/>
      <sz val="8"/>
      <color indexed="12"/>
      <name val="Times New Roman"/>
      <family val="1"/>
    </font>
    <font>
      <sz val="14"/>
      <name val="Helv"/>
      <family val="2"/>
    </font>
    <font>
      <sz val="12"/>
      <name val="Helv"/>
      <family val="2"/>
    </font>
    <font>
      <sz val="24"/>
      <name val="Helv"/>
      <family val="2"/>
    </font>
    <font>
      <b/>
      <sz val="11"/>
      <name val="Helv"/>
      <family val="2"/>
    </font>
    <font>
      <sz val="7"/>
      <name val="Small Fonts"/>
      <family val="2"/>
    </font>
    <font>
      <sz val="8"/>
      <name val="Wingdings"/>
      <charset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sz val="8"/>
      <name val="MS Sans Serif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b/>
      <u/>
      <sz val="13"/>
      <name val="굴림체"/>
      <family val="3"/>
      <charset val="129"/>
    </font>
    <font>
      <sz val="8"/>
      <name val="바탕체"/>
      <family val="1"/>
      <charset val="129"/>
    </font>
    <font>
      <sz val="9"/>
      <name val="굴림"/>
      <family val="3"/>
      <charset val="129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8"/>
      <name val="Arial"/>
      <family val="2"/>
    </font>
    <font>
      <b/>
      <sz val="18"/>
      <color indexed="62"/>
      <name val="Cambria"/>
      <family val="1"/>
    </font>
    <font>
      <sz val="11"/>
      <color indexed="14"/>
      <name val="Calibri"/>
      <family val="2"/>
    </font>
    <font>
      <b/>
      <u/>
      <sz val="28"/>
      <name val="돋움"/>
      <family val="3"/>
      <charset val="129"/>
    </font>
    <font>
      <sz val="12"/>
      <name val="돋움"/>
      <family val="3"/>
      <charset val="129"/>
    </font>
    <font>
      <sz val="10"/>
      <color indexed="16"/>
      <name val="돋움"/>
      <family val="3"/>
      <charset val="129"/>
    </font>
    <font>
      <b/>
      <sz val="10"/>
      <color indexed="16"/>
      <name val="돋움"/>
      <family val="3"/>
      <charset val="129"/>
    </font>
    <font>
      <b/>
      <sz val="10"/>
      <color theme="5" tint="-0.249977111117893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name val="굴림"/>
      <family val="3"/>
      <charset val="129"/>
    </font>
    <font>
      <sz val="10"/>
      <name val="Helv"/>
      <family val="2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indexed="16"/>
      <name val="돋움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2"/>
      <color rgb="FF000000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굴림체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10"/>
      <color theme="0"/>
      <name val="돋움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2"/>
      <color rgb="FF000000"/>
      <name val="Calibri"/>
      <family val="2"/>
    </font>
    <font>
      <sz val="12"/>
      <color rgb="FF000000"/>
      <name val="돋움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0"/>
      <color theme="1"/>
      <name val="굴림체"/>
      <family val="3"/>
      <charset val="129"/>
    </font>
    <font>
      <b/>
      <sz val="10"/>
      <color rgb="FF000000"/>
      <name val="맑은 고딕"/>
      <family val="3"/>
      <charset val="129"/>
    </font>
    <font>
      <b/>
      <sz val="12"/>
      <name val="돋움"/>
      <family val="3"/>
      <charset val="129"/>
    </font>
    <font>
      <sz val="11"/>
      <color rgb="FF0000FF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6"/>
      <color indexed="8"/>
      <name val="굴림"/>
      <family val="3"/>
      <charset val="129"/>
    </font>
    <font>
      <sz val="16"/>
      <name val="굴림"/>
      <family val="3"/>
      <charset val="129"/>
    </font>
    <font>
      <sz val="10"/>
      <color theme="1"/>
      <name val="맑은 고딕"/>
      <family val="3"/>
      <charset val="129"/>
      <scheme val="major"/>
    </font>
    <font>
      <sz val="9"/>
      <color theme="1"/>
      <name val="굴림체"/>
      <family val="3"/>
      <charset val="129"/>
    </font>
    <font>
      <sz val="10"/>
      <color rgb="FF000000"/>
      <name val="맑은 고딕"/>
      <family val="3"/>
      <charset val="129"/>
    </font>
    <font>
      <b/>
      <u/>
      <sz val="20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</font>
    <font>
      <b/>
      <sz val="24"/>
      <color theme="0"/>
      <name val="돋움"/>
      <family val="3"/>
      <charset val="129"/>
    </font>
    <font>
      <sz val="9"/>
      <name val="돋움"/>
      <family val="3"/>
      <charset val="129"/>
    </font>
    <font>
      <sz val="11"/>
      <name val="맑은 고딕"/>
      <family val="3"/>
      <charset val="129"/>
      <scheme val="major"/>
    </font>
    <font>
      <sz val="12"/>
      <color rgb="FF0000FF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ajor"/>
    </font>
    <font>
      <b/>
      <sz val="14"/>
      <color rgb="FF000000"/>
      <name val="맑은 고딕"/>
      <family val="3"/>
      <charset val="129"/>
      <scheme val="minor"/>
    </font>
    <font>
      <b/>
      <sz val="11"/>
      <color rgb="FF0033CC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8"/>
      <color rgb="FF0000FF"/>
      <name val="맑은 고딕"/>
      <family val="3"/>
      <charset val="129"/>
      <scheme val="minor"/>
    </font>
    <font>
      <b/>
      <sz val="8"/>
      <color rgb="FF0000FF"/>
      <name val="맑은 고딕"/>
      <family val="3"/>
      <charset val="129"/>
      <scheme val="minor"/>
    </font>
    <font>
      <b/>
      <sz val="11"/>
      <color rgb="FFFF0000"/>
      <name val="돋움"/>
      <family val="3"/>
      <charset val="129"/>
    </font>
    <font>
      <b/>
      <sz val="14"/>
      <color rgb="FFFF000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b/>
      <sz val="20"/>
      <name val="맑은 고딕"/>
      <family val="3"/>
      <charset val="129"/>
      <scheme val="minor"/>
    </font>
    <font>
      <b/>
      <sz val="10"/>
      <color rgb="FF0000FF"/>
      <name val="돋움"/>
      <family val="3"/>
      <charset val="129"/>
    </font>
    <font>
      <b/>
      <sz val="11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ajor"/>
    </font>
    <font>
      <b/>
      <sz val="12"/>
      <color rgb="FFFFFFFF"/>
      <name val="맑은 고딕"/>
      <family val="3"/>
      <charset val="129"/>
    </font>
    <font>
      <b/>
      <sz val="11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11"/>
      <color rgb="FFFF0000"/>
      <name val="Arial"/>
      <family val="2"/>
    </font>
    <font>
      <b/>
      <sz val="11"/>
      <name val="맑은 고딕"/>
      <family val="3"/>
      <charset val="129"/>
    </font>
    <font>
      <sz val="11"/>
      <color theme="0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b/>
      <sz val="9"/>
      <name val="Arial"/>
      <family val="2"/>
    </font>
    <font>
      <sz val="9"/>
      <name val="Arial"/>
      <family val="2"/>
    </font>
    <font>
      <sz val="9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ajor"/>
    </font>
    <font>
      <b/>
      <sz val="11"/>
      <color theme="0"/>
      <name val="돋움"/>
      <family val="3"/>
      <charset val="129"/>
    </font>
    <font>
      <b/>
      <sz val="12"/>
      <color rgb="FF0214BE"/>
      <name val="돋움"/>
      <family val="3"/>
      <charset val="129"/>
    </font>
    <font>
      <b/>
      <sz val="10"/>
      <color rgb="FFC00000"/>
      <name val="돋움"/>
      <family val="3"/>
      <charset val="129"/>
    </font>
    <font>
      <sz val="10"/>
      <color rgb="FFC00000"/>
      <name val="돋움"/>
      <family val="3"/>
      <charset val="129"/>
    </font>
    <font>
      <sz val="11"/>
      <color rgb="FFC00000"/>
      <name val="돋움"/>
      <family val="3"/>
      <charset val="129"/>
    </font>
    <font>
      <sz val="10"/>
      <color rgb="FF0000FF"/>
      <name val="돋움"/>
      <family val="3"/>
      <charset val="129"/>
    </font>
    <font>
      <sz val="11"/>
      <color rgb="FF0000FF"/>
      <name val="돋움"/>
      <family val="3"/>
      <charset val="129"/>
    </font>
    <font>
      <b/>
      <sz val="11"/>
      <color theme="0" tint="-4.9989318521683403E-2"/>
      <name val="맑은 고딕"/>
      <family val="3"/>
      <charset val="129"/>
      <scheme val="major"/>
    </font>
    <font>
      <b/>
      <sz val="10"/>
      <name val="Arial"/>
      <family val="2"/>
    </font>
    <font>
      <b/>
      <sz val="11"/>
      <name val="Arial"/>
      <family val="2"/>
    </font>
    <font>
      <sz val="9.5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12"/>
      <color theme="0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</font>
    <font>
      <b/>
      <sz val="12"/>
      <color theme="0"/>
      <name val="돋움"/>
      <family val="3"/>
      <charset val="129"/>
    </font>
    <font>
      <sz val="10"/>
      <color theme="1"/>
      <name val="굴림"/>
      <family val="3"/>
      <charset val="129"/>
    </font>
    <font>
      <b/>
      <sz val="10"/>
      <color rgb="FF0000FF"/>
      <name val="굴림"/>
      <family val="3"/>
      <charset val="129"/>
    </font>
    <font>
      <b/>
      <sz val="9"/>
      <name val="돋움"/>
      <family val="3"/>
      <charset val="129"/>
    </font>
    <font>
      <b/>
      <sz val="10"/>
      <color theme="1"/>
      <name val="굴림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8"/>
      <name val="맑은 고딕"/>
      <family val="3"/>
      <charset val="129"/>
      <scheme val="major"/>
    </font>
    <font>
      <b/>
      <sz val="12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b/>
      <sz val="20"/>
      <name val="돋움"/>
      <family val="3"/>
      <charset val="129"/>
    </font>
    <font>
      <b/>
      <sz val="28"/>
      <name val="돋움"/>
      <family val="3"/>
      <charset val="129"/>
    </font>
    <font>
      <b/>
      <sz val="11"/>
      <color rgb="FF0000FF"/>
      <name val="돋움"/>
      <family val="3"/>
      <charset val="129"/>
    </font>
    <font>
      <b/>
      <sz val="11"/>
      <color theme="1"/>
      <name val="맑은 고딕"/>
      <family val="3"/>
      <charset val="129"/>
      <scheme val="major"/>
    </font>
    <font>
      <b/>
      <sz val="7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1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54"/>
      </patternFill>
    </fill>
    <fill>
      <patternFill patternType="solid">
        <fgColor indexed="2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rgb="FF92D05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theme="0"/>
        <bgColor indexed="8"/>
      </patternFill>
    </fill>
    <fill>
      <patternFill patternType="solid">
        <fgColor theme="0"/>
        <bgColor indexed="9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</fills>
  <borders count="69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uble">
        <color indexed="64"/>
      </bottom>
      <diagonal/>
    </border>
    <border>
      <left style="dotted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uble">
        <color indexed="64"/>
      </bottom>
      <diagonal/>
    </border>
    <border>
      <left/>
      <right style="thin">
        <color indexed="64"/>
      </right>
      <top style="dotted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uble">
        <color indexed="64"/>
      </bottom>
      <diagonal/>
    </border>
    <border>
      <left style="thin">
        <color indexed="64"/>
      </left>
      <right/>
      <top style="dotted">
        <color indexed="64"/>
      </top>
      <bottom style="double">
        <color indexed="64"/>
      </bottom>
      <diagonal/>
    </border>
    <border>
      <left/>
      <right style="medium">
        <color indexed="64"/>
      </right>
      <top style="dotted">
        <color indexed="64"/>
      </top>
      <bottom style="double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000000"/>
      </bottom>
      <diagonal/>
    </border>
    <border>
      <left style="thick">
        <color rgb="FFFF0000"/>
      </left>
      <right style="thick">
        <color rgb="FFFF0000"/>
      </right>
      <top style="hair">
        <color rgb="FF000000"/>
      </top>
      <bottom style="hair">
        <color rgb="FF000000"/>
      </bottom>
      <diagonal/>
    </border>
    <border>
      <left style="thick">
        <color rgb="FFFF0000"/>
      </left>
      <right style="thick">
        <color rgb="FFFF0000"/>
      </right>
      <top style="thin">
        <color rgb="FF000000"/>
      </top>
      <bottom style="thick">
        <color rgb="FFFF0000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dotted">
        <color indexed="64"/>
      </right>
      <top style="dotted">
        <color auto="1"/>
      </top>
      <bottom style="dotted">
        <color auto="1"/>
      </bottom>
      <diagonal/>
    </border>
    <border>
      <left style="dotted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auto="1"/>
      </top>
      <bottom style="hair">
        <color rgb="FF000000"/>
      </bottom>
      <diagonal/>
    </border>
    <border>
      <left style="thick">
        <color rgb="FFFF0000"/>
      </left>
      <right style="thick">
        <color rgb="FFFF0000"/>
      </right>
      <top style="hair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thin">
        <color auto="1"/>
      </top>
      <bottom/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hair">
        <color auto="1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indexed="64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indexed="64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/>
      <top style="thin">
        <color auto="1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ck">
        <color rgb="FFFF0000"/>
      </left>
      <right style="thick">
        <color rgb="FFFF0000"/>
      </right>
      <top style="thin">
        <color rgb="FF000000"/>
      </top>
      <bottom style="hair">
        <color auto="1"/>
      </bottom>
      <diagonal/>
    </border>
    <border>
      <left style="thick">
        <color rgb="FFFF0000"/>
      </left>
      <right style="thick">
        <color rgb="FFFF0000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thick">
        <color auto="1"/>
      </left>
      <right/>
      <top style="thick">
        <color auto="1"/>
      </top>
      <bottom style="medium">
        <color indexed="64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/>
      <right style="medium">
        <color rgb="FF000000"/>
      </right>
      <top style="thick">
        <color auto="1"/>
      </top>
      <bottom style="medium">
        <color indexed="64"/>
      </bottom>
      <diagonal/>
    </border>
    <border>
      <left style="thick">
        <color auto="1"/>
      </left>
      <right style="medium">
        <color rgb="FF000000"/>
      </right>
      <top style="medium">
        <color rgb="FF000000"/>
      </top>
      <bottom/>
      <diagonal/>
    </border>
    <border>
      <left style="thick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auto="1"/>
      </left>
      <right/>
      <top style="medium">
        <color rgb="FF000000"/>
      </top>
      <bottom/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ck">
        <color auto="1"/>
      </right>
      <top style="medium">
        <color indexed="64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medium">
        <color rgb="FF000000"/>
      </right>
      <top/>
      <bottom/>
      <diagonal/>
    </border>
    <border>
      <left style="thick">
        <color auto="1"/>
      </left>
      <right style="medium">
        <color rgb="FF000000"/>
      </right>
      <top/>
      <bottom style="thick">
        <color auto="1"/>
      </bottom>
      <diagonal/>
    </border>
    <border>
      <left style="medium">
        <color rgb="FF000000"/>
      </left>
      <right/>
      <top style="medium">
        <color rgb="FF000000"/>
      </top>
      <bottom style="thick">
        <color auto="1"/>
      </bottom>
      <diagonal/>
    </border>
    <border>
      <left/>
      <right/>
      <top style="medium">
        <color rgb="FF000000"/>
      </top>
      <bottom style="thick">
        <color auto="1"/>
      </bottom>
      <diagonal/>
    </border>
    <border>
      <left/>
      <right style="medium">
        <color rgb="FF000000"/>
      </right>
      <top style="medium">
        <color rgb="FF000000"/>
      </top>
      <bottom style="thick">
        <color auto="1"/>
      </bottom>
      <diagonal/>
    </border>
    <border>
      <left/>
      <right style="medium">
        <color rgb="FF000000"/>
      </right>
      <top/>
      <bottom/>
      <diagonal/>
    </border>
    <border>
      <left style="thick">
        <color auto="1"/>
      </left>
      <right/>
      <top/>
      <bottom style="medium">
        <color rgb="FF000000"/>
      </bottom>
      <diagonal/>
    </border>
    <border>
      <left style="thin">
        <color indexed="64"/>
      </left>
      <right style="thick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 style="medium">
        <color rgb="FF000000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rgb="FF000000"/>
      </left>
      <right style="thick">
        <color indexed="64"/>
      </right>
      <top/>
      <bottom/>
      <diagonal/>
    </border>
    <border>
      <left style="medium">
        <color rgb="FF000000"/>
      </left>
      <right style="thick">
        <color indexed="64"/>
      </right>
      <top style="medium">
        <color rgb="FF000000"/>
      </top>
      <bottom/>
      <diagonal/>
    </border>
    <border>
      <left style="medium">
        <color rgb="FF000000"/>
      </left>
      <right style="thick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thick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indexed="64"/>
      </right>
      <top style="medium">
        <color rgb="FF000000"/>
      </top>
      <bottom style="thick">
        <color indexed="64"/>
      </bottom>
      <diagonal/>
    </border>
    <border>
      <left/>
      <right style="thick">
        <color auto="1"/>
      </right>
      <top style="thick">
        <color auto="1"/>
      </top>
      <bottom style="medium">
        <color indexed="64"/>
      </bottom>
      <diagonal/>
    </border>
    <border>
      <left/>
      <right style="thick">
        <color auto="1"/>
      </right>
      <top style="medium">
        <color rgb="FF000000"/>
      </top>
      <bottom/>
      <diagonal/>
    </border>
    <border>
      <left/>
      <right style="thick">
        <color auto="1"/>
      </right>
      <top style="medium">
        <color indexed="64"/>
      </top>
      <bottom style="medium">
        <color rgb="FF000000"/>
      </bottom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 style="thin">
        <color indexed="64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indexed="64"/>
      </top>
      <bottom style="medium">
        <color indexed="64"/>
      </bottom>
      <diagonal/>
    </border>
    <border>
      <left/>
      <right style="thick">
        <color auto="1"/>
      </right>
      <top/>
      <bottom style="thin">
        <color indexed="64"/>
      </bottom>
      <diagonal/>
    </border>
    <border>
      <left/>
      <right style="thick">
        <color auto="1"/>
      </right>
      <top style="medium">
        <color rgb="FF000000"/>
      </top>
      <bottom style="medium">
        <color rgb="FF000000"/>
      </bottom>
      <diagonal/>
    </border>
    <border>
      <left/>
      <right style="thick">
        <color auto="1"/>
      </right>
      <top style="medium">
        <color rgb="FF000000"/>
      </top>
      <bottom style="thick">
        <color auto="1"/>
      </bottom>
      <diagonal/>
    </border>
    <border>
      <left style="thin">
        <color indexed="64"/>
      </left>
      <right style="thick">
        <color indexed="64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 style="medium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medium">
        <color rgb="FFFF0000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hair">
        <color auto="1"/>
      </top>
      <bottom/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/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auto="1"/>
      </top>
      <bottom style="medium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auto="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/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/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medium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medium">
        <color rgb="FFFF0000"/>
      </right>
      <top/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medium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indexed="64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/>
      <diagonal/>
    </border>
    <border>
      <left style="medium">
        <color rgb="FFFF0000"/>
      </left>
      <right style="medium">
        <color rgb="FFFF0000"/>
      </right>
      <top style="hair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auto="1"/>
      </top>
      <bottom/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thin">
        <color indexed="64"/>
      </left>
      <right style="medium">
        <color rgb="FFFF0000"/>
      </right>
      <top style="medium">
        <color indexed="64"/>
      </top>
      <bottom/>
      <diagonal/>
    </border>
    <border>
      <left style="thin">
        <color indexed="64"/>
      </left>
      <right style="medium">
        <color rgb="FFFF0000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rgb="FFFF0000"/>
      </right>
      <top style="hair">
        <color auto="1"/>
      </top>
      <bottom/>
      <diagonal/>
    </border>
    <border>
      <left style="thin">
        <color indexed="64"/>
      </left>
      <right style="medium">
        <color rgb="FFFF0000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rgb="FFFF0000"/>
      </right>
      <top style="hair">
        <color indexed="64"/>
      </top>
      <bottom style="medium">
        <color indexed="64"/>
      </bottom>
      <diagonal/>
    </border>
    <border>
      <left style="medium">
        <color rgb="FFFF0000"/>
      </left>
      <right/>
      <top style="thin">
        <color indexed="64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medium">
        <color rgb="FFFF0000"/>
      </right>
      <top style="thin">
        <color theme="1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medium">
        <color rgb="FFFF0000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</borders>
  <cellStyleXfs count="45151">
    <xf numFmtId="0" fontId="0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57" fillId="0" borderId="0">
      <alignment vertical="center"/>
    </xf>
    <xf numFmtId="41" fontId="57" fillId="0" borderId="0" applyFont="0" applyFill="0" applyBorder="0" applyAlignment="0" applyProtection="0">
      <alignment vertical="center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4" fillId="0" borderId="106">
      <alignment horizontal="center"/>
    </xf>
    <xf numFmtId="0" fontId="65" fillId="0" borderId="0">
      <alignment vertical="center"/>
    </xf>
    <xf numFmtId="3" fontId="66" fillId="0" borderId="21"/>
    <xf numFmtId="0" fontId="63" fillId="0" borderId="0"/>
    <xf numFmtId="0" fontId="63" fillId="0" borderId="0"/>
    <xf numFmtId="0" fontId="55" fillId="0" borderId="0" applyNumberFormat="0" applyFill="0" applyBorder="0" applyAlignment="0" applyProtection="0"/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0" borderId="0">
      <alignment vertical="center"/>
    </xf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3" fontId="66" fillId="0" borderId="21"/>
    <xf numFmtId="3" fontId="66" fillId="0" borderId="21"/>
    <xf numFmtId="0" fontId="62" fillId="0" borderId="0"/>
    <xf numFmtId="2" fontId="67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40" fontId="71" fillId="0" borderId="0" applyFont="0" applyFill="0" applyBorder="0" applyAlignment="0" applyProtection="0"/>
    <xf numFmtId="38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9" fontId="61" fillId="17" borderId="0" applyFill="0" applyBorder="0" applyProtection="0">
      <alignment horizontal="right"/>
    </xf>
    <xf numFmtId="10" fontId="61" fillId="0" borderId="0" applyFill="0" applyBorder="0" applyProtection="0">
      <alignment horizontal="right"/>
    </xf>
    <xf numFmtId="0" fontId="71" fillId="0" borderId="0"/>
    <xf numFmtId="215" fontId="21" fillId="0" borderId="0">
      <alignment vertical="center"/>
    </xf>
    <xf numFmtId="0" fontId="59" fillId="0" borderId="0">
      <alignment vertical="top"/>
    </xf>
    <xf numFmtId="4" fontId="67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3" fillId="0" borderId="0"/>
    <xf numFmtId="179" fontId="61" fillId="0" borderId="0" applyFont="0" applyFill="0" applyBorder="0" applyAlignment="0" applyProtection="0"/>
    <xf numFmtId="213" fontId="63" fillId="17" borderId="0" applyFill="0" applyBorder="0" applyProtection="0">
      <alignment horizontal="right"/>
    </xf>
    <xf numFmtId="0" fontId="63" fillId="0" borderId="0" applyFont="0" applyFill="0" applyBorder="0" applyAlignment="0" applyProtection="0"/>
    <xf numFmtId="10" fontId="67" fillId="0" borderId="0" applyFont="0" applyFill="0" applyBorder="0" applyAlignment="0" applyProtection="0"/>
    <xf numFmtId="0" fontId="21" fillId="0" borderId="0"/>
    <xf numFmtId="0" fontId="67" fillId="0" borderId="108" applyNumberFormat="0" applyFont="0" applyFill="0" applyAlignment="0" applyProtection="0"/>
    <xf numFmtId="197" fontId="63" fillId="0" borderId="0" applyFont="0" applyFill="0" applyBorder="0" applyAlignment="0" applyProtection="0"/>
    <xf numFmtId="214" fontId="67" fillId="0" borderId="0" applyFont="0" applyFill="0" applyBorder="0" applyAlignment="0" applyProtection="0"/>
    <xf numFmtId="0" fontId="63" fillId="0" borderId="0">
      <protection locked="0"/>
    </xf>
    <xf numFmtId="217" fontId="55" fillId="0" borderId="0" applyFont="0" applyFill="0" applyBorder="0" applyAlignment="0" applyProtection="0"/>
    <xf numFmtId="198" fontId="55" fillId="0" borderId="0" applyFont="0" applyFill="0" applyBorder="0" applyAlignment="0" applyProtection="0"/>
    <xf numFmtId="218" fontId="55" fillId="0" borderId="0" applyFont="0" applyFill="0" applyBorder="0" applyAlignment="0" applyProtection="0"/>
    <xf numFmtId="199" fontId="55" fillId="0" borderId="0" applyFont="0" applyFill="0" applyBorder="0" applyAlignment="0" applyProtection="0"/>
    <xf numFmtId="0" fontId="64" fillId="0" borderId="0"/>
    <xf numFmtId="0" fontId="73" fillId="0" borderId="0">
      <alignment horizontal="center" wrapText="1"/>
      <protection locked="0"/>
    </xf>
    <xf numFmtId="38" fontId="64" fillId="0" borderId="0" applyFont="0" applyFill="0" applyBorder="0" applyAlignment="0" applyProtection="0"/>
    <xf numFmtId="40" fontId="64" fillId="0" borderId="0" applyFont="0" applyFill="0" applyBorder="0" applyAlignment="0" applyProtection="0"/>
    <xf numFmtId="212" fontId="74" fillId="0" borderId="0" applyFont="0" applyFill="0" applyBorder="0" applyAlignment="0" applyProtection="0">
      <alignment horizontal="right"/>
    </xf>
    <xf numFmtId="0" fontId="75" fillId="0" borderId="0"/>
    <xf numFmtId="0" fontId="76" fillId="0" borderId="0"/>
    <xf numFmtId="0" fontId="55" fillId="0" borderId="0"/>
    <xf numFmtId="205" fontId="74" fillId="0" borderId="0" applyFill="0" applyBorder="0" applyAlignment="0"/>
    <xf numFmtId="177" fontId="63" fillId="0" borderId="0" applyFill="0" applyBorder="0" applyAlignment="0"/>
    <xf numFmtId="189" fontId="77" fillId="0" borderId="0" applyFill="0" applyBorder="0" applyAlignment="0"/>
    <xf numFmtId="206" fontId="74" fillId="0" borderId="0" applyFill="0" applyBorder="0" applyAlignment="0"/>
    <xf numFmtId="207" fontId="74" fillId="0" borderId="0" applyFill="0" applyBorder="0" applyAlignment="0"/>
    <xf numFmtId="205" fontId="74" fillId="0" borderId="0" applyFill="0" applyBorder="0" applyAlignment="0"/>
    <xf numFmtId="208" fontId="74" fillId="0" borderId="0" applyFill="0" applyBorder="0" applyAlignment="0"/>
    <xf numFmtId="177" fontId="63" fillId="0" borderId="0" applyFill="0" applyBorder="0" applyAlignment="0"/>
    <xf numFmtId="0" fontId="78" fillId="0" borderId="0"/>
    <xf numFmtId="4" fontId="79" fillId="0" borderId="0">
      <protection locked="0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1" fontId="55" fillId="0" borderId="0" applyFont="0" applyFill="0" applyBorder="0" applyAlignment="0" applyProtection="0"/>
    <xf numFmtId="205" fontId="74" fillId="0" borderId="0" applyFont="0" applyFill="0" applyBorder="0" applyAlignment="0" applyProtection="0"/>
    <xf numFmtId="192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81" fillId="0" borderId="0" applyNumberFormat="0" applyAlignment="0">
      <alignment horizontal="left"/>
    </xf>
    <xf numFmtId="216" fontId="23" fillId="0" borderId="0" applyFont="0" applyFill="0" applyBorder="0" applyAlignment="0" applyProtection="0"/>
    <xf numFmtId="203" fontId="79" fillId="0" borderId="0">
      <protection locked="0"/>
    </xf>
    <xf numFmtId="194" fontId="62" fillId="0" borderId="0" applyFont="0" applyFill="0" applyBorder="0" applyAlignment="0" applyProtection="0"/>
    <xf numFmtId="177" fontId="63" fillId="0" borderId="0" applyFont="0" applyFill="0" applyBorder="0" applyAlignment="0" applyProtection="0"/>
    <xf numFmtId="196" fontId="82" fillId="0" borderId="21" applyFill="0" applyBorder="0" applyAlignment="0"/>
    <xf numFmtId="195" fontId="62" fillId="0" borderId="0" applyFont="0" applyFill="0" applyBorder="0" applyAlignment="0" applyProtection="0"/>
    <xf numFmtId="202" fontId="72" fillId="0" borderId="0" applyFont="0" applyFill="0" applyBorder="0" applyAlignment="0" applyProtection="0"/>
    <xf numFmtId="0" fontId="63" fillId="0" borderId="0"/>
    <xf numFmtId="0" fontId="55" fillId="0" borderId="0" applyFont="0" applyFill="0" applyBorder="0" applyAlignment="0" applyProtection="0"/>
    <xf numFmtId="14" fontId="59" fillId="0" borderId="0" applyFill="0" applyBorder="0" applyAlignment="0"/>
    <xf numFmtId="201" fontId="63" fillId="0" borderId="0">
      <protection locked="0"/>
    </xf>
    <xf numFmtId="185" fontId="55" fillId="0" borderId="109">
      <alignment vertical="center"/>
    </xf>
    <xf numFmtId="205" fontId="74" fillId="0" borderId="0" applyFill="0" applyBorder="0" applyAlignment="0"/>
    <xf numFmtId="177" fontId="63" fillId="0" borderId="0" applyFill="0" applyBorder="0" applyAlignment="0"/>
    <xf numFmtId="205" fontId="74" fillId="0" borderId="0" applyFill="0" applyBorder="0" applyAlignment="0"/>
    <xf numFmtId="208" fontId="74" fillId="0" borderId="0" applyFill="0" applyBorder="0" applyAlignment="0"/>
    <xf numFmtId="177" fontId="63" fillId="0" borderId="0" applyFill="0" applyBorder="0" applyAlignment="0"/>
    <xf numFmtId="0" fontId="83" fillId="0" borderId="0" applyNumberFormat="0" applyAlignment="0">
      <alignment horizontal="left"/>
    </xf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0" fontId="84" fillId="0" borderId="0" applyNumberFormat="0" applyFont="0" applyFill="0" applyBorder="0" applyAlignment="0" applyProtection="0"/>
    <xf numFmtId="2" fontId="55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2" fontId="86" fillId="0" borderId="0">
      <alignment horizontal="left"/>
    </xf>
    <xf numFmtId="38" fontId="87" fillId="17" borderId="0" applyNumberFormat="0" applyBorder="0" applyAlignment="0" applyProtection="0"/>
    <xf numFmtId="0" fontId="88" fillId="0" borderId="0">
      <alignment horizontal="left"/>
    </xf>
    <xf numFmtId="0" fontId="89" fillId="0" borderId="110" applyNumberFormat="0" applyAlignment="0" applyProtection="0">
      <alignment horizontal="left" vertical="center"/>
    </xf>
    <xf numFmtId="0" fontId="89" fillId="0" borderId="35">
      <alignment horizontal="left" vertical="center"/>
    </xf>
    <xf numFmtId="0" fontId="9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200" fontId="63" fillId="0" borderId="0">
      <protection locked="0"/>
    </xf>
    <xf numFmtId="200" fontId="63" fillId="0" borderId="0">
      <protection locked="0"/>
    </xf>
    <xf numFmtId="0" fontId="91" fillId="0" borderId="111">
      <alignment horizontal="center"/>
    </xf>
    <xf numFmtId="0" fontId="91" fillId="0" borderId="0">
      <alignment horizontal="center"/>
    </xf>
    <xf numFmtId="0" fontId="92" fillId="0" borderId="0" applyNumberFormat="0" applyFill="0" applyBorder="0" applyAlignment="0" applyProtection="0">
      <alignment vertical="top"/>
      <protection locked="0"/>
    </xf>
    <xf numFmtId="10" fontId="87" fillId="17" borderId="21" applyNumberFormat="0" applyBorder="0" applyAlignment="0" applyProtection="0"/>
    <xf numFmtId="205" fontId="74" fillId="0" borderId="0" applyFill="0" applyBorder="0" applyAlignment="0"/>
    <xf numFmtId="177" fontId="63" fillId="0" borderId="0" applyFill="0" applyBorder="0" applyAlignment="0"/>
    <xf numFmtId="205" fontId="74" fillId="0" borderId="0" applyFill="0" applyBorder="0" applyAlignment="0"/>
    <xf numFmtId="208" fontId="74" fillId="0" borderId="0" applyFill="0" applyBorder="0" applyAlignment="0"/>
    <xf numFmtId="177" fontId="63" fillId="0" borderId="0" applyFill="0" applyBorder="0" applyAlignment="0"/>
    <xf numFmtId="0" fontId="93" fillId="0" borderId="0"/>
    <xf numFmtId="0" fontId="94" fillId="0" borderId="0"/>
    <xf numFmtId="0" fontId="93" fillId="0" borderId="0"/>
    <xf numFmtId="0" fontId="94" fillId="0" borderId="0"/>
    <xf numFmtId="0" fontId="95" fillId="0" borderId="0"/>
    <xf numFmtId="0" fontId="96" fillId="0" borderId="111"/>
    <xf numFmtId="37" fontId="97" fillId="0" borderId="0"/>
    <xf numFmtId="0" fontId="93" fillId="0" borderId="0"/>
    <xf numFmtId="0" fontId="94" fillId="0" borderId="0"/>
    <xf numFmtId="0" fontId="94" fillId="0" borderId="0"/>
    <xf numFmtId="193" fontId="63" fillId="0" borderId="0"/>
    <xf numFmtId="0" fontId="55" fillId="0" borderId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14" fontId="73" fillId="0" borderId="0">
      <alignment horizontal="center" wrapText="1"/>
      <protection locked="0"/>
    </xf>
    <xf numFmtId="204" fontId="79" fillId="0" borderId="0">
      <protection locked="0"/>
    </xf>
    <xf numFmtId="188" fontId="55" fillId="0" borderId="0" applyFont="0" applyFill="0" applyBorder="0" applyAlignment="0" applyProtection="0"/>
    <xf numFmtId="207" fontId="74" fillId="0" borderId="0" applyFont="0" applyFill="0" applyBorder="0" applyAlignment="0" applyProtection="0"/>
    <xf numFmtId="211" fontId="74" fillId="0" borderId="0" applyFont="0" applyFill="0" applyBorder="0" applyAlignment="0" applyProtection="0"/>
    <xf numFmtId="10" fontId="55" fillId="0" borderId="0" applyFont="0" applyFill="0" applyBorder="0" applyAlignment="0" applyProtection="0"/>
    <xf numFmtId="209" fontId="74" fillId="0" borderId="0" applyFont="0" applyFill="0" applyBorder="0" applyAlignment="0" applyProtection="0"/>
    <xf numFmtId="205" fontId="74" fillId="0" borderId="0" applyFill="0" applyBorder="0" applyAlignment="0"/>
    <xf numFmtId="177" fontId="63" fillId="0" borderId="0" applyFill="0" applyBorder="0" applyAlignment="0"/>
    <xf numFmtId="205" fontId="74" fillId="0" borderId="0" applyFill="0" applyBorder="0" applyAlignment="0"/>
    <xf numFmtId="208" fontId="74" fillId="0" borderId="0" applyFill="0" applyBorder="0" applyAlignment="0"/>
    <xf numFmtId="177" fontId="63" fillId="0" borderId="0" applyFill="0" applyBorder="0" applyAlignment="0"/>
    <xf numFmtId="0" fontId="98" fillId="18" borderId="0" applyNumberFormat="0" applyFont="0" applyBorder="0" applyAlignment="0">
      <alignment horizontal="center"/>
    </xf>
    <xf numFmtId="190" fontId="55" fillId="0" borderId="0" applyNumberFormat="0" applyFill="0" applyBorder="0" applyAlignment="0" applyProtection="0">
      <alignment horizontal="left"/>
    </xf>
    <xf numFmtId="4" fontId="59" fillId="2" borderId="107" applyNumberFormat="0" applyProtection="0">
      <alignment vertical="center"/>
    </xf>
    <xf numFmtId="4" fontId="99" fillId="2" borderId="107" applyNumberFormat="0" applyProtection="0">
      <alignment vertical="center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4" fontId="59" fillId="20" borderId="107" applyNumberFormat="0" applyProtection="0">
      <alignment horizontal="right" vertical="center"/>
    </xf>
    <xf numFmtId="4" fontId="59" fillId="21" borderId="107" applyNumberFormat="0" applyProtection="0">
      <alignment horizontal="right" vertical="center"/>
    </xf>
    <xf numFmtId="4" fontId="59" fillId="22" borderId="107" applyNumberFormat="0" applyProtection="0">
      <alignment horizontal="right" vertical="center"/>
    </xf>
    <xf numFmtId="4" fontId="59" fillId="23" borderId="107" applyNumberFormat="0" applyProtection="0">
      <alignment horizontal="right" vertical="center"/>
    </xf>
    <xf numFmtId="4" fontId="59" fillId="24" borderId="107" applyNumberFormat="0" applyProtection="0">
      <alignment horizontal="right" vertical="center"/>
    </xf>
    <xf numFmtId="4" fontId="59" fillId="25" borderId="107" applyNumberFormat="0" applyProtection="0">
      <alignment horizontal="right" vertical="center"/>
    </xf>
    <xf numFmtId="4" fontId="59" fillId="26" borderId="107" applyNumberFormat="0" applyProtection="0">
      <alignment horizontal="right" vertical="center"/>
    </xf>
    <xf numFmtId="4" fontId="59" fillId="27" borderId="107" applyNumberFormat="0" applyProtection="0">
      <alignment horizontal="right" vertical="center"/>
    </xf>
    <xf numFmtId="4" fontId="59" fillId="28" borderId="107" applyNumberFormat="0" applyProtection="0">
      <alignment horizontal="right" vertical="center"/>
    </xf>
    <xf numFmtId="4" fontId="100" fillId="29" borderId="107" applyNumberFormat="0" applyProtection="0">
      <alignment horizontal="left" vertical="center" indent="1"/>
    </xf>
    <xf numFmtId="4" fontId="59" fillId="30" borderId="112" applyNumberFormat="0" applyProtection="0">
      <alignment horizontal="left" vertical="center" indent="1"/>
    </xf>
    <xf numFmtId="4" fontId="101" fillId="31" borderId="0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4" fontId="59" fillId="30" borderId="107" applyNumberFormat="0" applyProtection="0">
      <alignment horizontal="left" vertical="center" indent="1"/>
    </xf>
    <xf numFmtId="4" fontId="59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4" fontId="59" fillId="35" borderId="107" applyNumberFormat="0" applyProtection="0">
      <alignment vertical="center"/>
    </xf>
    <xf numFmtId="4" fontId="99" fillId="35" borderId="107" applyNumberFormat="0" applyProtection="0">
      <alignment vertical="center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0" borderId="107" applyNumberFormat="0" applyProtection="0">
      <alignment horizontal="right" vertical="center"/>
    </xf>
    <xf numFmtId="4" fontId="99" fillId="30" borderId="107" applyNumberFormat="0" applyProtection="0">
      <alignment horizontal="right" vertical="center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102" fillId="0" borderId="0"/>
    <xf numFmtId="4" fontId="103" fillId="30" borderId="107" applyNumberFormat="0" applyProtection="0">
      <alignment horizontal="right" vertical="center"/>
    </xf>
    <xf numFmtId="0" fontId="98" fillId="1" borderId="35" applyNumberFormat="0" applyFont="0" applyAlignment="0">
      <alignment horizontal="center"/>
    </xf>
    <xf numFmtId="0" fontId="104" fillId="0" borderId="0" applyNumberFormat="0" applyFill="0" applyBorder="0" applyAlignment="0">
      <alignment horizontal="center"/>
    </xf>
    <xf numFmtId="0" fontId="105" fillId="0" borderId="0"/>
    <xf numFmtId="0" fontId="96" fillId="0" borderId="0"/>
    <xf numFmtId="40" fontId="106" fillId="0" borderId="0" applyBorder="0">
      <alignment horizontal="right"/>
    </xf>
    <xf numFmtId="49" fontId="59" fillId="0" borderId="0" applyFill="0" applyBorder="0" applyAlignment="0"/>
    <xf numFmtId="209" fontId="74" fillId="0" borderId="0" applyFill="0" applyBorder="0" applyAlignment="0"/>
    <xf numFmtId="210" fontId="74" fillId="0" borderId="0" applyFill="0" applyBorder="0" applyAlignment="0"/>
    <xf numFmtId="0" fontId="107" fillId="0" borderId="0" applyFill="0" applyBorder="0" applyProtection="0">
      <alignment horizontal="centerContinuous" vertical="center"/>
    </xf>
    <xf numFmtId="0" fontId="62" fillId="17" borderId="0" applyFill="0" applyBorder="0" applyProtection="0">
      <alignment horizontal="center" vertical="center"/>
    </xf>
    <xf numFmtId="0" fontId="55" fillId="0" borderId="108" applyNumberFormat="0" applyFont="0" applyFill="0" applyAlignment="0" applyProtection="0"/>
    <xf numFmtId="0" fontId="108" fillId="0" borderId="12">
      <alignment horizontal="left"/>
    </xf>
    <xf numFmtId="0" fontId="60" fillId="0" borderId="0">
      <protection locked="0"/>
    </xf>
    <xf numFmtId="41" fontId="109" fillId="0" borderId="0">
      <protection locked="0"/>
    </xf>
    <xf numFmtId="9" fontId="109" fillId="0" borderId="0">
      <protection locked="0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41" fontId="72" fillId="0" borderId="0" applyFont="0" applyFill="0" applyBorder="0" applyAlignment="0" applyProtection="0">
      <alignment vertical="center"/>
    </xf>
    <xf numFmtId="0" fontId="109" fillId="0" borderId="0">
      <protection locked="0"/>
    </xf>
    <xf numFmtId="0" fontId="109" fillId="0" borderId="0">
      <protection locked="0"/>
    </xf>
    <xf numFmtId="0" fontId="72" fillId="0" borderId="0">
      <alignment vertical="center"/>
    </xf>
    <xf numFmtId="0" fontId="21" fillId="0" borderId="0"/>
    <xf numFmtId="41" fontId="21" fillId="0" borderId="0" applyFont="0" applyFill="0" applyBorder="0" applyAlignment="0" applyProtection="0"/>
    <xf numFmtId="3" fontId="66" fillId="0" borderId="21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" fontId="66" fillId="0" borderId="21"/>
    <xf numFmtId="3" fontId="66" fillId="0" borderId="21"/>
    <xf numFmtId="0" fontId="110" fillId="36" borderId="0" applyNumberFormat="0" applyBorder="0" applyAlignment="0" applyProtection="0"/>
    <xf numFmtId="0" fontId="111" fillId="37" borderId="0" applyNumberFormat="0" applyBorder="0" applyAlignment="0" applyProtection="0"/>
    <xf numFmtId="0" fontId="111" fillId="38" borderId="0" applyNumberFormat="0" applyBorder="0" applyAlignment="0" applyProtection="0"/>
    <xf numFmtId="0" fontId="110" fillId="39" borderId="0" applyNumberFormat="0" applyBorder="0" applyAlignment="0" applyProtection="0"/>
    <xf numFmtId="0" fontId="110" fillId="40" borderId="0" applyNumberFormat="0" applyBorder="0" applyAlignment="0" applyProtection="0"/>
    <xf numFmtId="0" fontId="111" fillId="41" borderId="0" applyNumberFormat="0" applyBorder="0" applyAlignment="0" applyProtection="0"/>
    <xf numFmtId="0" fontId="111" fillId="42" borderId="0" applyNumberFormat="0" applyBorder="0" applyAlignment="0" applyProtection="0"/>
    <xf numFmtId="0" fontId="110" fillId="43" borderId="0" applyNumberFormat="0" applyBorder="0" applyAlignment="0" applyProtection="0"/>
    <xf numFmtId="0" fontId="110" fillId="44" borderId="0" applyNumberFormat="0" applyBorder="0" applyAlignment="0" applyProtection="0"/>
    <xf numFmtId="0" fontId="111" fillId="45" borderId="0" applyNumberFormat="0" applyBorder="0" applyAlignment="0" applyProtection="0"/>
    <xf numFmtId="0" fontId="111" fillId="46" borderId="0" applyNumberFormat="0" applyBorder="0" applyAlignment="0" applyProtection="0"/>
    <xf numFmtId="0" fontId="110" fillId="47" borderId="0" applyNumberFormat="0" applyBorder="0" applyAlignment="0" applyProtection="0"/>
    <xf numFmtId="0" fontId="110" fillId="48" borderId="0" applyNumberFormat="0" applyBorder="0" applyAlignment="0" applyProtection="0"/>
    <xf numFmtId="0" fontId="111" fillId="41" borderId="0" applyNumberFormat="0" applyBorder="0" applyAlignment="0" applyProtection="0"/>
    <xf numFmtId="0" fontId="111" fillId="49" borderId="0" applyNumberFormat="0" applyBorder="0" applyAlignment="0" applyProtection="0"/>
    <xf numFmtId="0" fontId="110" fillId="42" borderId="0" applyNumberFormat="0" applyBorder="0" applyAlignment="0" applyProtection="0"/>
    <xf numFmtId="0" fontId="110" fillId="39" borderId="0" applyNumberFormat="0" applyBorder="0" applyAlignment="0" applyProtection="0"/>
    <xf numFmtId="0" fontId="111" fillId="50" borderId="0" applyNumberFormat="0" applyBorder="0" applyAlignment="0" applyProtection="0"/>
    <xf numFmtId="0" fontId="111" fillId="51" borderId="0" applyNumberFormat="0" applyBorder="0" applyAlignment="0" applyProtection="0"/>
    <xf numFmtId="0" fontId="110" fillId="39" borderId="0" applyNumberFormat="0" applyBorder="0" applyAlignment="0" applyProtection="0"/>
    <xf numFmtId="0" fontId="110" fillId="52" borderId="0" applyNumberFormat="0" applyBorder="0" applyAlignment="0" applyProtection="0"/>
    <xf numFmtId="0" fontId="111" fillId="53" borderId="0" applyNumberFormat="0" applyBorder="0" applyAlignment="0" applyProtection="0"/>
    <xf numFmtId="0" fontId="111" fillId="54" borderId="0" applyNumberFormat="0" applyBorder="0" applyAlignment="0" applyProtection="0"/>
    <xf numFmtId="0" fontId="110" fillId="55" borderId="0" applyNumberFormat="0" applyBorder="0" applyAlignment="0" applyProtection="0"/>
    <xf numFmtId="0" fontId="112" fillId="53" borderId="0" applyNumberFormat="0" applyBorder="0" applyAlignment="0" applyProtection="0"/>
    <xf numFmtId="0" fontId="113" fillId="56" borderId="113" applyNumberFormat="0" applyAlignment="0" applyProtection="0"/>
    <xf numFmtId="0" fontId="113" fillId="56" borderId="113" applyNumberFormat="0" applyAlignment="0" applyProtection="0"/>
    <xf numFmtId="0" fontId="113" fillId="56" borderId="113" applyNumberFormat="0" applyAlignment="0" applyProtection="0"/>
    <xf numFmtId="0" fontId="113" fillId="56" borderId="113" applyNumberFormat="0" applyAlignment="0" applyProtection="0"/>
    <xf numFmtId="0" fontId="113" fillId="56" borderId="113" applyNumberFormat="0" applyAlignment="0" applyProtection="0"/>
    <xf numFmtId="0" fontId="114" fillId="48" borderId="114" applyNumberFormat="0" applyAlignment="0" applyProtection="0"/>
    <xf numFmtId="196" fontId="82" fillId="0" borderId="21" applyFill="0" applyBorder="0" applyAlignment="0"/>
    <xf numFmtId="0" fontId="115" fillId="57" borderId="0" applyNumberFormat="0" applyBorder="0" applyAlignment="0" applyProtection="0"/>
    <xf numFmtId="0" fontId="115" fillId="58" borderId="0" applyNumberFormat="0" applyBorder="0" applyAlignment="0" applyProtection="0"/>
    <xf numFmtId="0" fontId="115" fillId="59" borderId="0" applyNumberFormat="0" applyBorder="0" applyAlignment="0" applyProtection="0"/>
    <xf numFmtId="0" fontId="111" fillId="46" borderId="0" applyNumberFormat="0" applyBorder="0" applyAlignment="0" applyProtection="0"/>
    <xf numFmtId="0" fontId="89" fillId="0" borderId="35">
      <alignment horizontal="left" vertical="center"/>
    </xf>
    <xf numFmtId="0" fontId="89" fillId="0" borderId="35">
      <alignment horizontal="left" vertical="center"/>
    </xf>
    <xf numFmtId="0" fontId="116" fillId="0" borderId="115" applyNumberFormat="0" applyFill="0" applyAlignment="0" applyProtection="0"/>
    <xf numFmtId="0" fontId="116" fillId="0" borderId="0" applyNumberFormat="0" applyFill="0" applyBorder="0" applyAlignment="0" applyProtection="0"/>
    <xf numFmtId="0" fontId="117" fillId="54" borderId="113" applyNumberFormat="0" applyAlignment="0" applyProtection="0"/>
    <xf numFmtId="10" fontId="87" fillId="17" borderId="21" applyNumberFormat="0" applyBorder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7" fillId="54" borderId="113" applyNumberFormat="0" applyAlignment="0" applyProtection="0"/>
    <xf numFmtId="0" fontId="118" fillId="0" borderId="116" applyNumberFormat="0" applyFill="0" applyAlignment="0" applyProtection="0"/>
    <xf numFmtId="0" fontId="118" fillId="54" borderId="0" applyNumberFormat="0" applyBorder="0" applyAlignment="0" applyProtection="0"/>
    <xf numFmtId="0" fontId="87" fillId="53" borderId="113" applyNumberFormat="0" applyFont="0" applyAlignment="0" applyProtection="0"/>
    <xf numFmtId="0" fontId="87" fillId="53" borderId="113" applyNumberFormat="0" applyFont="0" applyAlignment="0" applyProtection="0"/>
    <xf numFmtId="0" fontId="87" fillId="53" borderId="113" applyNumberFormat="0" applyFont="0" applyAlignment="0" applyProtection="0"/>
    <xf numFmtId="0" fontId="87" fillId="53" borderId="113" applyNumberFormat="0" applyFont="0" applyAlignment="0" applyProtection="0"/>
    <xf numFmtId="0" fontId="87" fillId="53" borderId="113" applyNumberFormat="0" applyFont="0" applyAlignment="0" applyProtection="0"/>
    <xf numFmtId="0" fontId="119" fillId="56" borderId="107" applyNumberFormat="0" applyAlignment="0" applyProtection="0"/>
    <xf numFmtId="0" fontId="119" fillId="56" borderId="107" applyNumberFormat="0" applyAlignment="0" applyProtection="0"/>
    <xf numFmtId="0" fontId="119" fillId="56" borderId="107" applyNumberFormat="0" applyAlignment="0" applyProtection="0"/>
    <xf numFmtId="0" fontId="119" fillId="56" borderId="107" applyNumberFormat="0" applyAlignment="0" applyProtection="0"/>
    <xf numFmtId="0" fontId="119" fillId="56" borderId="107" applyNumberFormat="0" applyAlignment="0" applyProtection="0"/>
    <xf numFmtId="4" fontId="59" fillId="2" borderId="107" applyNumberFormat="0" applyProtection="0">
      <alignment vertical="center"/>
    </xf>
    <xf numFmtId="4" fontId="59" fillId="2" borderId="107" applyNumberFormat="0" applyProtection="0">
      <alignment vertical="center"/>
    </xf>
    <xf numFmtId="4" fontId="59" fillId="2" borderId="107" applyNumberFormat="0" applyProtection="0">
      <alignment vertical="center"/>
    </xf>
    <xf numFmtId="4" fontId="59" fillId="2" borderId="107" applyNumberFormat="0" applyProtection="0">
      <alignment vertical="center"/>
    </xf>
    <xf numFmtId="4" fontId="99" fillId="2" borderId="107" applyNumberFormat="0" applyProtection="0">
      <alignment vertical="center"/>
    </xf>
    <xf numFmtId="4" fontId="99" fillId="2" borderId="107" applyNumberFormat="0" applyProtection="0">
      <alignment vertical="center"/>
    </xf>
    <xf numFmtId="4" fontId="99" fillId="2" borderId="107" applyNumberFormat="0" applyProtection="0">
      <alignment vertical="center"/>
    </xf>
    <xf numFmtId="4" fontId="99" fillId="2" borderId="107" applyNumberFormat="0" applyProtection="0">
      <alignment vertical="center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4" fontId="59" fillId="2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4" fontId="59" fillId="20" borderId="107" applyNumberFormat="0" applyProtection="0">
      <alignment horizontal="right" vertical="center"/>
    </xf>
    <xf numFmtId="4" fontId="59" fillId="20" borderId="107" applyNumberFormat="0" applyProtection="0">
      <alignment horizontal="right" vertical="center"/>
    </xf>
    <xf numFmtId="4" fontId="59" fillId="20" borderId="107" applyNumberFormat="0" applyProtection="0">
      <alignment horizontal="right" vertical="center"/>
    </xf>
    <xf numFmtId="4" fontId="59" fillId="20" borderId="107" applyNumberFormat="0" applyProtection="0">
      <alignment horizontal="right" vertical="center"/>
    </xf>
    <xf numFmtId="4" fontId="59" fillId="21" borderId="107" applyNumberFormat="0" applyProtection="0">
      <alignment horizontal="right" vertical="center"/>
    </xf>
    <xf numFmtId="4" fontId="59" fillId="21" borderId="107" applyNumberFormat="0" applyProtection="0">
      <alignment horizontal="right" vertical="center"/>
    </xf>
    <xf numFmtId="4" fontId="59" fillId="21" borderId="107" applyNumberFormat="0" applyProtection="0">
      <alignment horizontal="right" vertical="center"/>
    </xf>
    <xf numFmtId="4" fontId="59" fillId="21" borderId="107" applyNumberFormat="0" applyProtection="0">
      <alignment horizontal="right" vertical="center"/>
    </xf>
    <xf numFmtId="4" fontId="59" fillId="22" borderId="107" applyNumberFormat="0" applyProtection="0">
      <alignment horizontal="right" vertical="center"/>
    </xf>
    <xf numFmtId="4" fontId="59" fillId="22" borderId="107" applyNumberFormat="0" applyProtection="0">
      <alignment horizontal="right" vertical="center"/>
    </xf>
    <xf numFmtId="4" fontId="59" fillId="22" borderId="107" applyNumberFormat="0" applyProtection="0">
      <alignment horizontal="right" vertical="center"/>
    </xf>
    <xf numFmtId="4" fontId="59" fillId="22" borderId="107" applyNumberFormat="0" applyProtection="0">
      <alignment horizontal="right" vertical="center"/>
    </xf>
    <xf numFmtId="4" fontId="59" fillId="23" borderId="107" applyNumberFormat="0" applyProtection="0">
      <alignment horizontal="right" vertical="center"/>
    </xf>
    <xf numFmtId="4" fontId="59" fillId="23" borderId="107" applyNumberFormat="0" applyProtection="0">
      <alignment horizontal="right" vertical="center"/>
    </xf>
    <xf numFmtId="4" fontId="59" fillId="23" borderId="107" applyNumberFormat="0" applyProtection="0">
      <alignment horizontal="right" vertical="center"/>
    </xf>
    <xf numFmtId="4" fontId="59" fillId="23" borderId="107" applyNumberFormat="0" applyProtection="0">
      <alignment horizontal="right" vertical="center"/>
    </xf>
    <xf numFmtId="4" fontId="59" fillId="24" borderId="107" applyNumberFormat="0" applyProtection="0">
      <alignment horizontal="right" vertical="center"/>
    </xf>
    <xf numFmtId="4" fontId="59" fillId="24" borderId="107" applyNumberFormat="0" applyProtection="0">
      <alignment horizontal="right" vertical="center"/>
    </xf>
    <xf numFmtId="4" fontId="59" fillId="24" borderId="107" applyNumberFormat="0" applyProtection="0">
      <alignment horizontal="right" vertical="center"/>
    </xf>
    <xf numFmtId="4" fontId="59" fillId="24" borderId="107" applyNumberFormat="0" applyProtection="0">
      <alignment horizontal="right" vertical="center"/>
    </xf>
    <xf numFmtId="4" fontId="59" fillId="25" borderId="107" applyNumberFormat="0" applyProtection="0">
      <alignment horizontal="right" vertical="center"/>
    </xf>
    <xf numFmtId="4" fontId="59" fillId="25" borderId="107" applyNumberFormat="0" applyProtection="0">
      <alignment horizontal="right" vertical="center"/>
    </xf>
    <xf numFmtId="4" fontId="59" fillId="25" borderId="107" applyNumberFormat="0" applyProtection="0">
      <alignment horizontal="right" vertical="center"/>
    </xf>
    <xf numFmtId="4" fontId="59" fillId="25" borderId="107" applyNumberFormat="0" applyProtection="0">
      <alignment horizontal="right" vertical="center"/>
    </xf>
    <xf numFmtId="4" fontId="59" fillId="26" borderId="107" applyNumberFormat="0" applyProtection="0">
      <alignment horizontal="right" vertical="center"/>
    </xf>
    <xf numFmtId="4" fontId="59" fillId="26" borderId="107" applyNumberFormat="0" applyProtection="0">
      <alignment horizontal="right" vertical="center"/>
    </xf>
    <xf numFmtId="4" fontId="59" fillId="26" borderId="107" applyNumberFormat="0" applyProtection="0">
      <alignment horizontal="right" vertical="center"/>
    </xf>
    <xf numFmtId="4" fontId="59" fillId="26" borderId="107" applyNumberFormat="0" applyProtection="0">
      <alignment horizontal="right" vertical="center"/>
    </xf>
    <xf numFmtId="4" fontId="59" fillId="27" borderId="107" applyNumberFormat="0" applyProtection="0">
      <alignment horizontal="right" vertical="center"/>
    </xf>
    <xf numFmtId="4" fontId="59" fillId="27" borderId="107" applyNumberFormat="0" applyProtection="0">
      <alignment horizontal="right" vertical="center"/>
    </xf>
    <xf numFmtId="4" fontId="59" fillId="27" borderId="107" applyNumberFormat="0" applyProtection="0">
      <alignment horizontal="right" vertical="center"/>
    </xf>
    <xf numFmtId="4" fontId="59" fillId="27" borderId="107" applyNumberFormat="0" applyProtection="0">
      <alignment horizontal="right" vertical="center"/>
    </xf>
    <xf numFmtId="4" fontId="59" fillId="28" borderId="107" applyNumberFormat="0" applyProtection="0">
      <alignment horizontal="right" vertical="center"/>
    </xf>
    <xf numFmtId="4" fontId="59" fillId="28" borderId="107" applyNumberFormat="0" applyProtection="0">
      <alignment horizontal="right" vertical="center"/>
    </xf>
    <xf numFmtId="4" fontId="59" fillId="28" borderId="107" applyNumberFormat="0" applyProtection="0">
      <alignment horizontal="right" vertical="center"/>
    </xf>
    <xf numFmtId="4" fontId="59" fillId="28" borderId="107" applyNumberFormat="0" applyProtection="0">
      <alignment horizontal="right" vertical="center"/>
    </xf>
    <xf numFmtId="4" fontId="100" fillId="29" borderId="107" applyNumberFormat="0" applyProtection="0">
      <alignment horizontal="left" vertical="center" indent="1"/>
    </xf>
    <xf numFmtId="4" fontId="100" fillId="29" borderId="107" applyNumberFormat="0" applyProtection="0">
      <alignment horizontal="left" vertical="center" indent="1"/>
    </xf>
    <xf numFmtId="4" fontId="100" fillId="29" borderId="107" applyNumberFormat="0" applyProtection="0">
      <alignment horizontal="left" vertical="center" indent="1"/>
    </xf>
    <xf numFmtId="4" fontId="100" fillId="29" borderId="107" applyNumberFormat="0" applyProtection="0">
      <alignment horizontal="left" vertical="center" indent="1"/>
    </xf>
    <xf numFmtId="4" fontId="59" fillId="30" borderId="112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4" fontId="59" fillId="30" borderId="107" applyNumberFormat="0" applyProtection="0">
      <alignment horizontal="left" vertical="center" indent="1"/>
    </xf>
    <xf numFmtId="4" fontId="59" fillId="30" borderId="107" applyNumberFormat="0" applyProtection="0">
      <alignment horizontal="left" vertical="center" indent="1"/>
    </xf>
    <xf numFmtId="4" fontId="59" fillId="30" borderId="107" applyNumberFormat="0" applyProtection="0">
      <alignment horizontal="left" vertical="center" indent="1"/>
    </xf>
    <xf numFmtId="4" fontId="59" fillId="30" borderId="107" applyNumberFormat="0" applyProtection="0">
      <alignment horizontal="left" vertical="center" indent="1"/>
    </xf>
    <xf numFmtId="4" fontId="59" fillId="32" borderId="107" applyNumberFormat="0" applyProtection="0">
      <alignment horizontal="left" vertical="center" indent="1"/>
    </xf>
    <xf numFmtId="4" fontId="59" fillId="32" borderId="107" applyNumberFormat="0" applyProtection="0">
      <alignment horizontal="left" vertical="center" indent="1"/>
    </xf>
    <xf numFmtId="4" fontId="59" fillId="32" borderId="107" applyNumberFormat="0" applyProtection="0">
      <alignment horizontal="left" vertical="center" indent="1"/>
    </xf>
    <xf numFmtId="4" fontId="59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2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3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34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23" fillId="0" borderId="0"/>
    <xf numFmtId="0" fontId="120" fillId="60" borderId="117" applyBorder="0"/>
    <xf numFmtId="0" fontId="120" fillId="60" borderId="117" applyBorder="0"/>
    <xf numFmtId="0" fontId="120" fillId="60" borderId="117" applyBorder="0"/>
    <xf numFmtId="0" fontId="120" fillId="60" borderId="117" applyBorder="0"/>
    <xf numFmtId="0" fontId="120" fillId="60" borderId="117" applyBorder="0"/>
    <xf numFmtId="0" fontId="120" fillId="60" borderId="117" applyBorder="0"/>
    <xf numFmtId="4" fontId="59" fillId="35" borderId="107" applyNumberFormat="0" applyProtection="0">
      <alignment vertical="center"/>
    </xf>
    <xf numFmtId="4" fontId="59" fillId="35" borderId="107" applyNumberFormat="0" applyProtection="0">
      <alignment vertical="center"/>
    </xf>
    <xf numFmtId="4" fontId="59" fillId="35" borderId="107" applyNumberFormat="0" applyProtection="0">
      <alignment vertical="center"/>
    </xf>
    <xf numFmtId="4" fontId="59" fillId="35" borderId="107" applyNumberFormat="0" applyProtection="0">
      <alignment vertical="center"/>
    </xf>
    <xf numFmtId="4" fontId="99" fillId="35" borderId="107" applyNumberFormat="0" applyProtection="0">
      <alignment vertical="center"/>
    </xf>
    <xf numFmtId="4" fontId="99" fillId="35" borderId="107" applyNumberFormat="0" applyProtection="0">
      <alignment vertical="center"/>
    </xf>
    <xf numFmtId="4" fontId="99" fillId="35" borderId="107" applyNumberFormat="0" applyProtection="0">
      <alignment vertical="center"/>
    </xf>
    <xf numFmtId="4" fontId="99" fillId="35" borderId="107" applyNumberFormat="0" applyProtection="0">
      <alignment vertical="center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5" borderId="107" applyNumberFormat="0" applyProtection="0">
      <alignment horizontal="left" vertical="center" indent="1"/>
    </xf>
    <xf numFmtId="4" fontId="59" fillId="30" borderId="107" applyNumberFormat="0" applyProtection="0">
      <alignment horizontal="right" vertical="center"/>
    </xf>
    <xf numFmtId="4" fontId="59" fillId="30" borderId="107" applyNumberFormat="0" applyProtection="0">
      <alignment horizontal="right" vertical="center"/>
    </xf>
    <xf numFmtId="4" fontId="59" fillId="30" borderId="107" applyNumberFormat="0" applyProtection="0">
      <alignment horizontal="right" vertical="center"/>
    </xf>
    <xf numFmtId="4" fontId="59" fillId="30" borderId="107" applyNumberFormat="0" applyProtection="0">
      <alignment horizontal="right" vertical="center"/>
    </xf>
    <xf numFmtId="4" fontId="87" fillId="0" borderId="113" applyNumberFormat="0" applyProtection="0">
      <alignment horizontal="right" vertical="center"/>
    </xf>
    <xf numFmtId="4" fontId="99" fillId="30" borderId="107" applyNumberFormat="0" applyProtection="0">
      <alignment horizontal="right" vertical="center"/>
    </xf>
    <xf numFmtId="4" fontId="99" fillId="30" borderId="107" applyNumberFormat="0" applyProtection="0">
      <alignment horizontal="right" vertical="center"/>
    </xf>
    <xf numFmtId="4" fontId="99" fillId="30" borderId="107" applyNumberFormat="0" applyProtection="0">
      <alignment horizontal="right" vertical="center"/>
    </xf>
    <xf numFmtId="4" fontId="99" fillId="30" borderId="107" applyNumberFormat="0" applyProtection="0">
      <alignment horizontal="right" vertical="center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55" fillId="19" borderId="107" applyNumberFormat="0" applyProtection="0">
      <alignment horizontal="left" vertical="center" indent="1"/>
    </xf>
    <xf numFmtId="0" fontId="87" fillId="61" borderId="21"/>
    <xf numFmtId="0" fontId="87" fillId="61" borderId="21"/>
    <xf numFmtId="4" fontId="103" fillId="30" borderId="107" applyNumberFormat="0" applyProtection="0">
      <alignment horizontal="right" vertical="center"/>
    </xf>
    <xf numFmtId="4" fontId="103" fillId="30" borderId="107" applyNumberFormat="0" applyProtection="0">
      <alignment horizontal="right" vertical="center"/>
    </xf>
    <xf numFmtId="4" fontId="103" fillId="30" borderId="107" applyNumberFormat="0" applyProtection="0">
      <alignment horizontal="right" vertical="center"/>
    </xf>
    <xf numFmtId="4" fontId="103" fillId="30" borderId="107" applyNumberFormat="0" applyProtection="0">
      <alignment horizontal="right" vertical="center"/>
    </xf>
    <xf numFmtId="0" fontId="98" fillId="1" borderId="35" applyNumberFormat="0" applyFont="0" applyAlignment="0">
      <alignment horizontal="center"/>
    </xf>
    <xf numFmtId="0" fontId="98" fillId="1" borderId="35" applyNumberFormat="0" applyFont="0" applyAlignment="0">
      <alignment horizontal="center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/>
    <xf numFmtId="0" fontId="20" fillId="0" borderId="0">
      <alignment vertical="center"/>
    </xf>
    <xf numFmtId="0" fontId="20" fillId="0" borderId="0">
      <alignment vertical="center"/>
    </xf>
    <xf numFmtId="0" fontId="23" fillId="0" borderId="0"/>
    <xf numFmtId="0" fontId="23" fillId="0" borderId="0"/>
    <xf numFmtId="0" fontId="20" fillId="0" borderId="0">
      <alignment vertical="center"/>
    </xf>
    <xf numFmtId="0" fontId="2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9" fontId="23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9" fontId="23" fillId="0" borderId="0" applyFont="0" applyFill="0" applyBorder="0" applyAlignment="0" applyProtection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1" fillId="0" borderId="0"/>
    <xf numFmtId="3" fontId="66" fillId="0" borderId="118"/>
    <xf numFmtId="3" fontId="66" fillId="0" borderId="118"/>
    <xf numFmtId="3" fontId="66" fillId="0" borderId="118"/>
    <xf numFmtId="3" fontId="66" fillId="0" borderId="118"/>
    <xf numFmtId="3" fontId="66" fillId="0" borderId="118"/>
    <xf numFmtId="3" fontId="66" fillId="0" borderId="118"/>
    <xf numFmtId="196" fontId="82" fillId="0" borderId="118" applyFill="0" applyBorder="0" applyAlignment="0"/>
    <xf numFmtId="196" fontId="82" fillId="0" borderId="118" applyFill="0" applyBorder="0" applyAlignment="0"/>
    <xf numFmtId="10" fontId="87" fillId="17" borderId="118" applyNumberFormat="0" applyBorder="0" applyAlignment="0" applyProtection="0"/>
    <xf numFmtId="10" fontId="87" fillId="17" borderId="118" applyNumberFormat="0" applyBorder="0" applyAlignment="0" applyProtection="0"/>
    <xf numFmtId="0" fontId="87" fillId="61" borderId="118"/>
    <xf numFmtId="0" fontId="87" fillId="61" borderId="118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165" applyNumberFormat="0" applyFill="0" applyAlignment="0" applyProtection="0">
      <alignment vertical="center"/>
    </xf>
    <xf numFmtId="0" fontId="130" fillId="0" borderId="166" applyNumberFormat="0" applyFill="0" applyAlignment="0" applyProtection="0">
      <alignment vertical="center"/>
    </xf>
    <xf numFmtId="0" fontId="131" fillId="0" borderId="16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62" borderId="0" applyNumberFormat="0" applyBorder="0" applyAlignment="0" applyProtection="0">
      <alignment vertical="center"/>
    </xf>
    <xf numFmtId="0" fontId="133" fillId="63" borderId="0" applyNumberFormat="0" applyBorder="0" applyAlignment="0" applyProtection="0">
      <alignment vertical="center"/>
    </xf>
    <xf numFmtId="0" fontId="134" fillId="64" borderId="0" applyNumberFormat="0" applyBorder="0" applyAlignment="0" applyProtection="0">
      <alignment vertical="center"/>
    </xf>
    <xf numFmtId="0" fontId="135" fillId="65" borderId="168" applyNumberFormat="0" applyAlignment="0" applyProtection="0">
      <alignment vertical="center"/>
    </xf>
    <xf numFmtId="0" fontId="136" fillId="66" borderId="169" applyNumberFormat="0" applyAlignment="0" applyProtection="0">
      <alignment vertical="center"/>
    </xf>
    <xf numFmtId="0" fontId="137" fillId="66" borderId="168" applyNumberFormat="0" applyAlignment="0" applyProtection="0">
      <alignment vertical="center"/>
    </xf>
    <xf numFmtId="0" fontId="138" fillId="0" borderId="170" applyNumberFormat="0" applyFill="0" applyAlignment="0" applyProtection="0">
      <alignment vertical="center"/>
    </xf>
    <xf numFmtId="0" fontId="139" fillId="67" borderId="171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173" applyNumberFormat="0" applyFill="0" applyAlignment="0" applyProtection="0">
      <alignment vertical="center"/>
    </xf>
    <xf numFmtId="0" fontId="143" fillId="69" borderId="0" applyNumberFormat="0" applyBorder="0" applyAlignment="0" applyProtection="0">
      <alignment vertical="center"/>
    </xf>
    <xf numFmtId="0" fontId="18" fillId="70" borderId="0" applyNumberFormat="0" applyBorder="0" applyAlignment="0" applyProtection="0">
      <alignment vertical="center"/>
    </xf>
    <xf numFmtId="0" fontId="18" fillId="71" borderId="0" applyNumberFormat="0" applyBorder="0" applyAlignment="0" applyProtection="0">
      <alignment vertical="center"/>
    </xf>
    <xf numFmtId="0" fontId="143" fillId="72" borderId="0" applyNumberFormat="0" applyBorder="0" applyAlignment="0" applyProtection="0">
      <alignment vertical="center"/>
    </xf>
    <xf numFmtId="0" fontId="143" fillId="73" borderId="0" applyNumberFormat="0" applyBorder="0" applyAlignment="0" applyProtection="0">
      <alignment vertical="center"/>
    </xf>
    <xf numFmtId="0" fontId="18" fillId="74" borderId="0" applyNumberFormat="0" applyBorder="0" applyAlignment="0" applyProtection="0">
      <alignment vertical="center"/>
    </xf>
    <xf numFmtId="0" fontId="18" fillId="75" borderId="0" applyNumberFormat="0" applyBorder="0" applyAlignment="0" applyProtection="0">
      <alignment vertical="center"/>
    </xf>
    <xf numFmtId="0" fontId="143" fillId="76" borderId="0" applyNumberFormat="0" applyBorder="0" applyAlignment="0" applyProtection="0">
      <alignment vertical="center"/>
    </xf>
    <xf numFmtId="0" fontId="143" fillId="77" borderId="0" applyNumberFormat="0" applyBorder="0" applyAlignment="0" applyProtection="0">
      <alignment vertical="center"/>
    </xf>
    <xf numFmtId="0" fontId="18" fillId="78" borderId="0" applyNumberFormat="0" applyBorder="0" applyAlignment="0" applyProtection="0">
      <alignment vertical="center"/>
    </xf>
    <xf numFmtId="0" fontId="18" fillId="79" borderId="0" applyNumberFormat="0" applyBorder="0" applyAlignment="0" applyProtection="0">
      <alignment vertical="center"/>
    </xf>
    <xf numFmtId="0" fontId="143" fillId="80" borderId="0" applyNumberFormat="0" applyBorder="0" applyAlignment="0" applyProtection="0">
      <alignment vertical="center"/>
    </xf>
    <xf numFmtId="0" fontId="143" fillId="81" borderId="0" applyNumberFormat="0" applyBorder="0" applyAlignment="0" applyProtection="0">
      <alignment vertical="center"/>
    </xf>
    <xf numFmtId="0" fontId="18" fillId="82" borderId="0" applyNumberFormat="0" applyBorder="0" applyAlignment="0" applyProtection="0">
      <alignment vertical="center"/>
    </xf>
    <xf numFmtId="0" fontId="18" fillId="83" borderId="0" applyNumberFormat="0" applyBorder="0" applyAlignment="0" applyProtection="0">
      <alignment vertical="center"/>
    </xf>
    <xf numFmtId="0" fontId="143" fillId="84" borderId="0" applyNumberFormat="0" applyBorder="0" applyAlignment="0" applyProtection="0">
      <alignment vertical="center"/>
    </xf>
    <xf numFmtId="0" fontId="143" fillId="85" borderId="0" applyNumberFormat="0" applyBorder="0" applyAlignment="0" applyProtection="0">
      <alignment vertical="center"/>
    </xf>
    <xf numFmtId="0" fontId="18" fillId="86" borderId="0" applyNumberFormat="0" applyBorder="0" applyAlignment="0" applyProtection="0">
      <alignment vertical="center"/>
    </xf>
    <xf numFmtId="0" fontId="18" fillId="87" borderId="0" applyNumberFormat="0" applyBorder="0" applyAlignment="0" applyProtection="0">
      <alignment vertical="center"/>
    </xf>
    <xf numFmtId="0" fontId="143" fillId="88" borderId="0" applyNumberFormat="0" applyBorder="0" applyAlignment="0" applyProtection="0">
      <alignment vertical="center"/>
    </xf>
    <xf numFmtId="0" fontId="143" fillId="89" borderId="0" applyNumberFormat="0" applyBorder="0" applyAlignment="0" applyProtection="0">
      <alignment vertical="center"/>
    </xf>
    <xf numFmtId="0" fontId="18" fillId="90" borderId="0" applyNumberFormat="0" applyBorder="0" applyAlignment="0" applyProtection="0">
      <alignment vertical="center"/>
    </xf>
    <xf numFmtId="0" fontId="18" fillId="91" borderId="0" applyNumberFormat="0" applyBorder="0" applyAlignment="0" applyProtection="0">
      <alignment vertical="center"/>
    </xf>
    <xf numFmtId="0" fontId="143" fillId="92" borderId="0" applyNumberFormat="0" applyBorder="0" applyAlignment="0" applyProtection="0">
      <alignment vertical="center"/>
    </xf>
    <xf numFmtId="0" fontId="18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68" borderId="172" applyNumberFormat="0" applyFont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89" fillId="0" borderId="119">
      <alignment horizontal="left" vertical="center"/>
    </xf>
    <xf numFmtId="4" fontId="59" fillId="2" borderId="175" applyNumberFormat="0" applyProtection="0">
      <alignment vertical="center"/>
    </xf>
    <xf numFmtId="4" fontId="99" fillId="2" borderId="175" applyNumberFormat="0" applyProtection="0">
      <alignment vertical="center"/>
    </xf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59" fillId="20" borderId="175" applyNumberFormat="0" applyProtection="0">
      <alignment horizontal="right" vertical="center"/>
    </xf>
    <xf numFmtId="4" fontId="59" fillId="21" borderId="175" applyNumberFormat="0" applyProtection="0">
      <alignment horizontal="right" vertical="center"/>
    </xf>
    <xf numFmtId="4" fontId="59" fillId="22" borderId="175" applyNumberFormat="0" applyProtection="0">
      <alignment horizontal="right" vertical="center"/>
    </xf>
    <xf numFmtId="4" fontId="59" fillId="23" borderId="175" applyNumberFormat="0" applyProtection="0">
      <alignment horizontal="right" vertical="center"/>
    </xf>
    <xf numFmtId="4" fontId="59" fillId="24" borderId="175" applyNumberFormat="0" applyProtection="0">
      <alignment horizontal="right" vertical="center"/>
    </xf>
    <xf numFmtId="4" fontId="59" fillId="25" borderId="175" applyNumberFormat="0" applyProtection="0">
      <alignment horizontal="right" vertical="center"/>
    </xf>
    <xf numFmtId="4" fontId="59" fillId="26" borderId="175" applyNumberFormat="0" applyProtection="0">
      <alignment horizontal="right" vertical="center"/>
    </xf>
    <xf numFmtId="4" fontId="59" fillId="27" borderId="175" applyNumberFormat="0" applyProtection="0">
      <alignment horizontal="right" vertical="center"/>
    </xf>
    <xf numFmtId="4" fontId="59" fillId="28" borderId="175" applyNumberFormat="0" applyProtection="0">
      <alignment horizontal="right" vertical="center"/>
    </xf>
    <xf numFmtId="4" fontId="100" fillId="29" borderId="175" applyNumberFormat="0" applyProtection="0">
      <alignment horizontal="left" vertical="center" indent="1"/>
    </xf>
    <xf numFmtId="4" fontId="59" fillId="30" borderId="176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59" fillId="30" borderId="175" applyNumberFormat="0" applyProtection="0">
      <alignment horizontal="left" vertical="center" indent="1"/>
    </xf>
    <xf numFmtId="4" fontId="59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59" fillId="35" borderId="175" applyNumberFormat="0" applyProtection="0">
      <alignment vertical="center"/>
    </xf>
    <xf numFmtId="4" fontId="99" fillId="35" borderId="175" applyNumberFormat="0" applyProtection="0">
      <alignment vertical="center"/>
    </xf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4" fontId="59" fillId="30" borderId="175" applyNumberFormat="0" applyProtection="0">
      <alignment horizontal="right" vertical="center"/>
    </xf>
    <xf numFmtId="4" fontId="99" fillId="30" borderId="175" applyNumberFormat="0" applyProtection="0">
      <alignment horizontal="right" vertical="center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103" fillId="30" borderId="175" applyNumberFormat="0" applyProtection="0">
      <alignment horizontal="right" vertical="center"/>
    </xf>
    <xf numFmtId="0" fontId="98" fillId="1" borderId="119" applyNumberFormat="0" applyFont="0" applyAlignment="0">
      <alignment horizontal="center"/>
    </xf>
    <xf numFmtId="0" fontId="17" fillId="0" borderId="0">
      <alignment vertical="center"/>
    </xf>
    <xf numFmtId="0" fontId="21" fillId="0" borderId="0"/>
    <xf numFmtId="0" fontId="109" fillId="0" borderId="0">
      <protection locked="0"/>
    </xf>
    <xf numFmtId="41" fontId="17" fillId="0" borderId="0" applyFont="0" applyFill="0" applyBorder="0" applyAlignment="0" applyProtection="0">
      <alignment vertical="center"/>
    </xf>
    <xf numFmtId="0" fontId="21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7" fillId="0" borderId="0">
      <alignment vertical="center"/>
    </xf>
    <xf numFmtId="0" fontId="14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62" fillId="111" borderId="175" applyNumberFormat="0" applyAlignment="0" applyProtection="0">
      <alignment vertical="center"/>
    </xf>
    <xf numFmtId="0" fontId="162" fillId="111" borderId="175" applyNumberFormat="0" applyAlignment="0" applyProtection="0">
      <alignment vertical="center"/>
    </xf>
    <xf numFmtId="0" fontId="161" fillId="95" borderId="0" applyNumberFormat="0" applyBorder="0" applyAlignment="0" applyProtection="0">
      <alignment vertical="center"/>
    </xf>
    <xf numFmtId="0" fontId="160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59" fillId="0" borderId="185" applyNumberFormat="0" applyFill="0" applyAlignment="0" applyProtection="0">
      <alignment vertical="center"/>
    </xf>
    <xf numFmtId="0" fontId="158" fillId="0" borderId="184" applyNumberFormat="0" applyFill="0" applyAlignment="0" applyProtection="0">
      <alignment vertical="center"/>
    </xf>
    <xf numFmtId="0" fontId="157" fillId="0" borderId="183" applyNumberFormat="0" applyFill="0" applyAlignment="0" applyProtection="0">
      <alignment vertical="center"/>
    </xf>
    <xf numFmtId="0" fontId="156" fillId="98" borderId="179" applyNumberFormat="0" applyAlignment="0" applyProtection="0">
      <alignment vertical="center"/>
    </xf>
    <xf numFmtId="0" fontId="156" fillId="98" borderId="179" applyNumberFormat="0" applyAlignment="0" applyProtection="0">
      <alignment vertical="center"/>
    </xf>
    <xf numFmtId="0" fontId="145" fillId="0" borderId="182" applyNumberFormat="0" applyFill="0" applyAlignment="0" applyProtection="0">
      <alignment vertical="center"/>
    </xf>
    <xf numFmtId="0" fontId="145" fillId="0" borderId="182" applyNumberFormat="0" applyFill="0" applyAlignment="0" applyProtection="0">
      <alignment vertical="center"/>
    </xf>
    <xf numFmtId="0" fontId="155" fillId="0" borderId="181" applyNumberFormat="0" applyFill="0" applyAlignment="0" applyProtection="0">
      <alignment vertical="center"/>
    </xf>
    <xf numFmtId="0" fontId="23" fillId="0" borderId="0"/>
    <xf numFmtId="0" fontId="23" fillId="0" borderId="0"/>
    <xf numFmtId="0" fontId="23" fillId="0" borderId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41" fontId="146" fillId="0" borderId="0" applyFont="0" applyFill="0" applyBorder="0" applyAlignment="0" applyProtection="0"/>
    <xf numFmtId="0" fontId="154" fillId="113" borderId="114" applyNumberFormat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2" fillId="112" borderId="0" applyNumberFormat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146" fillId="0" borderId="0" applyFont="0" applyFill="0" applyBorder="0" applyAlignment="0" applyProtection="0"/>
    <xf numFmtId="0" fontId="21" fillId="10" borderId="180" applyNumberFormat="0" applyFont="0" applyAlignment="0" applyProtection="0">
      <alignment vertical="center"/>
    </xf>
    <xf numFmtId="0" fontId="21" fillId="10" borderId="180" applyNumberFormat="0" applyFont="0" applyAlignment="0" applyProtection="0">
      <alignment vertical="center"/>
    </xf>
    <xf numFmtId="0" fontId="151" fillId="94" borderId="0" applyNumberFormat="0" applyBorder="0" applyAlignment="0" applyProtection="0">
      <alignment vertical="center"/>
    </xf>
    <xf numFmtId="0" fontId="150" fillId="111" borderId="179" applyNumberFormat="0" applyAlignment="0" applyProtection="0">
      <alignment vertical="center"/>
    </xf>
    <xf numFmtId="0" fontId="150" fillId="111" borderId="179" applyNumberForma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48" fillId="110" borderId="0" applyNumberFormat="0" applyBorder="0" applyAlignment="0" applyProtection="0">
      <alignment vertical="center"/>
    </xf>
    <xf numFmtId="0" fontId="148" fillId="105" borderId="0" applyNumberFormat="0" applyBorder="0" applyAlignment="0" applyProtection="0">
      <alignment vertical="center"/>
    </xf>
    <xf numFmtId="0" fontId="148" fillId="104" borderId="0" applyNumberFormat="0" applyBorder="0" applyAlignment="0" applyProtection="0">
      <alignment vertical="center"/>
    </xf>
    <xf numFmtId="0" fontId="148" fillId="109" borderId="0" applyNumberFormat="0" applyBorder="0" applyAlignment="0" applyProtection="0">
      <alignment vertical="center"/>
    </xf>
    <xf numFmtId="0" fontId="148" fillId="108" borderId="0" applyNumberFormat="0" applyBorder="0" applyAlignment="0" applyProtection="0">
      <alignment vertical="center"/>
    </xf>
    <xf numFmtId="0" fontId="148" fillId="107" borderId="0" applyNumberFormat="0" applyBorder="0" applyAlignment="0" applyProtection="0">
      <alignment vertical="center"/>
    </xf>
    <xf numFmtId="0" fontId="148" fillId="106" borderId="0" applyNumberFormat="0" applyBorder="0" applyAlignment="0" applyProtection="0">
      <alignment vertical="center"/>
    </xf>
    <xf numFmtId="0" fontId="148" fillId="105" borderId="0" applyNumberFormat="0" applyBorder="0" applyAlignment="0" applyProtection="0">
      <alignment vertical="center"/>
    </xf>
    <xf numFmtId="0" fontId="148" fillId="104" borderId="0" applyNumberFormat="0" applyBorder="0" applyAlignment="0" applyProtection="0">
      <alignment vertical="center"/>
    </xf>
    <xf numFmtId="0" fontId="148" fillId="101" borderId="0" applyNumberFormat="0" applyBorder="0" applyAlignment="0" applyProtection="0">
      <alignment vertical="center"/>
    </xf>
    <xf numFmtId="0" fontId="148" fillId="100" borderId="0" applyNumberFormat="0" applyBorder="0" applyAlignment="0" applyProtection="0">
      <alignment vertical="center"/>
    </xf>
    <xf numFmtId="0" fontId="148" fillId="103" borderId="0" applyNumberFormat="0" applyBorder="0" applyAlignment="0" applyProtection="0">
      <alignment vertical="center"/>
    </xf>
    <xf numFmtId="0" fontId="144" fillId="102" borderId="0" applyNumberFormat="0" applyBorder="0" applyAlignment="0" applyProtection="0">
      <alignment vertical="center"/>
    </xf>
    <xf numFmtId="0" fontId="144" fillId="99" borderId="0" applyNumberFormat="0" applyBorder="0" applyAlignment="0" applyProtection="0">
      <alignment vertical="center"/>
    </xf>
    <xf numFmtId="0" fontId="144" fillId="96" borderId="0" applyNumberFormat="0" applyBorder="0" applyAlignment="0" applyProtection="0">
      <alignment vertical="center"/>
    </xf>
    <xf numFmtId="0" fontId="144" fillId="101" borderId="0" applyNumberFormat="0" applyBorder="0" applyAlignment="0" applyProtection="0">
      <alignment vertical="center"/>
    </xf>
    <xf numFmtId="0" fontId="144" fillId="100" borderId="0" applyNumberFormat="0" applyBorder="0" applyAlignment="0" applyProtection="0">
      <alignment vertical="center"/>
    </xf>
    <xf numFmtId="0" fontId="144" fillId="99" borderId="0" applyNumberFormat="0" applyBorder="0" applyAlignment="0" applyProtection="0">
      <alignment vertical="center"/>
    </xf>
    <xf numFmtId="0" fontId="144" fillId="98" borderId="0" applyNumberFormat="0" applyBorder="0" applyAlignment="0" applyProtection="0">
      <alignment vertical="center"/>
    </xf>
    <xf numFmtId="0" fontId="144" fillId="97" borderId="0" applyNumberFormat="0" applyBorder="0" applyAlignment="0" applyProtection="0">
      <alignment vertical="center"/>
    </xf>
    <xf numFmtId="0" fontId="144" fillId="96" borderId="0" applyNumberFormat="0" applyBorder="0" applyAlignment="0" applyProtection="0">
      <alignment vertical="center"/>
    </xf>
    <xf numFmtId="0" fontId="144" fillId="95" borderId="0" applyNumberFormat="0" applyBorder="0" applyAlignment="0" applyProtection="0">
      <alignment vertical="center"/>
    </xf>
    <xf numFmtId="0" fontId="144" fillId="94" borderId="0" applyNumberFormat="0" applyBorder="0" applyAlignment="0" applyProtection="0">
      <alignment vertical="center"/>
    </xf>
    <xf numFmtId="0" fontId="144" fillId="12" borderId="0" applyNumberFormat="0" applyBorder="0" applyAlignment="0" applyProtection="0">
      <alignment vertical="center"/>
    </xf>
    <xf numFmtId="0" fontId="59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9" fillId="0" borderId="0">
      <alignment vertical="top"/>
    </xf>
    <xf numFmtId="0" fontId="59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3" fillId="56" borderId="177" applyNumberFormat="0" applyAlignment="0" applyProtection="0"/>
    <xf numFmtId="0" fontId="113" fillId="56" borderId="177" applyNumberFormat="0" applyAlignment="0" applyProtection="0"/>
    <xf numFmtId="0" fontId="113" fillId="56" borderId="177" applyNumberFormat="0" applyAlignment="0" applyProtection="0"/>
    <xf numFmtId="0" fontId="113" fillId="56" borderId="177" applyNumberFormat="0" applyAlignment="0" applyProtection="0"/>
    <xf numFmtId="0" fontId="113" fillId="56" borderId="177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89" fillId="0" borderId="119">
      <alignment horizontal="left" vertical="center"/>
    </xf>
    <xf numFmtId="0" fontId="89" fillId="0" borderId="119">
      <alignment horizontal="left" vertical="center"/>
    </xf>
    <xf numFmtId="0" fontId="21" fillId="0" borderId="0">
      <alignment vertical="center"/>
    </xf>
    <xf numFmtId="0" fontId="21" fillId="0" borderId="0">
      <alignment vertical="center"/>
    </xf>
    <xf numFmtId="0" fontId="117" fillId="54" borderId="177" applyNumberFormat="0" applyAlignment="0" applyProtection="0"/>
    <xf numFmtId="0" fontId="59" fillId="0" borderId="0">
      <alignment vertical="top"/>
    </xf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117" fillId="54" borderId="177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47" fillId="0" borderId="0"/>
    <xf numFmtId="0" fontId="147" fillId="0" borderId="0"/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147" fillId="0" borderId="0"/>
    <xf numFmtId="0" fontId="59" fillId="0" borderId="0">
      <alignment vertical="top"/>
    </xf>
    <xf numFmtId="0" fontId="23" fillId="0" borderId="0"/>
    <xf numFmtId="0" fontId="23" fillId="0" borderId="0"/>
    <xf numFmtId="0" fontId="23" fillId="0" borderId="0"/>
    <xf numFmtId="0" fontId="87" fillId="53" borderId="177" applyNumberFormat="0" applyFont="0" applyAlignment="0" applyProtection="0"/>
    <xf numFmtId="0" fontId="87" fillId="53" borderId="177" applyNumberFormat="0" applyFont="0" applyAlignment="0" applyProtection="0"/>
    <xf numFmtId="0" fontId="87" fillId="53" borderId="177" applyNumberFormat="0" applyFont="0" applyAlignment="0" applyProtection="0"/>
    <xf numFmtId="0" fontId="87" fillId="53" borderId="177" applyNumberFormat="0" applyFont="0" applyAlignment="0" applyProtection="0"/>
    <xf numFmtId="0" fontId="87" fillId="53" borderId="177" applyNumberFormat="0" applyFont="0" applyAlignment="0" applyProtection="0"/>
    <xf numFmtId="0" fontId="23" fillId="0" borderId="0"/>
    <xf numFmtId="0" fontId="23" fillId="0" borderId="0"/>
    <xf numFmtId="0" fontId="119" fillId="56" borderId="175" applyNumberFormat="0" applyAlignment="0" applyProtection="0"/>
    <xf numFmtId="0" fontId="119" fillId="56" borderId="175" applyNumberFormat="0" applyAlignment="0" applyProtection="0"/>
    <xf numFmtId="0" fontId="119" fillId="56" borderId="175" applyNumberFormat="0" applyAlignment="0" applyProtection="0"/>
    <xf numFmtId="0" fontId="119" fillId="56" borderId="175" applyNumberFormat="0" applyAlignment="0" applyProtection="0"/>
    <xf numFmtId="0" fontId="119" fillId="56" borderId="175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" fontId="59" fillId="2" borderId="175" applyNumberFormat="0" applyProtection="0">
      <alignment vertical="center"/>
    </xf>
    <xf numFmtId="4" fontId="59" fillId="2" borderId="175" applyNumberFormat="0" applyProtection="0">
      <alignment vertical="center"/>
    </xf>
    <xf numFmtId="4" fontId="59" fillId="2" borderId="175" applyNumberFormat="0" applyProtection="0">
      <alignment vertical="center"/>
    </xf>
    <xf numFmtId="4" fontId="59" fillId="2" borderId="175" applyNumberFormat="0" applyProtection="0">
      <alignment vertical="center"/>
    </xf>
    <xf numFmtId="0" fontId="23" fillId="0" borderId="0"/>
    <xf numFmtId="4" fontId="99" fillId="2" borderId="175" applyNumberFormat="0" applyProtection="0">
      <alignment vertical="center"/>
    </xf>
    <xf numFmtId="4" fontId="99" fillId="2" borderId="175" applyNumberFormat="0" applyProtection="0">
      <alignment vertical="center"/>
    </xf>
    <xf numFmtId="4" fontId="99" fillId="2" borderId="175" applyNumberFormat="0" applyProtection="0">
      <alignment vertical="center"/>
    </xf>
    <xf numFmtId="4" fontId="99" fillId="2" borderId="175" applyNumberFormat="0" applyProtection="0">
      <alignment vertical="center"/>
    </xf>
    <xf numFmtId="0" fontId="23" fillId="0" borderId="0"/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0" fontId="23" fillId="0" borderId="0"/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4" fontId="59" fillId="2" borderId="175" applyNumberFormat="0" applyProtection="0">
      <alignment horizontal="left" vertical="center" indent="1"/>
    </xf>
    <xf numFmtId="0" fontId="23" fillId="0" borderId="0"/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23" fillId="0" borderId="0"/>
    <xf numFmtId="4" fontId="59" fillId="20" borderId="175" applyNumberFormat="0" applyProtection="0">
      <alignment horizontal="right" vertical="center"/>
    </xf>
    <xf numFmtId="4" fontId="59" fillId="20" borderId="175" applyNumberFormat="0" applyProtection="0">
      <alignment horizontal="right" vertical="center"/>
    </xf>
    <xf numFmtId="4" fontId="59" fillId="20" borderId="175" applyNumberFormat="0" applyProtection="0">
      <alignment horizontal="right" vertical="center"/>
    </xf>
    <xf numFmtId="4" fontId="59" fillId="20" borderId="175" applyNumberFormat="0" applyProtection="0">
      <alignment horizontal="right" vertical="center"/>
    </xf>
    <xf numFmtId="4" fontId="59" fillId="21" borderId="175" applyNumberFormat="0" applyProtection="0">
      <alignment horizontal="right" vertical="center"/>
    </xf>
    <xf numFmtId="4" fontId="59" fillId="21" borderId="175" applyNumberFormat="0" applyProtection="0">
      <alignment horizontal="right" vertical="center"/>
    </xf>
    <xf numFmtId="4" fontId="59" fillId="21" borderId="175" applyNumberFormat="0" applyProtection="0">
      <alignment horizontal="right" vertical="center"/>
    </xf>
    <xf numFmtId="4" fontId="59" fillId="21" borderId="175" applyNumberFormat="0" applyProtection="0">
      <alignment horizontal="right" vertical="center"/>
    </xf>
    <xf numFmtId="4" fontId="59" fillId="22" borderId="175" applyNumberFormat="0" applyProtection="0">
      <alignment horizontal="right" vertical="center"/>
    </xf>
    <xf numFmtId="4" fontId="59" fillId="22" borderId="175" applyNumberFormat="0" applyProtection="0">
      <alignment horizontal="right" vertical="center"/>
    </xf>
    <xf numFmtId="4" fontId="59" fillId="22" borderId="175" applyNumberFormat="0" applyProtection="0">
      <alignment horizontal="right" vertical="center"/>
    </xf>
    <xf numFmtId="4" fontId="59" fillId="22" borderId="175" applyNumberFormat="0" applyProtection="0">
      <alignment horizontal="right" vertical="center"/>
    </xf>
    <xf numFmtId="4" fontId="59" fillId="23" borderId="175" applyNumberFormat="0" applyProtection="0">
      <alignment horizontal="right" vertical="center"/>
    </xf>
    <xf numFmtId="4" fontId="59" fillId="23" borderId="175" applyNumberFormat="0" applyProtection="0">
      <alignment horizontal="right" vertical="center"/>
    </xf>
    <xf numFmtId="4" fontId="59" fillId="23" borderId="175" applyNumberFormat="0" applyProtection="0">
      <alignment horizontal="right" vertical="center"/>
    </xf>
    <xf numFmtId="4" fontId="59" fillId="23" borderId="175" applyNumberFormat="0" applyProtection="0">
      <alignment horizontal="right" vertical="center"/>
    </xf>
    <xf numFmtId="4" fontId="59" fillId="24" borderId="175" applyNumberFormat="0" applyProtection="0">
      <alignment horizontal="right" vertical="center"/>
    </xf>
    <xf numFmtId="4" fontId="59" fillId="24" borderId="175" applyNumberFormat="0" applyProtection="0">
      <alignment horizontal="right" vertical="center"/>
    </xf>
    <xf numFmtId="4" fontId="59" fillId="24" borderId="175" applyNumberFormat="0" applyProtection="0">
      <alignment horizontal="right" vertical="center"/>
    </xf>
    <xf numFmtId="4" fontId="59" fillId="24" borderId="175" applyNumberFormat="0" applyProtection="0">
      <alignment horizontal="right" vertical="center"/>
    </xf>
    <xf numFmtId="4" fontId="59" fillId="25" borderId="175" applyNumberFormat="0" applyProtection="0">
      <alignment horizontal="right" vertical="center"/>
    </xf>
    <xf numFmtId="4" fontId="59" fillId="25" borderId="175" applyNumberFormat="0" applyProtection="0">
      <alignment horizontal="right" vertical="center"/>
    </xf>
    <xf numFmtId="4" fontId="59" fillId="25" borderId="175" applyNumberFormat="0" applyProtection="0">
      <alignment horizontal="right" vertical="center"/>
    </xf>
    <xf numFmtId="4" fontId="59" fillId="25" borderId="175" applyNumberFormat="0" applyProtection="0">
      <alignment horizontal="right" vertical="center"/>
    </xf>
    <xf numFmtId="4" fontId="59" fillId="26" borderId="175" applyNumberFormat="0" applyProtection="0">
      <alignment horizontal="right" vertical="center"/>
    </xf>
    <xf numFmtId="4" fontId="59" fillId="26" borderId="175" applyNumberFormat="0" applyProtection="0">
      <alignment horizontal="right" vertical="center"/>
    </xf>
    <xf numFmtId="4" fontId="59" fillId="26" borderId="175" applyNumberFormat="0" applyProtection="0">
      <alignment horizontal="right" vertical="center"/>
    </xf>
    <xf numFmtId="4" fontId="59" fillId="26" borderId="175" applyNumberFormat="0" applyProtection="0">
      <alignment horizontal="right" vertical="center"/>
    </xf>
    <xf numFmtId="0" fontId="23" fillId="0" borderId="0"/>
    <xf numFmtId="4" fontId="59" fillId="27" borderId="175" applyNumberFormat="0" applyProtection="0">
      <alignment horizontal="right" vertical="center"/>
    </xf>
    <xf numFmtId="4" fontId="59" fillId="27" borderId="175" applyNumberFormat="0" applyProtection="0">
      <alignment horizontal="right" vertical="center"/>
    </xf>
    <xf numFmtId="4" fontId="59" fillId="27" borderId="175" applyNumberFormat="0" applyProtection="0">
      <alignment horizontal="right" vertical="center"/>
    </xf>
    <xf numFmtId="4" fontId="59" fillId="27" borderId="175" applyNumberFormat="0" applyProtection="0">
      <alignment horizontal="right" vertical="center"/>
    </xf>
    <xf numFmtId="0" fontId="23" fillId="0" borderId="0"/>
    <xf numFmtId="4" fontId="59" fillId="28" borderId="175" applyNumberFormat="0" applyProtection="0">
      <alignment horizontal="right" vertical="center"/>
    </xf>
    <xf numFmtId="4" fontId="59" fillId="28" borderId="175" applyNumberFormat="0" applyProtection="0">
      <alignment horizontal="right" vertical="center"/>
    </xf>
    <xf numFmtId="4" fontId="59" fillId="28" borderId="175" applyNumberFormat="0" applyProtection="0">
      <alignment horizontal="right" vertical="center"/>
    </xf>
    <xf numFmtId="4" fontId="59" fillId="28" borderId="175" applyNumberFormat="0" applyProtection="0">
      <alignment horizontal="right" vertical="center"/>
    </xf>
    <xf numFmtId="0" fontId="23" fillId="0" borderId="0"/>
    <xf numFmtId="4" fontId="100" fillId="29" borderId="175" applyNumberFormat="0" applyProtection="0">
      <alignment horizontal="left" vertical="center" indent="1"/>
    </xf>
    <xf numFmtId="4" fontId="100" fillId="29" borderId="175" applyNumberFormat="0" applyProtection="0">
      <alignment horizontal="left" vertical="center" indent="1"/>
    </xf>
    <xf numFmtId="4" fontId="100" fillId="29" borderId="175" applyNumberFormat="0" applyProtection="0">
      <alignment horizontal="left" vertical="center" indent="1"/>
    </xf>
    <xf numFmtId="4" fontId="100" fillId="29" borderId="175" applyNumberFormat="0" applyProtection="0">
      <alignment horizontal="left" vertical="center" indent="1"/>
    </xf>
    <xf numFmtId="0" fontId="23" fillId="0" borderId="0"/>
    <xf numFmtId="4" fontId="59" fillId="30" borderId="176" applyNumberFormat="0" applyProtection="0">
      <alignment horizontal="left" vertical="center" indent="1"/>
    </xf>
    <xf numFmtId="0" fontId="23" fillId="0" borderId="0"/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59" fillId="30" borderId="175" applyNumberFormat="0" applyProtection="0">
      <alignment horizontal="left" vertical="center" indent="1"/>
    </xf>
    <xf numFmtId="4" fontId="59" fillId="30" borderId="175" applyNumberFormat="0" applyProtection="0">
      <alignment horizontal="left" vertical="center" indent="1"/>
    </xf>
    <xf numFmtId="4" fontId="59" fillId="30" borderId="175" applyNumberFormat="0" applyProtection="0">
      <alignment horizontal="left" vertical="center" indent="1"/>
    </xf>
    <xf numFmtId="4" fontId="59" fillId="30" borderId="175" applyNumberFormat="0" applyProtection="0">
      <alignment horizontal="left" vertical="center" indent="1"/>
    </xf>
    <xf numFmtId="4" fontId="59" fillId="32" borderId="175" applyNumberFormat="0" applyProtection="0">
      <alignment horizontal="left" vertical="center" indent="1"/>
    </xf>
    <xf numFmtId="4" fontId="59" fillId="32" borderId="175" applyNumberFormat="0" applyProtection="0">
      <alignment horizontal="left" vertical="center" indent="1"/>
    </xf>
    <xf numFmtId="4" fontId="59" fillId="32" borderId="175" applyNumberFormat="0" applyProtection="0">
      <alignment horizontal="left" vertical="center" indent="1"/>
    </xf>
    <xf numFmtId="4" fontId="59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23" fillId="0" borderId="0"/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55" fillId="32" borderId="175" applyNumberFormat="0" applyProtection="0">
      <alignment horizontal="left" vertical="center" indent="1"/>
    </xf>
    <xf numFmtId="0" fontId="23" fillId="0" borderId="0"/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23" fillId="0" borderId="0"/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55" fillId="33" borderId="175" applyNumberFormat="0" applyProtection="0">
      <alignment horizontal="left" vertical="center" indent="1"/>
    </xf>
    <xf numFmtId="0" fontId="23" fillId="0" borderId="0"/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23" fillId="0" borderId="0"/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34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120" fillId="60" borderId="178" applyBorder="0"/>
    <xf numFmtId="0" fontId="120" fillId="60" borderId="178" applyBorder="0"/>
    <xf numFmtId="0" fontId="120" fillId="60" borderId="178" applyBorder="0"/>
    <xf numFmtId="0" fontId="120" fillId="60" borderId="178" applyBorder="0"/>
    <xf numFmtId="0" fontId="120" fillId="60" borderId="178" applyBorder="0"/>
    <xf numFmtId="0" fontId="120" fillId="60" borderId="178" applyBorder="0"/>
    <xf numFmtId="4" fontId="59" fillId="35" borderId="175" applyNumberFormat="0" applyProtection="0">
      <alignment vertical="center"/>
    </xf>
    <xf numFmtId="4" fontId="59" fillId="35" borderId="175" applyNumberFormat="0" applyProtection="0">
      <alignment vertical="center"/>
    </xf>
    <xf numFmtId="4" fontId="59" fillId="35" borderId="175" applyNumberFormat="0" applyProtection="0">
      <alignment vertical="center"/>
    </xf>
    <xf numFmtId="4" fontId="59" fillId="35" borderId="175" applyNumberFormat="0" applyProtection="0">
      <alignment vertical="center"/>
    </xf>
    <xf numFmtId="0" fontId="23" fillId="0" borderId="0"/>
    <xf numFmtId="4" fontId="99" fillId="35" borderId="175" applyNumberFormat="0" applyProtection="0">
      <alignment vertical="center"/>
    </xf>
    <xf numFmtId="4" fontId="99" fillId="35" borderId="175" applyNumberFormat="0" applyProtection="0">
      <alignment vertical="center"/>
    </xf>
    <xf numFmtId="4" fontId="99" fillId="35" borderId="175" applyNumberFormat="0" applyProtection="0">
      <alignment vertical="center"/>
    </xf>
    <xf numFmtId="4" fontId="99" fillId="35" borderId="175" applyNumberFormat="0" applyProtection="0">
      <alignment vertical="center"/>
    </xf>
    <xf numFmtId="0" fontId="23" fillId="0" borderId="0"/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0" fontId="23" fillId="0" borderId="0"/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4" fontId="59" fillId="35" borderId="175" applyNumberFormat="0" applyProtection="0">
      <alignment horizontal="left" vertical="center" indent="1"/>
    </xf>
    <xf numFmtId="0" fontId="23" fillId="0" borderId="0"/>
    <xf numFmtId="4" fontId="59" fillId="30" borderId="175" applyNumberFormat="0" applyProtection="0">
      <alignment horizontal="right" vertical="center"/>
    </xf>
    <xf numFmtId="4" fontId="59" fillId="30" borderId="175" applyNumberFormat="0" applyProtection="0">
      <alignment horizontal="right" vertical="center"/>
    </xf>
    <xf numFmtId="4" fontId="59" fillId="30" borderId="175" applyNumberFormat="0" applyProtection="0">
      <alignment horizontal="right" vertical="center"/>
    </xf>
    <xf numFmtId="4" fontId="59" fillId="30" borderId="175" applyNumberFormat="0" applyProtection="0">
      <alignment horizontal="right" vertical="center"/>
    </xf>
    <xf numFmtId="0" fontId="23" fillId="0" borderId="0"/>
    <xf numFmtId="4" fontId="99" fillId="30" borderId="175" applyNumberFormat="0" applyProtection="0">
      <alignment horizontal="right" vertical="center"/>
    </xf>
    <xf numFmtId="4" fontId="99" fillId="30" borderId="175" applyNumberFormat="0" applyProtection="0">
      <alignment horizontal="right" vertical="center"/>
    </xf>
    <xf numFmtId="4" fontId="99" fillId="30" borderId="175" applyNumberFormat="0" applyProtection="0">
      <alignment horizontal="right" vertical="center"/>
    </xf>
    <xf numFmtId="4" fontId="99" fillId="30" borderId="175" applyNumberFormat="0" applyProtection="0">
      <alignment horizontal="right" vertical="center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0" fontId="55" fillId="19" borderId="175" applyNumberFormat="0" applyProtection="0">
      <alignment horizontal="left" vertical="center" indent="1"/>
    </xf>
    <xf numFmtId="4" fontId="103" fillId="30" borderId="175" applyNumberFormat="0" applyProtection="0">
      <alignment horizontal="right" vertical="center"/>
    </xf>
    <xf numFmtId="4" fontId="103" fillId="30" borderId="175" applyNumberFormat="0" applyProtection="0">
      <alignment horizontal="right" vertical="center"/>
    </xf>
    <xf numFmtId="4" fontId="103" fillId="30" borderId="175" applyNumberFormat="0" applyProtection="0">
      <alignment horizontal="right" vertical="center"/>
    </xf>
    <xf numFmtId="4" fontId="103" fillId="30" borderId="175" applyNumberFormat="0" applyProtection="0">
      <alignment horizontal="right" vertical="center"/>
    </xf>
    <xf numFmtId="0" fontId="98" fillId="1" borderId="119" applyNumberFormat="0" applyFont="0" applyAlignment="0">
      <alignment horizontal="center"/>
    </xf>
    <xf numFmtId="0" fontId="98" fillId="1" borderId="119" applyNumberFormat="0" applyFont="0" applyAlignment="0">
      <alignment horizontal="center"/>
    </xf>
    <xf numFmtId="41" fontId="109" fillId="0" borderId="0">
      <protection locked="0"/>
    </xf>
    <xf numFmtId="0" fontId="60" fillId="0" borderId="0">
      <protection locked="0"/>
    </xf>
    <xf numFmtId="220" fontId="63" fillId="0" borderId="0"/>
    <xf numFmtId="219" fontId="21" fillId="0" borderId="0" applyFont="0" applyFill="0" applyBorder="0" applyAlignment="0" applyProtection="0"/>
    <xf numFmtId="0" fontId="21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1" fillId="0" borderId="0"/>
    <xf numFmtId="0" fontId="17" fillId="0" borderId="0">
      <alignment vertical="center"/>
    </xf>
    <xf numFmtId="0" fontId="57" fillId="0" borderId="0">
      <alignment vertical="center"/>
    </xf>
    <xf numFmtId="41" fontId="17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4" fillId="0" borderId="0">
      <alignment vertical="center"/>
    </xf>
    <xf numFmtId="41" fontId="144" fillId="0" borderId="0" applyFont="0" applyFill="0" applyBorder="0" applyAlignment="0" applyProtection="0">
      <alignment vertical="center"/>
    </xf>
    <xf numFmtId="0" fontId="57" fillId="0" borderId="0">
      <alignment vertical="center"/>
    </xf>
    <xf numFmtId="0" fontId="17" fillId="0" borderId="0">
      <alignment vertical="center"/>
    </xf>
    <xf numFmtId="9" fontId="23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3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3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0" borderId="0" applyNumberFormat="0" applyBorder="0" applyAlignment="0" applyProtection="0">
      <alignment vertical="center"/>
    </xf>
    <xf numFmtId="0" fontId="16" fillId="71" borderId="0" applyNumberFormat="0" applyBorder="0" applyAlignment="0" applyProtection="0">
      <alignment vertical="center"/>
    </xf>
    <xf numFmtId="0" fontId="16" fillId="74" borderId="0" applyNumberFormat="0" applyBorder="0" applyAlignment="0" applyProtection="0">
      <alignment vertical="center"/>
    </xf>
    <xf numFmtId="0" fontId="16" fillId="75" borderId="0" applyNumberFormat="0" applyBorder="0" applyAlignment="0" applyProtection="0">
      <alignment vertical="center"/>
    </xf>
    <xf numFmtId="0" fontId="16" fillId="78" borderId="0" applyNumberFormat="0" applyBorder="0" applyAlignment="0" applyProtection="0">
      <alignment vertical="center"/>
    </xf>
    <xf numFmtId="0" fontId="16" fillId="79" borderId="0" applyNumberFormat="0" applyBorder="0" applyAlignment="0" applyProtection="0">
      <alignment vertical="center"/>
    </xf>
    <xf numFmtId="0" fontId="16" fillId="82" borderId="0" applyNumberFormat="0" applyBorder="0" applyAlignment="0" applyProtection="0">
      <alignment vertical="center"/>
    </xf>
    <xf numFmtId="0" fontId="16" fillId="83" borderId="0" applyNumberFormat="0" applyBorder="0" applyAlignment="0" applyProtection="0">
      <alignment vertical="center"/>
    </xf>
    <xf numFmtId="0" fontId="16" fillId="86" borderId="0" applyNumberFormat="0" applyBorder="0" applyAlignment="0" applyProtection="0">
      <alignment vertical="center"/>
    </xf>
    <xf numFmtId="0" fontId="16" fillId="87" borderId="0" applyNumberFormat="0" applyBorder="0" applyAlignment="0" applyProtection="0">
      <alignment vertical="center"/>
    </xf>
    <xf numFmtId="0" fontId="16" fillId="90" borderId="0" applyNumberFormat="0" applyBorder="0" applyAlignment="0" applyProtection="0">
      <alignment vertical="center"/>
    </xf>
    <xf numFmtId="0" fontId="16" fillId="91" borderId="0" applyNumberFormat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117" fillId="54" borderId="177" applyNumberFormat="0" applyAlignment="0" applyProtection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3" fontId="66" fillId="0" borderId="186"/>
    <xf numFmtId="3" fontId="66" fillId="0" borderId="186"/>
    <xf numFmtId="3" fontId="66" fillId="0" borderId="186"/>
    <xf numFmtId="3" fontId="66" fillId="0" borderId="186"/>
    <xf numFmtId="3" fontId="66" fillId="0" borderId="186"/>
    <xf numFmtId="3" fontId="66" fillId="0" borderId="186"/>
    <xf numFmtId="196" fontId="82" fillId="0" borderId="186" applyFill="0" applyBorder="0" applyAlignment="0"/>
    <xf numFmtId="196" fontId="82" fillId="0" borderId="186" applyFill="0" applyBorder="0" applyAlignment="0"/>
    <xf numFmtId="10" fontId="87" fillId="17" borderId="186" applyNumberFormat="0" applyBorder="0" applyAlignment="0" applyProtection="0"/>
    <xf numFmtId="10" fontId="87" fillId="17" borderId="186" applyNumberFormat="0" applyBorder="0" applyAlignment="0" applyProtection="0"/>
    <xf numFmtId="0" fontId="87" fillId="61" borderId="186"/>
    <xf numFmtId="0" fontId="87" fillId="61" borderId="186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68" borderId="172" applyNumberFormat="0" applyFont="0" applyAlignment="0" applyProtection="0">
      <alignment vertical="center"/>
    </xf>
    <xf numFmtId="0" fontId="89" fillId="0" borderId="187">
      <alignment horizontal="left" vertical="center"/>
    </xf>
    <xf numFmtId="4" fontId="59" fillId="2" borderId="188" applyNumberFormat="0" applyProtection="0">
      <alignment vertical="center"/>
    </xf>
    <xf numFmtId="4" fontId="99" fillId="2" borderId="188" applyNumberFormat="0" applyProtection="0">
      <alignment vertical="center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59" fillId="20" borderId="188" applyNumberFormat="0" applyProtection="0">
      <alignment horizontal="right" vertical="center"/>
    </xf>
    <xf numFmtId="4" fontId="59" fillId="21" borderId="188" applyNumberFormat="0" applyProtection="0">
      <alignment horizontal="right" vertical="center"/>
    </xf>
    <xf numFmtId="4" fontId="59" fillId="22" borderId="188" applyNumberFormat="0" applyProtection="0">
      <alignment horizontal="right" vertical="center"/>
    </xf>
    <xf numFmtId="4" fontId="59" fillId="23" borderId="188" applyNumberFormat="0" applyProtection="0">
      <alignment horizontal="right" vertical="center"/>
    </xf>
    <xf numFmtId="4" fontId="59" fillId="24" borderId="188" applyNumberFormat="0" applyProtection="0">
      <alignment horizontal="right" vertical="center"/>
    </xf>
    <xf numFmtId="4" fontId="59" fillId="25" borderId="188" applyNumberFormat="0" applyProtection="0">
      <alignment horizontal="right" vertical="center"/>
    </xf>
    <xf numFmtId="4" fontId="59" fillId="26" borderId="188" applyNumberFormat="0" applyProtection="0">
      <alignment horizontal="right" vertical="center"/>
    </xf>
    <xf numFmtId="4" fontId="59" fillId="27" borderId="188" applyNumberFormat="0" applyProtection="0">
      <alignment horizontal="right" vertical="center"/>
    </xf>
    <xf numFmtId="4" fontId="59" fillId="28" borderId="188" applyNumberFormat="0" applyProtection="0">
      <alignment horizontal="right" vertical="center"/>
    </xf>
    <xf numFmtId="4" fontId="100" fillId="29" borderId="188" applyNumberFormat="0" applyProtection="0">
      <alignment horizontal="left" vertical="center" indent="1"/>
    </xf>
    <xf numFmtId="4" fontId="59" fillId="30" borderId="189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59" fillId="30" borderId="188" applyNumberFormat="0" applyProtection="0">
      <alignment horizontal="left" vertical="center" indent="1"/>
    </xf>
    <xf numFmtId="4" fontId="59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59" fillId="35" borderId="188" applyNumberFormat="0" applyProtection="0">
      <alignment vertical="center"/>
    </xf>
    <xf numFmtId="4" fontId="99" fillId="35" borderId="188" applyNumberFormat="0" applyProtection="0">
      <alignment vertical="center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0" borderId="188" applyNumberFormat="0" applyProtection="0">
      <alignment horizontal="right" vertical="center"/>
    </xf>
    <xf numFmtId="4" fontId="99" fillId="30" borderId="188" applyNumberFormat="0" applyProtection="0">
      <alignment horizontal="right" vertical="center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103" fillId="30" borderId="188" applyNumberFormat="0" applyProtection="0">
      <alignment horizontal="right" vertical="center"/>
    </xf>
    <xf numFmtId="0" fontId="98" fillId="1" borderId="187" applyNumberFormat="0" applyFont="0" applyAlignment="0">
      <alignment horizont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2" fillId="111" borderId="188" applyNumberFormat="0" applyAlignment="0" applyProtection="0">
      <alignment vertical="center"/>
    </xf>
    <xf numFmtId="0" fontId="162" fillId="111" borderId="188" applyNumberFormat="0" applyAlignment="0" applyProtection="0">
      <alignment vertical="center"/>
    </xf>
    <xf numFmtId="0" fontId="156" fillId="98" borderId="192" applyNumberFormat="0" applyAlignment="0" applyProtection="0">
      <alignment vertical="center"/>
    </xf>
    <xf numFmtId="0" fontId="156" fillId="98" borderId="192" applyNumberFormat="0" applyAlignment="0" applyProtection="0">
      <alignment vertical="center"/>
    </xf>
    <xf numFmtId="0" fontId="145" fillId="0" borderId="194" applyNumberFormat="0" applyFill="0" applyAlignment="0" applyProtection="0">
      <alignment vertical="center"/>
    </xf>
    <xf numFmtId="0" fontId="145" fillId="0" borderId="194" applyNumberFormat="0" applyFill="0" applyAlignment="0" applyProtection="0">
      <alignment vertical="center"/>
    </xf>
    <xf numFmtId="0" fontId="21" fillId="10" borderId="193" applyNumberFormat="0" applyFont="0" applyAlignment="0" applyProtection="0">
      <alignment vertical="center"/>
    </xf>
    <xf numFmtId="0" fontId="21" fillId="10" borderId="193" applyNumberFormat="0" applyFont="0" applyAlignment="0" applyProtection="0">
      <alignment vertical="center"/>
    </xf>
    <xf numFmtId="0" fontId="150" fillId="111" borderId="192" applyNumberFormat="0" applyAlignment="0" applyProtection="0">
      <alignment vertical="center"/>
    </xf>
    <xf numFmtId="0" fontId="150" fillId="111" borderId="192" applyNumberFormat="0" applyAlignment="0" applyProtection="0">
      <alignment vertical="center"/>
    </xf>
    <xf numFmtId="0" fontId="113" fillId="56" borderId="190" applyNumberFormat="0" applyAlignment="0" applyProtection="0"/>
    <xf numFmtId="0" fontId="113" fillId="56" borderId="190" applyNumberFormat="0" applyAlignment="0" applyProtection="0"/>
    <xf numFmtId="0" fontId="113" fillId="56" borderId="190" applyNumberFormat="0" applyAlignment="0" applyProtection="0"/>
    <xf numFmtId="0" fontId="113" fillId="56" borderId="190" applyNumberFormat="0" applyAlignment="0" applyProtection="0"/>
    <xf numFmtId="0" fontId="113" fillId="56" borderId="190" applyNumberFormat="0" applyAlignment="0" applyProtection="0"/>
    <xf numFmtId="0" fontId="89" fillId="0" borderId="187">
      <alignment horizontal="left" vertical="center"/>
    </xf>
    <xf numFmtId="0" fontId="89" fillId="0" borderId="187">
      <alignment horizontal="left" vertical="center"/>
    </xf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87" fillId="53" borderId="190" applyNumberFormat="0" applyFont="0" applyAlignment="0" applyProtection="0"/>
    <xf numFmtId="0" fontId="87" fillId="53" borderId="190" applyNumberFormat="0" applyFont="0" applyAlignment="0" applyProtection="0"/>
    <xf numFmtId="0" fontId="87" fillId="53" borderId="190" applyNumberFormat="0" applyFont="0" applyAlignment="0" applyProtection="0"/>
    <xf numFmtId="0" fontId="87" fillId="53" borderId="190" applyNumberFormat="0" applyFont="0" applyAlignment="0" applyProtection="0"/>
    <xf numFmtId="0" fontId="87" fillId="53" borderId="190" applyNumberFormat="0" applyFont="0" applyAlignment="0" applyProtection="0"/>
    <xf numFmtId="0" fontId="119" fillId="56" borderId="188" applyNumberFormat="0" applyAlignment="0" applyProtection="0"/>
    <xf numFmtId="0" fontId="119" fillId="56" borderId="188" applyNumberFormat="0" applyAlignment="0" applyProtection="0"/>
    <xf numFmtId="0" fontId="119" fillId="56" borderId="188" applyNumberFormat="0" applyAlignment="0" applyProtection="0"/>
    <xf numFmtId="0" fontId="119" fillId="56" borderId="188" applyNumberFormat="0" applyAlignment="0" applyProtection="0"/>
    <xf numFmtId="0" fontId="119" fillId="56" borderId="188" applyNumberFormat="0" applyAlignment="0" applyProtection="0"/>
    <xf numFmtId="4" fontId="59" fillId="2" borderId="188" applyNumberFormat="0" applyProtection="0">
      <alignment vertical="center"/>
    </xf>
    <xf numFmtId="4" fontId="59" fillId="2" borderId="188" applyNumberFormat="0" applyProtection="0">
      <alignment vertical="center"/>
    </xf>
    <xf numFmtId="4" fontId="59" fillId="2" borderId="188" applyNumberFormat="0" applyProtection="0">
      <alignment vertical="center"/>
    </xf>
    <xf numFmtId="4" fontId="59" fillId="2" borderId="188" applyNumberFormat="0" applyProtection="0">
      <alignment vertical="center"/>
    </xf>
    <xf numFmtId="4" fontId="99" fillId="2" borderId="188" applyNumberFormat="0" applyProtection="0">
      <alignment vertical="center"/>
    </xf>
    <xf numFmtId="4" fontId="99" fillId="2" borderId="188" applyNumberFormat="0" applyProtection="0">
      <alignment vertical="center"/>
    </xf>
    <xf numFmtId="4" fontId="99" fillId="2" borderId="188" applyNumberFormat="0" applyProtection="0">
      <alignment vertical="center"/>
    </xf>
    <xf numFmtId="4" fontId="99" fillId="2" borderId="188" applyNumberFormat="0" applyProtection="0">
      <alignment vertical="center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4" fontId="59" fillId="2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59" fillId="20" borderId="188" applyNumberFormat="0" applyProtection="0">
      <alignment horizontal="right" vertical="center"/>
    </xf>
    <xf numFmtId="4" fontId="59" fillId="20" borderId="188" applyNumberFormat="0" applyProtection="0">
      <alignment horizontal="right" vertical="center"/>
    </xf>
    <xf numFmtId="4" fontId="59" fillId="20" borderId="188" applyNumberFormat="0" applyProtection="0">
      <alignment horizontal="right" vertical="center"/>
    </xf>
    <xf numFmtId="4" fontId="59" fillId="20" borderId="188" applyNumberFormat="0" applyProtection="0">
      <alignment horizontal="right" vertical="center"/>
    </xf>
    <xf numFmtId="4" fontId="59" fillId="21" borderId="188" applyNumberFormat="0" applyProtection="0">
      <alignment horizontal="right" vertical="center"/>
    </xf>
    <xf numFmtId="4" fontId="59" fillId="21" borderId="188" applyNumberFormat="0" applyProtection="0">
      <alignment horizontal="right" vertical="center"/>
    </xf>
    <xf numFmtId="4" fontId="59" fillId="21" borderId="188" applyNumberFormat="0" applyProtection="0">
      <alignment horizontal="right" vertical="center"/>
    </xf>
    <xf numFmtId="4" fontId="59" fillId="21" borderId="188" applyNumberFormat="0" applyProtection="0">
      <alignment horizontal="right" vertical="center"/>
    </xf>
    <xf numFmtId="4" fontId="59" fillId="22" borderId="188" applyNumberFormat="0" applyProtection="0">
      <alignment horizontal="right" vertical="center"/>
    </xf>
    <xf numFmtId="4" fontId="59" fillId="22" borderId="188" applyNumberFormat="0" applyProtection="0">
      <alignment horizontal="right" vertical="center"/>
    </xf>
    <xf numFmtId="4" fontId="59" fillId="22" borderId="188" applyNumberFormat="0" applyProtection="0">
      <alignment horizontal="right" vertical="center"/>
    </xf>
    <xf numFmtId="4" fontId="59" fillId="22" borderId="188" applyNumberFormat="0" applyProtection="0">
      <alignment horizontal="right" vertical="center"/>
    </xf>
    <xf numFmtId="4" fontId="59" fillId="23" borderId="188" applyNumberFormat="0" applyProtection="0">
      <alignment horizontal="right" vertical="center"/>
    </xf>
    <xf numFmtId="4" fontId="59" fillId="23" borderId="188" applyNumberFormat="0" applyProtection="0">
      <alignment horizontal="right" vertical="center"/>
    </xf>
    <xf numFmtId="4" fontId="59" fillId="23" borderId="188" applyNumberFormat="0" applyProtection="0">
      <alignment horizontal="right" vertical="center"/>
    </xf>
    <xf numFmtId="4" fontId="59" fillId="23" borderId="188" applyNumberFormat="0" applyProtection="0">
      <alignment horizontal="right" vertical="center"/>
    </xf>
    <xf numFmtId="4" fontId="59" fillId="24" borderId="188" applyNumberFormat="0" applyProtection="0">
      <alignment horizontal="right" vertical="center"/>
    </xf>
    <xf numFmtId="4" fontId="59" fillId="24" borderId="188" applyNumberFormat="0" applyProtection="0">
      <alignment horizontal="right" vertical="center"/>
    </xf>
    <xf numFmtId="4" fontId="59" fillId="24" borderId="188" applyNumberFormat="0" applyProtection="0">
      <alignment horizontal="right" vertical="center"/>
    </xf>
    <xf numFmtId="4" fontId="59" fillId="24" borderId="188" applyNumberFormat="0" applyProtection="0">
      <alignment horizontal="right" vertical="center"/>
    </xf>
    <xf numFmtId="4" fontId="59" fillId="25" borderId="188" applyNumberFormat="0" applyProtection="0">
      <alignment horizontal="right" vertical="center"/>
    </xf>
    <xf numFmtId="4" fontId="59" fillId="25" borderId="188" applyNumberFormat="0" applyProtection="0">
      <alignment horizontal="right" vertical="center"/>
    </xf>
    <xf numFmtId="4" fontId="59" fillId="25" borderId="188" applyNumberFormat="0" applyProtection="0">
      <alignment horizontal="right" vertical="center"/>
    </xf>
    <xf numFmtId="4" fontId="59" fillId="25" borderId="188" applyNumberFormat="0" applyProtection="0">
      <alignment horizontal="right" vertical="center"/>
    </xf>
    <xf numFmtId="4" fontId="59" fillId="26" borderId="188" applyNumberFormat="0" applyProtection="0">
      <alignment horizontal="right" vertical="center"/>
    </xf>
    <xf numFmtId="4" fontId="59" fillId="26" borderId="188" applyNumberFormat="0" applyProtection="0">
      <alignment horizontal="right" vertical="center"/>
    </xf>
    <xf numFmtId="4" fontId="59" fillId="26" borderId="188" applyNumberFormat="0" applyProtection="0">
      <alignment horizontal="right" vertical="center"/>
    </xf>
    <xf numFmtId="4" fontId="59" fillId="26" borderId="188" applyNumberFormat="0" applyProtection="0">
      <alignment horizontal="right" vertical="center"/>
    </xf>
    <xf numFmtId="4" fontId="59" fillId="27" borderId="188" applyNumberFormat="0" applyProtection="0">
      <alignment horizontal="right" vertical="center"/>
    </xf>
    <xf numFmtId="4" fontId="59" fillId="27" borderId="188" applyNumberFormat="0" applyProtection="0">
      <alignment horizontal="right" vertical="center"/>
    </xf>
    <xf numFmtId="4" fontId="59" fillId="27" borderId="188" applyNumberFormat="0" applyProtection="0">
      <alignment horizontal="right" vertical="center"/>
    </xf>
    <xf numFmtId="4" fontId="59" fillId="27" borderId="188" applyNumberFormat="0" applyProtection="0">
      <alignment horizontal="right" vertical="center"/>
    </xf>
    <xf numFmtId="4" fontId="59" fillId="28" borderId="188" applyNumberFormat="0" applyProtection="0">
      <alignment horizontal="right" vertical="center"/>
    </xf>
    <xf numFmtId="4" fontId="59" fillId="28" borderId="188" applyNumberFormat="0" applyProtection="0">
      <alignment horizontal="right" vertical="center"/>
    </xf>
    <xf numFmtId="4" fontId="59" fillId="28" borderId="188" applyNumberFormat="0" applyProtection="0">
      <alignment horizontal="right" vertical="center"/>
    </xf>
    <xf numFmtId="4" fontId="59" fillId="28" borderId="188" applyNumberFormat="0" applyProtection="0">
      <alignment horizontal="right" vertical="center"/>
    </xf>
    <xf numFmtId="4" fontId="100" fillId="29" borderId="188" applyNumberFormat="0" applyProtection="0">
      <alignment horizontal="left" vertical="center" indent="1"/>
    </xf>
    <xf numFmtId="4" fontId="100" fillId="29" borderId="188" applyNumberFormat="0" applyProtection="0">
      <alignment horizontal="left" vertical="center" indent="1"/>
    </xf>
    <xf numFmtId="4" fontId="100" fillId="29" borderId="188" applyNumberFormat="0" applyProtection="0">
      <alignment horizontal="left" vertical="center" indent="1"/>
    </xf>
    <xf numFmtId="4" fontId="100" fillId="29" borderId="188" applyNumberFormat="0" applyProtection="0">
      <alignment horizontal="left" vertical="center" indent="1"/>
    </xf>
    <xf numFmtId="4" fontId="59" fillId="30" borderId="189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59" fillId="30" borderId="188" applyNumberFormat="0" applyProtection="0">
      <alignment horizontal="left" vertical="center" indent="1"/>
    </xf>
    <xf numFmtId="4" fontId="59" fillId="30" borderId="188" applyNumberFormat="0" applyProtection="0">
      <alignment horizontal="left" vertical="center" indent="1"/>
    </xf>
    <xf numFmtId="4" fontId="59" fillId="30" borderId="188" applyNumberFormat="0" applyProtection="0">
      <alignment horizontal="left" vertical="center" indent="1"/>
    </xf>
    <xf numFmtId="4" fontId="59" fillId="30" borderId="188" applyNumberFormat="0" applyProtection="0">
      <alignment horizontal="left" vertical="center" indent="1"/>
    </xf>
    <xf numFmtId="4" fontId="59" fillId="32" borderId="188" applyNumberFormat="0" applyProtection="0">
      <alignment horizontal="left" vertical="center" indent="1"/>
    </xf>
    <xf numFmtId="4" fontId="59" fillId="32" borderId="188" applyNumberFormat="0" applyProtection="0">
      <alignment horizontal="left" vertical="center" indent="1"/>
    </xf>
    <xf numFmtId="4" fontId="59" fillId="32" borderId="188" applyNumberFormat="0" applyProtection="0">
      <alignment horizontal="left" vertical="center" indent="1"/>
    </xf>
    <xf numFmtId="4" fontId="59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2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3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34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120" fillId="60" borderId="191" applyBorder="0"/>
    <xf numFmtId="0" fontId="120" fillId="60" borderId="191" applyBorder="0"/>
    <xf numFmtId="0" fontId="120" fillId="60" borderId="191" applyBorder="0"/>
    <xf numFmtId="0" fontId="120" fillId="60" borderId="191" applyBorder="0"/>
    <xf numFmtId="0" fontId="120" fillId="60" borderId="191" applyBorder="0"/>
    <xf numFmtId="0" fontId="120" fillId="60" borderId="191" applyBorder="0"/>
    <xf numFmtId="4" fontId="59" fillId="35" borderId="188" applyNumberFormat="0" applyProtection="0">
      <alignment vertical="center"/>
    </xf>
    <xf numFmtId="4" fontId="59" fillId="35" borderId="188" applyNumberFormat="0" applyProtection="0">
      <alignment vertical="center"/>
    </xf>
    <xf numFmtId="4" fontId="59" fillId="35" borderId="188" applyNumberFormat="0" applyProtection="0">
      <alignment vertical="center"/>
    </xf>
    <xf numFmtId="4" fontId="59" fillId="35" borderId="188" applyNumberFormat="0" applyProtection="0">
      <alignment vertical="center"/>
    </xf>
    <xf numFmtId="4" fontId="99" fillId="35" borderId="188" applyNumberFormat="0" applyProtection="0">
      <alignment vertical="center"/>
    </xf>
    <xf numFmtId="4" fontId="99" fillId="35" borderId="188" applyNumberFormat="0" applyProtection="0">
      <alignment vertical="center"/>
    </xf>
    <xf numFmtId="4" fontId="99" fillId="35" borderId="188" applyNumberFormat="0" applyProtection="0">
      <alignment vertical="center"/>
    </xf>
    <xf numFmtId="4" fontId="99" fillId="35" borderId="188" applyNumberFormat="0" applyProtection="0">
      <alignment vertical="center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5" borderId="188" applyNumberFormat="0" applyProtection="0">
      <alignment horizontal="left" vertical="center" indent="1"/>
    </xf>
    <xf numFmtId="4" fontId="59" fillId="30" borderId="188" applyNumberFormat="0" applyProtection="0">
      <alignment horizontal="right" vertical="center"/>
    </xf>
    <xf numFmtId="4" fontId="59" fillId="30" borderId="188" applyNumberFormat="0" applyProtection="0">
      <alignment horizontal="right" vertical="center"/>
    </xf>
    <xf numFmtId="4" fontId="59" fillId="30" borderId="188" applyNumberFormat="0" applyProtection="0">
      <alignment horizontal="right" vertical="center"/>
    </xf>
    <xf numFmtId="4" fontId="59" fillId="30" borderId="188" applyNumberFormat="0" applyProtection="0">
      <alignment horizontal="right" vertical="center"/>
    </xf>
    <xf numFmtId="4" fontId="99" fillId="30" borderId="188" applyNumberFormat="0" applyProtection="0">
      <alignment horizontal="right" vertical="center"/>
    </xf>
    <xf numFmtId="4" fontId="99" fillId="30" borderId="188" applyNumberFormat="0" applyProtection="0">
      <alignment horizontal="right" vertical="center"/>
    </xf>
    <xf numFmtId="4" fontId="99" fillId="30" borderId="188" applyNumberFormat="0" applyProtection="0">
      <alignment horizontal="right" vertical="center"/>
    </xf>
    <xf numFmtId="4" fontId="99" fillId="30" borderId="188" applyNumberFormat="0" applyProtection="0">
      <alignment horizontal="right" vertical="center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0" fontId="55" fillId="19" borderId="188" applyNumberFormat="0" applyProtection="0">
      <alignment horizontal="left" vertical="center" indent="1"/>
    </xf>
    <xf numFmtId="4" fontId="103" fillId="30" borderId="188" applyNumberFormat="0" applyProtection="0">
      <alignment horizontal="right" vertical="center"/>
    </xf>
    <xf numFmtId="4" fontId="103" fillId="30" borderId="188" applyNumberFormat="0" applyProtection="0">
      <alignment horizontal="right" vertical="center"/>
    </xf>
    <xf numFmtId="4" fontId="103" fillId="30" borderId="188" applyNumberFormat="0" applyProtection="0">
      <alignment horizontal="right" vertical="center"/>
    </xf>
    <xf numFmtId="4" fontId="103" fillId="30" borderId="188" applyNumberFormat="0" applyProtection="0">
      <alignment horizontal="right" vertical="center"/>
    </xf>
    <xf numFmtId="0" fontId="98" fillId="1" borderId="187" applyNumberFormat="0" applyFont="0" applyAlignment="0">
      <alignment horizontal="center"/>
    </xf>
    <xf numFmtId="0" fontId="98" fillId="1" borderId="187" applyNumberFormat="0" applyFont="0" applyAlignment="0">
      <alignment horizont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1" fillId="0" borderId="0"/>
    <xf numFmtId="0" fontId="117" fillId="54" borderId="190" applyNumberFormat="0" applyAlignment="0" applyProtection="0"/>
    <xf numFmtId="0" fontId="117" fillId="54" borderId="190" applyNumberFormat="0" applyAlignment="0" applyProtection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1" fillId="0" borderId="0"/>
    <xf numFmtId="0" fontId="15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1" fillId="0" borderId="0"/>
    <xf numFmtId="0" fontId="117" fillId="54" borderId="190" applyNumberFormat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1" fillId="0" borderId="0"/>
    <xf numFmtId="0" fontId="113" fillId="56" borderId="199" applyNumberFormat="0" applyAlignment="0" applyProtection="0"/>
    <xf numFmtId="0" fontId="113" fillId="56" borderId="199" applyNumberFormat="0" applyAlignment="0" applyProtection="0"/>
    <xf numFmtId="0" fontId="113" fillId="56" borderId="199" applyNumberFormat="0" applyAlignment="0" applyProtection="0"/>
    <xf numFmtId="0" fontId="113" fillId="56" borderId="199" applyNumberFormat="0" applyAlignment="0" applyProtection="0"/>
    <xf numFmtId="0" fontId="113" fillId="56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117" fillId="54" borderId="199" applyNumberFormat="0" applyAlignment="0" applyProtection="0"/>
    <xf numFmtId="0" fontId="87" fillId="53" borderId="199" applyNumberFormat="0" applyFont="0" applyAlignment="0" applyProtection="0"/>
    <xf numFmtId="0" fontId="87" fillId="53" borderId="199" applyNumberFormat="0" applyFont="0" applyAlignment="0" applyProtection="0"/>
    <xf numFmtId="0" fontId="87" fillId="53" borderId="199" applyNumberFormat="0" applyFont="0" applyAlignment="0" applyProtection="0"/>
    <xf numFmtId="0" fontId="87" fillId="53" borderId="199" applyNumberFormat="0" applyFont="0" applyAlignment="0" applyProtection="0"/>
    <xf numFmtId="0" fontId="87" fillId="53" borderId="199" applyNumberFormat="0" applyFont="0" applyAlignment="0" applyProtection="0"/>
    <xf numFmtId="0" fontId="119" fillId="56" borderId="200" applyNumberFormat="0" applyAlignment="0" applyProtection="0"/>
    <xf numFmtId="0" fontId="119" fillId="56" borderId="200" applyNumberFormat="0" applyAlignment="0" applyProtection="0"/>
    <xf numFmtId="0" fontId="119" fillId="56" borderId="200" applyNumberFormat="0" applyAlignment="0" applyProtection="0"/>
    <xf numFmtId="0" fontId="119" fillId="56" borderId="200" applyNumberFormat="0" applyAlignment="0" applyProtection="0"/>
    <xf numFmtId="0" fontId="119" fillId="56" borderId="200" applyNumberFormat="0" applyAlignment="0" applyProtection="0"/>
    <xf numFmtId="4" fontId="59" fillId="2" borderId="200" applyNumberFormat="0" applyProtection="0">
      <alignment vertical="center"/>
    </xf>
    <xf numFmtId="4" fontId="59" fillId="2" borderId="200" applyNumberFormat="0" applyProtection="0">
      <alignment vertical="center"/>
    </xf>
    <xf numFmtId="4" fontId="59" fillId="2" borderId="200" applyNumberFormat="0" applyProtection="0">
      <alignment vertical="center"/>
    </xf>
    <xf numFmtId="4" fontId="59" fillId="2" borderId="200" applyNumberFormat="0" applyProtection="0">
      <alignment vertical="center"/>
    </xf>
    <xf numFmtId="4" fontId="59" fillId="2" borderId="200" applyNumberFormat="0" applyProtection="0">
      <alignment vertical="center"/>
    </xf>
    <xf numFmtId="4" fontId="99" fillId="2" borderId="200" applyNumberFormat="0" applyProtection="0">
      <alignment vertical="center"/>
    </xf>
    <xf numFmtId="4" fontId="99" fillId="2" borderId="200" applyNumberFormat="0" applyProtection="0">
      <alignment vertical="center"/>
    </xf>
    <xf numFmtId="4" fontId="99" fillId="2" borderId="200" applyNumberFormat="0" applyProtection="0">
      <alignment vertical="center"/>
    </xf>
    <xf numFmtId="4" fontId="99" fillId="2" borderId="200" applyNumberFormat="0" applyProtection="0">
      <alignment vertical="center"/>
    </xf>
    <xf numFmtId="4" fontId="99" fillId="2" borderId="200" applyNumberFormat="0" applyProtection="0">
      <alignment vertical="center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4" fontId="59" fillId="2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4" fontId="59" fillId="20" borderId="200" applyNumberFormat="0" applyProtection="0">
      <alignment horizontal="right" vertical="center"/>
    </xf>
    <xf numFmtId="4" fontId="59" fillId="20" borderId="200" applyNumberFormat="0" applyProtection="0">
      <alignment horizontal="right" vertical="center"/>
    </xf>
    <xf numFmtId="4" fontId="59" fillId="20" borderId="200" applyNumberFormat="0" applyProtection="0">
      <alignment horizontal="right" vertical="center"/>
    </xf>
    <xf numFmtId="4" fontId="59" fillId="20" borderId="200" applyNumberFormat="0" applyProtection="0">
      <alignment horizontal="right" vertical="center"/>
    </xf>
    <xf numFmtId="4" fontId="59" fillId="20" borderId="200" applyNumberFormat="0" applyProtection="0">
      <alignment horizontal="right" vertical="center"/>
    </xf>
    <xf numFmtId="4" fontId="59" fillId="21" borderId="200" applyNumberFormat="0" applyProtection="0">
      <alignment horizontal="right" vertical="center"/>
    </xf>
    <xf numFmtId="4" fontId="59" fillId="21" borderId="200" applyNumberFormat="0" applyProtection="0">
      <alignment horizontal="right" vertical="center"/>
    </xf>
    <xf numFmtId="4" fontId="59" fillId="21" borderId="200" applyNumberFormat="0" applyProtection="0">
      <alignment horizontal="right" vertical="center"/>
    </xf>
    <xf numFmtId="4" fontId="59" fillId="21" borderId="200" applyNumberFormat="0" applyProtection="0">
      <alignment horizontal="right" vertical="center"/>
    </xf>
    <xf numFmtId="4" fontId="59" fillId="21" borderId="200" applyNumberFormat="0" applyProtection="0">
      <alignment horizontal="right" vertical="center"/>
    </xf>
    <xf numFmtId="4" fontId="59" fillId="22" borderId="200" applyNumberFormat="0" applyProtection="0">
      <alignment horizontal="right" vertical="center"/>
    </xf>
    <xf numFmtId="4" fontId="59" fillId="22" borderId="200" applyNumberFormat="0" applyProtection="0">
      <alignment horizontal="right" vertical="center"/>
    </xf>
    <xf numFmtId="4" fontId="59" fillId="22" borderId="200" applyNumberFormat="0" applyProtection="0">
      <alignment horizontal="right" vertical="center"/>
    </xf>
    <xf numFmtId="4" fontId="59" fillId="22" borderId="200" applyNumberFormat="0" applyProtection="0">
      <alignment horizontal="right" vertical="center"/>
    </xf>
    <xf numFmtId="4" fontId="59" fillId="22" borderId="200" applyNumberFormat="0" applyProtection="0">
      <alignment horizontal="right" vertical="center"/>
    </xf>
    <xf numFmtId="4" fontId="59" fillId="23" borderId="200" applyNumberFormat="0" applyProtection="0">
      <alignment horizontal="right" vertical="center"/>
    </xf>
    <xf numFmtId="4" fontId="59" fillId="23" borderId="200" applyNumberFormat="0" applyProtection="0">
      <alignment horizontal="right" vertical="center"/>
    </xf>
    <xf numFmtId="4" fontId="59" fillId="23" borderId="200" applyNumberFormat="0" applyProtection="0">
      <alignment horizontal="right" vertical="center"/>
    </xf>
    <xf numFmtId="4" fontId="59" fillId="23" borderId="200" applyNumberFormat="0" applyProtection="0">
      <alignment horizontal="right" vertical="center"/>
    </xf>
    <xf numFmtId="4" fontId="59" fillId="23" borderId="200" applyNumberFormat="0" applyProtection="0">
      <alignment horizontal="right" vertical="center"/>
    </xf>
    <xf numFmtId="4" fontId="59" fillId="24" borderId="200" applyNumberFormat="0" applyProtection="0">
      <alignment horizontal="right" vertical="center"/>
    </xf>
    <xf numFmtId="4" fontId="59" fillId="24" borderId="200" applyNumberFormat="0" applyProtection="0">
      <alignment horizontal="right" vertical="center"/>
    </xf>
    <xf numFmtId="4" fontId="59" fillId="24" borderId="200" applyNumberFormat="0" applyProtection="0">
      <alignment horizontal="right" vertical="center"/>
    </xf>
    <xf numFmtId="4" fontId="59" fillId="24" borderId="200" applyNumberFormat="0" applyProtection="0">
      <alignment horizontal="right" vertical="center"/>
    </xf>
    <xf numFmtId="4" fontId="59" fillId="24" borderId="200" applyNumberFormat="0" applyProtection="0">
      <alignment horizontal="right" vertical="center"/>
    </xf>
    <xf numFmtId="4" fontId="59" fillId="25" borderId="200" applyNumberFormat="0" applyProtection="0">
      <alignment horizontal="right" vertical="center"/>
    </xf>
    <xf numFmtId="4" fontId="59" fillId="25" borderId="200" applyNumberFormat="0" applyProtection="0">
      <alignment horizontal="right" vertical="center"/>
    </xf>
    <xf numFmtId="4" fontId="59" fillId="25" borderId="200" applyNumberFormat="0" applyProtection="0">
      <alignment horizontal="right" vertical="center"/>
    </xf>
    <xf numFmtId="4" fontId="59" fillId="25" borderId="200" applyNumberFormat="0" applyProtection="0">
      <alignment horizontal="right" vertical="center"/>
    </xf>
    <xf numFmtId="4" fontId="59" fillId="25" borderId="200" applyNumberFormat="0" applyProtection="0">
      <alignment horizontal="right" vertical="center"/>
    </xf>
    <xf numFmtId="4" fontId="59" fillId="26" borderId="200" applyNumberFormat="0" applyProtection="0">
      <alignment horizontal="right" vertical="center"/>
    </xf>
    <xf numFmtId="4" fontId="59" fillId="26" borderId="200" applyNumberFormat="0" applyProtection="0">
      <alignment horizontal="right" vertical="center"/>
    </xf>
    <xf numFmtId="4" fontId="59" fillId="26" borderId="200" applyNumberFormat="0" applyProtection="0">
      <alignment horizontal="right" vertical="center"/>
    </xf>
    <xf numFmtId="4" fontId="59" fillId="26" borderId="200" applyNumberFormat="0" applyProtection="0">
      <alignment horizontal="right" vertical="center"/>
    </xf>
    <xf numFmtId="4" fontId="59" fillId="26" borderId="200" applyNumberFormat="0" applyProtection="0">
      <alignment horizontal="right" vertical="center"/>
    </xf>
    <xf numFmtId="4" fontId="59" fillId="27" borderId="200" applyNumberFormat="0" applyProtection="0">
      <alignment horizontal="right" vertical="center"/>
    </xf>
    <xf numFmtId="4" fontId="59" fillId="27" borderId="200" applyNumberFormat="0" applyProtection="0">
      <alignment horizontal="right" vertical="center"/>
    </xf>
    <xf numFmtId="4" fontId="59" fillId="27" borderId="200" applyNumberFormat="0" applyProtection="0">
      <alignment horizontal="right" vertical="center"/>
    </xf>
    <xf numFmtId="4" fontId="59" fillId="27" borderId="200" applyNumberFormat="0" applyProtection="0">
      <alignment horizontal="right" vertical="center"/>
    </xf>
    <xf numFmtId="4" fontId="59" fillId="27" borderId="200" applyNumberFormat="0" applyProtection="0">
      <alignment horizontal="right" vertical="center"/>
    </xf>
    <xf numFmtId="4" fontId="59" fillId="28" borderId="200" applyNumberFormat="0" applyProtection="0">
      <alignment horizontal="right" vertical="center"/>
    </xf>
    <xf numFmtId="4" fontId="59" fillId="28" borderId="200" applyNumberFormat="0" applyProtection="0">
      <alignment horizontal="right" vertical="center"/>
    </xf>
    <xf numFmtId="4" fontId="59" fillId="28" borderId="200" applyNumberFormat="0" applyProtection="0">
      <alignment horizontal="right" vertical="center"/>
    </xf>
    <xf numFmtId="4" fontId="59" fillId="28" borderId="200" applyNumberFormat="0" applyProtection="0">
      <alignment horizontal="right" vertical="center"/>
    </xf>
    <xf numFmtId="4" fontId="59" fillId="28" borderId="200" applyNumberFormat="0" applyProtection="0">
      <alignment horizontal="right" vertical="center"/>
    </xf>
    <xf numFmtId="4" fontId="100" fillId="29" borderId="200" applyNumberFormat="0" applyProtection="0">
      <alignment horizontal="left" vertical="center" indent="1"/>
    </xf>
    <xf numFmtId="4" fontId="100" fillId="29" borderId="200" applyNumberFormat="0" applyProtection="0">
      <alignment horizontal="left" vertical="center" indent="1"/>
    </xf>
    <xf numFmtId="4" fontId="100" fillId="29" borderId="200" applyNumberFormat="0" applyProtection="0">
      <alignment horizontal="left" vertical="center" indent="1"/>
    </xf>
    <xf numFmtId="4" fontId="100" fillId="29" borderId="200" applyNumberFormat="0" applyProtection="0">
      <alignment horizontal="left" vertical="center" indent="1"/>
    </xf>
    <xf numFmtId="4" fontId="100" fillId="2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4" fontId="59" fillId="30" borderId="200" applyNumberFormat="0" applyProtection="0">
      <alignment horizontal="left" vertical="center" indent="1"/>
    </xf>
    <xf numFmtId="4" fontId="59" fillId="30" borderId="200" applyNumberFormat="0" applyProtection="0">
      <alignment horizontal="left" vertical="center" indent="1"/>
    </xf>
    <xf numFmtId="4" fontId="59" fillId="30" borderId="200" applyNumberFormat="0" applyProtection="0">
      <alignment horizontal="left" vertical="center" indent="1"/>
    </xf>
    <xf numFmtId="4" fontId="59" fillId="30" borderId="200" applyNumberFormat="0" applyProtection="0">
      <alignment horizontal="left" vertical="center" indent="1"/>
    </xf>
    <xf numFmtId="4" fontId="59" fillId="30" borderId="200" applyNumberFormat="0" applyProtection="0">
      <alignment horizontal="left" vertical="center" indent="1"/>
    </xf>
    <xf numFmtId="4" fontId="59" fillId="32" borderId="200" applyNumberFormat="0" applyProtection="0">
      <alignment horizontal="left" vertical="center" indent="1"/>
    </xf>
    <xf numFmtId="4" fontId="59" fillId="32" borderId="200" applyNumberFormat="0" applyProtection="0">
      <alignment horizontal="left" vertical="center" indent="1"/>
    </xf>
    <xf numFmtId="4" fontId="59" fillId="32" borderId="200" applyNumberFormat="0" applyProtection="0">
      <alignment horizontal="left" vertical="center" indent="1"/>
    </xf>
    <xf numFmtId="4" fontId="59" fillId="32" borderId="200" applyNumberFormat="0" applyProtection="0">
      <alignment horizontal="left" vertical="center" indent="1"/>
    </xf>
    <xf numFmtId="4" fontId="59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2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3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34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120" fillId="60" borderId="201" applyBorder="0"/>
    <xf numFmtId="0" fontId="120" fillId="60" borderId="201" applyBorder="0"/>
    <xf numFmtId="0" fontId="120" fillId="60" borderId="201" applyBorder="0"/>
    <xf numFmtId="0" fontId="120" fillId="60" borderId="201" applyBorder="0"/>
    <xf numFmtId="0" fontId="120" fillId="60" borderId="201" applyBorder="0"/>
    <xf numFmtId="0" fontId="120" fillId="60" borderId="201" applyBorder="0"/>
    <xf numFmtId="4" fontId="59" fillId="35" borderId="200" applyNumberFormat="0" applyProtection="0">
      <alignment vertical="center"/>
    </xf>
    <xf numFmtId="4" fontId="59" fillId="35" borderId="200" applyNumberFormat="0" applyProtection="0">
      <alignment vertical="center"/>
    </xf>
    <xf numFmtId="4" fontId="59" fillId="35" borderId="200" applyNumberFormat="0" applyProtection="0">
      <alignment vertical="center"/>
    </xf>
    <xf numFmtId="4" fontId="59" fillId="35" borderId="200" applyNumberFormat="0" applyProtection="0">
      <alignment vertical="center"/>
    </xf>
    <xf numFmtId="4" fontId="59" fillId="35" borderId="200" applyNumberFormat="0" applyProtection="0">
      <alignment vertical="center"/>
    </xf>
    <xf numFmtId="4" fontId="99" fillId="35" borderId="200" applyNumberFormat="0" applyProtection="0">
      <alignment vertical="center"/>
    </xf>
    <xf numFmtId="4" fontId="99" fillId="35" borderId="200" applyNumberFormat="0" applyProtection="0">
      <alignment vertical="center"/>
    </xf>
    <xf numFmtId="4" fontId="99" fillId="35" borderId="200" applyNumberFormat="0" applyProtection="0">
      <alignment vertical="center"/>
    </xf>
    <xf numFmtId="4" fontId="99" fillId="35" borderId="200" applyNumberFormat="0" applyProtection="0">
      <alignment vertical="center"/>
    </xf>
    <xf numFmtId="4" fontId="99" fillId="35" borderId="200" applyNumberFormat="0" applyProtection="0">
      <alignment vertical="center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5" borderId="200" applyNumberFormat="0" applyProtection="0">
      <alignment horizontal="left" vertical="center" indent="1"/>
    </xf>
    <xf numFmtId="4" fontId="59" fillId="30" borderId="200" applyNumberFormat="0" applyProtection="0">
      <alignment horizontal="right" vertical="center"/>
    </xf>
    <xf numFmtId="4" fontId="59" fillId="30" borderId="200" applyNumberFormat="0" applyProtection="0">
      <alignment horizontal="right" vertical="center"/>
    </xf>
    <xf numFmtId="4" fontId="59" fillId="30" borderId="200" applyNumberFormat="0" applyProtection="0">
      <alignment horizontal="right" vertical="center"/>
    </xf>
    <xf numFmtId="4" fontId="59" fillId="30" borderId="200" applyNumberFormat="0" applyProtection="0">
      <alignment horizontal="right" vertical="center"/>
    </xf>
    <xf numFmtId="4" fontId="59" fillId="30" borderId="200" applyNumberFormat="0" applyProtection="0">
      <alignment horizontal="right" vertical="center"/>
    </xf>
    <xf numFmtId="4" fontId="99" fillId="30" borderId="200" applyNumberFormat="0" applyProtection="0">
      <alignment horizontal="right" vertical="center"/>
    </xf>
    <xf numFmtId="4" fontId="99" fillId="30" borderId="200" applyNumberFormat="0" applyProtection="0">
      <alignment horizontal="right" vertical="center"/>
    </xf>
    <xf numFmtId="4" fontId="99" fillId="30" borderId="200" applyNumberFormat="0" applyProtection="0">
      <alignment horizontal="right" vertical="center"/>
    </xf>
    <xf numFmtId="4" fontId="99" fillId="30" borderId="200" applyNumberFormat="0" applyProtection="0">
      <alignment horizontal="right" vertical="center"/>
    </xf>
    <xf numFmtId="4" fontId="99" fillId="30" borderId="200" applyNumberFormat="0" applyProtection="0">
      <alignment horizontal="right" vertical="center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0" fontId="55" fillId="19" borderId="200" applyNumberFormat="0" applyProtection="0">
      <alignment horizontal="left" vertical="center" indent="1"/>
    </xf>
    <xf numFmtId="4" fontId="103" fillId="30" borderId="200" applyNumberFormat="0" applyProtection="0">
      <alignment horizontal="right" vertical="center"/>
    </xf>
    <xf numFmtId="4" fontId="103" fillId="30" borderId="200" applyNumberFormat="0" applyProtection="0">
      <alignment horizontal="right" vertical="center"/>
    </xf>
    <xf numFmtId="4" fontId="103" fillId="30" borderId="200" applyNumberFormat="0" applyProtection="0">
      <alignment horizontal="right" vertical="center"/>
    </xf>
    <xf numFmtId="4" fontId="103" fillId="30" borderId="200" applyNumberFormat="0" applyProtection="0">
      <alignment horizontal="right" vertical="center"/>
    </xf>
    <xf numFmtId="4" fontId="103" fillId="30" borderId="200" applyNumberFormat="0" applyProtection="0">
      <alignment horizontal="right"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21" fillId="0" borderId="0"/>
    <xf numFmtId="0" fontId="150" fillId="111" borderId="204" applyNumberFormat="0" applyAlignment="0" applyProtection="0">
      <alignment vertical="center"/>
    </xf>
    <xf numFmtId="0" fontId="150" fillId="111" borderId="204" applyNumberFormat="0" applyAlignment="0" applyProtection="0">
      <alignment vertical="center"/>
    </xf>
    <xf numFmtId="0" fontId="21" fillId="10" borderId="205" applyNumberFormat="0" applyFont="0" applyAlignment="0" applyProtection="0">
      <alignment vertical="center"/>
    </xf>
    <xf numFmtId="0" fontId="21" fillId="10" borderId="205" applyNumberFormat="0" applyFont="0" applyAlignment="0" applyProtection="0">
      <alignment vertical="center"/>
    </xf>
    <xf numFmtId="0" fontId="156" fillId="98" borderId="204" applyNumberFormat="0" applyAlignment="0" applyProtection="0">
      <alignment vertical="center"/>
    </xf>
    <xf numFmtId="0" fontId="156" fillId="98" borderId="20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1" fillId="0" borderId="0"/>
    <xf numFmtId="3" fontId="66" fillId="0" borderId="195"/>
    <xf numFmtId="3" fontId="66" fillId="0" borderId="195"/>
    <xf numFmtId="0" fontId="96" fillId="0" borderId="206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1" fillId="0" borderId="206">
      <alignment horizont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41" fontId="11" fillId="0" borderId="0" applyFont="0" applyFill="0" applyBorder="0" applyAlignment="0" applyProtection="0">
      <alignment vertical="center"/>
    </xf>
    <xf numFmtId="0" fontId="117" fillId="54" borderId="177" applyNumberFormat="0" applyAlignment="0" applyProtection="0"/>
    <xf numFmtId="3" fontId="66" fillId="0" borderId="195"/>
    <xf numFmtId="3" fontId="66" fillId="0" borderId="195"/>
    <xf numFmtId="3" fontId="66" fillId="0" borderId="195"/>
    <xf numFmtId="3" fontId="66" fillId="0" borderId="195"/>
    <xf numFmtId="196" fontId="82" fillId="0" borderId="195" applyFill="0" applyBorder="0" applyAlignment="0"/>
    <xf numFmtId="196" fontId="82" fillId="0" borderId="195" applyFill="0" applyBorder="0" applyAlignment="0"/>
    <xf numFmtId="0" fontId="117" fillId="54" borderId="190" applyNumberFormat="0" applyAlignment="0" applyProtection="0"/>
    <xf numFmtId="10" fontId="87" fillId="17" borderId="195" applyNumberFormat="0" applyBorder="0" applyAlignment="0" applyProtection="0"/>
    <xf numFmtId="10" fontId="87" fillId="17" borderId="195" applyNumberFormat="0" applyBorder="0" applyAlignment="0" applyProtection="0"/>
    <xf numFmtId="0" fontId="87" fillId="61" borderId="195"/>
    <xf numFmtId="0" fontId="87" fillId="61" borderId="195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89" fillId="0" borderId="197">
      <alignment horizontal="left" vertical="center"/>
    </xf>
    <xf numFmtId="0" fontId="98" fillId="1" borderId="197" applyNumberFormat="0" applyFont="0" applyAlignment="0">
      <alignment horizont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41" fontId="144" fillId="0" borderId="0" applyFont="0" applyFill="0" applyBorder="0" applyAlignment="0" applyProtection="0">
      <alignment vertical="center"/>
    </xf>
    <xf numFmtId="0" fontId="21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21" fillId="0" borderId="0"/>
    <xf numFmtId="0" fontId="21" fillId="0" borderId="0">
      <alignment vertical="center"/>
    </xf>
    <xf numFmtId="0" fontId="72" fillId="0" borderId="0">
      <alignment vertical="center"/>
    </xf>
    <xf numFmtId="0" fontId="21" fillId="0" borderId="0"/>
    <xf numFmtId="0" fontId="21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21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163" fillId="0" borderId="0">
      <alignment vertical="center"/>
    </xf>
    <xf numFmtId="219" fontId="163" fillId="0" borderId="0" applyFont="0" applyFill="0" applyBorder="0" applyAlignment="0" applyProtection="0">
      <alignment vertical="center"/>
    </xf>
    <xf numFmtId="0" fontId="21" fillId="0" borderId="0"/>
    <xf numFmtId="0" fontId="117" fillId="54" borderId="177" applyNumberFormat="0" applyAlignment="0" applyProtection="0"/>
    <xf numFmtId="0" fontId="119" fillId="56" borderId="214" applyNumberFormat="0" applyAlignment="0" applyProtection="0"/>
    <xf numFmtId="0" fontId="119" fillId="56" borderId="214" applyNumberFormat="0" applyAlignment="0" applyProtection="0"/>
    <xf numFmtId="0" fontId="119" fillId="56" borderId="214" applyNumberFormat="0" applyAlignment="0" applyProtection="0"/>
    <xf numFmtId="0" fontId="119" fillId="56" borderId="214" applyNumberFormat="0" applyAlignment="0" applyProtection="0"/>
    <xf numFmtId="0" fontId="119" fillId="56" borderId="214" applyNumberFormat="0" applyAlignment="0" applyProtection="0"/>
    <xf numFmtId="4" fontId="59" fillId="2" borderId="214" applyNumberFormat="0" applyProtection="0">
      <alignment vertical="center"/>
    </xf>
    <xf numFmtId="4" fontId="59" fillId="2" borderId="214" applyNumberFormat="0" applyProtection="0">
      <alignment vertical="center"/>
    </xf>
    <xf numFmtId="4" fontId="59" fillId="2" borderId="214" applyNumberFormat="0" applyProtection="0">
      <alignment vertical="center"/>
    </xf>
    <xf numFmtId="4" fontId="59" fillId="2" borderId="214" applyNumberFormat="0" applyProtection="0">
      <alignment vertical="center"/>
    </xf>
    <xf numFmtId="4" fontId="59" fillId="2" borderId="214" applyNumberFormat="0" applyProtection="0">
      <alignment vertical="center"/>
    </xf>
    <xf numFmtId="4" fontId="99" fillId="2" borderId="214" applyNumberFormat="0" applyProtection="0">
      <alignment vertical="center"/>
    </xf>
    <xf numFmtId="4" fontId="99" fillId="2" borderId="214" applyNumberFormat="0" applyProtection="0">
      <alignment vertical="center"/>
    </xf>
    <xf numFmtId="4" fontId="99" fillId="2" borderId="214" applyNumberFormat="0" applyProtection="0">
      <alignment vertical="center"/>
    </xf>
    <xf numFmtId="4" fontId="99" fillId="2" borderId="214" applyNumberFormat="0" applyProtection="0">
      <alignment vertical="center"/>
    </xf>
    <xf numFmtId="4" fontId="99" fillId="2" borderId="214" applyNumberFormat="0" applyProtection="0">
      <alignment vertical="center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4" fontId="59" fillId="2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4" fontId="59" fillId="20" borderId="214" applyNumberFormat="0" applyProtection="0">
      <alignment horizontal="right" vertical="center"/>
    </xf>
    <xf numFmtId="4" fontId="59" fillId="20" borderId="214" applyNumberFormat="0" applyProtection="0">
      <alignment horizontal="right" vertical="center"/>
    </xf>
    <xf numFmtId="4" fontId="59" fillId="20" borderId="214" applyNumberFormat="0" applyProtection="0">
      <alignment horizontal="right" vertical="center"/>
    </xf>
    <xf numFmtId="4" fontId="59" fillId="20" borderId="214" applyNumberFormat="0" applyProtection="0">
      <alignment horizontal="right" vertical="center"/>
    </xf>
    <xf numFmtId="4" fontId="59" fillId="20" borderId="214" applyNumberFormat="0" applyProtection="0">
      <alignment horizontal="right" vertical="center"/>
    </xf>
    <xf numFmtId="4" fontId="59" fillId="21" borderId="214" applyNumberFormat="0" applyProtection="0">
      <alignment horizontal="right" vertical="center"/>
    </xf>
    <xf numFmtId="4" fontId="59" fillId="21" borderId="214" applyNumberFormat="0" applyProtection="0">
      <alignment horizontal="right" vertical="center"/>
    </xf>
    <xf numFmtId="4" fontId="59" fillId="21" borderId="214" applyNumberFormat="0" applyProtection="0">
      <alignment horizontal="right" vertical="center"/>
    </xf>
    <xf numFmtId="4" fontId="59" fillId="21" borderId="214" applyNumberFormat="0" applyProtection="0">
      <alignment horizontal="right" vertical="center"/>
    </xf>
    <xf numFmtId="4" fontId="59" fillId="21" borderId="214" applyNumberFormat="0" applyProtection="0">
      <alignment horizontal="right" vertical="center"/>
    </xf>
    <xf numFmtId="4" fontId="59" fillId="22" borderId="214" applyNumberFormat="0" applyProtection="0">
      <alignment horizontal="right" vertical="center"/>
    </xf>
    <xf numFmtId="4" fontId="59" fillId="22" borderId="214" applyNumberFormat="0" applyProtection="0">
      <alignment horizontal="right" vertical="center"/>
    </xf>
    <xf numFmtId="4" fontId="59" fillId="22" borderId="214" applyNumberFormat="0" applyProtection="0">
      <alignment horizontal="right" vertical="center"/>
    </xf>
    <xf numFmtId="4" fontId="59" fillId="22" borderId="214" applyNumberFormat="0" applyProtection="0">
      <alignment horizontal="right" vertical="center"/>
    </xf>
    <xf numFmtId="4" fontId="59" fillId="22" borderId="214" applyNumberFormat="0" applyProtection="0">
      <alignment horizontal="right" vertical="center"/>
    </xf>
    <xf numFmtId="4" fontId="59" fillId="23" borderId="214" applyNumberFormat="0" applyProtection="0">
      <alignment horizontal="right" vertical="center"/>
    </xf>
    <xf numFmtId="4" fontId="59" fillId="23" borderId="214" applyNumberFormat="0" applyProtection="0">
      <alignment horizontal="right" vertical="center"/>
    </xf>
    <xf numFmtId="4" fontId="59" fillId="23" borderId="214" applyNumberFormat="0" applyProtection="0">
      <alignment horizontal="right" vertical="center"/>
    </xf>
    <xf numFmtId="4" fontId="59" fillId="23" borderId="214" applyNumberFormat="0" applyProtection="0">
      <alignment horizontal="right" vertical="center"/>
    </xf>
    <xf numFmtId="4" fontId="59" fillId="23" borderId="214" applyNumberFormat="0" applyProtection="0">
      <alignment horizontal="right" vertical="center"/>
    </xf>
    <xf numFmtId="4" fontId="59" fillId="24" borderId="214" applyNumberFormat="0" applyProtection="0">
      <alignment horizontal="right" vertical="center"/>
    </xf>
    <xf numFmtId="4" fontId="59" fillId="24" borderId="214" applyNumberFormat="0" applyProtection="0">
      <alignment horizontal="right" vertical="center"/>
    </xf>
    <xf numFmtId="4" fontId="59" fillId="24" borderId="214" applyNumberFormat="0" applyProtection="0">
      <alignment horizontal="right" vertical="center"/>
    </xf>
    <xf numFmtId="4" fontId="59" fillId="24" borderId="214" applyNumberFormat="0" applyProtection="0">
      <alignment horizontal="right" vertical="center"/>
    </xf>
    <xf numFmtId="4" fontId="59" fillId="24" borderId="214" applyNumberFormat="0" applyProtection="0">
      <alignment horizontal="right" vertical="center"/>
    </xf>
    <xf numFmtId="4" fontId="59" fillId="25" borderId="214" applyNumberFormat="0" applyProtection="0">
      <alignment horizontal="right" vertical="center"/>
    </xf>
    <xf numFmtId="4" fontId="59" fillId="25" borderId="214" applyNumberFormat="0" applyProtection="0">
      <alignment horizontal="right" vertical="center"/>
    </xf>
    <xf numFmtId="4" fontId="59" fillId="25" borderId="214" applyNumberFormat="0" applyProtection="0">
      <alignment horizontal="right" vertical="center"/>
    </xf>
    <xf numFmtId="4" fontId="59" fillId="25" borderId="214" applyNumberFormat="0" applyProtection="0">
      <alignment horizontal="right" vertical="center"/>
    </xf>
    <xf numFmtId="4" fontId="59" fillId="25" borderId="214" applyNumberFormat="0" applyProtection="0">
      <alignment horizontal="right" vertical="center"/>
    </xf>
    <xf numFmtId="4" fontId="59" fillId="26" borderId="214" applyNumberFormat="0" applyProtection="0">
      <alignment horizontal="right" vertical="center"/>
    </xf>
    <xf numFmtId="4" fontId="59" fillId="26" borderId="214" applyNumberFormat="0" applyProtection="0">
      <alignment horizontal="right" vertical="center"/>
    </xf>
    <xf numFmtId="4" fontId="59" fillId="26" borderId="214" applyNumberFormat="0" applyProtection="0">
      <alignment horizontal="right" vertical="center"/>
    </xf>
    <xf numFmtId="4" fontId="59" fillId="26" borderId="214" applyNumberFormat="0" applyProtection="0">
      <alignment horizontal="right" vertical="center"/>
    </xf>
    <xf numFmtId="4" fontId="59" fillId="26" borderId="214" applyNumberFormat="0" applyProtection="0">
      <alignment horizontal="right" vertical="center"/>
    </xf>
    <xf numFmtId="4" fontId="59" fillId="27" borderId="214" applyNumberFormat="0" applyProtection="0">
      <alignment horizontal="right" vertical="center"/>
    </xf>
    <xf numFmtId="4" fontId="59" fillId="27" borderId="214" applyNumberFormat="0" applyProtection="0">
      <alignment horizontal="right" vertical="center"/>
    </xf>
    <xf numFmtId="4" fontId="59" fillId="27" borderId="214" applyNumberFormat="0" applyProtection="0">
      <alignment horizontal="right" vertical="center"/>
    </xf>
    <xf numFmtId="4" fontId="59" fillId="27" borderId="214" applyNumberFormat="0" applyProtection="0">
      <alignment horizontal="right" vertical="center"/>
    </xf>
    <xf numFmtId="4" fontId="59" fillId="27" borderId="214" applyNumberFormat="0" applyProtection="0">
      <alignment horizontal="right" vertical="center"/>
    </xf>
    <xf numFmtId="4" fontId="59" fillId="28" borderId="214" applyNumberFormat="0" applyProtection="0">
      <alignment horizontal="right" vertical="center"/>
    </xf>
    <xf numFmtId="4" fontId="59" fillId="28" borderId="214" applyNumberFormat="0" applyProtection="0">
      <alignment horizontal="right" vertical="center"/>
    </xf>
    <xf numFmtId="4" fontId="59" fillId="28" borderId="214" applyNumberFormat="0" applyProtection="0">
      <alignment horizontal="right" vertical="center"/>
    </xf>
    <xf numFmtId="4" fontId="59" fillId="28" borderId="214" applyNumberFormat="0" applyProtection="0">
      <alignment horizontal="right" vertical="center"/>
    </xf>
    <xf numFmtId="4" fontId="59" fillId="28" borderId="214" applyNumberFormat="0" applyProtection="0">
      <alignment horizontal="right" vertical="center"/>
    </xf>
    <xf numFmtId="4" fontId="100" fillId="29" borderId="214" applyNumberFormat="0" applyProtection="0">
      <alignment horizontal="left" vertical="center" indent="1"/>
    </xf>
    <xf numFmtId="4" fontId="100" fillId="29" borderId="214" applyNumberFormat="0" applyProtection="0">
      <alignment horizontal="left" vertical="center" indent="1"/>
    </xf>
    <xf numFmtId="4" fontId="100" fillId="29" borderId="214" applyNumberFormat="0" applyProtection="0">
      <alignment horizontal="left" vertical="center" indent="1"/>
    </xf>
    <xf numFmtId="4" fontId="100" fillId="29" borderId="214" applyNumberFormat="0" applyProtection="0">
      <alignment horizontal="left" vertical="center" indent="1"/>
    </xf>
    <xf numFmtId="4" fontId="100" fillId="29" borderId="214" applyNumberFormat="0" applyProtection="0">
      <alignment horizontal="left" vertical="center" indent="1"/>
    </xf>
    <xf numFmtId="4" fontId="59" fillId="30" borderId="215" applyNumberFormat="0" applyProtection="0">
      <alignment horizontal="left" vertical="center" indent="1"/>
    </xf>
    <xf numFmtId="4" fontId="59" fillId="30" borderId="215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4" fontId="59" fillId="30" borderId="214" applyNumberFormat="0" applyProtection="0">
      <alignment horizontal="left" vertical="center" indent="1"/>
    </xf>
    <xf numFmtId="4" fontId="59" fillId="30" borderId="214" applyNumberFormat="0" applyProtection="0">
      <alignment horizontal="left" vertical="center" indent="1"/>
    </xf>
    <xf numFmtId="4" fontId="59" fillId="30" borderId="214" applyNumberFormat="0" applyProtection="0">
      <alignment horizontal="left" vertical="center" indent="1"/>
    </xf>
    <xf numFmtId="4" fontId="59" fillId="30" borderId="214" applyNumberFormat="0" applyProtection="0">
      <alignment horizontal="left" vertical="center" indent="1"/>
    </xf>
    <xf numFmtId="4" fontId="59" fillId="30" borderId="214" applyNumberFormat="0" applyProtection="0">
      <alignment horizontal="left" vertical="center" indent="1"/>
    </xf>
    <xf numFmtId="4" fontId="59" fillId="32" borderId="214" applyNumberFormat="0" applyProtection="0">
      <alignment horizontal="left" vertical="center" indent="1"/>
    </xf>
    <xf numFmtId="4" fontId="59" fillId="32" borderId="214" applyNumberFormat="0" applyProtection="0">
      <alignment horizontal="left" vertical="center" indent="1"/>
    </xf>
    <xf numFmtId="4" fontId="59" fillId="32" borderId="214" applyNumberFormat="0" applyProtection="0">
      <alignment horizontal="left" vertical="center" indent="1"/>
    </xf>
    <xf numFmtId="4" fontId="59" fillId="32" borderId="214" applyNumberFormat="0" applyProtection="0">
      <alignment horizontal="left" vertical="center" indent="1"/>
    </xf>
    <xf numFmtId="4" fontId="59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2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3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34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4" fontId="59" fillId="35" borderId="214" applyNumberFormat="0" applyProtection="0">
      <alignment vertical="center"/>
    </xf>
    <xf numFmtId="4" fontId="59" fillId="35" borderId="214" applyNumberFormat="0" applyProtection="0">
      <alignment vertical="center"/>
    </xf>
    <xf numFmtId="4" fontId="59" fillId="35" borderId="214" applyNumberFormat="0" applyProtection="0">
      <alignment vertical="center"/>
    </xf>
    <xf numFmtId="4" fontId="59" fillId="35" borderId="214" applyNumberFormat="0" applyProtection="0">
      <alignment vertical="center"/>
    </xf>
    <xf numFmtId="4" fontId="59" fillId="35" borderId="214" applyNumberFormat="0" applyProtection="0">
      <alignment vertical="center"/>
    </xf>
    <xf numFmtId="4" fontId="99" fillId="35" borderId="214" applyNumberFormat="0" applyProtection="0">
      <alignment vertical="center"/>
    </xf>
    <xf numFmtId="4" fontId="99" fillId="35" borderId="214" applyNumberFormat="0" applyProtection="0">
      <alignment vertical="center"/>
    </xf>
    <xf numFmtId="4" fontId="99" fillId="35" borderId="214" applyNumberFormat="0" applyProtection="0">
      <alignment vertical="center"/>
    </xf>
    <xf numFmtId="4" fontId="99" fillId="35" borderId="214" applyNumberFormat="0" applyProtection="0">
      <alignment vertical="center"/>
    </xf>
    <xf numFmtId="4" fontId="99" fillId="35" borderId="214" applyNumberFormat="0" applyProtection="0">
      <alignment vertical="center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5" borderId="214" applyNumberFormat="0" applyProtection="0">
      <alignment horizontal="left" vertical="center" indent="1"/>
    </xf>
    <xf numFmtId="4" fontId="59" fillId="30" borderId="214" applyNumberFormat="0" applyProtection="0">
      <alignment horizontal="right" vertical="center"/>
    </xf>
    <xf numFmtId="4" fontId="59" fillId="30" borderId="214" applyNumberFormat="0" applyProtection="0">
      <alignment horizontal="right" vertical="center"/>
    </xf>
    <xf numFmtId="4" fontId="59" fillId="30" borderId="214" applyNumberFormat="0" applyProtection="0">
      <alignment horizontal="right" vertical="center"/>
    </xf>
    <xf numFmtId="4" fontId="59" fillId="30" borderId="214" applyNumberFormat="0" applyProtection="0">
      <alignment horizontal="right" vertical="center"/>
    </xf>
    <xf numFmtId="4" fontId="59" fillId="30" borderId="214" applyNumberFormat="0" applyProtection="0">
      <alignment horizontal="right" vertical="center"/>
    </xf>
    <xf numFmtId="4" fontId="99" fillId="30" borderId="214" applyNumberFormat="0" applyProtection="0">
      <alignment horizontal="right" vertical="center"/>
    </xf>
    <xf numFmtId="4" fontId="99" fillId="30" borderId="214" applyNumberFormat="0" applyProtection="0">
      <alignment horizontal="right" vertical="center"/>
    </xf>
    <xf numFmtId="4" fontId="99" fillId="30" borderId="214" applyNumberFormat="0" applyProtection="0">
      <alignment horizontal="right" vertical="center"/>
    </xf>
    <xf numFmtId="4" fontId="99" fillId="30" borderId="214" applyNumberFormat="0" applyProtection="0">
      <alignment horizontal="right" vertical="center"/>
    </xf>
    <xf numFmtId="4" fontId="99" fillId="30" borderId="214" applyNumberFormat="0" applyProtection="0">
      <alignment horizontal="right" vertical="center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0" fontId="55" fillId="19" borderId="214" applyNumberFormat="0" applyProtection="0">
      <alignment horizontal="left" vertical="center" indent="1"/>
    </xf>
    <xf numFmtId="4" fontId="103" fillId="30" borderId="214" applyNumberFormat="0" applyProtection="0">
      <alignment horizontal="right" vertical="center"/>
    </xf>
    <xf numFmtId="4" fontId="103" fillId="30" borderId="214" applyNumberFormat="0" applyProtection="0">
      <alignment horizontal="right" vertical="center"/>
    </xf>
    <xf numFmtId="4" fontId="103" fillId="30" borderId="214" applyNumberFormat="0" applyProtection="0">
      <alignment horizontal="right" vertical="center"/>
    </xf>
    <xf numFmtId="4" fontId="103" fillId="30" borderId="214" applyNumberFormat="0" applyProtection="0">
      <alignment horizontal="right" vertical="center"/>
    </xf>
    <xf numFmtId="4" fontId="103" fillId="30" borderId="214" applyNumberFormat="0" applyProtection="0">
      <alignment horizontal="right"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9" fontId="23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9" fontId="23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70" borderId="0" applyNumberFormat="0" applyBorder="0" applyAlignment="0" applyProtection="0">
      <alignment vertical="center"/>
    </xf>
    <xf numFmtId="0" fontId="7" fillId="71" borderId="0" applyNumberFormat="0" applyBorder="0" applyAlignment="0" applyProtection="0">
      <alignment vertical="center"/>
    </xf>
    <xf numFmtId="0" fontId="7" fillId="74" borderId="0" applyNumberFormat="0" applyBorder="0" applyAlignment="0" applyProtection="0">
      <alignment vertical="center"/>
    </xf>
    <xf numFmtId="0" fontId="7" fillId="75" borderId="0" applyNumberFormat="0" applyBorder="0" applyAlignment="0" applyProtection="0">
      <alignment vertical="center"/>
    </xf>
    <xf numFmtId="0" fontId="7" fillId="78" borderId="0" applyNumberFormat="0" applyBorder="0" applyAlignment="0" applyProtection="0">
      <alignment vertical="center"/>
    </xf>
    <xf numFmtId="0" fontId="7" fillId="79" borderId="0" applyNumberFormat="0" applyBorder="0" applyAlignment="0" applyProtection="0">
      <alignment vertical="center"/>
    </xf>
    <xf numFmtId="0" fontId="7" fillId="82" borderId="0" applyNumberFormat="0" applyBorder="0" applyAlignment="0" applyProtection="0">
      <alignment vertical="center"/>
    </xf>
    <xf numFmtId="0" fontId="7" fillId="83" borderId="0" applyNumberFormat="0" applyBorder="0" applyAlignment="0" applyProtection="0">
      <alignment vertical="center"/>
    </xf>
    <xf numFmtId="0" fontId="7" fillId="86" borderId="0" applyNumberFormat="0" applyBorder="0" applyAlignment="0" applyProtection="0">
      <alignment vertical="center"/>
    </xf>
    <xf numFmtId="0" fontId="7" fillId="87" borderId="0" applyNumberFormat="0" applyBorder="0" applyAlignment="0" applyProtection="0">
      <alignment vertical="center"/>
    </xf>
    <xf numFmtId="0" fontId="7" fillId="90" borderId="0" applyNumberFormat="0" applyBorder="0" applyAlignment="0" applyProtection="0">
      <alignment vertical="center"/>
    </xf>
    <xf numFmtId="0" fontId="7" fillId="91" borderId="0" applyNumberFormat="0" applyBorder="0" applyAlignment="0" applyProtection="0">
      <alignment vertical="center"/>
    </xf>
    <xf numFmtId="0" fontId="21" fillId="0" borderId="0">
      <alignment vertical="center"/>
    </xf>
    <xf numFmtId="3" fontId="66" fillId="0" borderId="216"/>
    <xf numFmtId="3" fontId="66" fillId="0" borderId="216"/>
    <xf numFmtId="3" fontId="66" fillId="0" borderId="216"/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57" fillId="0" borderId="0" applyFont="0" applyFill="0" applyBorder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09" fillId="0" borderId="0">
      <protection locked="0"/>
    </xf>
    <xf numFmtId="196" fontId="82" fillId="0" borderId="216" applyFill="0" applyBorder="0" applyAlignment="0"/>
    <xf numFmtId="0" fontId="89" fillId="0" borderId="236">
      <alignment horizontal="left" vertical="center"/>
    </xf>
    <xf numFmtId="10" fontId="87" fillId="17" borderId="216" applyNumberFormat="0" applyBorder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236" applyNumberFormat="0" applyFont="0" applyAlignment="0">
      <alignment horizontal="center"/>
    </xf>
    <xf numFmtId="41" fontId="57" fillId="0" borderId="0" applyFont="0" applyFill="0" applyBorder="0" applyAlignment="0" applyProtection="0">
      <alignment vertical="center"/>
    </xf>
    <xf numFmtId="3" fontId="66" fillId="0" borderId="238"/>
    <xf numFmtId="3" fontId="66" fillId="0" borderId="238"/>
    <xf numFmtId="3" fontId="66" fillId="0" borderId="238"/>
    <xf numFmtId="196" fontId="82" fillId="0" borderId="238" applyFill="0" applyBorder="0" applyAlignment="0"/>
    <xf numFmtId="0" fontId="89" fillId="0" borderId="236">
      <alignment horizontal="left" vertical="center"/>
    </xf>
    <xf numFmtId="10" fontId="87" fillId="17" borderId="238" applyNumberFormat="0" applyBorder="0" applyAlignment="0" applyProtection="0"/>
    <xf numFmtId="193" fontId="63" fillId="0" borderId="0"/>
    <xf numFmtId="4" fontId="59" fillId="30" borderId="237" applyNumberFormat="0" applyProtection="0">
      <alignment horizontal="left" vertical="center" indent="1"/>
    </xf>
    <xf numFmtId="0" fontId="98" fillId="1" borderId="236" applyNumberFormat="0" applyFont="0" applyAlignment="0">
      <alignment horizontal="center"/>
    </xf>
    <xf numFmtId="0" fontId="60" fillId="0" borderId="0">
      <protection locked="0"/>
    </xf>
    <xf numFmtId="41" fontId="109" fillId="0" borderId="0">
      <protection locked="0"/>
    </xf>
    <xf numFmtId="9" fontId="109" fillId="0" borderId="0">
      <protection locked="0"/>
    </xf>
    <xf numFmtId="9" fontId="72" fillId="0" borderId="0" applyFont="0" applyFill="0" applyBorder="0" applyAlignment="0" applyProtection="0">
      <alignment vertical="center"/>
    </xf>
    <xf numFmtId="41" fontId="72" fillId="0" borderId="0" applyFont="0" applyFill="0" applyBorder="0" applyAlignment="0" applyProtection="0">
      <alignment vertical="center"/>
    </xf>
    <xf numFmtId="0" fontId="109" fillId="0" borderId="0">
      <protection locked="0"/>
    </xf>
    <xf numFmtId="0" fontId="109" fillId="0" borderId="0">
      <protection locked="0"/>
    </xf>
    <xf numFmtId="0" fontId="72" fillId="0" borderId="0">
      <alignment vertical="center"/>
    </xf>
    <xf numFmtId="41" fontId="21" fillId="0" borderId="0" applyFont="0" applyFill="0" applyBorder="0" applyAlignment="0" applyProtection="0"/>
    <xf numFmtId="3" fontId="66" fillId="0" borderId="238"/>
    <xf numFmtId="3" fontId="66" fillId="0" borderId="238"/>
    <xf numFmtId="3" fontId="66" fillId="0" borderId="238"/>
    <xf numFmtId="0" fontId="113" fillId="56" borderId="239" applyNumberFormat="0" applyAlignment="0" applyProtection="0"/>
    <xf numFmtId="0" fontId="113" fillId="56" borderId="239" applyNumberFormat="0" applyAlignment="0" applyProtection="0"/>
    <xf numFmtId="0" fontId="113" fillId="56" borderId="239" applyNumberFormat="0" applyAlignment="0" applyProtection="0"/>
    <xf numFmtId="0" fontId="113" fillId="56" borderId="239" applyNumberFormat="0" applyAlignment="0" applyProtection="0"/>
    <xf numFmtId="0" fontId="113" fillId="56" borderId="239" applyNumberFormat="0" applyAlignment="0" applyProtection="0"/>
    <xf numFmtId="196" fontId="82" fillId="0" borderId="238" applyFill="0" applyBorder="0" applyAlignment="0"/>
    <xf numFmtId="0" fontId="89" fillId="0" borderId="236">
      <alignment horizontal="left" vertical="center"/>
    </xf>
    <xf numFmtId="0" fontId="89" fillId="0" borderId="236">
      <alignment horizontal="left" vertical="center"/>
    </xf>
    <xf numFmtId="0" fontId="117" fillId="54" borderId="239" applyNumberFormat="0" applyAlignment="0" applyProtection="0"/>
    <xf numFmtId="10" fontId="87" fillId="17" borderId="238" applyNumberFormat="0" applyBorder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117" fillId="54" borderId="239" applyNumberFormat="0" applyAlignment="0" applyProtection="0"/>
    <xf numFmtId="0" fontId="87" fillId="53" borderId="239" applyNumberFormat="0" applyFont="0" applyAlignment="0" applyProtection="0"/>
    <xf numFmtId="0" fontId="87" fillId="53" borderId="239" applyNumberFormat="0" applyFont="0" applyAlignment="0" applyProtection="0"/>
    <xf numFmtId="0" fontId="87" fillId="53" borderId="239" applyNumberFormat="0" applyFont="0" applyAlignment="0" applyProtection="0"/>
    <xf numFmtId="0" fontId="87" fillId="53" borderId="239" applyNumberFormat="0" applyFont="0" applyAlignment="0" applyProtection="0"/>
    <xf numFmtId="0" fontId="87" fillId="53" borderId="239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87" fillId="61" borderId="238"/>
    <xf numFmtId="0" fontId="87" fillId="61" borderId="238"/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236" applyNumberFormat="0" applyFont="0" applyAlignment="0">
      <alignment horizontal="center"/>
    </xf>
    <xf numFmtId="0" fontId="98" fillId="1" borderId="236" applyNumberFormat="0" applyFont="0" applyAlignment="0">
      <alignment horizontal="center"/>
    </xf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3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3" fontId="66" fillId="0" borderId="238"/>
    <xf numFmtId="3" fontId="66" fillId="0" borderId="238"/>
    <xf numFmtId="3" fontId="66" fillId="0" borderId="238"/>
    <xf numFmtId="3" fontId="66" fillId="0" borderId="238"/>
    <xf numFmtId="3" fontId="66" fillId="0" borderId="238"/>
    <xf numFmtId="3" fontId="66" fillId="0" borderId="238"/>
    <xf numFmtId="196" fontId="82" fillId="0" borderId="238" applyFill="0" applyBorder="0" applyAlignment="0"/>
    <xf numFmtId="196" fontId="82" fillId="0" borderId="238" applyFill="0" applyBorder="0" applyAlignment="0"/>
    <xf numFmtId="10" fontId="87" fillId="17" borderId="238" applyNumberFormat="0" applyBorder="0" applyAlignment="0" applyProtection="0"/>
    <xf numFmtId="10" fontId="87" fillId="17" borderId="238" applyNumberFormat="0" applyBorder="0" applyAlignment="0" applyProtection="0"/>
    <xf numFmtId="0" fontId="87" fillId="61" borderId="238"/>
    <xf numFmtId="0" fontId="87" fillId="61" borderId="238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68" borderId="172" applyNumberFormat="0" applyFont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89" fillId="0" borderId="236">
      <alignment horizontal="left"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98" fillId="1" borderId="236" applyNumberFormat="0" applyFont="0" applyAlignment="0">
      <alignment horizont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62" fillId="111" borderId="235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89" fillId="0" borderId="236">
      <alignment horizontal="left" vertical="center"/>
    </xf>
    <xf numFmtId="0" fontId="89" fillId="0" borderId="236">
      <alignment horizontal="lef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236" applyNumberFormat="0" applyFont="0" applyAlignment="0">
      <alignment horizontal="center"/>
    </xf>
    <xf numFmtId="0" fontId="98" fillId="1" borderId="236" applyNumberFormat="0" applyFont="0" applyAlignment="0">
      <alignment horizont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70" borderId="0" applyNumberFormat="0" applyBorder="0" applyAlignment="0" applyProtection="0">
      <alignment vertical="center"/>
    </xf>
    <xf numFmtId="0" fontId="7" fillId="71" borderId="0" applyNumberFormat="0" applyBorder="0" applyAlignment="0" applyProtection="0">
      <alignment vertical="center"/>
    </xf>
    <xf numFmtId="0" fontId="7" fillId="74" borderId="0" applyNumberFormat="0" applyBorder="0" applyAlignment="0" applyProtection="0">
      <alignment vertical="center"/>
    </xf>
    <xf numFmtId="0" fontId="7" fillId="75" borderId="0" applyNumberFormat="0" applyBorder="0" applyAlignment="0" applyProtection="0">
      <alignment vertical="center"/>
    </xf>
    <xf numFmtId="0" fontId="7" fillId="78" borderId="0" applyNumberFormat="0" applyBorder="0" applyAlignment="0" applyProtection="0">
      <alignment vertical="center"/>
    </xf>
    <xf numFmtId="0" fontId="7" fillId="79" borderId="0" applyNumberFormat="0" applyBorder="0" applyAlignment="0" applyProtection="0">
      <alignment vertical="center"/>
    </xf>
    <xf numFmtId="0" fontId="7" fillId="82" borderId="0" applyNumberFormat="0" applyBorder="0" applyAlignment="0" applyProtection="0">
      <alignment vertical="center"/>
    </xf>
    <xf numFmtId="0" fontId="7" fillId="83" borderId="0" applyNumberFormat="0" applyBorder="0" applyAlignment="0" applyProtection="0">
      <alignment vertical="center"/>
    </xf>
    <xf numFmtId="0" fontId="7" fillId="86" borderId="0" applyNumberFormat="0" applyBorder="0" applyAlignment="0" applyProtection="0">
      <alignment vertical="center"/>
    </xf>
    <xf numFmtId="0" fontId="7" fillId="87" borderId="0" applyNumberFormat="0" applyBorder="0" applyAlignment="0" applyProtection="0">
      <alignment vertical="center"/>
    </xf>
    <xf numFmtId="0" fontId="7" fillId="90" borderId="0" applyNumberFormat="0" applyBorder="0" applyAlignment="0" applyProtection="0">
      <alignment vertical="center"/>
    </xf>
    <xf numFmtId="0" fontId="7" fillId="91" borderId="0" applyNumberFormat="0" applyBorder="0" applyAlignment="0" applyProtection="0">
      <alignment vertical="center"/>
    </xf>
    <xf numFmtId="0" fontId="117" fillId="54" borderId="241" applyNumberFormat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196" fontId="82" fillId="0" borderId="216" applyFill="0" applyBorder="0" applyAlignment="0"/>
    <xf numFmtId="196" fontId="82" fillId="0" borderId="216" applyFill="0" applyBorder="0" applyAlignment="0"/>
    <xf numFmtId="10" fontId="87" fillId="17" borderId="216" applyNumberFormat="0" applyBorder="0" applyAlignment="0" applyProtection="0"/>
    <xf numFmtId="10" fontId="87" fillId="17" borderId="216" applyNumberFormat="0" applyBorder="0" applyAlignment="0" applyProtection="0"/>
    <xf numFmtId="0" fontId="87" fillId="61" borderId="216"/>
    <xf numFmtId="0" fontId="87" fillId="61" borderId="216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68" borderId="172" applyNumberFormat="0" applyFont="0" applyAlignment="0" applyProtection="0">
      <alignment vertical="center"/>
    </xf>
    <xf numFmtId="0" fontId="89" fillId="0" borderId="197">
      <alignment horizontal="left"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62" fillId="111" borderId="235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89" fillId="0" borderId="197">
      <alignment horizontal="left" vertical="center"/>
    </xf>
    <xf numFmtId="0" fontId="89" fillId="0" borderId="197">
      <alignment horizontal="lef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98" fillId="1" borderId="197" applyNumberFormat="0" applyFont="0" applyAlignment="0">
      <alignment horizont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7" fillId="54" borderId="241" applyNumberFormat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3" fontId="66" fillId="0" borderId="216"/>
    <xf numFmtId="3" fontId="66" fillId="0" borderId="216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117" fillId="54" borderId="241" applyNumberFormat="0" applyAlignment="0" applyProtection="0"/>
    <xf numFmtId="3" fontId="66" fillId="0" borderId="216"/>
    <xf numFmtId="3" fontId="66" fillId="0" borderId="216"/>
    <xf numFmtId="3" fontId="66" fillId="0" borderId="216"/>
    <xf numFmtId="3" fontId="66" fillId="0" borderId="216"/>
    <xf numFmtId="196" fontId="82" fillId="0" borderId="216" applyFill="0" applyBorder="0" applyAlignment="0"/>
    <xf numFmtId="196" fontId="82" fillId="0" borderId="216" applyFill="0" applyBorder="0" applyAlignment="0"/>
    <xf numFmtId="0" fontId="117" fillId="54" borderId="241" applyNumberFormat="0" applyAlignment="0" applyProtection="0"/>
    <xf numFmtId="10" fontId="87" fillId="17" borderId="216" applyNumberFormat="0" applyBorder="0" applyAlignment="0" applyProtection="0"/>
    <xf numFmtId="10" fontId="87" fillId="17" borderId="216" applyNumberFormat="0" applyBorder="0" applyAlignment="0" applyProtection="0"/>
    <xf numFmtId="0" fontId="87" fillId="61" borderId="216"/>
    <xf numFmtId="0" fontId="87" fillId="61" borderId="216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7" fillId="54" borderId="241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10" fontId="87" fillId="17" borderId="216" applyNumberFormat="0" applyBorder="0" applyAlignment="0" applyProtection="0"/>
    <xf numFmtId="0" fontId="64" fillId="0" borderId="106">
      <alignment horizontal="center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87" fillId="61" borderId="216"/>
    <xf numFmtId="4" fontId="99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2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3" fontId="66" fillId="0" borderId="216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09" fillId="0" borderId="0">
      <protection locked="0"/>
    </xf>
    <xf numFmtId="0" fontId="89" fillId="0" borderId="197">
      <alignment horizontal="left"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3" fontId="66" fillId="0" borderId="216"/>
    <xf numFmtId="0" fontId="55" fillId="34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100" fillId="29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21" fillId="10" borderId="233" applyNumberFormat="0" applyFont="0" applyAlignment="0" applyProtection="0">
      <alignment vertical="center"/>
    </xf>
    <xf numFmtId="4" fontId="59" fillId="27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30" borderId="237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89" fillId="0" borderId="197">
      <alignment horizontal="left" vertical="center"/>
    </xf>
    <xf numFmtId="4" fontId="59" fillId="32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20" fillId="60" borderId="240" applyBorder="0"/>
    <xf numFmtId="4" fontId="103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2" borderId="235" applyNumberFormat="0" applyProtection="0">
      <alignment horizontal="right" vertical="center"/>
    </xf>
    <xf numFmtId="3" fontId="66" fillId="0" borderId="216"/>
    <xf numFmtId="4" fontId="99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117" fillId="54" borderId="241" applyNumberFormat="0" applyAlignment="0" applyProtection="0"/>
    <xf numFmtId="3" fontId="66" fillId="0" borderId="216"/>
    <xf numFmtId="0" fontId="156" fillId="98" borderId="232" applyNumberFormat="0" applyAlignmen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50" fillId="111" borderId="232" applyNumberFormat="0" applyAlignmen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0" fontId="119" fillId="56" borderId="235" applyNumberFormat="0" applyAlignment="0" applyProtection="0"/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113" fillId="56" borderId="241" applyNumberFormat="0" applyAlignment="0" applyProtection="0"/>
    <xf numFmtId="3" fontId="66" fillId="0" borderId="216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30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162" fillId="111" borderId="235" applyNumberFormat="0" applyAlignment="0" applyProtection="0">
      <alignment vertical="center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20" fillId="60" borderId="240" applyBorder="0"/>
    <xf numFmtId="4" fontId="103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100" fillId="2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113" fillId="56" borderId="241" applyNumberFormat="0" applyAlignment="0" applyProtection="0"/>
    <xf numFmtId="4" fontId="99" fillId="2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156" fillId="98" borderId="232" applyNumberFormat="0" applyAlignment="0" applyProtection="0">
      <alignment vertical="center"/>
    </xf>
    <xf numFmtId="4" fontId="99" fillId="35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32" borderId="235" applyNumberFormat="0" applyProtection="0">
      <alignment horizontal="left" vertical="center" indent="1"/>
    </xf>
    <xf numFmtId="0" fontId="150" fillId="111" borderId="232" applyNumberFormat="0" applyAlignmen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2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3" fontId="66" fillId="0" borderId="216"/>
    <xf numFmtId="3" fontId="66" fillId="0" borderId="216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32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196" fontId="82" fillId="0" borderId="216" applyFill="0" applyBorder="0" applyAlignment="0"/>
    <xf numFmtId="0" fontId="120" fillId="60" borderId="240" applyBorder="0"/>
    <xf numFmtId="0" fontId="162" fillId="111" borderId="235" applyNumberFormat="0" applyAlignmen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10" fontId="87" fillId="17" borderId="216" applyNumberFormat="0" applyBorder="0" applyAlignment="0" applyProtection="0"/>
    <xf numFmtId="0" fontId="150" fillId="111" borderId="232" applyNumberFormat="0" applyAlignment="0" applyProtection="0">
      <alignment vertical="center"/>
    </xf>
    <xf numFmtId="3" fontId="66" fillId="0" borderId="216"/>
    <xf numFmtId="4" fontId="99" fillId="2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13" fillId="56" borderId="241" applyNumberFormat="0" applyAlignment="0" applyProtection="0"/>
    <xf numFmtId="0" fontId="119" fillId="56" borderId="235" applyNumberFormat="0" applyAlignment="0" applyProtection="0"/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113" fillId="56" borderId="241" applyNumberFormat="0" applyAlignment="0" applyProtection="0"/>
    <xf numFmtId="3" fontId="66" fillId="0" borderId="216"/>
    <xf numFmtId="4" fontId="59" fillId="21" borderId="235" applyNumberFormat="0" applyProtection="0">
      <alignment horizontal="right" vertical="center"/>
    </xf>
    <xf numFmtId="0" fontId="120" fillId="60" borderId="240" applyBorder="0"/>
    <xf numFmtId="0" fontId="55" fillId="34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2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55" fillId="34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150" fillId="111" borderId="232" applyNumberFormat="0" applyAlignment="0" applyProtection="0">
      <alignment vertical="center"/>
    </xf>
    <xf numFmtId="4" fontId="59" fillId="25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99" fillId="2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62" fillId="111" borderId="235" applyNumberFormat="0" applyAlignment="0" applyProtection="0">
      <alignment vertical="center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4" fontId="103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30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3" fontId="66" fillId="0" borderId="216"/>
    <xf numFmtId="0" fontId="55" fillId="34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150" fillId="111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3" fontId="66" fillId="0" borderId="216"/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99" fillId="35" borderId="235" applyNumberFormat="0" applyProtection="0">
      <alignment vertical="center"/>
    </xf>
    <xf numFmtId="0" fontId="120" fillId="60" borderId="240" applyBorder="0"/>
    <xf numFmtId="0" fontId="113" fillId="56" borderId="241" applyNumberFormat="0" applyAlignment="0" applyProtection="0"/>
    <xf numFmtId="0" fontId="119" fillId="56" borderId="235" applyNumberFormat="0" applyAlignment="0" applyProtection="0"/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120" fillId="60" borderId="240" applyBorder="0"/>
    <xf numFmtId="4" fontId="59" fillId="28" borderId="235" applyNumberFormat="0" applyProtection="0">
      <alignment horizontal="right" vertical="center"/>
    </xf>
    <xf numFmtId="0" fontId="150" fillId="111" borderId="232" applyNumberFormat="0" applyAlignment="0" applyProtection="0">
      <alignment vertical="center"/>
    </xf>
    <xf numFmtId="4" fontId="103" fillId="30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4" fontId="59" fillId="35" borderId="235" applyNumberFormat="0" applyProtection="0">
      <alignment vertical="center"/>
    </xf>
    <xf numFmtId="0" fontId="117" fillId="54" borderId="241" applyNumberFormat="0" applyAlignment="0" applyProtection="0"/>
    <xf numFmtId="3" fontId="66" fillId="0" borderId="216"/>
    <xf numFmtId="0" fontId="55" fillId="34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99" fillId="2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7" fillId="54" borderId="241" applyNumberFormat="0" applyAlignment="0" applyProtection="0"/>
    <xf numFmtId="0" fontId="119" fillId="56" borderId="235" applyNumberFormat="0" applyAlignment="0" applyProtection="0"/>
    <xf numFmtId="4" fontId="59" fillId="2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7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0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17" fillId="54" borderId="241" applyNumberFormat="0" applyAlignment="0" applyProtection="0"/>
    <xf numFmtId="4" fontId="99" fillId="2" borderId="235" applyNumberFormat="0" applyProtection="0">
      <alignment vertical="center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3" fontId="66" fillId="0" borderId="216"/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196" fontId="82" fillId="0" borderId="216" applyFill="0" applyBorder="0" applyAlignment="0"/>
    <xf numFmtId="4" fontId="59" fillId="35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99" fillId="30" borderId="235" applyNumberFormat="0" applyProtection="0">
      <alignment horizontal="right" vertical="center"/>
    </xf>
    <xf numFmtId="3" fontId="66" fillId="0" borderId="216"/>
    <xf numFmtId="4" fontId="59" fillId="35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120" fillId="60" borderId="240" applyBorder="0"/>
    <xf numFmtId="0" fontId="113" fillId="56" borderId="241" applyNumberFormat="0" applyAlignment="0" applyProtection="0"/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3" fontId="66" fillId="0" borderId="216"/>
    <xf numFmtId="4" fontId="59" fillId="35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0" fontId="120" fillId="60" borderId="240" applyBorder="0"/>
    <xf numFmtId="4" fontId="5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196" fontId="82" fillId="0" borderId="216" applyFill="0" applyBorder="0" applyAlignment="0"/>
    <xf numFmtId="4" fontId="59" fillId="25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3" fontId="66" fillId="0" borderId="216"/>
    <xf numFmtId="0" fontId="55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89" fillId="0" borderId="197">
      <alignment horizontal="left"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0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3" fontId="66" fillId="0" borderId="216"/>
    <xf numFmtId="4" fontId="99" fillId="2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3" fontId="66" fillId="0" borderId="216"/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3" fontId="66" fillId="0" borderId="216"/>
    <xf numFmtId="0" fontId="55" fillId="34" borderId="235" applyNumberFormat="0" applyProtection="0">
      <alignment horizontal="left" vertical="center" indent="1"/>
    </xf>
    <xf numFmtId="3" fontId="66" fillId="0" borderId="216"/>
    <xf numFmtId="3" fontId="66" fillId="0" borderId="216"/>
    <xf numFmtId="4" fontId="59" fillId="30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35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4" fontId="59" fillId="27" borderId="235" applyNumberFormat="0" applyProtection="0">
      <alignment horizontal="right" vertical="center"/>
    </xf>
    <xf numFmtId="196" fontId="82" fillId="0" borderId="216" applyFill="0" applyBorder="0" applyAlignment="0"/>
    <xf numFmtId="0" fontId="89" fillId="0" borderId="197">
      <alignment horizontal="left" vertical="center"/>
    </xf>
    <xf numFmtId="0" fontId="89" fillId="0" borderId="197">
      <alignment horizontal="left" vertical="center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10" fontId="87" fillId="17" borderId="216" applyNumberFormat="0" applyBorder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87" fillId="61" borderId="216"/>
    <xf numFmtId="0" fontId="87" fillId="61" borderId="216"/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98" fillId="1" borderId="197" applyNumberFormat="0" applyFont="0" applyAlignment="0">
      <alignment horizontal="center"/>
    </xf>
    <xf numFmtId="0" fontId="87" fillId="53" borderId="241" applyNumberFormat="0" applyFont="0" applyAlignment="0" applyProtection="0"/>
    <xf numFmtId="4" fontId="59" fillId="25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196" fontId="82" fillId="0" borderId="216" applyFill="0" applyBorder="0" applyAlignment="0"/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21" fillId="10" borderId="233" applyNumberFormat="0" applyFont="0" applyAlignment="0" applyProtection="0">
      <alignment vertical="center"/>
    </xf>
    <xf numFmtId="4" fontId="59" fillId="26" borderId="235" applyNumberFormat="0" applyProtection="0">
      <alignment horizontal="right" vertical="center"/>
    </xf>
    <xf numFmtId="0" fontId="113" fillId="56" borderId="241" applyNumberFormat="0" applyAlignment="0" applyProtection="0"/>
    <xf numFmtId="4" fontId="59" fillId="23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99" fillId="2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1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5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0" fontId="113" fillId="56" borderId="241" applyNumberFormat="0" applyAlignment="0" applyProtection="0"/>
    <xf numFmtId="4" fontId="59" fillId="22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9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0" fontId="89" fillId="0" borderId="197">
      <alignment horizontal="lef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196" fontId="82" fillId="0" borderId="216" applyFill="0" applyBorder="0" applyAlignment="0"/>
    <xf numFmtId="196" fontId="82" fillId="0" borderId="216" applyFill="0" applyBorder="0" applyAlignment="0"/>
    <xf numFmtId="10" fontId="87" fillId="17" borderId="216" applyNumberFormat="0" applyBorder="0" applyAlignment="0" applyProtection="0"/>
    <xf numFmtId="10" fontId="87" fillId="17" borderId="216" applyNumberFormat="0" applyBorder="0" applyAlignment="0" applyProtection="0"/>
    <xf numFmtId="0" fontId="87" fillId="61" borderId="216"/>
    <xf numFmtId="0" fontId="87" fillId="61" borderId="216"/>
    <xf numFmtId="4" fontId="5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120" fillId="60" borderId="240" applyBorder="0"/>
    <xf numFmtId="3" fontId="66" fillId="0" borderId="216"/>
    <xf numFmtId="4" fontId="59" fillId="32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117" fillId="54" borderId="241" applyNumberFormat="0" applyAlignment="0" applyProtection="0"/>
    <xf numFmtId="0" fontId="150" fillId="111" borderId="232" applyNumberFormat="0" applyAlignment="0" applyProtection="0">
      <alignment vertical="center"/>
    </xf>
    <xf numFmtId="4" fontId="99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3" fontId="66" fillId="0" borderId="216"/>
    <xf numFmtId="4" fontId="100" fillId="2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7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56" fillId="98" borderId="232" applyNumberFormat="0" applyAlignment="0" applyProtection="0">
      <alignment vertical="center"/>
    </xf>
    <xf numFmtId="10" fontId="87" fillId="17" borderId="216" applyNumberFormat="0" applyBorder="0" applyAlignment="0" applyProtection="0"/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0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2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117" fillId="54" borderId="241" applyNumberFormat="0" applyAlignment="0" applyProtection="0"/>
    <xf numFmtId="4" fontId="59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30" borderId="237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7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20" fillId="60" borderId="240" applyBorder="0"/>
    <xf numFmtId="4" fontId="59" fillId="26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89" fillId="0" borderId="197">
      <alignment horizontal="left"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4" fontId="59" fillId="35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0" fontId="55" fillId="33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119" fillId="56" borderId="235" applyNumberFormat="0" applyAlignment="0" applyProtection="0"/>
    <xf numFmtId="3" fontId="66" fillId="0" borderId="216"/>
    <xf numFmtId="0" fontId="55" fillId="19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56" fillId="98" borderId="232" applyNumberFormat="0" applyAlignment="0" applyProtection="0">
      <alignment vertical="center"/>
    </xf>
    <xf numFmtId="3" fontId="66" fillId="0" borderId="216"/>
    <xf numFmtId="4" fontId="59" fillId="24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98" fillId="1" borderId="197" applyNumberFormat="0" applyFont="0" applyAlignment="0">
      <alignment horizontal="center"/>
    </xf>
    <xf numFmtId="4" fontId="59" fillId="26" borderId="235" applyNumberFormat="0" applyProtection="0">
      <alignment horizontal="right" vertical="center"/>
    </xf>
    <xf numFmtId="0" fontId="117" fillId="54" borderId="241" applyNumberFormat="0" applyAlignment="0" applyProtection="0"/>
    <xf numFmtId="4" fontId="103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113" fillId="56" borderId="241" applyNumberFormat="0" applyAlignment="0" applyProtection="0"/>
    <xf numFmtId="0" fontId="145" fillId="0" borderId="234" applyNumberFormat="0" applyFill="0" applyAlignment="0" applyProtection="0">
      <alignment vertical="center"/>
    </xf>
    <xf numFmtId="3" fontId="66" fillId="0" borderId="216"/>
    <xf numFmtId="0" fontId="55" fillId="32" borderId="235" applyNumberFormat="0" applyProtection="0">
      <alignment horizontal="left" vertical="center" indent="1"/>
    </xf>
    <xf numFmtId="0" fontId="120" fillId="60" borderId="240" applyBorder="0"/>
    <xf numFmtId="4" fontId="59" fillId="25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21" fillId="10" borderId="233" applyNumberFormat="0" applyFont="0" applyAlignmen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117" fillId="54" borderId="241" applyNumberFormat="0" applyAlignment="0" applyProtection="0"/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89" fillId="0" borderId="197">
      <alignment horizontal="left" vertical="center"/>
    </xf>
    <xf numFmtId="0" fontId="89" fillId="0" borderId="197">
      <alignment horizontal="left" vertical="center"/>
    </xf>
    <xf numFmtId="4" fontId="59" fillId="2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98" fillId="1" borderId="197" applyNumberFormat="0" applyFont="0" applyAlignment="0">
      <alignment horizontal="center"/>
    </xf>
    <xf numFmtId="4" fontId="59" fillId="2" borderId="235" applyNumberFormat="0" applyProtection="0">
      <alignment vertical="center"/>
    </xf>
    <xf numFmtId="4" fontId="103" fillId="30" borderId="235" applyNumberFormat="0" applyProtection="0">
      <alignment horizontal="right" vertical="center"/>
    </xf>
    <xf numFmtId="0" fontId="89" fillId="0" borderId="197">
      <alignment horizontal="left" vertical="center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30" borderId="237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3" fontId="66" fillId="0" borderId="216"/>
    <xf numFmtId="0" fontId="87" fillId="53" borderId="241" applyNumberFormat="0" applyFont="0" applyAlignment="0" applyProtection="0"/>
    <xf numFmtId="0" fontId="89" fillId="0" borderId="197">
      <alignment horizontal="left" vertical="center"/>
    </xf>
    <xf numFmtId="0" fontId="87" fillId="61" borderId="216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120" fillId="60" borderId="240" applyBorder="0"/>
    <xf numFmtId="0" fontId="119" fillId="56" borderId="235" applyNumberFormat="0" applyAlignment="0" applyProtection="0"/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30" borderId="237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87" fillId="61" borderId="216"/>
    <xf numFmtId="4" fontId="59" fillId="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196" fontId="82" fillId="0" borderId="216" applyFill="0" applyBorder="0" applyAlignment="0"/>
    <xf numFmtId="4" fontId="103" fillId="30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87" fillId="61" borderId="216"/>
    <xf numFmtId="4" fontId="59" fillId="21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9" fillId="56" borderId="235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3" fontId="66" fillId="0" borderId="216"/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0" fontId="98" fillId="1" borderId="197" applyNumberFormat="0" applyFont="0" applyAlignment="0">
      <alignment horizontal="center"/>
    </xf>
    <xf numFmtId="4" fontId="59" fillId="2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87" fillId="61" borderId="216"/>
    <xf numFmtId="4" fontId="59" fillId="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20" fillId="60" borderId="240" applyBorder="0"/>
    <xf numFmtId="0" fontId="55" fillId="34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3" fontId="66" fillId="0" borderId="216"/>
    <xf numFmtId="0" fontId="113" fillId="56" borderId="241" applyNumberFormat="0" applyAlignment="0" applyProtection="0"/>
    <xf numFmtId="4" fontId="59" fillId="24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10" fontId="87" fillId="17" borderId="216" applyNumberFormat="0" applyBorder="0" applyAlignment="0" applyProtection="0"/>
    <xf numFmtId="4" fontId="59" fillId="28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120" fillId="60" borderId="240" applyBorder="0"/>
    <xf numFmtId="4" fontId="99" fillId="2" borderId="235" applyNumberFormat="0" applyProtection="0">
      <alignment vertical="center"/>
    </xf>
    <xf numFmtId="0" fontId="87" fillId="53" borderId="241" applyNumberFormat="0" applyFont="0" applyAlignment="0" applyProtection="0"/>
    <xf numFmtId="4" fontId="99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113" fillId="56" borderId="241" applyNumberFormat="0" applyAlignment="0" applyProtection="0"/>
    <xf numFmtId="4" fontId="59" fillId="24" borderId="235" applyNumberFormat="0" applyProtection="0">
      <alignment horizontal="right" vertical="center"/>
    </xf>
    <xf numFmtId="0" fontId="120" fillId="60" borderId="240" applyBorder="0"/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21" fillId="10" borderId="233" applyNumberFormat="0" applyFont="0" applyAlignment="0" applyProtection="0">
      <alignment vertical="center"/>
    </xf>
    <xf numFmtId="4" fontId="59" fillId="20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56" fillId="98" borderId="232" applyNumberFormat="0" applyAlignment="0" applyProtection="0">
      <alignment vertical="center"/>
    </xf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4" fontId="59" fillId="35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20" fillId="60" borderId="240" applyBorder="0"/>
    <xf numFmtId="4" fontId="99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8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3" fontId="66" fillId="0" borderId="216"/>
    <xf numFmtId="196" fontId="82" fillId="0" borderId="216" applyFill="0" applyBorder="0" applyAlignment="0"/>
    <xf numFmtId="196" fontId="82" fillId="0" borderId="216" applyFill="0" applyBorder="0" applyAlignment="0"/>
    <xf numFmtId="10" fontId="87" fillId="17" borderId="216" applyNumberFormat="0" applyBorder="0" applyAlignment="0" applyProtection="0"/>
    <xf numFmtId="10" fontId="87" fillId="17" borderId="216" applyNumberFormat="0" applyBorder="0" applyAlignment="0" applyProtection="0"/>
    <xf numFmtId="0" fontId="87" fillId="61" borderId="216"/>
    <xf numFmtId="0" fontId="87" fillId="61" borderId="216"/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3" fontId="66" fillId="0" borderId="216"/>
    <xf numFmtId="4" fontId="99" fillId="35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113" fillId="56" borderId="241" applyNumberFormat="0" applyAlignment="0" applyProtection="0"/>
    <xf numFmtId="4" fontId="59" fillId="35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120" fillId="60" borderId="240" applyBorder="0"/>
    <xf numFmtId="4" fontId="100" fillId="2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103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3" fillId="56" borderId="241" applyNumberFormat="0" applyAlignment="0" applyProtection="0"/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98" fillId="1" borderId="197" applyNumberFormat="0" applyFont="0" applyAlignment="0">
      <alignment horizontal="center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4" fontId="59" fillId="35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33" borderId="235" applyNumberFormat="0" applyProtection="0">
      <alignment horizontal="left" vertical="center" indent="1"/>
    </xf>
    <xf numFmtId="0" fontId="150" fillId="111" borderId="232" applyNumberFormat="0" applyAlignmen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62" fillId="111" borderId="235" applyNumberFormat="0" applyAlignment="0" applyProtection="0">
      <alignment vertical="center"/>
    </xf>
    <xf numFmtId="0" fontId="89" fillId="0" borderId="197">
      <alignment horizontal="left"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" borderId="235" applyNumberFormat="0" applyProtection="0">
      <alignment vertical="center"/>
    </xf>
    <xf numFmtId="4" fontId="59" fillId="30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62" fillId="111" borderId="235" applyNumberFormat="0" applyAlignment="0" applyProtection="0">
      <alignment vertical="center"/>
    </xf>
    <xf numFmtId="0" fontId="162" fillId="111" borderId="235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145" fillId="0" borderId="234" applyNumberFormat="0" applyFill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89" fillId="0" borderId="197">
      <alignment horizontal="left" vertical="center"/>
    </xf>
    <xf numFmtId="0" fontId="89" fillId="0" borderId="197">
      <alignment horizontal="lef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0" fontId="98" fillId="1" borderId="197" applyNumberFormat="0" applyFont="0" applyAlignment="0">
      <alignment horizontal="center"/>
    </xf>
    <xf numFmtId="4" fontId="59" fillId="23" borderId="235" applyNumberFormat="0" applyProtection="0">
      <alignment horizontal="right" vertical="center"/>
    </xf>
    <xf numFmtId="0" fontId="89" fillId="0" borderId="197">
      <alignment horizontal="left" vertical="center"/>
    </xf>
    <xf numFmtId="0" fontId="55" fillId="33" borderId="235" applyNumberFormat="0" applyProtection="0">
      <alignment horizontal="left" vertical="center" indent="1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0" fontId="145" fillId="0" borderId="234" applyNumberFormat="0" applyFill="0" applyAlignment="0" applyProtection="0">
      <alignment vertical="center"/>
    </xf>
    <xf numFmtId="0" fontId="87" fillId="53" borderId="241" applyNumberFormat="0" applyFont="0" applyAlignment="0" applyProtection="0"/>
    <xf numFmtId="4" fontId="59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0" fontId="119" fillId="56" borderId="235" applyNumberForma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87" fillId="53" borderId="241" applyNumberFormat="0" applyFont="0" applyAlignment="0" applyProtection="0"/>
    <xf numFmtId="4" fontId="59" fillId="2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5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50" fillId="111" borderId="232" applyNumberFormat="0" applyAlignment="0" applyProtection="0">
      <alignment vertical="center"/>
    </xf>
    <xf numFmtId="4" fontId="59" fillId="22" borderId="235" applyNumberFormat="0" applyProtection="0">
      <alignment horizontal="right" vertical="center"/>
    </xf>
    <xf numFmtId="0" fontId="87" fillId="61" borderId="216"/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3" fontId="66" fillId="0" borderId="216"/>
    <xf numFmtId="0" fontId="117" fillId="54" borderId="241" applyNumberFormat="0" applyAlignment="0" applyProtection="0"/>
    <xf numFmtId="10" fontId="87" fillId="17" borderId="216" applyNumberFormat="0" applyBorder="0" applyAlignment="0" applyProtection="0"/>
    <xf numFmtId="4" fontId="59" fillId="21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3" fontId="66" fillId="0" borderId="216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10" fontId="87" fillId="17" borderId="216" applyNumberFormat="0" applyBorder="0" applyAlignment="0" applyProtection="0"/>
    <xf numFmtId="4" fontId="59" fillId="30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4" fontId="59" fillId="24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34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3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145" fillId="0" borderId="234" applyNumberFormat="0" applyFill="0" applyAlignment="0" applyProtection="0">
      <alignment vertical="center"/>
    </xf>
    <xf numFmtId="0" fontId="117" fillId="54" borderId="241" applyNumberFormat="0" applyAlignment="0" applyProtection="0"/>
    <xf numFmtId="0" fontId="113" fillId="56" borderId="241" applyNumberFormat="0" applyAlignment="0" applyProtection="0"/>
    <xf numFmtId="4" fontId="59" fillId="32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3" fontId="66" fillId="0" borderId="216"/>
    <xf numFmtId="4" fontId="59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156" fillId="98" borderId="232" applyNumberFormat="0" applyAlignment="0" applyProtection="0">
      <alignment vertical="center"/>
    </xf>
    <xf numFmtId="0" fontId="113" fillId="56" borderId="241" applyNumberFormat="0" applyAlignment="0" applyProtection="0"/>
    <xf numFmtId="0" fontId="55" fillId="34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1" borderId="235" applyNumberFormat="0" applyProtection="0">
      <alignment horizontal="right" vertical="center"/>
    </xf>
    <xf numFmtId="0" fontId="98" fillId="1" borderId="197" applyNumberFormat="0" applyFont="0" applyAlignment="0">
      <alignment horizontal="center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196" fontId="82" fillId="0" borderId="216" applyFill="0" applyBorder="0" applyAlignment="0"/>
    <xf numFmtId="4" fontId="59" fillId="28" borderId="235" applyNumberFormat="0" applyProtection="0">
      <alignment horizontal="right" vertical="center"/>
    </xf>
    <xf numFmtId="0" fontId="120" fillId="60" borderId="240" applyBorder="0"/>
    <xf numFmtId="4" fontId="59" fillId="24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45" fillId="0" borderId="234" applyNumberFormat="0" applyFill="0" applyAlignment="0" applyProtection="0">
      <alignment vertical="center"/>
    </xf>
    <xf numFmtId="4" fontId="59" fillId="26" borderId="235" applyNumberFormat="0" applyProtection="0">
      <alignment horizontal="right" vertical="center"/>
    </xf>
    <xf numFmtId="0" fontId="119" fillId="56" borderId="235" applyNumberFormat="0" applyAlignment="0" applyProtection="0"/>
    <xf numFmtId="0" fontId="117" fillId="54" borderId="241" applyNumberFormat="0" applyAlignment="0" applyProtection="0"/>
    <xf numFmtId="4" fontId="59" fillId="30" borderId="237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0" fontId="87" fillId="53" borderId="241" applyNumberFormat="0" applyFont="0" applyAlignment="0" applyProtection="0"/>
    <xf numFmtId="0" fontId="55" fillId="34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99" fillId="30" borderId="235" applyNumberFormat="0" applyProtection="0">
      <alignment horizontal="right" vertical="center"/>
    </xf>
    <xf numFmtId="0" fontId="120" fillId="60" borderId="240" applyBorder="0"/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120" fillId="60" borderId="240" applyBorder="0"/>
    <xf numFmtId="0" fontId="55" fillId="32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99" fillId="3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89" fillId="0" borderId="197">
      <alignment horizontal="left" vertical="center"/>
    </xf>
    <xf numFmtId="0" fontId="117" fillId="54" borderId="241" applyNumberFormat="0" applyAlignment="0" applyProtection="0"/>
    <xf numFmtId="0" fontId="55" fillId="34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0" fontId="120" fillId="60" borderId="240" applyBorder="0"/>
    <xf numFmtId="0" fontId="120" fillId="60" borderId="240" applyBorder="0"/>
    <xf numFmtId="4" fontId="59" fillId="30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0" fontId="120" fillId="60" borderId="240" applyBorder="0"/>
    <xf numFmtId="4" fontId="59" fillId="23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4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10" fontId="87" fillId="17" borderId="216" applyNumberFormat="0" applyBorder="0" applyAlignment="0" applyProtection="0"/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30" borderId="237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4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0" fontId="89" fillId="0" borderId="197">
      <alignment horizontal="left" vertical="center"/>
    </xf>
    <xf numFmtId="4" fontId="59" fillId="35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6" borderId="235" applyNumberFormat="0" applyProtection="0">
      <alignment horizontal="right" vertical="center"/>
    </xf>
    <xf numFmtId="0" fontId="59" fillId="0" borderId="0">
      <alignment vertical="top"/>
    </xf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34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2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145" fillId="0" borderId="234" applyNumberFormat="0" applyFill="0" applyAlignment="0" applyProtection="0">
      <alignment vertical="center"/>
    </xf>
    <xf numFmtId="4" fontId="59" fillId="21" borderId="235" applyNumberFormat="0" applyProtection="0">
      <alignment horizontal="right" vertical="center"/>
    </xf>
    <xf numFmtId="0" fontId="156" fillId="98" borderId="232" applyNumberFormat="0" applyAlignmen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120" fillId="60" borderId="240" applyBorder="0"/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10" fontId="87" fillId="17" borderId="216" applyNumberFormat="0" applyBorder="0" applyAlignment="0" applyProtection="0"/>
    <xf numFmtId="0" fontId="98" fillId="1" borderId="197" applyNumberFormat="0" applyFont="0" applyAlignment="0">
      <alignment horizontal="center"/>
    </xf>
    <xf numFmtId="4" fontId="59" fillId="30" borderId="235" applyNumberFormat="0" applyProtection="0">
      <alignment horizontal="right" vertical="center"/>
    </xf>
    <xf numFmtId="0" fontId="150" fillId="111" borderId="232" applyNumberFormat="0" applyAlignment="0" applyProtection="0">
      <alignment vertical="center"/>
    </xf>
    <xf numFmtId="4" fontId="59" fillId="28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4" fontId="100" fillId="2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9" fillId="0" borderId="0">
      <alignment vertical="top"/>
    </xf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3" fillId="56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87" fillId="53" borderId="241" applyNumberFormat="0" applyFon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0" fontId="120" fillId="60" borderId="240" applyBorder="0"/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3" fontId="66" fillId="0" borderId="216"/>
    <xf numFmtId="4" fontId="59" fillId="35" borderId="235" applyNumberFormat="0" applyProtection="0">
      <alignment vertical="center"/>
    </xf>
    <xf numFmtId="0" fontId="98" fillId="1" borderId="197" applyNumberFormat="0" applyFont="0" applyAlignment="0">
      <alignment horizont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7" fillId="54" borderId="241" applyNumberFormat="0" applyAlignment="0" applyProtection="0"/>
    <xf numFmtId="0" fontId="21" fillId="10" borderId="233" applyNumberFormat="0" applyFont="0" applyAlignment="0" applyProtection="0">
      <alignment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32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89" fillId="0" borderId="197">
      <alignment horizontal="left" vertical="center"/>
    </xf>
    <xf numFmtId="4" fontId="59" fillId="32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4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0" fontId="117" fillId="54" borderId="241" applyNumberFormat="0" applyAlignment="0" applyProtection="0"/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1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0" fontId="87" fillId="61" borderId="216"/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89" fillId="0" borderId="197">
      <alignment horizontal="left" vertical="center"/>
    </xf>
    <xf numFmtId="4" fontId="100" fillId="2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45" fillId="0" borderId="234" applyNumberFormat="0" applyFill="0" applyAlignmen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55" fillId="33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3" fontId="66" fillId="0" borderId="216"/>
    <xf numFmtId="0" fontId="98" fillId="1" borderId="197" applyNumberFormat="0" applyFont="0" applyAlignment="0">
      <alignment horizontal="center"/>
    </xf>
    <xf numFmtId="4" fontId="59" fillId="27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62" fillId="111" borderId="235" applyNumberFormat="0" applyAlignmen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120" fillId="60" borderId="240" applyBorder="0"/>
    <xf numFmtId="0" fontId="150" fillId="111" borderId="232" applyNumberFormat="0" applyAlignment="0" applyProtection="0">
      <alignment vertical="center"/>
    </xf>
    <xf numFmtId="4" fontId="59" fillId="22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119" fillId="56" borderId="235" applyNumberFormat="0" applyAlignment="0" applyProtection="0"/>
    <xf numFmtId="0" fontId="55" fillId="32" borderId="235" applyNumberFormat="0" applyProtection="0">
      <alignment horizontal="left" vertical="center" indent="1"/>
    </xf>
    <xf numFmtId="0" fontId="87" fillId="61" borderId="216"/>
    <xf numFmtId="0" fontId="150" fillId="111" borderId="232" applyNumberFormat="0" applyAlignment="0" applyProtection="0">
      <alignment vertical="center"/>
    </xf>
    <xf numFmtId="0" fontId="150" fillId="111" borderId="232" applyNumberForma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21" fillId="10" borderId="233" applyNumberFormat="0" applyFon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156" fillId="98" borderId="232" applyNumberFormat="0" applyAlignmen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87" fillId="61" borderId="216"/>
    <xf numFmtId="4" fontId="59" fillId="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100" fillId="2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89" fillId="0" borderId="197">
      <alignment horizontal="left" vertical="center"/>
    </xf>
    <xf numFmtId="0" fontId="55" fillId="34" borderId="235" applyNumberFormat="0" applyProtection="0">
      <alignment horizontal="left" vertical="center" indent="1"/>
    </xf>
    <xf numFmtId="0" fontId="89" fillId="0" borderId="110" applyNumberFormat="0" applyAlignment="0" applyProtection="0">
      <alignment horizontal="left" vertical="center"/>
    </xf>
    <xf numFmtId="4" fontId="59" fillId="21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0" fontId="87" fillId="53" borderId="241" applyNumberFormat="0" applyFont="0" applyAlignment="0" applyProtection="0"/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4" fontId="59" fillId="35" borderId="235" applyNumberFormat="0" applyProtection="0">
      <alignment vertical="center"/>
    </xf>
    <xf numFmtId="4" fontId="59" fillId="25" borderId="235" applyNumberFormat="0" applyProtection="0">
      <alignment horizontal="right" vertical="center"/>
    </xf>
    <xf numFmtId="3" fontId="66" fillId="0" borderId="216"/>
    <xf numFmtId="3" fontId="66" fillId="0" borderId="216"/>
    <xf numFmtId="4" fontId="59" fillId="27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55" fillId="34" borderId="235" applyNumberFormat="0" applyProtection="0">
      <alignment horizontal="left" vertical="center" indent="1"/>
    </xf>
    <xf numFmtId="10" fontId="87" fillId="17" borderId="216" applyNumberFormat="0" applyBorder="0" applyAlignment="0" applyProtection="0"/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89" fillId="0" borderId="197">
      <alignment horizontal="left" vertical="center"/>
    </xf>
    <xf numFmtId="0" fontId="55" fillId="19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0" fontId="120" fillId="60" borderId="240" applyBorder="0"/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156" fillId="98" borderId="232" applyNumberFormat="0" applyAlignment="0" applyProtection="0">
      <alignment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4" fontId="59" fillId="22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0" fontId="113" fillId="56" borderId="241" applyNumberFormat="0" applyAlignment="0" applyProtection="0"/>
    <xf numFmtId="4" fontId="99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7" fillId="54" borderId="241" applyNumberFormat="0" applyAlignment="0" applyProtection="0"/>
    <xf numFmtId="0" fontId="55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120" fillId="60" borderId="240" applyBorder="0"/>
    <xf numFmtId="4" fontId="5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7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26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59" fillId="3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4" fontId="59" fillId="2" borderId="235" applyNumberFormat="0" applyProtection="0">
      <alignment vertical="center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0" fontId="119" fillId="56" borderId="235" applyNumberFormat="0" applyAlignment="0" applyProtection="0"/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5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4" fontId="103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100" fillId="29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3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196" fontId="82" fillId="0" borderId="216" applyFill="0" applyBorder="0" applyAlignment="0"/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59" fillId="22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0" fontId="119" fillId="56" borderId="235" applyNumberFormat="0" applyAlignment="0" applyProtection="0"/>
    <xf numFmtId="0" fontId="55" fillId="32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162" fillId="111" borderId="235" applyNumberFormat="0" applyAlignment="0" applyProtection="0">
      <alignment vertical="center"/>
    </xf>
    <xf numFmtId="0" fontId="120" fillId="60" borderId="240" applyBorder="0"/>
    <xf numFmtId="4" fontId="103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30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20" fillId="60" borderId="240" applyBorder="0"/>
    <xf numFmtId="4" fontId="59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21" fillId="10" borderId="233" applyNumberFormat="0" applyFont="0" applyAlignment="0" applyProtection="0">
      <alignment vertical="center"/>
    </xf>
    <xf numFmtId="4" fontId="5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89" fillId="0" borderId="197">
      <alignment horizontal="left" vertical="center"/>
    </xf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98" fillId="1" borderId="197" applyNumberFormat="0" applyFont="0" applyAlignment="0">
      <alignment horizontal="center"/>
    </xf>
    <xf numFmtId="0" fontId="55" fillId="19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9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10" fontId="87" fillId="17" borderId="216" applyNumberFormat="0" applyBorder="0" applyAlignment="0" applyProtection="0"/>
    <xf numFmtId="4" fontId="59" fillId="35" borderId="235" applyNumberFormat="0" applyProtection="0">
      <alignment vertical="center"/>
    </xf>
    <xf numFmtId="4" fontId="100" fillId="29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119" fillId="56" borderId="235" applyNumberFormat="0" applyAlignment="0" applyProtection="0"/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3" fontId="66" fillId="0" borderId="216"/>
    <xf numFmtId="4" fontId="99" fillId="2" borderId="235" applyNumberFormat="0" applyProtection="0">
      <alignment vertical="center"/>
    </xf>
    <xf numFmtId="0" fontId="119" fillId="56" borderId="235" applyNumberFormat="0" applyAlignment="0" applyProtection="0"/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0" fontId="55" fillId="32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0" fontId="117" fillId="54" borderId="241" applyNumberFormat="0" applyAlignment="0" applyProtection="0"/>
    <xf numFmtId="4" fontId="59" fillId="30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145" fillId="0" borderId="234" applyNumberFormat="0" applyFill="0" applyAlignment="0" applyProtection="0">
      <alignment vertical="center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1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3" fontId="66" fillId="0" borderId="216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10" fontId="87" fillId="17" borderId="216" applyNumberFormat="0" applyBorder="0" applyAlignment="0" applyProtection="0"/>
    <xf numFmtId="4" fontId="59" fillId="27" borderId="235" applyNumberFormat="0" applyProtection="0">
      <alignment horizontal="right" vertical="center"/>
    </xf>
    <xf numFmtId="0" fontId="156" fillId="98" borderId="232" applyNumberFormat="0" applyAlignment="0" applyProtection="0">
      <alignment vertical="center"/>
    </xf>
    <xf numFmtId="10" fontId="87" fillId="17" borderId="216" applyNumberFormat="0" applyBorder="0" applyAlignment="0" applyProtection="0"/>
    <xf numFmtId="4" fontId="99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25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0" fontId="113" fillId="56" borderId="241" applyNumberFormat="0" applyAlignment="0" applyProtection="0"/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4" fontId="59" fillId="26" borderId="235" applyNumberFormat="0" applyProtection="0">
      <alignment horizontal="right" vertical="center"/>
    </xf>
    <xf numFmtId="4" fontId="59" fillId="30" borderId="237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35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32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99" fillId="2" borderId="235" applyNumberFormat="0" applyProtection="0">
      <alignment vertical="center"/>
    </xf>
    <xf numFmtId="4" fontId="103" fillId="30" borderId="235" applyNumberFormat="0" applyProtection="0">
      <alignment horizontal="right" vertical="center"/>
    </xf>
    <xf numFmtId="0" fontId="21" fillId="10" borderId="233" applyNumberFormat="0" applyFont="0" applyAlignment="0" applyProtection="0">
      <alignment vertical="center"/>
    </xf>
    <xf numFmtId="0" fontId="55" fillId="32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3" fontId="66" fillId="0" borderId="216"/>
    <xf numFmtId="4" fontId="59" fillId="25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103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30" borderId="235" applyNumberFormat="0" applyProtection="0">
      <alignment horizontal="left" vertical="center" indent="1"/>
    </xf>
    <xf numFmtId="3" fontId="66" fillId="0" borderId="216"/>
    <xf numFmtId="0" fontId="120" fillId="60" borderId="240" applyBorder="0"/>
    <xf numFmtId="0" fontId="120" fillId="60" borderId="240" applyBorder="0"/>
    <xf numFmtId="4" fontId="99" fillId="2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3" fontId="66" fillId="0" borderId="216"/>
    <xf numFmtId="4" fontId="59" fillId="22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0" fontId="87" fillId="53" borderId="241" applyNumberFormat="0" applyFont="0" applyAlignment="0" applyProtection="0"/>
    <xf numFmtId="196" fontId="82" fillId="0" borderId="216" applyFill="0" applyBorder="0" applyAlignment="0"/>
    <xf numFmtId="4" fontId="59" fillId="2" borderId="235" applyNumberFormat="0" applyProtection="0">
      <alignment vertical="center"/>
    </xf>
    <xf numFmtId="4" fontId="59" fillId="26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98" fillId="1" borderId="197" applyNumberFormat="0" applyFont="0" applyAlignment="0">
      <alignment horizont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196" fontId="82" fillId="0" borderId="216" applyFill="0" applyBorder="0" applyAlignment="0"/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3" fillId="30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62" fillId="111" borderId="235" applyNumberFormat="0" applyAlignment="0" applyProtection="0">
      <alignment vertical="center"/>
    </xf>
    <xf numFmtId="196" fontId="82" fillId="0" borderId="216" applyFill="0" applyBorder="0" applyAlignment="0"/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117" fillId="54" borderId="241" applyNumberFormat="0" applyAlignment="0" applyProtection="0"/>
    <xf numFmtId="4" fontId="103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59" fillId="2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103" fillId="30" borderId="235" applyNumberFormat="0" applyProtection="0">
      <alignment horizontal="right" vertical="center"/>
    </xf>
    <xf numFmtId="4" fontId="59" fillId="23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35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5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10" fontId="87" fillId="17" borderId="216" applyNumberFormat="0" applyBorder="0" applyAlignment="0" applyProtection="0"/>
    <xf numFmtId="4" fontId="59" fillId="2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87" fillId="61" borderId="216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4" fontId="59" fillId="27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59" fillId="22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100" fillId="29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117" fillId="54" borderId="241" applyNumberFormat="0" applyAlignment="0" applyProtection="0"/>
    <xf numFmtId="0" fontId="119" fillId="56" borderId="235" applyNumberFormat="0" applyAlignment="0" applyProtection="0"/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4" fontId="59" fillId="22" borderId="235" applyNumberFormat="0" applyProtection="0">
      <alignment horizontal="right" vertical="center"/>
    </xf>
    <xf numFmtId="0" fontId="117" fillId="54" borderId="241" applyNumberFormat="0" applyAlignment="0" applyProtection="0"/>
    <xf numFmtId="4" fontId="59" fillId="2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4" fontId="99" fillId="2" borderId="235" applyNumberFormat="0" applyProtection="0">
      <alignment vertical="center"/>
    </xf>
    <xf numFmtId="0" fontId="145" fillId="0" borderId="234" applyNumberFormat="0" applyFill="0" applyAlignment="0" applyProtection="0">
      <alignment vertical="center"/>
    </xf>
    <xf numFmtId="4" fontId="59" fillId="23" borderId="235" applyNumberFormat="0" applyProtection="0">
      <alignment horizontal="right" vertical="center"/>
    </xf>
    <xf numFmtId="0" fontId="117" fillId="54" borderId="241" applyNumberFormat="0" applyAlignment="0" applyProtection="0"/>
    <xf numFmtId="196" fontId="82" fillId="0" borderId="216" applyFill="0" applyBorder="0" applyAlignment="0"/>
    <xf numFmtId="4" fontId="59" fillId="26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4" fontId="103" fillId="30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59" fillId="25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0" fontId="119" fillId="56" borderId="235" applyNumberFormat="0" applyAlignment="0" applyProtection="0"/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0" fontId="55" fillId="34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24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19" fillId="56" borderId="235" applyNumberFormat="0" applyAlignment="0" applyProtection="0"/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0" fontId="89" fillId="0" borderId="197">
      <alignment horizontal="left" vertical="center"/>
    </xf>
    <xf numFmtId="4" fontId="59" fillId="23" borderId="235" applyNumberFormat="0" applyProtection="0">
      <alignment horizontal="right" vertical="center"/>
    </xf>
    <xf numFmtId="0" fontId="87" fillId="61" borderId="216"/>
    <xf numFmtId="4" fontId="100" fillId="29" borderId="235" applyNumberFormat="0" applyProtection="0">
      <alignment horizontal="left" vertical="center" indent="1"/>
    </xf>
    <xf numFmtId="0" fontId="89" fillId="0" borderId="197">
      <alignment horizontal="left" vertical="center"/>
    </xf>
    <xf numFmtId="4" fontId="59" fillId="27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32" borderId="235" applyNumberFormat="0" applyProtection="0">
      <alignment horizontal="left" vertical="center" indent="1"/>
    </xf>
    <xf numFmtId="4" fontId="59" fillId="20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8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0" fontId="156" fillId="98" borderId="232" applyNumberFormat="0" applyAlignment="0" applyProtection="0">
      <alignment vertical="center"/>
    </xf>
    <xf numFmtId="4" fontId="59" fillId="2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59" fillId="30" borderId="235" applyNumberFormat="0" applyProtection="0">
      <alignment horizontal="right" vertical="center"/>
    </xf>
    <xf numFmtId="4" fontId="59" fillId="28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0" fontId="55" fillId="19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0" fontId="162" fillId="111" borderId="235" applyNumberFormat="0" applyAlignment="0" applyProtection="0">
      <alignment vertical="center"/>
    </xf>
    <xf numFmtId="4" fontId="59" fillId="22" borderId="235" applyNumberFormat="0" applyProtection="0">
      <alignment horizontal="right" vertical="center"/>
    </xf>
    <xf numFmtId="0" fontId="120" fillId="60" borderId="240" applyBorder="0"/>
    <xf numFmtId="4" fontId="59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100" fillId="29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30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30" borderId="235" applyNumberFormat="0" applyProtection="0">
      <alignment horizontal="right" vertical="center"/>
    </xf>
    <xf numFmtId="0" fontId="55" fillId="34" borderId="235" applyNumberFormat="0" applyProtection="0">
      <alignment horizontal="left" vertical="center" indent="1"/>
    </xf>
    <xf numFmtId="4" fontId="59" fillId="30" borderId="237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4" fontId="59" fillId="30" borderId="235" applyNumberFormat="0" applyProtection="0">
      <alignment horizontal="left" vertical="center" indent="1"/>
    </xf>
    <xf numFmtId="0" fontId="150" fillId="111" borderId="232" applyNumberFormat="0" applyAlignment="0" applyProtection="0">
      <alignment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5" borderId="235" applyNumberFormat="0" applyProtection="0">
      <alignment vertical="center"/>
    </xf>
    <xf numFmtId="4" fontId="59" fillId="27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117" fillId="54" borderId="241" applyNumberFormat="0" applyAlignment="0" applyProtection="0"/>
    <xf numFmtId="4" fontId="59" fillId="27" borderId="235" applyNumberFormat="0" applyProtection="0">
      <alignment horizontal="right" vertical="center"/>
    </xf>
    <xf numFmtId="4" fontId="99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0" fontId="55" fillId="33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4" fontId="59" fillId="21" borderId="235" applyNumberFormat="0" applyProtection="0">
      <alignment horizontal="right" vertical="center"/>
    </xf>
    <xf numFmtId="4" fontId="59" fillId="25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59" fillId="23" borderId="235" applyNumberFormat="0" applyProtection="0">
      <alignment horizontal="right" vertical="center"/>
    </xf>
    <xf numFmtId="4" fontId="59" fillId="35" borderId="235" applyNumberFormat="0" applyProtection="0">
      <alignment horizontal="left" vertical="center" indent="1"/>
    </xf>
    <xf numFmtId="0" fontId="55" fillId="32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1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120" fillId="60" borderId="240" applyBorder="0"/>
    <xf numFmtId="0" fontId="55" fillId="32" borderId="235" applyNumberFormat="0" applyProtection="0">
      <alignment horizontal="left" vertical="center" indent="1"/>
    </xf>
    <xf numFmtId="4" fontId="59" fillId="24" borderId="235" applyNumberFormat="0" applyProtection="0">
      <alignment horizontal="right" vertical="center"/>
    </xf>
    <xf numFmtId="0" fontId="21" fillId="10" borderId="233" applyNumberFormat="0" applyFont="0" applyAlignment="0" applyProtection="0">
      <alignment vertical="center"/>
    </xf>
    <xf numFmtId="4" fontId="59" fillId="26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0" fontId="87" fillId="61" borderId="216"/>
    <xf numFmtId="4" fontId="59" fillId="2" borderId="235" applyNumberFormat="0" applyProtection="0">
      <alignment vertical="center"/>
    </xf>
    <xf numFmtId="0" fontId="120" fillId="60" borderId="240" applyBorder="0"/>
    <xf numFmtId="0" fontId="55" fillId="19" borderId="235" applyNumberFormat="0" applyProtection="0">
      <alignment horizontal="left" vertical="center" indent="1"/>
    </xf>
    <xf numFmtId="4" fontId="99" fillId="30" borderId="235" applyNumberFormat="0" applyProtection="0">
      <alignment horizontal="right" vertical="center"/>
    </xf>
    <xf numFmtId="0" fontId="55" fillId="32" borderId="235" applyNumberFormat="0" applyProtection="0">
      <alignment horizontal="left" vertical="center" indent="1"/>
    </xf>
    <xf numFmtId="4" fontId="59" fillId="26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87" fillId="53" borderId="241" applyNumberFormat="0" applyFont="0" applyAlignment="0" applyProtection="0"/>
    <xf numFmtId="4" fontId="59" fillId="30" borderId="235" applyNumberFormat="0" applyProtection="0">
      <alignment horizontal="left" vertical="center" indent="1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4" fontId="59" fillId="27" borderId="235" applyNumberFormat="0" applyProtection="0">
      <alignment horizontal="right" vertical="center"/>
    </xf>
    <xf numFmtId="4" fontId="59" fillId="22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4" fontId="99" fillId="2" borderId="235" applyNumberFormat="0" applyProtection="0">
      <alignment vertical="center"/>
    </xf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22" borderId="235" applyNumberFormat="0" applyProtection="0">
      <alignment horizontal="right" vertical="center"/>
    </xf>
    <xf numFmtId="0" fontId="119" fillId="56" borderId="235" applyNumberFormat="0" applyAlignment="0" applyProtection="0"/>
    <xf numFmtId="4" fontId="59" fillId="24" borderId="235" applyNumberFormat="0" applyProtection="0">
      <alignment horizontal="right" vertical="center"/>
    </xf>
    <xf numFmtId="4" fontId="59" fillId="35" borderId="235" applyNumberFormat="0" applyProtection="0">
      <alignment vertical="center"/>
    </xf>
    <xf numFmtId="4" fontId="59" fillId="30" borderId="237" applyNumberFormat="0" applyProtection="0">
      <alignment horizontal="left" vertical="center" indent="1"/>
    </xf>
    <xf numFmtId="4" fontId="59" fillId="35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0" fontId="113" fillId="56" borderId="241" applyNumberFormat="0" applyAlignment="0" applyProtection="0"/>
    <xf numFmtId="4" fontId="59" fillId="2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30" borderId="235" applyNumberFormat="0" applyProtection="0">
      <alignment horizontal="right" vertical="center"/>
    </xf>
    <xf numFmtId="0" fontId="59" fillId="0" borderId="0">
      <alignment vertical="top"/>
    </xf>
    <xf numFmtId="0" fontId="98" fillId="1" borderId="197" applyNumberFormat="0" applyFont="0" applyAlignment="0">
      <alignment horizontal="center"/>
    </xf>
    <xf numFmtId="0" fontId="55" fillId="19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3" borderId="235" applyNumberFormat="0" applyProtection="0">
      <alignment horizontal="right" vertical="center"/>
    </xf>
    <xf numFmtId="4" fontId="59" fillId="2" borderId="235" applyNumberFormat="0" applyProtection="0">
      <alignment vertical="center"/>
    </xf>
    <xf numFmtId="0" fontId="156" fillId="98" borderId="232" applyNumberFormat="0" applyAlignment="0" applyProtection="0">
      <alignment vertical="center"/>
    </xf>
    <xf numFmtId="4" fontId="59" fillId="22" borderId="235" applyNumberFormat="0" applyProtection="0">
      <alignment horizontal="right" vertical="center"/>
    </xf>
    <xf numFmtId="196" fontId="82" fillId="0" borderId="216" applyFill="0" applyBorder="0" applyAlignment="0"/>
    <xf numFmtId="196" fontId="82" fillId="0" borderId="216" applyFill="0" applyBorder="0" applyAlignment="0"/>
    <xf numFmtId="4" fontId="59" fillId="30" borderId="235" applyNumberFormat="0" applyProtection="0">
      <alignment horizontal="right" vertical="center"/>
    </xf>
    <xf numFmtId="0" fontId="55" fillId="19" borderId="235" applyNumberFormat="0" applyProtection="0">
      <alignment horizontal="left" vertical="center" indent="1"/>
    </xf>
    <xf numFmtId="4" fontId="59" fillId="32" borderId="235" applyNumberFormat="0" applyProtection="0">
      <alignment horizontal="left" vertical="center" indent="1"/>
    </xf>
    <xf numFmtId="4" fontId="59" fillId="25" borderId="235" applyNumberFormat="0" applyProtection="0">
      <alignment horizontal="right" vertical="center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8" borderId="235" applyNumberFormat="0" applyProtection="0">
      <alignment horizontal="right" vertical="center"/>
    </xf>
    <xf numFmtId="4" fontId="59" fillId="30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4" fontId="59" fillId="21" borderId="235" applyNumberFormat="0" applyProtection="0">
      <alignment horizontal="right" vertical="center"/>
    </xf>
    <xf numFmtId="0" fontId="87" fillId="53" borderId="241" applyNumberFormat="0" applyFont="0" applyAlignment="0" applyProtection="0"/>
    <xf numFmtId="4" fontId="59" fillId="25" borderId="235" applyNumberFormat="0" applyProtection="0">
      <alignment horizontal="right" vertical="center"/>
    </xf>
    <xf numFmtId="4" fontId="99" fillId="35" borderId="235" applyNumberFormat="0" applyProtection="0">
      <alignment vertical="center"/>
    </xf>
    <xf numFmtId="0" fontId="119" fillId="56" borderId="235" applyNumberFormat="0" applyAlignment="0" applyProtection="0"/>
    <xf numFmtId="4" fontId="99" fillId="2" borderId="235" applyNumberFormat="0" applyProtection="0">
      <alignment vertical="center"/>
    </xf>
    <xf numFmtId="0" fontId="55" fillId="19" borderId="235" applyNumberFormat="0" applyProtection="0">
      <alignment horizontal="left" vertical="center" indent="1"/>
    </xf>
    <xf numFmtId="4" fontId="59" fillId="35" borderId="235" applyNumberFormat="0" applyProtection="0">
      <alignment horizontal="left" vertical="center" indent="1"/>
    </xf>
    <xf numFmtId="0" fontId="55" fillId="33" borderId="235" applyNumberFormat="0" applyProtection="0">
      <alignment horizontal="left" vertical="center" indent="1"/>
    </xf>
    <xf numFmtId="0" fontId="117" fillId="54" borderId="241" applyNumberFormat="0" applyAlignment="0" applyProtection="0"/>
    <xf numFmtId="0" fontId="55" fillId="19" borderId="235" applyNumberFormat="0" applyProtection="0">
      <alignment horizontal="left" vertical="center" indent="1"/>
    </xf>
    <xf numFmtId="4" fontId="59" fillId="2" borderId="235" applyNumberFormat="0" applyProtection="0">
      <alignment horizontal="left" vertical="center" indent="1"/>
    </xf>
    <xf numFmtId="0" fontId="55" fillId="19" borderId="235" applyNumberFormat="0" applyProtection="0">
      <alignment horizontal="left" vertical="center" indent="1"/>
    </xf>
    <xf numFmtId="0" fontId="55" fillId="34" borderId="235" applyNumberFormat="0" applyProtection="0">
      <alignment horizontal="left" vertical="center" indent="1"/>
    </xf>
    <xf numFmtId="0" fontId="59" fillId="0" borderId="0">
      <alignment vertical="top"/>
    </xf>
    <xf numFmtId="0" fontId="7" fillId="0" borderId="0">
      <alignment vertical="center"/>
    </xf>
    <xf numFmtId="0" fontId="7" fillId="0" borderId="0">
      <alignment vertical="center"/>
    </xf>
    <xf numFmtId="0" fontId="64" fillId="0" borderId="247">
      <alignment horizontal="center"/>
    </xf>
    <xf numFmtId="3" fontId="66" fillId="0" borderId="242"/>
    <xf numFmtId="0" fontId="98" fillId="1" borderId="248" applyNumberFormat="0" applyFont="0" applyAlignment="0">
      <alignment horizontal="center"/>
    </xf>
    <xf numFmtId="4" fontId="103" fillId="30" borderId="249" applyNumberFormat="0" applyProtection="0">
      <alignment horizontal="right" vertical="center"/>
    </xf>
    <xf numFmtId="0" fontId="55" fillId="19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99" fillId="30" borderId="249" applyNumberFormat="0" applyProtection="0">
      <alignment horizontal="right" vertical="center"/>
    </xf>
    <xf numFmtId="4" fontId="59" fillId="30" borderId="249" applyNumberFormat="0" applyProtection="0">
      <alignment horizontal="right" vertical="center"/>
    </xf>
    <xf numFmtId="4" fontId="59" fillId="35" borderId="249" applyNumberFormat="0" applyProtection="0">
      <alignment horizontal="left" vertical="center" indent="1"/>
    </xf>
    <xf numFmtId="4" fontId="59" fillId="35" borderId="249" applyNumberFormat="0" applyProtection="0">
      <alignment horizontal="left" vertical="center" indent="1"/>
    </xf>
    <xf numFmtId="4" fontId="99" fillId="35" borderId="249" applyNumberFormat="0" applyProtection="0">
      <alignment vertical="center"/>
    </xf>
    <xf numFmtId="4" fontId="59" fillId="35" borderId="249" applyNumberFormat="0" applyProtection="0">
      <alignment vertical="center"/>
    </xf>
    <xf numFmtId="0" fontId="55" fillId="19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0" fontId="55" fillId="34" borderId="249" applyNumberFormat="0" applyProtection="0">
      <alignment horizontal="left" vertical="center" indent="1"/>
    </xf>
    <xf numFmtId="0" fontId="55" fillId="34" borderId="249" applyNumberFormat="0" applyProtection="0">
      <alignment horizontal="left" vertical="center" indent="1"/>
    </xf>
    <xf numFmtId="0" fontId="55" fillId="33" borderId="249" applyNumberFormat="0" applyProtection="0">
      <alignment horizontal="left" vertical="center" indent="1"/>
    </xf>
    <xf numFmtId="0" fontId="55" fillId="33" borderId="249" applyNumberFormat="0" applyProtection="0">
      <alignment horizontal="left" vertical="center" indent="1"/>
    </xf>
    <xf numFmtId="0" fontId="55" fillId="32" borderId="249" applyNumberFormat="0" applyProtection="0">
      <alignment horizontal="left" vertical="center" indent="1"/>
    </xf>
    <xf numFmtId="0" fontId="55" fillId="32" borderId="249" applyNumberFormat="0" applyProtection="0">
      <alignment horizontal="left" vertical="center" indent="1"/>
    </xf>
    <xf numFmtId="4" fontId="59" fillId="32" borderId="249" applyNumberFormat="0" applyProtection="0">
      <alignment horizontal="left" vertical="center" indent="1"/>
    </xf>
    <xf numFmtId="4" fontId="59" fillId="30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59" fillId="30" borderId="250" applyNumberFormat="0" applyProtection="0">
      <alignment horizontal="left" vertical="center" indent="1"/>
    </xf>
    <xf numFmtId="4" fontId="100" fillId="29" borderId="249" applyNumberFormat="0" applyProtection="0">
      <alignment horizontal="left" vertical="center" indent="1"/>
    </xf>
    <xf numFmtId="4" fontId="59" fillId="28" borderId="249" applyNumberFormat="0" applyProtection="0">
      <alignment horizontal="right" vertical="center"/>
    </xf>
    <xf numFmtId="4" fontId="59" fillId="27" borderId="249" applyNumberFormat="0" applyProtection="0">
      <alignment horizontal="right" vertical="center"/>
    </xf>
    <xf numFmtId="4" fontId="59" fillId="26" borderId="249" applyNumberFormat="0" applyProtection="0">
      <alignment horizontal="right" vertical="center"/>
    </xf>
    <xf numFmtId="4" fontId="59" fillId="25" borderId="249" applyNumberFormat="0" applyProtection="0">
      <alignment horizontal="right" vertical="center"/>
    </xf>
    <xf numFmtId="4" fontId="59" fillId="24" borderId="249" applyNumberFormat="0" applyProtection="0">
      <alignment horizontal="right" vertical="center"/>
    </xf>
    <xf numFmtId="4" fontId="59" fillId="23" borderId="249" applyNumberFormat="0" applyProtection="0">
      <alignment horizontal="right" vertical="center"/>
    </xf>
    <xf numFmtId="4" fontId="59" fillId="22" borderId="249" applyNumberFormat="0" applyProtection="0">
      <alignment horizontal="right" vertical="center"/>
    </xf>
    <xf numFmtId="4" fontId="59" fillId="21" borderId="249" applyNumberFormat="0" applyProtection="0">
      <alignment horizontal="right" vertical="center"/>
    </xf>
    <xf numFmtId="4" fontId="59" fillId="20" borderId="249" applyNumberFormat="0" applyProtection="0">
      <alignment horizontal="right" vertical="center"/>
    </xf>
    <xf numFmtId="0" fontId="55" fillId="19" borderId="249" applyNumberFormat="0" applyProtection="0">
      <alignment horizontal="left" vertical="center" indent="1"/>
    </xf>
    <xf numFmtId="4" fontId="59" fillId="2" borderId="249" applyNumberFormat="0" applyProtection="0">
      <alignment horizontal="left" vertical="center" indent="1"/>
    </xf>
    <xf numFmtId="4" fontId="59" fillId="2" borderId="249" applyNumberFormat="0" applyProtection="0">
      <alignment horizontal="left" vertical="center" indent="1"/>
    </xf>
    <xf numFmtId="4" fontId="99" fillId="2" borderId="249" applyNumberFormat="0" applyProtection="0">
      <alignment vertical="center"/>
    </xf>
    <xf numFmtId="4" fontId="59" fillId="2" borderId="249" applyNumberFormat="0" applyProtection="0">
      <alignment vertical="center"/>
    </xf>
    <xf numFmtId="0" fontId="89" fillId="0" borderId="248">
      <alignment horizontal="left" vertical="center"/>
    </xf>
    <xf numFmtId="0" fontId="96" fillId="0" borderId="111"/>
    <xf numFmtId="0" fontId="91" fillId="0" borderId="111">
      <alignment horizontal="center"/>
    </xf>
    <xf numFmtId="3" fontId="66" fillId="0" borderId="242"/>
    <xf numFmtId="3" fontId="66" fillId="0" borderId="242"/>
    <xf numFmtId="196" fontId="82" fillId="0" borderId="242" applyFill="0" applyBorder="0" applyAlignment="0"/>
    <xf numFmtId="10" fontId="87" fillId="17" borderId="242" applyNumberFormat="0" applyBorder="0" applyAlignment="0" applyProtection="0"/>
    <xf numFmtId="3" fontId="66" fillId="0" borderId="251"/>
    <xf numFmtId="3" fontId="66" fillId="0" borderId="251"/>
    <xf numFmtId="41" fontId="72" fillId="0" borderId="0" applyFont="0" applyFill="0" applyBorder="0" applyAlignment="0" applyProtection="0">
      <alignment vertical="center"/>
    </xf>
    <xf numFmtId="0" fontId="72" fillId="0" borderId="0">
      <alignment vertical="center"/>
    </xf>
    <xf numFmtId="3" fontId="66" fillId="0" borderId="251"/>
    <xf numFmtId="196" fontId="82" fillId="0" borderId="251" applyFill="0" applyBorder="0" applyAlignment="0"/>
    <xf numFmtId="10" fontId="87" fillId="17" borderId="251" applyNumberFormat="0" applyBorder="0" applyAlignment="0" applyProtection="0"/>
    <xf numFmtId="4" fontId="59" fillId="2" borderId="249" applyNumberFormat="0" applyProtection="0">
      <alignment vertical="center"/>
    </xf>
    <xf numFmtId="4" fontId="99" fillId="2" borderId="249" applyNumberFormat="0" applyProtection="0">
      <alignment vertical="center"/>
    </xf>
    <xf numFmtId="4" fontId="59" fillId="2" borderId="249" applyNumberFormat="0" applyProtection="0">
      <alignment horizontal="left" vertical="center" indent="1"/>
    </xf>
    <xf numFmtId="4" fontId="59" fillId="2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59" fillId="20" borderId="249" applyNumberFormat="0" applyProtection="0">
      <alignment horizontal="right" vertical="center"/>
    </xf>
    <xf numFmtId="4" fontId="59" fillId="21" borderId="249" applyNumberFormat="0" applyProtection="0">
      <alignment horizontal="right" vertical="center"/>
    </xf>
    <xf numFmtId="4" fontId="59" fillId="22" borderId="249" applyNumberFormat="0" applyProtection="0">
      <alignment horizontal="right" vertical="center"/>
    </xf>
    <xf numFmtId="4" fontId="59" fillId="23" borderId="249" applyNumberFormat="0" applyProtection="0">
      <alignment horizontal="right" vertical="center"/>
    </xf>
    <xf numFmtId="4" fontId="59" fillId="24" borderId="249" applyNumberFormat="0" applyProtection="0">
      <alignment horizontal="right" vertical="center"/>
    </xf>
    <xf numFmtId="4" fontId="59" fillId="25" borderId="249" applyNumberFormat="0" applyProtection="0">
      <alignment horizontal="right" vertical="center"/>
    </xf>
    <xf numFmtId="4" fontId="59" fillId="26" borderId="249" applyNumberFormat="0" applyProtection="0">
      <alignment horizontal="right" vertical="center"/>
    </xf>
    <xf numFmtId="4" fontId="59" fillId="27" borderId="249" applyNumberFormat="0" applyProtection="0">
      <alignment horizontal="right" vertical="center"/>
    </xf>
    <xf numFmtId="4" fontId="59" fillId="28" borderId="249" applyNumberFormat="0" applyProtection="0">
      <alignment horizontal="right" vertical="center"/>
    </xf>
    <xf numFmtId="4" fontId="100" fillId="29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59" fillId="30" borderId="249" applyNumberFormat="0" applyProtection="0">
      <alignment horizontal="left" vertical="center" indent="1"/>
    </xf>
    <xf numFmtId="4" fontId="59" fillId="32" borderId="249" applyNumberFormat="0" applyProtection="0">
      <alignment horizontal="left" vertical="center" indent="1"/>
    </xf>
    <xf numFmtId="0" fontId="55" fillId="32" borderId="249" applyNumberFormat="0" applyProtection="0">
      <alignment horizontal="left" vertical="center" indent="1"/>
    </xf>
    <xf numFmtId="0" fontId="55" fillId="32" borderId="249" applyNumberFormat="0" applyProtection="0">
      <alignment horizontal="left" vertical="center" indent="1"/>
    </xf>
    <xf numFmtId="0" fontId="55" fillId="33" borderId="249" applyNumberFormat="0" applyProtection="0">
      <alignment horizontal="left" vertical="center" indent="1"/>
    </xf>
    <xf numFmtId="0" fontId="55" fillId="33" borderId="249" applyNumberFormat="0" applyProtection="0">
      <alignment horizontal="left" vertical="center" indent="1"/>
    </xf>
    <xf numFmtId="0" fontId="55" fillId="34" borderId="249" applyNumberFormat="0" applyProtection="0">
      <alignment horizontal="left" vertical="center" indent="1"/>
    </xf>
    <xf numFmtId="0" fontId="55" fillId="34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59" fillId="35" borderId="249" applyNumberFormat="0" applyProtection="0">
      <alignment vertical="center"/>
    </xf>
    <xf numFmtId="4" fontId="99" fillId="35" borderId="249" applyNumberFormat="0" applyProtection="0">
      <alignment vertical="center"/>
    </xf>
    <xf numFmtId="4" fontId="59" fillId="35" borderId="249" applyNumberFormat="0" applyProtection="0">
      <alignment horizontal="left" vertical="center" indent="1"/>
    </xf>
    <xf numFmtId="4" fontId="59" fillId="35" borderId="249" applyNumberFormat="0" applyProtection="0">
      <alignment horizontal="left" vertical="center" indent="1"/>
    </xf>
    <xf numFmtId="4" fontId="59" fillId="30" borderId="249" applyNumberFormat="0" applyProtection="0">
      <alignment horizontal="right" vertical="center"/>
    </xf>
    <xf numFmtId="4" fontId="99" fillId="30" borderId="249" applyNumberFormat="0" applyProtection="0">
      <alignment horizontal="right" vertical="center"/>
    </xf>
    <xf numFmtId="0" fontId="55" fillId="19" borderId="249" applyNumberFormat="0" applyProtection="0">
      <alignment horizontal="left" vertical="center" indent="1"/>
    </xf>
    <xf numFmtId="0" fontId="55" fillId="19" borderId="249" applyNumberFormat="0" applyProtection="0">
      <alignment horizontal="left" vertical="center" indent="1"/>
    </xf>
    <xf numFmtId="4" fontId="103" fillId="30" borderId="249" applyNumberFormat="0" applyProtection="0">
      <alignment horizontal="right" vertical="center"/>
    </xf>
    <xf numFmtId="0" fontId="150" fillId="111" borderId="252" applyNumberFormat="0" applyAlignment="0" applyProtection="0">
      <alignment vertical="center"/>
    </xf>
    <xf numFmtId="0" fontId="150" fillId="111" borderId="252" applyNumberFormat="0" applyAlignment="0" applyProtection="0">
      <alignment vertical="center"/>
    </xf>
    <xf numFmtId="0" fontId="21" fillId="10" borderId="253" applyNumberFormat="0" applyFont="0" applyAlignment="0" applyProtection="0">
      <alignment vertical="center"/>
    </xf>
    <xf numFmtId="0" fontId="21" fillId="10" borderId="253" applyNumberFormat="0" applyFont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9" fontId="72" fillId="0" borderId="0" applyFont="0" applyFill="0" applyBorder="0" applyAlignment="0" applyProtection="0">
      <alignment vertical="center"/>
    </xf>
    <xf numFmtId="41" fontId="72" fillId="0" borderId="0" applyFont="0" applyFill="0" applyBorder="0" applyAlignment="0" applyProtection="0">
      <alignment vertical="center"/>
    </xf>
    <xf numFmtId="0" fontId="145" fillId="0" borderId="254" applyNumberFormat="0" applyFill="0" applyAlignment="0" applyProtection="0">
      <alignment vertical="center"/>
    </xf>
    <xf numFmtId="0" fontId="145" fillId="0" borderId="254" applyNumberFormat="0" applyFill="0" applyAlignment="0" applyProtection="0">
      <alignment vertical="center"/>
    </xf>
    <xf numFmtId="0" fontId="156" fillId="98" borderId="252" applyNumberFormat="0" applyAlignment="0" applyProtection="0">
      <alignment vertical="center"/>
    </xf>
    <xf numFmtId="0" fontId="156" fillId="98" borderId="252" applyNumberFormat="0" applyAlignment="0" applyProtection="0">
      <alignment vertical="center"/>
    </xf>
    <xf numFmtId="0" fontId="162" fillId="111" borderId="249" applyNumberFormat="0" applyAlignment="0" applyProtection="0">
      <alignment vertical="center"/>
    </xf>
    <xf numFmtId="0" fontId="162" fillId="111" borderId="249" applyNumberFormat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41" fontId="205" fillId="0" borderId="0" applyFont="0" applyFill="0" applyBorder="0" applyAlignment="0" applyProtection="0">
      <alignment vertical="center"/>
    </xf>
    <xf numFmtId="4" fontId="59" fillId="2" borderId="401" applyNumberFormat="0" applyProtection="0">
      <alignment vertical="center"/>
    </xf>
    <xf numFmtId="4" fontId="99" fillId="2" borderId="401" applyNumberFormat="0" applyProtection="0">
      <alignment vertical="center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59" fillId="20" borderId="401" applyNumberFormat="0" applyProtection="0">
      <alignment horizontal="right" vertical="center"/>
    </xf>
    <xf numFmtId="4" fontId="59" fillId="21" borderId="401" applyNumberFormat="0" applyProtection="0">
      <alignment horizontal="right" vertical="center"/>
    </xf>
    <xf numFmtId="4" fontId="59" fillId="22" borderId="401" applyNumberFormat="0" applyProtection="0">
      <alignment horizontal="right" vertical="center"/>
    </xf>
    <xf numFmtId="4" fontId="59" fillId="23" borderId="401" applyNumberFormat="0" applyProtection="0">
      <alignment horizontal="right" vertical="center"/>
    </xf>
    <xf numFmtId="4" fontId="59" fillId="24" borderId="401" applyNumberFormat="0" applyProtection="0">
      <alignment horizontal="right" vertical="center"/>
    </xf>
    <xf numFmtId="4" fontId="59" fillId="25" borderId="401" applyNumberFormat="0" applyProtection="0">
      <alignment horizontal="right" vertical="center"/>
    </xf>
    <xf numFmtId="4" fontId="59" fillId="26" borderId="401" applyNumberFormat="0" applyProtection="0">
      <alignment horizontal="right" vertical="center"/>
    </xf>
    <xf numFmtId="4" fontId="59" fillId="27" borderId="401" applyNumberFormat="0" applyProtection="0">
      <alignment horizontal="right" vertical="center"/>
    </xf>
    <xf numFmtId="4" fontId="59" fillId="28" borderId="401" applyNumberFormat="0" applyProtection="0">
      <alignment horizontal="right" vertical="center"/>
    </xf>
    <xf numFmtId="4" fontId="100" fillId="29" borderId="401" applyNumberFormat="0" applyProtection="0">
      <alignment horizontal="left" vertical="center" indent="1"/>
    </xf>
    <xf numFmtId="4" fontId="59" fillId="30" borderId="402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59" fillId="30" borderId="401" applyNumberFormat="0" applyProtection="0">
      <alignment horizontal="left" vertical="center" indent="1"/>
    </xf>
    <xf numFmtId="4" fontId="59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59" fillId="35" borderId="401" applyNumberFormat="0" applyProtection="0">
      <alignment vertical="center"/>
    </xf>
    <xf numFmtId="4" fontId="99" fillId="35" borderId="401" applyNumberFormat="0" applyProtection="0">
      <alignment vertical="center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0" borderId="401" applyNumberFormat="0" applyProtection="0">
      <alignment horizontal="right" vertical="center"/>
    </xf>
    <xf numFmtId="4" fontId="99" fillId="30" borderId="401" applyNumberFormat="0" applyProtection="0">
      <alignment horizontal="right" vertical="center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103" fillId="30" borderId="401" applyNumberFormat="0" applyProtection="0">
      <alignment horizontal="right" vertical="center"/>
    </xf>
    <xf numFmtId="0" fontId="150" fillId="111" borderId="403" applyNumberFormat="0" applyAlignment="0" applyProtection="0">
      <alignment vertical="center"/>
    </xf>
    <xf numFmtId="0" fontId="21" fillId="10" borderId="404" applyNumberFormat="0" applyFont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45" fillId="0" borderId="405" applyNumberFormat="0" applyFill="0" applyAlignment="0" applyProtection="0">
      <alignment vertical="center"/>
    </xf>
    <xf numFmtId="0" fontId="156" fillId="98" borderId="403" applyNumberForma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2" fillId="111" borderId="401" applyNumberFormat="0" applyAlignment="0" applyProtection="0">
      <alignment vertical="center"/>
    </xf>
    <xf numFmtId="0" fontId="21" fillId="0" borderId="0"/>
    <xf numFmtId="0" fontId="21" fillId="0" borderId="0"/>
    <xf numFmtId="0" fontId="60" fillId="0" borderId="0">
      <protection locked="0"/>
    </xf>
    <xf numFmtId="0" fontId="64" fillId="0" borderId="384">
      <alignment horizontal="center"/>
    </xf>
    <xf numFmtId="3" fontId="66" fillId="0" borderId="415"/>
    <xf numFmtId="3" fontId="66" fillId="0" borderId="415"/>
    <xf numFmtId="3" fontId="66" fillId="0" borderId="415"/>
    <xf numFmtId="196" fontId="82" fillId="0" borderId="415" applyFill="0" applyBorder="0" applyAlignment="0"/>
    <xf numFmtId="0" fontId="89" fillId="0" borderId="416">
      <alignment horizontal="left" vertical="center"/>
    </xf>
    <xf numFmtId="10" fontId="87" fillId="17" borderId="415" applyNumberFormat="0" applyBorder="0" applyAlignment="0" applyProtection="0"/>
    <xf numFmtId="0" fontId="98" fillId="1" borderId="416" applyNumberFormat="0" applyFont="0" applyAlignment="0">
      <alignment horizontal="center"/>
    </xf>
    <xf numFmtId="3" fontId="66" fillId="0" borderId="415"/>
    <xf numFmtId="3" fontId="66" fillId="0" borderId="415"/>
    <xf numFmtId="3" fontId="66" fillId="0" borderId="415"/>
    <xf numFmtId="0" fontId="113" fillId="56" borderId="417" applyNumberFormat="0" applyAlignment="0" applyProtection="0"/>
    <xf numFmtId="0" fontId="113" fillId="56" borderId="417" applyNumberFormat="0" applyAlignment="0" applyProtection="0"/>
    <xf numFmtId="0" fontId="113" fillId="56" borderId="417" applyNumberFormat="0" applyAlignment="0" applyProtection="0"/>
    <xf numFmtId="0" fontId="113" fillId="56" borderId="417" applyNumberFormat="0" applyAlignment="0" applyProtection="0"/>
    <xf numFmtId="0" fontId="113" fillId="56" borderId="417" applyNumberFormat="0" applyAlignment="0" applyProtection="0"/>
    <xf numFmtId="196" fontId="82" fillId="0" borderId="415" applyFill="0" applyBorder="0" applyAlignment="0"/>
    <xf numFmtId="0" fontId="89" fillId="0" borderId="416">
      <alignment horizontal="left" vertical="center"/>
    </xf>
    <xf numFmtId="0" fontId="89" fillId="0" borderId="416">
      <alignment horizontal="left" vertical="center"/>
    </xf>
    <xf numFmtId="0" fontId="117" fillId="54" borderId="417" applyNumberFormat="0" applyAlignment="0" applyProtection="0"/>
    <xf numFmtId="10" fontId="87" fillId="17" borderId="415" applyNumberFormat="0" applyBorder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117" fillId="54" borderId="417" applyNumberFormat="0" applyAlignment="0" applyProtection="0"/>
    <xf numFmtId="0" fontId="87" fillId="53" borderId="417" applyNumberFormat="0" applyFont="0" applyAlignment="0" applyProtection="0"/>
    <xf numFmtId="0" fontId="87" fillId="53" borderId="417" applyNumberFormat="0" applyFont="0" applyAlignment="0" applyProtection="0"/>
    <xf numFmtId="0" fontId="87" fillId="53" borderId="417" applyNumberFormat="0" applyFont="0" applyAlignment="0" applyProtection="0"/>
    <xf numFmtId="0" fontId="87" fillId="53" borderId="417" applyNumberFormat="0" applyFont="0" applyAlignment="0" applyProtection="0"/>
    <xf numFmtId="0" fontId="87" fillId="53" borderId="417" applyNumberFormat="0" applyFont="0" applyAlignment="0" applyProtection="0"/>
    <xf numFmtId="0" fontId="119" fillId="56" borderId="401" applyNumberFormat="0" applyAlignment="0" applyProtection="0"/>
    <xf numFmtId="0" fontId="119" fillId="56" borderId="401" applyNumberFormat="0" applyAlignment="0" applyProtection="0"/>
    <xf numFmtId="0" fontId="119" fillId="56" borderId="401" applyNumberFormat="0" applyAlignment="0" applyProtection="0"/>
    <xf numFmtId="0" fontId="119" fillId="56" borderId="401" applyNumberFormat="0" applyAlignment="0" applyProtection="0"/>
    <xf numFmtId="0" fontId="119" fillId="56" borderId="401" applyNumberFormat="0" applyAlignment="0" applyProtection="0"/>
    <xf numFmtId="4" fontId="59" fillId="2" borderId="401" applyNumberFormat="0" applyProtection="0">
      <alignment vertical="center"/>
    </xf>
    <xf numFmtId="4" fontId="59" fillId="2" borderId="401" applyNumberFormat="0" applyProtection="0">
      <alignment vertical="center"/>
    </xf>
    <xf numFmtId="4" fontId="59" fillId="2" borderId="401" applyNumberFormat="0" applyProtection="0">
      <alignment vertical="center"/>
    </xf>
    <xf numFmtId="4" fontId="59" fillId="2" borderId="401" applyNumberFormat="0" applyProtection="0">
      <alignment vertical="center"/>
    </xf>
    <xf numFmtId="4" fontId="99" fillId="2" borderId="401" applyNumberFormat="0" applyProtection="0">
      <alignment vertical="center"/>
    </xf>
    <xf numFmtId="4" fontId="99" fillId="2" borderId="401" applyNumberFormat="0" applyProtection="0">
      <alignment vertical="center"/>
    </xf>
    <xf numFmtId="4" fontId="99" fillId="2" borderId="401" applyNumberFormat="0" applyProtection="0">
      <alignment vertical="center"/>
    </xf>
    <xf numFmtId="4" fontId="99" fillId="2" borderId="401" applyNumberFormat="0" applyProtection="0">
      <alignment vertical="center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4" fontId="59" fillId="2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59" fillId="20" borderId="401" applyNumberFormat="0" applyProtection="0">
      <alignment horizontal="right" vertical="center"/>
    </xf>
    <xf numFmtId="4" fontId="59" fillId="20" borderId="401" applyNumberFormat="0" applyProtection="0">
      <alignment horizontal="right" vertical="center"/>
    </xf>
    <xf numFmtId="4" fontId="59" fillId="20" borderId="401" applyNumberFormat="0" applyProtection="0">
      <alignment horizontal="right" vertical="center"/>
    </xf>
    <xf numFmtId="4" fontId="59" fillId="20" borderId="401" applyNumberFormat="0" applyProtection="0">
      <alignment horizontal="right" vertical="center"/>
    </xf>
    <xf numFmtId="4" fontId="59" fillId="21" borderId="401" applyNumberFormat="0" applyProtection="0">
      <alignment horizontal="right" vertical="center"/>
    </xf>
    <xf numFmtId="4" fontId="59" fillId="21" borderId="401" applyNumberFormat="0" applyProtection="0">
      <alignment horizontal="right" vertical="center"/>
    </xf>
    <xf numFmtId="4" fontId="59" fillId="21" borderId="401" applyNumberFormat="0" applyProtection="0">
      <alignment horizontal="right" vertical="center"/>
    </xf>
    <xf numFmtId="4" fontId="59" fillId="21" borderId="401" applyNumberFormat="0" applyProtection="0">
      <alignment horizontal="right" vertical="center"/>
    </xf>
    <xf numFmtId="4" fontId="59" fillId="22" borderId="401" applyNumberFormat="0" applyProtection="0">
      <alignment horizontal="right" vertical="center"/>
    </xf>
    <xf numFmtId="4" fontId="59" fillId="22" borderId="401" applyNumberFormat="0" applyProtection="0">
      <alignment horizontal="right" vertical="center"/>
    </xf>
    <xf numFmtId="4" fontId="59" fillId="22" borderId="401" applyNumberFormat="0" applyProtection="0">
      <alignment horizontal="right" vertical="center"/>
    </xf>
    <xf numFmtId="4" fontId="59" fillId="22" borderId="401" applyNumberFormat="0" applyProtection="0">
      <alignment horizontal="right" vertical="center"/>
    </xf>
    <xf numFmtId="4" fontId="59" fillId="23" borderId="401" applyNumberFormat="0" applyProtection="0">
      <alignment horizontal="right" vertical="center"/>
    </xf>
    <xf numFmtId="4" fontId="59" fillId="23" borderId="401" applyNumberFormat="0" applyProtection="0">
      <alignment horizontal="right" vertical="center"/>
    </xf>
    <xf numFmtId="4" fontId="59" fillId="23" borderId="401" applyNumberFormat="0" applyProtection="0">
      <alignment horizontal="right" vertical="center"/>
    </xf>
    <xf numFmtId="4" fontId="59" fillId="23" borderId="401" applyNumberFormat="0" applyProtection="0">
      <alignment horizontal="right" vertical="center"/>
    </xf>
    <xf numFmtId="4" fontId="59" fillId="24" borderId="401" applyNumberFormat="0" applyProtection="0">
      <alignment horizontal="right" vertical="center"/>
    </xf>
    <xf numFmtId="4" fontId="59" fillId="24" borderId="401" applyNumberFormat="0" applyProtection="0">
      <alignment horizontal="right" vertical="center"/>
    </xf>
    <xf numFmtId="4" fontId="59" fillId="24" borderId="401" applyNumberFormat="0" applyProtection="0">
      <alignment horizontal="right" vertical="center"/>
    </xf>
    <xf numFmtId="4" fontId="59" fillId="24" borderId="401" applyNumberFormat="0" applyProtection="0">
      <alignment horizontal="right" vertical="center"/>
    </xf>
    <xf numFmtId="4" fontId="59" fillId="25" borderId="401" applyNumberFormat="0" applyProtection="0">
      <alignment horizontal="right" vertical="center"/>
    </xf>
    <xf numFmtId="4" fontId="59" fillId="25" borderId="401" applyNumberFormat="0" applyProtection="0">
      <alignment horizontal="right" vertical="center"/>
    </xf>
    <xf numFmtId="4" fontId="59" fillId="25" borderId="401" applyNumberFormat="0" applyProtection="0">
      <alignment horizontal="right" vertical="center"/>
    </xf>
    <xf numFmtId="4" fontId="59" fillId="25" borderId="401" applyNumberFormat="0" applyProtection="0">
      <alignment horizontal="right" vertical="center"/>
    </xf>
    <xf numFmtId="4" fontId="59" fillId="26" borderId="401" applyNumberFormat="0" applyProtection="0">
      <alignment horizontal="right" vertical="center"/>
    </xf>
    <xf numFmtId="4" fontId="59" fillId="26" borderId="401" applyNumberFormat="0" applyProtection="0">
      <alignment horizontal="right" vertical="center"/>
    </xf>
    <xf numFmtId="4" fontId="59" fillId="26" borderId="401" applyNumberFormat="0" applyProtection="0">
      <alignment horizontal="right" vertical="center"/>
    </xf>
    <xf numFmtId="4" fontId="59" fillId="26" borderId="401" applyNumberFormat="0" applyProtection="0">
      <alignment horizontal="right" vertical="center"/>
    </xf>
    <xf numFmtId="4" fontId="59" fillId="27" borderId="401" applyNumberFormat="0" applyProtection="0">
      <alignment horizontal="right" vertical="center"/>
    </xf>
    <xf numFmtId="4" fontId="59" fillId="27" borderId="401" applyNumberFormat="0" applyProtection="0">
      <alignment horizontal="right" vertical="center"/>
    </xf>
    <xf numFmtId="4" fontId="59" fillId="27" borderId="401" applyNumberFormat="0" applyProtection="0">
      <alignment horizontal="right" vertical="center"/>
    </xf>
    <xf numFmtId="4" fontId="59" fillId="27" borderId="401" applyNumberFormat="0" applyProtection="0">
      <alignment horizontal="right" vertical="center"/>
    </xf>
    <xf numFmtId="4" fontId="59" fillId="28" borderId="401" applyNumberFormat="0" applyProtection="0">
      <alignment horizontal="right" vertical="center"/>
    </xf>
    <xf numFmtId="4" fontId="59" fillId="28" borderId="401" applyNumberFormat="0" applyProtection="0">
      <alignment horizontal="right" vertical="center"/>
    </xf>
    <xf numFmtId="4" fontId="59" fillId="28" borderId="401" applyNumberFormat="0" applyProtection="0">
      <alignment horizontal="right" vertical="center"/>
    </xf>
    <xf numFmtId="4" fontId="59" fillId="28" borderId="401" applyNumberFormat="0" applyProtection="0">
      <alignment horizontal="right" vertical="center"/>
    </xf>
    <xf numFmtId="4" fontId="100" fillId="29" borderId="401" applyNumberFormat="0" applyProtection="0">
      <alignment horizontal="left" vertical="center" indent="1"/>
    </xf>
    <xf numFmtId="4" fontId="100" fillId="29" borderId="401" applyNumberFormat="0" applyProtection="0">
      <alignment horizontal="left" vertical="center" indent="1"/>
    </xf>
    <xf numFmtId="4" fontId="100" fillId="29" borderId="401" applyNumberFormat="0" applyProtection="0">
      <alignment horizontal="left" vertical="center" indent="1"/>
    </xf>
    <xf numFmtId="4" fontId="100" fillId="29" borderId="401" applyNumberFormat="0" applyProtection="0">
      <alignment horizontal="left" vertical="center" indent="1"/>
    </xf>
    <xf numFmtId="4" fontId="59" fillId="30" borderId="402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4" fontId="59" fillId="30" borderId="401" applyNumberFormat="0" applyProtection="0">
      <alignment horizontal="left" vertical="center" indent="1"/>
    </xf>
    <xf numFmtId="4" fontId="59" fillId="30" borderId="401" applyNumberFormat="0" applyProtection="0">
      <alignment horizontal="left" vertical="center" indent="1"/>
    </xf>
    <xf numFmtId="4" fontId="59" fillId="30" borderId="401" applyNumberFormat="0" applyProtection="0">
      <alignment horizontal="left" vertical="center" indent="1"/>
    </xf>
    <xf numFmtId="4" fontId="59" fillId="30" borderId="401" applyNumberFormat="0" applyProtection="0">
      <alignment horizontal="left" vertical="center" indent="1"/>
    </xf>
    <xf numFmtId="4" fontId="59" fillId="32" borderId="401" applyNumberFormat="0" applyProtection="0">
      <alignment horizontal="left" vertical="center" indent="1"/>
    </xf>
    <xf numFmtId="4" fontId="59" fillId="32" borderId="401" applyNumberFormat="0" applyProtection="0">
      <alignment horizontal="left" vertical="center" indent="1"/>
    </xf>
    <xf numFmtId="4" fontId="59" fillId="32" borderId="401" applyNumberFormat="0" applyProtection="0">
      <alignment horizontal="left" vertical="center" indent="1"/>
    </xf>
    <xf numFmtId="4" fontId="59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2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3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34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120" fillId="60" borderId="418" applyBorder="0"/>
    <xf numFmtId="0" fontId="120" fillId="60" borderId="418" applyBorder="0"/>
    <xf numFmtId="0" fontId="120" fillId="60" borderId="418" applyBorder="0"/>
    <xf numFmtId="0" fontId="120" fillId="60" borderId="418" applyBorder="0"/>
    <xf numFmtId="0" fontId="120" fillId="60" borderId="418" applyBorder="0"/>
    <xf numFmtId="0" fontId="120" fillId="60" borderId="418" applyBorder="0"/>
    <xf numFmtId="4" fontId="59" fillId="35" borderId="401" applyNumberFormat="0" applyProtection="0">
      <alignment vertical="center"/>
    </xf>
    <xf numFmtId="4" fontId="59" fillId="35" borderId="401" applyNumberFormat="0" applyProtection="0">
      <alignment vertical="center"/>
    </xf>
    <xf numFmtId="4" fontId="59" fillId="35" borderId="401" applyNumberFormat="0" applyProtection="0">
      <alignment vertical="center"/>
    </xf>
    <xf numFmtId="4" fontId="59" fillId="35" borderId="401" applyNumberFormat="0" applyProtection="0">
      <alignment vertical="center"/>
    </xf>
    <xf numFmtId="4" fontId="99" fillId="35" borderId="401" applyNumberFormat="0" applyProtection="0">
      <alignment vertical="center"/>
    </xf>
    <xf numFmtId="4" fontId="99" fillId="35" borderId="401" applyNumberFormat="0" applyProtection="0">
      <alignment vertical="center"/>
    </xf>
    <xf numFmtId="4" fontId="99" fillId="35" borderId="401" applyNumberFormat="0" applyProtection="0">
      <alignment vertical="center"/>
    </xf>
    <xf numFmtId="4" fontId="99" fillId="35" borderId="401" applyNumberFormat="0" applyProtection="0">
      <alignment vertical="center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5" borderId="401" applyNumberFormat="0" applyProtection="0">
      <alignment horizontal="left" vertical="center" indent="1"/>
    </xf>
    <xf numFmtId="4" fontId="59" fillId="30" borderId="401" applyNumberFormat="0" applyProtection="0">
      <alignment horizontal="right" vertical="center"/>
    </xf>
    <xf numFmtId="4" fontId="59" fillId="30" borderId="401" applyNumberFormat="0" applyProtection="0">
      <alignment horizontal="right" vertical="center"/>
    </xf>
    <xf numFmtId="4" fontId="59" fillId="30" borderId="401" applyNumberFormat="0" applyProtection="0">
      <alignment horizontal="right" vertical="center"/>
    </xf>
    <xf numFmtId="4" fontId="59" fillId="30" borderId="401" applyNumberFormat="0" applyProtection="0">
      <alignment horizontal="right" vertical="center"/>
    </xf>
    <xf numFmtId="4" fontId="99" fillId="30" borderId="401" applyNumberFormat="0" applyProtection="0">
      <alignment horizontal="right" vertical="center"/>
    </xf>
    <xf numFmtId="4" fontId="99" fillId="30" borderId="401" applyNumberFormat="0" applyProtection="0">
      <alignment horizontal="right" vertical="center"/>
    </xf>
    <xf numFmtId="4" fontId="99" fillId="30" borderId="401" applyNumberFormat="0" applyProtection="0">
      <alignment horizontal="right" vertical="center"/>
    </xf>
    <xf numFmtId="4" fontId="99" fillId="30" borderId="401" applyNumberFormat="0" applyProtection="0">
      <alignment horizontal="right" vertical="center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55" fillId="19" borderId="401" applyNumberFormat="0" applyProtection="0">
      <alignment horizontal="left" vertical="center" indent="1"/>
    </xf>
    <xf numFmtId="0" fontId="87" fillId="61" borderId="415"/>
    <xf numFmtId="0" fontId="87" fillId="61" borderId="415"/>
    <xf numFmtId="4" fontId="103" fillId="30" borderId="401" applyNumberFormat="0" applyProtection="0">
      <alignment horizontal="right" vertical="center"/>
    </xf>
    <xf numFmtId="4" fontId="103" fillId="30" borderId="401" applyNumberFormat="0" applyProtection="0">
      <alignment horizontal="right" vertical="center"/>
    </xf>
    <xf numFmtId="4" fontId="103" fillId="30" borderId="401" applyNumberFormat="0" applyProtection="0">
      <alignment horizontal="right" vertical="center"/>
    </xf>
    <xf numFmtId="4" fontId="103" fillId="30" borderId="401" applyNumberFormat="0" applyProtection="0">
      <alignment horizontal="right" vertical="center"/>
    </xf>
    <xf numFmtId="0" fontId="98" fillId="1" borderId="416" applyNumberFormat="0" applyFont="0" applyAlignment="0">
      <alignment horizontal="center"/>
    </xf>
    <xf numFmtId="0" fontId="98" fillId="1" borderId="416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66" fillId="0" borderId="415"/>
    <xf numFmtId="3" fontId="66" fillId="0" borderId="415"/>
    <xf numFmtId="3" fontId="66" fillId="0" borderId="415"/>
    <xf numFmtId="3" fontId="66" fillId="0" borderId="415"/>
    <xf numFmtId="3" fontId="66" fillId="0" borderId="415"/>
    <xf numFmtId="3" fontId="66" fillId="0" borderId="415"/>
    <xf numFmtId="196" fontId="82" fillId="0" borderId="415" applyFill="0" applyBorder="0" applyAlignment="0"/>
    <xf numFmtId="196" fontId="82" fillId="0" borderId="415" applyFill="0" applyBorder="0" applyAlignment="0"/>
    <xf numFmtId="10" fontId="87" fillId="17" borderId="415" applyNumberFormat="0" applyBorder="0" applyAlignment="0" applyProtection="0"/>
    <xf numFmtId="10" fontId="87" fillId="17" borderId="415" applyNumberFormat="0" applyBorder="0" applyAlignment="0" applyProtection="0"/>
    <xf numFmtId="0" fontId="87" fillId="61" borderId="415"/>
    <xf numFmtId="0" fontId="87" fillId="61" borderId="415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0" borderId="0" applyNumberFormat="0" applyBorder="0" applyAlignment="0" applyProtection="0">
      <alignment vertical="center"/>
    </xf>
    <xf numFmtId="0" fontId="1" fillId="71" borderId="0" applyNumberFormat="0" applyBorder="0" applyAlignment="0" applyProtection="0">
      <alignment vertical="center"/>
    </xf>
    <xf numFmtId="0" fontId="1" fillId="74" borderId="0" applyNumberFormat="0" applyBorder="0" applyAlignment="0" applyProtection="0">
      <alignment vertical="center"/>
    </xf>
    <xf numFmtId="0" fontId="1" fillId="75" borderId="0" applyNumberFormat="0" applyBorder="0" applyAlignment="0" applyProtection="0">
      <alignment vertical="center"/>
    </xf>
    <xf numFmtId="0" fontId="1" fillId="78" borderId="0" applyNumberFormat="0" applyBorder="0" applyAlignment="0" applyProtection="0">
      <alignment vertical="center"/>
    </xf>
    <xf numFmtId="0" fontId="1" fillId="79" borderId="0" applyNumberFormat="0" applyBorder="0" applyAlignment="0" applyProtection="0">
      <alignment vertical="center"/>
    </xf>
    <xf numFmtId="0" fontId="1" fillId="82" borderId="0" applyNumberFormat="0" applyBorder="0" applyAlignment="0" applyProtection="0">
      <alignment vertical="center"/>
    </xf>
    <xf numFmtId="0" fontId="1" fillId="83" borderId="0" applyNumberFormat="0" applyBorder="0" applyAlignment="0" applyProtection="0">
      <alignment vertical="center"/>
    </xf>
    <xf numFmtId="0" fontId="1" fillId="86" borderId="0" applyNumberFormat="0" applyBorder="0" applyAlignment="0" applyProtection="0">
      <alignment vertical="center"/>
    </xf>
    <xf numFmtId="0" fontId="1" fillId="87" borderId="0" applyNumberFormat="0" applyBorder="0" applyAlignment="0" applyProtection="0">
      <alignment vertical="center"/>
    </xf>
    <xf numFmtId="0" fontId="1" fillId="90" borderId="0" applyNumberFormat="0" applyBorder="0" applyAlignment="0" applyProtection="0">
      <alignment vertical="center"/>
    </xf>
    <xf numFmtId="0" fontId="1" fillId="91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68" borderId="172" applyNumberFormat="0" applyFont="0" applyAlignment="0" applyProtection="0">
      <alignment vertical="center"/>
    </xf>
    <xf numFmtId="0" fontId="89" fillId="0" borderId="416">
      <alignment horizontal="left" vertical="center"/>
    </xf>
    <xf numFmtId="4" fontId="59" fillId="2" borderId="419" applyNumberFormat="0" applyProtection="0">
      <alignment vertical="center"/>
    </xf>
    <xf numFmtId="4" fontId="99" fillId="2" borderId="419" applyNumberFormat="0" applyProtection="0">
      <alignment vertical="center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59" fillId="20" borderId="419" applyNumberFormat="0" applyProtection="0">
      <alignment horizontal="right" vertical="center"/>
    </xf>
    <xf numFmtId="4" fontId="59" fillId="21" borderId="419" applyNumberFormat="0" applyProtection="0">
      <alignment horizontal="right" vertical="center"/>
    </xf>
    <xf numFmtId="4" fontId="59" fillId="22" borderId="419" applyNumberFormat="0" applyProtection="0">
      <alignment horizontal="right" vertical="center"/>
    </xf>
    <xf numFmtId="4" fontId="59" fillId="23" borderId="419" applyNumberFormat="0" applyProtection="0">
      <alignment horizontal="right" vertical="center"/>
    </xf>
    <xf numFmtId="4" fontId="59" fillId="24" borderId="419" applyNumberFormat="0" applyProtection="0">
      <alignment horizontal="right" vertical="center"/>
    </xf>
    <xf numFmtId="4" fontId="59" fillId="25" borderId="419" applyNumberFormat="0" applyProtection="0">
      <alignment horizontal="right" vertical="center"/>
    </xf>
    <xf numFmtId="4" fontId="59" fillId="26" borderId="419" applyNumberFormat="0" applyProtection="0">
      <alignment horizontal="right" vertical="center"/>
    </xf>
    <xf numFmtId="4" fontId="59" fillId="27" borderId="419" applyNumberFormat="0" applyProtection="0">
      <alignment horizontal="right" vertical="center"/>
    </xf>
    <xf numFmtId="4" fontId="59" fillId="28" borderId="419" applyNumberFormat="0" applyProtection="0">
      <alignment horizontal="right" vertical="center"/>
    </xf>
    <xf numFmtId="4" fontId="100" fillId="29" borderId="419" applyNumberFormat="0" applyProtection="0">
      <alignment horizontal="left" vertical="center" indent="1"/>
    </xf>
    <xf numFmtId="4" fontId="59" fillId="30" borderId="402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59" fillId="30" borderId="419" applyNumberFormat="0" applyProtection="0">
      <alignment horizontal="left" vertical="center" indent="1"/>
    </xf>
    <xf numFmtId="4" fontId="59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59" fillId="35" borderId="419" applyNumberFormat="0" applyProtection="0">
      <alignment vertical="center"/>
    </xf>
    <xf numFmtId="4" fontId="99" fillId="35" borderId="419" applyNumberFormat="0" applyProtection="0">
      <alignment vertical="center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0" borderId="419" applyNumberFormat="0" applyProtection="0">
      <alignment horizontal="right" vertical="center"/>
    </xf>
    <xf numFmtId="4" fontId="99" fillId="30" borderId="419" applyNumberFormat="0" applyProtection="0">
      <alignment horizontal="right" vertical="center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103" fillId="30" borderId="419" applyNumberFormat="0" applyProtection="0">
      <alignment horizontal="right" vertical="center"/>
    </xf>
    <xf numFmtId="0" fontId="98" fillId="1" borderId="416" applyNumberFormat="0" applyFont="0" applyAlignment="0">
      <alignment horizont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2" fillId="111" borderId="419" applyNumberFormat="0" applyAlignment="0" applyProtection="0">
      <alignment vertical="center"/>
    </xf>
    <xf numFmtId="0" fontId="162" fillId="111" borderId="419" applyNumberFormat="0" applyAlignment="0" applyProtection="0">
      <alignment vertical="center"/>
    </xf>
    <xf numFmtId="0" fontId="156" fillId="98" borderId="422" applyNumberFormat="0" applyAlignment="0" applyProtection="0">
      <alignment vertical="center"/>
    </xf>
    <xf numFmtId="0" fontId="156" fillId="98" borderId="422" applyNumberFormat="0" applyAlignment="0" applyProtection="0">
      <alignment vertical="center"/>
    </xf>
    <xf numFmtId="0" fontId="145" fillId="0" borderId="424" applyNumberFormat="0" applyFill="0" applyAlignment="0" applyProtection="0">
      <alignment vertical="center"/>
    </xf>
    <xf numFmtId="0" fontId="145" fillId="0" borderId="424" applyNumberFormat="0" applyFill="0" applyAlignment="0" applyProtection="0">
      <alignment vertical="center"/>
    </xf>
    <xf numFmtId="0" fontId="21" fillId="10" borderId="423" applyNumberFormat="0" applyFont="0" applyAlignment="0" applyProtection="0">
      <alignment vertical="center"/>
    </xf>
    <xf numFmtId="0" fontId="21" fillId="10" borderId="423" applyNumberFormat="0" applyFont="0" applyAlignment="0" applyProtection="0">
      <alignment vertical="center"/>
    </xf>
    <xf numFmtId="0" fontId="150" fillId="111" borderId="422" applyNumberFormat="0" applyAlignment="0" applyProtection="0">
      <alignment vertical="center"/>
    </xf>
    <xf numFmtId="0" fontId="150" fillId="111" borderId="422" applyNumberFormat="0" applyAlignment="0" applyProtection="0">
      <alignment vertical="center"/>
    </xf>
    <xf numFmtId="0" fontId="113" fillId="56" borderId="420" applyNumberFormat="0" applyAlignment="0" applyProtection="0"/>
    <xf numFmtId="0" fontId="113" fillId="56" borderId="420" applyNumberFormat="0" applyAlignment="0" applyProtection="0"/>
    <xf numFmtId="0" fontId="113" fillId="56" borderId="420" applyNumberFormat="0" applyAlignment="0" applyProtection="0"/>
    <xf numFmtId="0" fontId="113" fillId="56" borderId="420" applyNumberFormat="0" applyAlignment="0" applyProtection="0"/>
    <xf numFmtId="0" fontId="113" fillId="56" borderId="420" applyNumberFormat="0" applyAlignment="0" applyProtection="0"/>
    <xf numFmtId="0" fontId="89" fillId="0" borderId="416">
      <alignment horizontal="left" vertical="center"/>
    </xf>
    <xf numFmtId="0" fontId="89" fillId="0" borderId="416">
      <alignment horizontal="left" vertical="center"/>
    </xf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117" fillId="54" borderId="420" applyNumberFormat="0" applyAlignment="0" applyProtection="0"/>
    <xf numFmtId="0" fontId="87" fillId="53" borderId="420" applyNumberFormat="0" applyFont="0" applyAlignment="0" applyProtection="0"/>
    <xf numFmtId="0" fontId="87" fillId="53" borderId="420" applyNumberFormat="0" applyFont="0" applyAlignment="0" applyProtection="0"/>
    <xf numFmtId="0" fontId="87" fillId="53" borderId="420" applyNumberFormat="0" applyFont="0" applyAlignment="0" applyProtection="0"/>
    <xf numFmtId="0" fontId="87" fillId="53" borderId="420" applyNumberFormat="0" applyFont="0" applyAlignment="0" applyProtection="0"/>
    <xf numFmtId="0" fontId="87" fillId="53" borderId="420" applyNumberFormat="0" applyFont="0" applyAlignment="0" applyProtection="0"/>
    <xf numFmtId="0" fontId="119" fillId="56" borderId="419" applyNumberFormat="0" applyAlignment="0" applyProtection="0"/>
    <xf numFmtId="0" fontId="119" fillId="56" borderId="419" applyNumberFormat="0" applyAlignment="0" applyProtection="0"/>
    <xf numFmtId="0" fontId="119" fillId="56" borderId="419" applyNumberFormat="0" applyAlignment="0" applyProtection="0"/>
    <xf numFmtId="0" fontId="119" fillId="56" borderId="419" applyNumberFormat="0" applyAlignment="0" applyProtection="0"/>
    <xf numFmtId="0" fontId="119" fillId="56" borderId="419" applyNumberFormat="0" applyAlignment="0" applyProtection="0"/>
    <xf numFmtId="4" fontId="59" fillId="2" borderId="419" applyNumberFormat="0" applyProtection="0">
      <alignment vertical="center"/>
    </xf>
    <xf numFmtId="4" fontId="59" fillId="2" borderId="419" applyNumberFormat="0" applyProtection="0">
      <alignment vertical="center"/>
    </xf>
    <xf numFmtId="4" fontId="59" fillId="2" borderId="419" applyNumberFormat="0" applyProtection="0">
      <alignment vertical="center"/>
    </xf>
    <xf numFmtId="4" fontId="59" fillId="2" borderId="419" applyNumberFormat="0" applyProtection="0">
      <alignment vertical="center"/>
    </xf>
    <xf numFmtId="4" fontId="99" fillId="2" borderId="419" applyNumberFormat="0" applyProtection="0">
      <alignment vertical="center"/>
    </xf>
    <xf numFmtId="4" fontId="99" fillId="2" borderId="419" applyNumberFormat="0" applyProtection="0">
      <alignment vertical="center"/>
    </xf>
    <xf numFmtId="4" fontId="99" fillId="2" borderId="419" applyNumberFormat="0" applyProtection="0">
      <alignment vertical="center"/>
    </xf>
    <xf numFmtId="4" fontId="99" fillId="2" borderId="419" applyNumberFormat="0" applyProtection="0">
      <alignment vertical="center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4" fontId="59" fillId="2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59" fillId="20" borderId="419" applyNumberFormat="0" applyProtection="0">
      <alignment horizontal="right" vertical="center"/>
    </xf>
    <xf numFmtId="4" fontId="59" fillId="20" borderId="419" applyNumberFormat="0" applyProtection="0">
      <alignment horizontal="right" vertical="center"/>
    </xf>
    <xf numFmtId="4" fontId="59" fillId="20" borderId="419" applyNumberFormat="0" applyProtection="0">
      <alignment horizontal="right" vertical="center"/>
    </xf>
    <xf numFmtId="4" fontId="59" fillId="20" borderId="419" applyNumberFormat="0" applyProtection="0">
      <alignment horizontal="right" vertical="center"/>
    </xf>
    <xf numFmtId="4" fontId="59" fillId="21" borderId="419" applyNumberFormat="0" applyProtection="0">
      <alignment horizontal="right" vertical="center"/>
    </xf>
    <xf numFmtId="4" fontId="59" fillId="21" borderId="419" applyNumberFormat="0" applyProtection="0">
      <alignment horizontal="right" vertical="center"/>
    </xf>
    <xf numFmtId="4" fontId="59" fillId="21" borderId="419" applyNumberFormat="0" applyProtection="0">
      <alignment horizontal="right" vertical="center"/>
    </xf>
    <xf numFmtId="4" fontId="59" fillId="21" borderId="419" applyNumberFormat="0" applyProtection="0">
      <alignment horizontal="right" vertical="center"/>
    </xf>
    <xf numFmtId="4" fontId="59" fillId="22" borderId="419" applyNumberFormat="0" applyProtection="0">
      <alignment horizontal="right" vertical="center"/>
    </xf>
    <xf numFmtId="4" fontId="59" fillId="22" borderId="419" applyNumberFormat="0" applyProtection="0">
      <alignment horizontal="right" vertical="center"/>
    </xf>
    <xf numFmtId="4" fontId="59" fillId="22" borderId="419" applyNumberFormat="0" applyProtection="0">
      <alignment horizontal="right" vertical="center"/>
    </xf>
    <xf numFmtId="4" fontId="59" fillId="22" borderId="419" applyNumberFormat="0" applyProtection="0">
      <alignment horizontal="right" vertical="center"/>
    </xf>
    <xf numFmtId="4" fontId="59" fillId="23" borderId="419" applyNumberFormat="0" applyProtection="0">
      <alignment horizontal="right" vertical="center"/>
    </xf>
    <xf numFmtId="4" fontId="59" fillId="23" borderId="419" applyNumberFormat="0" applyProtection="0">
      <alignment horizontal="right" vertical="center"/>
    </xf>
    <xf numFmtId="4" fontId="59" fillId="23" borderId="419" applyNumberFormat="0" applyProtection="0">
      <alignment horizontal="right" vertical="center"/>
    </xf>
    <xf numFmtId="4" fontId="59" fillId="23" borderId="419" applyNumberFormat="0" applyProtection="0">
      <alignment horizontal="right" vertical="center"/>
    </xf>
    <xf numFmtId="4" fontId="59" fillId="24" borderId="419" applyNumberFormat="0" applyProtection="0">
      <alignment horizontal="right" vertical="center"/>
    </xf>
    <xf numFmtId="4" fontId="59" fillId="24" borderId="419" applyNumberFormat="0" applyProtection="0">
      <alignment horizontal="right" vertical="center"/>
    </xf>
    <xf numFmtId="4" fontId="59" fillId="24" borderId="419" applyNumberFormat="0" applyProtection="0">
      <alignment horizontal="right" vertical="center"/>
    </xf>
    <xf numFmtId="4" fontId="59" fillId="24" borderId="419" applyNumberFormat="0" applyProtection="0">
      <alignment horizontal="right" vertical="center"/>
    </xf>
    <xf numFmtId="4" fontId="59" fillId="25" borderId="419" applyNumberFormat="0" applyProtection="0">
      <alignment horizontal="right" vertical="center"/>
    </xf>
    <xf numFmtId="4" fontId="59" fillId="25" borderId="419" applyNumberFormat="0" applyProtection="0">
      <alignment horizontal="right" vertical="center"/>
    </xf>
    <xf numFmtId="4" fontId="59" fillId="25" borderId="419" applyNumberFormat="0" applyProtection="0">
      <alignment horizontal="right" vertical="center"/>
    </xf>
    <xf numFmtId="4" fontId="59" fillId="25" borderId="419" applyNumberFormat="0" applyProtection="0">
      <alignment horizontal="right" vertical="center"/>
    </xf>
    <xf numFmtId="4" fontId="59" fillId="26" borderId="419" applyNumberFormat="0" applyProtection="0">
      <alignment horizontal="right" vertical="center"/>
    </xf>
    <xf numFmtId="4" fontId="59" fillId="26" borderId="419" applyNumberFormat="0" applyProtection="0">
      <alignment horizontal="right" vertical="center"/>
    </xf>
    <xf numFmtId="4" fontId="59" fillId="26" borderId="419" applyNumberFormat="0" applyProtection="0">
      <alignment horizontal="right" vertical="center"/>
    </xf>
    <xf numFmtId="4" fontId="59" fillId="26" borderId="419" applyNumberFormat="0" applyProtection="0">
      <alignment horizontal="right" vertical="center"/>
    </xf>
    <xf numFmtId="4" fontId="59" fillId="27" borderId="419" applyNumberFormat="0" applyProtection="0">
      <alignment horizontal="right" vertical="center"/>
    </xf>
    <xf numFmtId="4" fontId="59" fillId="27" borderId="419" applyNumberFormat="0" applyProtection="0">
      <alignment horizontal="right" vertical="center"/>
    </xf>
    <xf numFmtId="4" fontId="59" fillId="27" borderId="419" applyNumberFormat="0" applyProtection="0">
      <alignment horizontal="right" vertical="center"/>
    </xf>
    <xf numFmtId="4" fontId="59" fillId="27" borderId="419" applyNumberFormat="0" applyProtection="0">
      <alignment horizontal="right" vertical="center"/>
    </xf>
    <xf numFmtId="4" fontId="59" fillId="28" borderId="419" applyNumberFormat="0" applyProtection="0">
      <alignment horizontal="right" vertical="center"/>
    </xf>
    <xf numFmtId="4" fontId="59" fillId="28" borderId="419" applyNumberFormat="0" applyProtection="0">
      <alignment horizontal="right" vertical="center"/>
    </xf>
    <xf numFmtId="4" fontId="59" fillId="28" borderId="419" applyNumberFormat="0" applyProtection="0">
      <alignment horizontal="right" vertical="center"/>
    </xf>
    <xf numFmtId="4" fontId="59" fillId="28" borderId="419" applyNumberFormat="0" applyProtection="0">
      <alignment horizontal="right" vertical="center"/>
    </xf>
    <xf numFmtId="4" fontId="100" fillId="29" borderId="419" applyNumberFormat="0" applyProtection="0">
      <alignment horizontal="left" vertical="center" indent="1"/>
    </xf>
    <xf numFmtId="4" fontId="100" fillId="29" borderId="419" applyNumberFormat="0" applyProtection="0">
      <alignment horizontal="left" vertical="center" indent="1"/>
    </xf>
    <xf numFmtId="4" fontId="100" fillId="29" borderId="419" applyNumberFormat="0" applyProtection="0">
      <alignment horizontal="left" vertical="center" indent="1"/>
    </xf>
    <xf numFmtId="4" fontId="100" fillId="29" borderId="419" applyNumberFormat="0" applyProtection="0">
      <alignment horizontal="left" vertical="center" indent="1"/>
    </xf>
    <xf numFmtId="4" fontId="59" fillId="30" borderId="402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59" fillId="30" borderId="419" applyNumberFormat="0" applyProtection="0">
      <alignment horizontal="left" vertical="center" indent="1"/>
    </xf>
    <xf numFmtId="4" fontId="59" fillId="30" borderId="419" applyNumberFormat="0" applyProtection="0">
      <alignment horizontal="left" vertical="center" indent="1"/>
    </xf>
    <xf numFmtId="4" fontId="59" fillId="30" borderId="419" applyNumberFormat="0" applyProtection="0">
      <alignment horizontal="left" vertical="center" indent="1"/>
    </xf>
    <xf numFmtId="4" fontId="59" fillId="30" borderId="419" applyNumberFormat="0" applyProtection="0">
      <alignment horizontal="left" vertical="center" indent="1"/>
    </xf>
    <xf numFmtId="4" fontId="59" fillId="32" borderId="419" applyNumberFormat="0" applyProtection="0">
      <alignment horizontal="left" vertical="center" indent="1"/>
    </xf>
    <xf numFmtId="4" fontId="59" fillId="32" borderId="419" applyNumberFormat="0" applyProtection="0">
      <alignment horizontal="left" vertical="center" indent="1"/>
    </xf>
    <xf numFmtId="4" fontId="59" fillId="32" borderId="419" applyNumberFormat="0" applyProtection="0">
      <alignment horizontal="left" vertical="center" indent="1"/>
    </xf>
    <xf numFmtId="4" fontId="59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2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3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34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120" fillId="60" borderId="421" applyBorder="0"/>
    <xf numFmtId="0" fontId="120" fillId="60" borderId="421" applyBorder="0"/>
    <xf numFmtId="0" fontId="120" fillId="60" borderId="421" applyBorder="0"/>
    <xf numFmtId="0" fontId="120" fillId="60" borderId="421" applyBorder="0"/>
    <xf numFmtId="0" fontId="120" fillId="60" borderId="421" applyBorder="0"/>
    <xf numFmtId="0" fontId="120" fillId="60" borderId="421" applyBorder="0"/>
    <xf numFmtId="4" fontId="59" fillId="35" borderId="419" applyNumberFormat="0" applyProtection="0">
      <alignment vertical="center"/>
    </xf>
    <xf numFmtId="4" fontId="59" fillId="35" borderId="419" applyNumberFormat="0" applyProtection="0">
      <alignment vertical="center"/>
    </xf>
    <xf numFmtId="4" fontId="59" fillId="35" borderId="419" applyNumberFormat="0" applyProtection="0">
      <alignment vertical="center"/>
    </xf>
    <xf numFmtId="4" fontId="59" fillId="35" borderId="419" applyNumberFormat="0" applyProtection="0">
      <alignment vertical="center"/>
    </xf>
    <xf numFmtId="4" fontId="99" fillId="35" borderId="419" applyNumberFormat="0" applyProtection="0">
      <alignment vertical="center"/>
    </xf>
    <xf numFmtId="4" fontId="99" fillId="35" borderId="419" applyNumberFormat="0" applyProtection="0">
      <alignment vertical="center"/>
    </xf>
    <xf numFmtId="4" fontId="99" fillId="35" borderId="419" applyNumberFormat="0" applyProtection="0">
      <alignment vertical="center"/>
    </xf>
    <xf numFmtId="4" fontId="99" fillId="35" borderId="419" applyNumberFormat="0" applyProtection="0">
      <alignment vertical="center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5" borderId="419" applyNumberFormat="0" applyProtection="0">
      <alignment horizontal="left" vertical="center" indent="1"/>
    </xf>
    <xf numFmtId="4" fontId="59" fillId="30" borderId="419" applyNumberFormat="0" applyProtection="0">
      <alignment horizontal="right" vertical="center"/>
    </xf>
    <xf numFmtId="4" fontId="59" fillId="30" borderId="419" applyNumberFormat="0" applyProtection="0">
      <alignment horizontal="right" vertical="center"/>
    </xf>
    <xf numFmtId="4" fontId="59" fillId="30" borderId="419" applyNumberFormat="0" applyProtection="0">
      <alignment horizontal="right" vertical="center"/>
    </xf>
    <xf numFmtId="4" fontId="59" fillId="30" borderId="419" applyNumberFormat="0" applyProtection="0">
      <alignment horizontal="right" vertical="center"/>
    </xf>
    <xf numFmtId="4" fontId="99" fillId="30" borderId="419" applyNumberFormat="0" applyProtection="0">
      <alignment horizontal="right" vertical="center"/>
    </xf>
    <xf numFmtId="4" fontId="99" fillId="30" borderId="419" applyNumberFormat="0" applyProtection="0">
      <alignment horizontal="right" vertical="center"/>
    </xf>
    <xf numFmtId="4" fontId="99" fillId="30" borderId="419" applyNumberFormat="0" applyProtection="0">
      <alignment horizontal="right" vertical="center"/>
    </xf>
    <xf numFmtId="4" fontId="99" fillId="30" borderId="419" applyNumberFormat="0" applyProtection="0">
      <alignment horizontal="right" vertical="center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0" fontId="55" fillId="19" borderId="419" applyNumberFormat="0" applyProtection="0">
      <alignment horizontal="left" vertical="center" indent="1"/>
    </xf>
    <xf numFmtId="4" fontId="103" fillId="30" borderId="419" applyNumberFormat="0" applyProtection="0">
      <alignment horizontal="right" vertical="center"/>
    </xf>
    <xf numFmtId="4" fontId="103" fillId="30" borderId="419" applyNumberFormat="0" applyProtection="0">
      <alignment horizontal="right" vertical="center"/>
    </xf>
    <xf numFmtId="4" fontId="103" fillId="30" borderId="419" applyNumberFormat="0" applyProtection="0">
      <alignment horizontal="right" vertical="center"/>
    </xf>
    <xf numFmtId="4" fontId="103" fillId="30" borderId="419" applyNumberFormat="0" applyProtection="0">
      <alignment horizontal="right" vertical="center"/>
    </xf>
    <xf numFmtId="0" fontId="98" fillId="1" borderId="416" applyNumberFormat="0" applyFont="0" applyAlignment="0">
      <alignment horizontal="center"/>
    </xf>
    <xf numFmtId="0" fontId="98" fillId="1" borderId="416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0" borderId="0" applyNumberFormat="0" applyBorder="0" applyAlignment="0" applyProtection="0">
      <alignment vertical="center"/>
    </xf>
    <xf numFmtId="0" fontId="1" fillId="71" borderId="0" applyNumberFormat="0" applyBorder="0" applyAlignment="0" applyProtection="0">
      <alignment vertical="center"/>
    </xf>
    <xf numFmtId="0" fontId="1" fillId="74" borderId="0" applyNumberFormat="0" applyBorder="0" applyAlignment="0" applyProtection="0">
      <alignment vertical="center"/>
    </xf>
    <xf numFmtId="0" fontId="1" fillId="75" borderId="0" applyNumberFormat="0" applyBorder="0" applyAlignment="0" applyProtection="0">
      <alignment vertical="center"/>
    </xf>
    <xf numFmtId="0" fontId="1" fillId="78" borderId="0" applyNumberFormat="0" applyBorder="0" applyAlignment="0" applyProtection="0">
      <alignment vertical="center"/>
    </xf>
    <xf numFmtId="0" fontId="1" fillId="79" borderId="0" applyNumberFormat="0" applyBorder="0" applyAlignment="0" applyProtection="0">
      <alignment vertical="center"/>
    </xf>
    <xf numFmtId="0" fontId="1" fillId="82" borderId="0" applyNumberFormat="0" applyBorder="0" applyAlignment="0" applyProtection="0">
      <alignment vertical="center"/>
    </xf>
    <xf numFmtId="0" fontId="1" fillId="83" borderId="0" applyNumberFormat="0" applyBorder="0" applyAlignment="0" applyProtection="0">
      <alignment vertical="center"/>
    </xf>
    <xf numFmtId="0" fontId="1" fillId="86" borderId="0" applyNumberFormat="0" applyBorder="0" applyAlignment="0" applyProtection="0">
      <alignment vertical="center"/>
    </xf>
    <xf numFmtId="0" fontId="1" fillId="87" borderId="0" applyNumberFormat="0" applyBorder="0" applyAlignment="0" applyProtection="0">
      <alignment vertical="center"/>
    </xf>
    <xf numFmtId="0" fontId="1" fillId="90" borderId="0" applyNumberFormat="0" applyBorder="0" applyAlignment="0" applyProtection="0">
      <alignment vertical="center"/>
    </xf>
    <xf numFmtId="0" fontId="1" fillId="91" borderId="0" applyNumberFormat="0" applyBorder="0" applyAlignment="0" applyProtection="0">
      <alignment vertical="center"/>
    </xf>
    <xf numFmtId="0" fontId="117" fillId="54" borderId="420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66" fillId="0" borderId="425"/>
    <xf numFmtId="3" fontId="66" fillId="0" borderId="425"/>
    <xf numFmtId="3" fontId="66" fillId="0" borderId="425"/>
    <xf numFmtId="3" fontId="66" fillId="0" borderId="425"/>
    <xf numFmtId="3" fontId="66" fillId="0" borderId="425"/>
    <xf numFmtId="3" fontId="66" fillId="0" borderId="425"/>
    <xf numFmtId="196" fontId="82" fillId="0" borderId="425" applyFill="0" applyBorder="0" applyAlignment="0"/>
    <xf numFmtId="196" fontId="82" fillId="0" borderId="425" applyFill="0" applyBorder="0" applyAlignment="0"/>
    <xf numFmtId="10" fontId="87" fillId="17" borderId="425" applyNumberFormat="0" applyBorder="0" applyAlignment="0" applyProtection="0"/>
    <xf numFmtId="10" fontId="87" fillId="17" borderId="425" applyNumberFormat="0" applyBorder="0" applyAlignment="0" applyProtection="0"/>
    <xf numFmtId="0" fontId="87" fillId="61" borderId="425"/>
    <xf numFmtId="0" fontId="87" fillId="61" borderId="425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68" borderId="172" applyNumberFormat="0" applyFont="0" applyAlignment="0" applyProtection="0">
      <alignment vertical="center"/>
    </xf>
    <xf numFmtId="0" fontId="89" fillId="0" borderId="426">
      <alignment horizontal="left"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89" fillId="0" borderId="426">
      <alignment horizontal="left" vertical="center"/>
    </xf>
    <xf numFmtId="0" fontId="89" fillId="0" borderId="426">
      <alignment horizontal="lef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0" fontId="98" fillId="1" borderId="426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54" borderId="429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3" fontId="66" fillId="0" borderId="434"/>
    <xf numFmtId="3" fontId="66" fillId="0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17" fillId="54" borderId="420" applyNumberFormat="0" applyAlignment="0" applyProtection="0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0" fontId="117" fillId="54" borderId="429" applyNumberFormat="0" applyAlignment="0" applyProtection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9" fillId="0" borderId="435">
      <alignment horizontal="left" vertical="center"/>
    </xf>
    <xf numFmtId="0" fontId="98" fillId="1" borderId="435" applyNumberFormat="0" applyFont="0" applyAlignment="0">
      <alignment horizontal="center"/>
    </xf>
    <xf numFmtId="0" fontId="117" fillId="54" borderId="420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0" borderId="0" applyNumberFormat="0" applyBorder="0" applyAlignment="0" applyProtection="0">
      <alignment vertical="center"/>
    </xf>
    <xf numFmtId="0" fontId="1" fillId="71" borderId="0" applyNumberFormat="0" applyBorder="0" applyAlignment="0" applyProtection="0">
      <alignment vertical="center"/>
    </xf>
    <xf numFmtId="0" fontId="1" fillId="74" borderId="0" applyNumberFormat="0" applyBorder="0" applyAlignment="0" applyProtection="0">
      <alignment vertical="center"/>
    </xf>
    <xf numFmtId="0" fontId="1" fillId="75" borderId="0" applyNumberFormat="0" applyBorder="0" applyAlignment="0" applyProtection="0">
      <alignment vertical="center"/>
    </xf>
    <xf numFmtId="0" fontId="1" fillId="78" borderId="0" applyNumberFormat="0" applyBorder="0" applyAlignment="0" applyProtection="0">
      <alignment vertical="center"/>
    </xf>
    <xf numFmtId="0" fontId="1" fillId="79" borderId="0" applyNumberFormat="0" applyBorder="0" applyAlignment="0" applyProtection="0">
      <alignment vertical="center"/>
    </xf>
    <xf numFmtId="0" fontId="1" fillId="82" borderId="0" applyNumberFormat="0" applyBorder="0" applyAlignment="0" applyProtection="0">
      <alignment vertical="center"/>
    </xf>
    <xf numFmtId="0" fontId="1" fillId="83" borderId="0" applyNumberFormat="0" applyBorder="0" applyAlignment="0" applyProtection="0">
      <alignment vertical="center"/>
    </xf>
    <xf numFmtId="0" fontId="1" fillId="86" borderId="0" applyNumberFormat="0" applyBorder="0" applyAlignment="0" applyProtection="0">
      <alignment vertical="center"/>
    </xf>
    <xf numFmtId="0" fontId="1" fillId="87" borderId="0" applyNumberFormat="0" applyBorder="0" applyAlignment="0" applyProtection="0">
      <alignment vertical="center"/>
    </xf>
    <xf numFmtId="0" fontId="1" fillId="90" borderId="0" applyNumberFormat="0" applyBorder="0" applyAlignment="0" applyProtection="0">
      <alignment vertical="center"/>
    </xf>
    <xf numFmtId="0" fontId="1" fillId="91" borderId="0" applyNumberFormat="0" applyBorder="0" applyAlignment="0" applyProtection="0">
      <alignment vertical="center"/>
    </xf>
    <xf numFmtId="3" fontId="66" fillId="0" borderId="434"/>
    <xf numFmtId="3" fontId="66" fillId="0" borderId="434"/>
    <xf numFmtId="3" fontId="66" fillId="0" borderId="434"/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196" fontId="82" fillId="0" borderId="434" applyFill="0" applyBorder="0" applyAlignment="0"/>
    <xf numFmtId="0" fontId="89" fillId="0" borderId="426">
      <alignment horizontal="left" vertical="center"/>
    </xf>
    <xf numFmtId="10" fontId="87" fillId="17" borderId="434" applyNumberFormat="0" applyBorder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0" fontId="89" fillId="0" borderId="426">
      <alignment horizontal="left" vertical="center"/>
    </xf>
    <xf numFmtId="10" fontId="87" fillId="17" borderId="434" applyNumberFormat="0" applyBorder="0" applyAlignment="0" applyProtection="0"/>
    <xf numFmtId="4" fontId="59" fillId="30" borderId="428" applyNumberFormat="0" applyProtection="0">
      <alignment horizontal="left" vertical="center" indent="1"/>
    </xf>
    <xf numFmtId="0" fontId="98" fillId="1" borderId="426" applyNumberFormat="0" applyFont="0" applyAlignment="0">
      <alignment horizontal="center"/>
    </xf>
    <xf numFmtId="3" fontId="66" fillId="0" borderId="434"/>
    <xf numFmtId="3" fontId="66" fillId="0" borderId="434"/>
    <xf numFmtId="3" fontId="66" fillId="0" borderId="434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196" fontId="82" fillId="0" borderId="434" applyFill="0" applyBorder="0" applyAlignment="0"/>
    <xf numFmtId="0" fontId="89" fillId="0" borderId="426">
      <alignment horizontal="left" vertical="center"/>
    </xf>
    <xf numFmtId="0" fontId="89" fillId="0" borderId="426">
      <alignment horizontal="left" vertical="center"/>
    </xf>
    <xf numFmtId="0" fontId="117" fillId="54" borderId="429" applyNumberFormat="0" applyAlignment="0" applyProtection="0"/>
    <xf numFmtId="10" fontId="87" fillId="17" borderId="434" applyNumberFormat="0" applyBorder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87" fillId="61" borderId="434"/>
    <xf numFmtId="0" fontId="87" fillId="61" borderId="434"/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0" fontId="98" fillId="1" borderId="426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68" borderId="172" applyNumberFormat="0" applyFont="0" applyAlignment="0" applyProtection="0">
      <alignment vertical="center"/>
    </xf>
    <xf numFmtId="0" fontId="89" fillId="0" borderId="426">
      <alignment horizontal="left"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89" fillId="0" borderId="426">
      <alignment horizontal="left" vertical="center"/>
    </xf>
    <xf numFmtId="0" fontId="89" fillId="0" borderId="426">
      <alignment horizontal="lef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26" applyNumberFormat="0" applyFont="0" applyAlignment="0">
      <alignment horizontal="center"/>
    </xf>
    <xf numFmtId="0" fontId="98" fillId="1" borderId="426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0" borderId="0" applyNumberFormat="0" applyBorder="0" applyAlignment="0" applyProtection="0">
      <alignment vertical="center"/>
    </xf>
    <xf numFmtId="0" fontId="1" fillId="71" borderId="0" applyNumberFormat="0" applyBorder="0" applyAlignment="0" applyProtection="0">
      <alignment vertical="center"/>
    </xf>
    <xf numFmtId="0" fontId="1" fillId="74" borderId="0" applyNumberFormat="0" applyBorder="0" applyAlignment="0" applyProtection="0">
      <alignment vertical="center"/>
    </xf>
    <xf numFmtId="0" fontId="1" fillId="75" borderId="0" applyNumberFormat="0" applyBorder="0" applyAlignment="0" applyProtection="0">
      <alignment vertical="center"/>
    </xf>
    <xf numFmtId="0" fontId="1" fillId="78" borderId="0" applyNumberFormat="0" applyBorder="0" applyAlignment="0" applyProtection="0">
      <alignment vertical="center"/>
    </xf>
    <xf numFmtId="0" fontId="1" fillId="79" borderId="0" applyNumberFormat="0" applyBorder="0" applyAlignment="0" applyProtection="0">
      <alignment vertical="center"/>
    </xf>
    <xf numFmtId="0" fontId="1" fillId="82" borderId="0" applyNumberFormat="0" applyBorder="0" applyAlignment="0" applyProtection="0">
      <alignment vertical="center"/>
    </xf>
    <xf numFmtId="0" fontId="1" fillId="83" borderId="0" applyNumberFormat="0" applyBorder="0" applyAlignment="0" applyProtection="0">
      <alignment vertical="center"/>
    </xf>
    <xf numFmtId="0" fontId="1" fillId="86" borderId="0" applyNumberFormat="0" applyBorder="0" applyAlignment="0" applyProtection="0">
      <alignment vertical="center"/>
    </xf>
    <xf numFmtId="0" fontId="1" fillId="87" borderId="0" applyNumberFormat="0" applyBorder="0" applyAlignment="0" applyProtection="0">
      <alignment vertical="center"/>
    </xf>
    <xf numFmtId="0" fontId="1" fillId="90" borderId="0" applyNumberFormat="0" applyBorder="0" applyAlignment="0" applyProtection="0">
      <alignment vertical="center"/>
    </xf>
    <xf numFmtId="0" fontId="1" fillId="91" borderId="0" applyNumberFormat="0" applyBorder="0" applyAlignment="0" applyProtection="0">
      <alignment vertical="center"/>
    </xf>
    <xf numFmtId="0" fontId="117" fillId="54" borderId="429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68" borderId="172" applyNumberFormat="0" applyFont="0" applyAlignment="0" applyProtection="0">
      <alignment vertical="center"/>
    </xf>
    <xf numFmtId="0" fontId="89" fillId="0" borderId="435">
      <alignment horizontal="left"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89" fillId="0" borderId="435">
      <alignment horizontal="left" vertical="center"/>
    </xf>
    <xf numFmtId="0" fontId="89" fillId="0" borderId="435">
      <alignment horizontal="lef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98" fillId="1" borderId="435" applyNumberFormat="0" applyFont="0" applyAlignment="0">
      <alignment horizont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54" borderId="429" applyNumberFormat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3" fontId="66" fillId="0" borderId="434"/>
    <xf numFmtId="3" fontId="66" fillId="0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17" fillId="54" borderId="429" applyNumberFormat="0" applyAlignment="0" applyProtection="0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0" fontId="117" fillId="54" borderId="429" applyNumberFormat="0" applyAlignment="0" applyProtection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54" borderId="429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0" fontId="87" fillId="17" borderId="434" applyNumberFormat="0" applyBorder="0" applyAlignment="0" applyProtection="0"/>
    <xf numFmtId="0" fontId="64" fillId="0" borderId="384">
      <alignment horizontal="center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87" fillId="61" borderId="434"/>
    <xf numFmtId="4" fontId="99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2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3" fontId="66" fillId="0" borderId="434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89" fillId="0" borderId="435">
      <alignment horizontal="left"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3" fontId="66" fillId="0" borderId="434"/>
    <xf numFmtId="0" fontId="55" fillId="34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100" fillId="29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21" fillId="10" borderId="432" applyNumberFormat="0" applyFont="0" applyAlignment="0" applyProtection="0">
      <alignment vertical="center"/>
    </xf>
    <xf numFmtId="4" fontId="59" fillId="27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30" borderId="428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89" fillId="0" borderId="435">
      <alignment horizontal="left" vertical="center"/>
    </xf>
    <xf numFmtId="4" fontId="59" fillId="32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20" fillId="60" borderId="430" applyBorder="0"/>
    <xf numFmtId="4" fontId="103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2" borderId="427" applyNumberFormat="0" applyProtection="0">
      <alignment horizontal="right" vertical="center"/>
    </xf>
    <xf numFmtId="3" fontId="66" fillId="0" borderId="434"/>
    <xf numFmtId="4" fontId="99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117" fillId="54" borderId="429" applyNumberFormat="0" applyAlignment="0" applyProtection="0"/>
    <xf numFmtId="3" fontId="66" fillId="0" borderId="434"/>
    <xf numFmtId="0" fontId="156" fillId="98" borderId="431" applyNumberFormat="0" applyAlignmen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50" fillId="111" borderId="431" applyNumberFormat="0" applyAlignmen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0" fontId="119" fillId="56" borderId="427" applyNumberFormat="0" applyAlignment="0" applyProtection="0"/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113" fillId="56" borderId="429" applyNumberFormat="0" applyAlignment="0" applyProtection="0"/>
    <xf numFmtId="3" fontId="66" fillId="0" borderId="434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30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162" fillId="111" borderId="427" applyNumberFormat="0" applyAlignment="0" applyProtection="0">
      <alignment vertical="center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20" fillId="60" borderId="430" applyBorder="0"/>
    <xf numFmtId="4" fontId="103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100" fillId="2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113" fillId="56" borderId="429" applyNumberFormat="0" applyAlignment="0" applyProtection="0"/>
    <xf numFmtId="4" fontId="99" fillId="2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156" fillId="98" borderId="431" applyNumberFormat="0" applyAlignment="0" applyProtection="0">
      <alignment vertical="center"/>
    </xf>
    <xf numFmtId="4" fontId="99" fillId="35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32" borderId="427" applyNumberFormat="0" applyProtection="0">
      <alignment horizontal="left" vertical="center" indent="1"/>
    </xf>
    <xf numFmtId="0" fontId="150" fillId="111" borderId="431" applyNumberFormat="0" applyAlignmen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2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3" fontId="66" fillId="0" borderId="434"/>
    <xf numFmtId="3" fontId="66" fillId="0" borderId="434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32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196" fontId="82" fillId="0" borderId="434" applyFill="0" applyBorder="0" applyAlignment="0"/>
    <xf numFmtId="0" fontId="120" fillId="60" borderId="430" applyBorder="0"/>
    <xf numFmtId="0" fontId="162" fillId="111" borderId="427" applyNumberFormat="0" applyAlignmen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10" fontId="87" fillId="17" borderId="434" applyNumberFormat="0" applyBorder="0" applyAlignment="0" applyProtection="0"/>
    <xf numFmtId="0" fontId="150" fillId="111" borderId="431" applyNumberFormat="0" applyAlignment="0" applyProtection="0">
      <alignment vertical="center"/>
    </xf>
    <xf numFmtId="3" fontId="66" fillId="0" borderId="434"/>
    <xf numFmtId="4" fontId="99" fillId="2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13" fillId="56" borderId="429" applyNumberFormat="0" applyAlignment="0" applyProtection="0"/>
    <xf numFmtId="0" fontId="119" fillId="56" borderId="427" applyNumberFormat="0" applyAlignment="0" applyProtection="0"/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113" fillId="56" borderId="429" applyNumberFormat="0" applyAlignment="0" applyProtection="0"/>
    <xf numFmtId="3" fontId="66" fillId="0" borderId="434"/>
    <xf numFmtId="4" fontId="59" fillId="21" borderId="427" applyNumberFormat="0" applyProtection="0">
      <alignment horizontal="right" vertical="center"/>
    </xf>
    <xf numFmtId="0" fontId="120" fillId="60" borderId="430" applyBorder="0"/>
    <xf numFmtId="0" fontId="55" fillId="34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2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55" fillId="34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150" fillId="111" borderId="431" applyNumberFormat="0" applyAlignment="0" applyProtection="0">
      <alignment vertical="center"/>
    </xf>
    <xf numFmtId="4" fontId="59" fillId="25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99" fillId="2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62" fillId="111" borderId="427" applyNumberFormat="0" applyAlignment="0" applyProtection="0">
      <alignment vertical="center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4" fontId="103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30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3" fontId="66" fillId="0" borderId="434"/>
    <xf numFmtId="0" fontId="55" fillId="34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150" fillId="111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3" fontId="66" fillId="0" borderId="434"/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99" fillId="35" borderId="427" applyNumberFormat="0" applyProtection="0">
      <alignment vertical="center"/>
    </xf>
    <xf numFmtId="0" fontId="120" fillId="60" borderId="430" applyBorder="0"/>
    <xf numFmtId="0" fontId="113" fillId="56" borderId="429" applyNumberFormat="0" applyAlignment="0" applyProtection="0"/>
    <xf numFmtId="0" fontId="119" fillId="56" borderId="427" applyNumberFormat="0" applyAlignment="0" applyProtection="0"/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120" fillId="60" borderId="430" applyBorder="0"/>
    <xf numFmtId="4" fontId="59" fillId="28" borderId="427" applyNumberFormat="0" applyProtection="0">
      <alignment horizontal="right" vertical="center"/>
    </xf>
    <xf numFmtId="0" fontId="150" fillId="111" borderId="431" applyNumberFormat="0" applyAlignment="0" applyProtection="0">
      <alignment vertical="center"/>
    </xf>
    <xf numFmtId="4" fontId="103" fillId="30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4" fontId="59" fillId="35" borderId="427" applyNumberFormat="0" applyProtection="0">
      <alignment vertical="center"/>
    </xf>
    <xf numFmtId="0" fontId="117" fillId="54" borderId="429" applyNumberFormat="0" applyAlignment="0" applyProtection="0"/>
    <xf numFmtId="3" fontId="66" fillId="0" borderId="434"/>
    <xf numFmtId="0" fontId="55" fillId="34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99" fillId="2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7" fillId="54" borderId="429" applyNumberFormat="0" applyAlignment="0" applyProtection="0"/>
    <xf numFmtId="0" fontId="119" fillId="56" borderId="427" applyNumberFormat="0" applyAlignment="0" applyProtection="0"/>
    <xf numFmtId="4" fontId="59" fillId="2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7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0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17" fillId="54" borderId="429" applyNumberFormat="0" applyAlignment="0" applyProtection="0"/>
    <xf numFmtId="4" fontId="99" fillId="2" borderId="427" applyNumberFormat="0" applyProtection="0">
      <alignment vertical="center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3" fontId="66" fillId="0" borderId="434"/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196" fontId="82" fillId="0" borderId="434" applyFill="0" applyBorder="0" applyAlignment="0"/>
    <xf numFmtId="4" fontId="59" fillId="35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99" fillId="30" borderId="427" applyNumberFormat="0" applyProtection="0">
      <alignment horizontal="right" vertical="center"/>
    </xf>
    <xf numFmtId="3" fontId="66" fillId="0" borderId="434"/>
    <xf numFmtId="4" fontId="59" fillId="35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120" fillId="60" borderId="430" applyBorder="0"/>
    <xf numFmtId="0" fontId="113" fillId="56" borderId="429" applyNumberFormat="0" applyAlignment="0" applyProtection="0"/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3" fontId="66" fillId="0" borderId="434"/>
    <xf numFmtId="4" fontId="59" fillId="35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0" fontId="120" fillId="60" borderId="430" applyBorder="0"/>
    <xf numFmtId="4" fontId="5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196" fontId="82" fillId="0" borderId="434" applyFill="0" applyBorder="0" applyAlignment="0"/>
    <xf numFmtId="4" fontId="59" fillId="25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3" fontId="66" fillId="0" borderId="434"/>
    <xf numFmtId="0" fontId="55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89" fillId="0" borderId="435">
      <alignment horizontal="left"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0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3" fontId="66" fillId="0" borderId="434"/>
    <xf numFmtId="4" fontId="99" fillId="2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3" fontId="66" fillId="0" borderId="434"/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3" fontId="66" fillId="0" borderId="434"/>
    <xf numFmtId="0" fontId="55" fillId="34" borderId="427" applyNumberFormat="0" applyProtection="0">
      <alignment horizontal="left" vertical="center" indent="1"/>
    </xf>
    <xf numFmtId="3" fontId="66" fillId="0" borderId="434"/>
    <xf numFmtId="3" fontId="66" fillId="0" borderId="434"/>
    <xf numFmtId="4" fontId="59" fillId="30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35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4" fontId="59" fillId="27" borderId="427" applyNumberFormat="0" applyProtection="0">
      <alignment horizontal="right" vertical="center"/>
    </xf>
    <xf numFmtId="196" fontId="82" fillId="0" borderId="434" applyFill="0" applyBorder="0" applyAlignment="0"/>
    <xf numFmtId="0" fontId="89" fillId="0" borderId="435">
      <alignment horizontal="left" vertical="center"/>
    </xf>
    <xf numFmtId="0" fontId="89" fillId="0" borderId="435">
      <alignment horizontal="left" vertical="center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10" fontId="87" fillId="17" borderId="434" applyNumberFormat="0" applyBorder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87" fillId="61" borderId="434"/>
    <xf numFmtId="0" fontId="87" fillId="61" borderId="434"/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98" fillId="1" borderId="435" applyNumberFormat="0" applyFont="0" applyAlignment="0">
      <alignment horizontal="center"/>
    </xf>
    <xf numFmtId="0" fontId="87" fillId="53" borderId="429" applyNumberFormat="0" applyFont="0" applyAlignment="0" applyProtection="0"/>
    <xf numFmtId="4" fontId="59" fillId="25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196" fontId="82" fillId="0" borderId="434" applyFill="0" applyBorder="0" applyAlignment="0"/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21" fillId="10" borderId="432" applyNumberFormat="0" applyFont="0" applyAlignment="0" applyProtection="0">
      <alignment vertical="center"/>
    </xf>
    <xf numFmtId="4" fontId="59" fillId="26" borderId="427" applyNumberFormat="0" applyProtection="0">
      <alignment horizontal="right" vertical="center"/>
    </xf>
    <xf numFmtId="0" fontId="113" fillId="56" borderId="429" applyNumberFormat="0" applyAlignment="0" applyProtection="0"/>
    <xf numFmtId="4" fontId="59" fillId="23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99" fillId="2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1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5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0" fontId="113" fillId="56" borderId="429" applyNumberFormat="0" applyAlignment="0" applyProtection="0"/>
    <xf numFmtId="4" fontId="59" fillId="22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9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0" fontId="89" fillId="0" borderId="435">
      <alignment horizontal="lef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4" fontId="5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20" fillId="60" borderId="430" applyBorder="0"/>
    <xf numFmtId="3" fontId="66" fillId="0" borderId="434"/>
    <xf numFmtId="4" fontId="59" fillId="32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117" fillId="54" borderId="429" applyNumberFormat="0" applyAlignment="0" applyProtection="0"/>
    <xf numFmtId="0" fontId="150" fillId="111" borderId="431" applyNumberFormat="0" applyAlignment="0" applyProtection="0">
      <alignment vertical="center"/>
    </xf>
    <xf numFmtId="4" fontId="99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3" fontId="66" fillId="0" borderId="434"/>
    <xf numFmtId="4" fontId="100" fillId="2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7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56" fillId="98" borderId="431" applyNumberFormat="0" applyAlignment="0" applyProtection="0">
      <alignment vertical="center"/>
    </xf>
    <xf numFmtId="10" fontId="87" fillId="17" borderId="434" applyNumberFormat="0" applyBorder="0" applyAlignment="0" applyProtection="0"/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0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2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117" fillId="54" borderId="429" applyNumberFormat="0" applyAlignment="0" applyProtection="0"/>
    <xf numFmtId="4" fontId="59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0" borderId="428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7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20" fillId="60" borderId="430" applyBorder="0"/>
    <xf numFmtId="4" fontId="59" fillId="26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89" fillId="0" borderId="435">
      <alignment horizontal="left"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4" fontId="59" fillId="35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119" fillId="56" borderId="427" applyNumberFormat="0" applyAlignment="0" applyProtection="0"/>
    <xf numFmtId="3" fontId="66" fillId="0" borderId="434"/>
    <xf numFmtId="0" fontId="55" fillId="19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56" fillId="98" borderId="431" applyNumberFormat="0" applyAlignment="0" applyProtection="0">
      <alignment vertical="center"/>
    </xf>
    <xf numFmtId="3" fontId="66" fillId="0" borderId="434"/>
    <xf numFmtId="4" fontId="59" fillId="24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98" fillId="1" borderId="435" applyNumberFormat="0" applyFont="0" applyAlignment="0">
      <alignment horizontal="center"/>
    </xf>
    <xf numFmtId="4" fontId="59" fillId="26" borderId="427" applyNumberFormat="0" applyProtection="0">
      <alignment horizontal="right" vertical="center"/>
    </xf>
    <xf numFmtId="0" fontId="117" fillId="54" borderId="429" applyNumberFormat="0" applyAlignment="0" applyProtection="0"/>
    <xf numFmtId="4" fontId="103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113" fillId="56" borderId="429" applyNumberFormat="0" applyAlignment="0" applyProtection="0"/>
    <xf numFmtId="0" fontId="145" fillId="0" borderId="433" applyNumberFormat="0" applyFill="0" applyAlignment="0" applyProtection="0">
      <alignment vertical="center"/>
    </xf>
    <xf numFmtId="3" fontId="66" fillId="0" borderId="434"/>
    <xf numFmtId="0" fontId="55" fillId="32" borderId="427" applyNumberFormat="0" applyProtection="0">
      <alignment horizontal="left" vertical="center" indent="1"/>
    </xf>
    <xf numFmtId="0" fontId="120" fillId="60" borderId="430" applyBorder="0"/>
    <xf numFmtId="4" fontId="59" fillId="25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21" fillId="10" borderId="432" applyNumberFormat="0" applyFont="0" applyAlignmen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117" fillId="54" borderId="429" applyNumberFormat="0" applyAlignment="0" applyProtection="0"/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89" fillId="0" borderId="435">
      <alignment horizontal="left" vertical="center"/>
    </xf>
    <xf numFmtId="0" fontId="89" fillId="0" borderId="435">
      <alignment horizontal="left" vertical="center"/>
    </xf>
    <xf numFmtId="4" fontId="59" fillId="2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98" fillId="1" borderId="435" applyNumberFormat="0" applyFont="0" applyAlignment="0">
      <alignment horizontal="center"/>
    </xf>
    <xf numFmtId="4" fontId="59" fillId="2" borderId="427" applyNumberFormat="0" applyProtection="0">
      <alignment vertical="center"/>
    </xf>
    <xf numFmtId="4" fontId="103" fillId="30" borderId="427" applyNumberFormat="0" applyProtection="0">
      <alignment horizontal="right" vertical="center"/>
    </xf>
    <xf numFmtId="0" fontId="89" fillId="0" borderId="435">
      <alignment horizontal="left" vertical="center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30" borderId="428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3" fontId="66" fillId="0" borderId="434"/>
    <xf numFmtId="0" fontId="87" fillId="53" borderId="429" applyNumberFormat="0" applyFont="0" applyAlignment="0" applyProtection="0"/>
    <xf numFmtId="0" fontId="89" fillId="0" borderId="435">
      <alignment horizontal="left" vertical="center"/>
    </xf>
    <xf numFmtId="0" fontId="87" fillId="61" borderId="434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120" fillId="60" borderId="430" applyBorder="0"/>
    <xf numFmtId="0" fontId="119" fillId="56" borderId="427" applyNumberFormat="0" applyAlignment="0" applyProtection="0"/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30" borderId="428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87" fillId="61" borderId="434"/>
    <xf numFmtId="4" fontId="59" fillId="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196" fontId="82" fillId="0" borderId="434" applyFill="0" applyBorder="0" applyAlignment="0"/>
    <xf numFmtId="4" fontId="103" fillId="30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87" fillId="61" borderId="434"/>
    <xf numFmtId="4" fontId="59" fillId="21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9" fillId="56" borderId="427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3" fontId="66" fillId="0" borderId="434"/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0" fontId="98" fillId="1" borderId="435" applyNumberFormat="0" applyFont="0" applyAlignment="0">
      <alignment horizontal="center"/>
    </xf>
    <xf numFmtId="4" fontId="59" fillId="2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87" fillId="61" borderId="434"/>
    <xf numFmtId="4" fontId="59" fillId="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20" fillId="60" borderId="430" applyBorder="0"/>
    <xf numFmtId="0" fontId="55" fillId="34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3" fontId="66" fillId="0" borderId="434"/>
    <xf numFmtId="0" fontId="113" fillId="56" borderId="429" applyNumberFormat="0" applyAlignment="0" applyProtection="0"/>
    <xf numFmtId="4" fontId="59" fillId="24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10" fontId="87" fillId="17" borderId="434" applyNumberFormat="0" applyBorder="0" applyAlignment="0" applyProtection="0"/>
    <xf numFmtId="4" fontId="59" fillId="28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120" fillId="60" borderId="430" applyBorder="0"/>
    <xf numFmtId="4" fontId="99" fillId="2" borderId="427" applyNumberFormat="0" applyProtection="0">
      <alignment vertical="center"/>
    </xf>
    <xf numFmtId="0" fontId="87" fillId="53" borderId="429" applyNumberFormat="0" applyFont="0" applyAlignment="0" applyProtection="0"/>
    <xf numFmtId="4" fontId="99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13" fillId="56" borderId="429" applyNumberFormat="0" applyAlignment="0" applyProtection="0"/>
    <xf numFmtId="4" fontId="59" fillId="24" borderId="427" applyNumberFormat="0" applyProtection="0">
      <alignment horizontal="right" vertical="center"/>
    </xf>
    <xf numFmtId="0" fontId="120" fillId="60" borderId="430" applyBorder="0"/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21" fillId="10" borderId="432" applyNumberFormat="0" applyFont="0" applyAlignment="0" applyProtection="0">
      <alignment vertical="center"/>
    </xf>
    <xf numFmtId="4" fontId="59" fillId="20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56" fillId="98" borderId="431" applyNumberFormat="0" applyAlignment="0" applyProtection="0">
      <alignment vertical="center"/>
    </xf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4" fontId="59" fillId="35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20" fillId="60" borderId="430" applyBorder="0"/>
    <xf numFmtId="4" fontId="99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8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3" fontId="66" fillId="0" borderId="434"/>
    <xf numFmtId="196" fontId="82" fillId="0" borderId="434" applyFill="0" applyBorder="0" applyAlignment="0"/>
    <xf numFmtId="196" fontId="82" fillId="0" borderId="434" applyFill="0" applyBorder="0" applyAlignment="0"/>
    <xf numFmtId="10" fontId="87" fillId="17" borderId="434" applyNumberFormat="0" applyBorder="0" applyAlignment="0" applyProtection="0"/>
    <xf numFmtId="10" fontId="87" fillId="17" borderId="434" applyNumberFormat="0" applyBorder="0" applyAlignment="0" applyProtection="0"/>
    <xf numFmtId="0" fontId="87" fillId="61" borderId="434"/>
    <xf numFmtId="0" fontId="87" fillId="61" borderId="434"/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3" fontId="66" fillId="0" borderId="434"/>
    <xf numFmtId="4" fontId="99" fillId="35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113" fillId="56" borderId="429" applyNumberFormat="0" applyAlignment="0" applyProtection="0"/>
    <xf numFmtId="4" fontId="59" fillId="35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20" fillId="60" borderId="430" applyBorder="0"/>
    <xf numFmtId="4" fontId="100" fillId="2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103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3" fillId="56" borderId="429" applyNumberFormat="0" applyAlignment="0" applyProtection="0"/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98" fillId="1" borderId="435" applyNumberFormat="0" applyFont="0" applyAlignment="0">
      <alignment horizontal="center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4" fontId="59" fillId="35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33" borderId="427" applyNumberFormat="0" applyProtection="0">
      <alignment horizontal="left" vertical="center" indent="1"/>
    </xf>
    <xf numFmtId="0" fontId="150" fillId="111" borderId="431" applyNumberFormat="0" applyAlignmen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62" fillId="111" borderId="427" applyNumberFormat="0" applyAlignment="0" applyProtection="0">
      <alignment vertical="center"/>
    </xf>
    <xf numFmtId="0" fontId="89" fillId="0" borderId="435">
      <alignment horizontal="left"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" borderId="427" applyNumberFormat="0" applyProtection="0">
      <alignment vertical="center"/>
    </xf>
    <xf numFmtId="4" fontId="59" fillId="30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89" fillId="0" borderId="435">
      <alignment horizontal="left" vertical="center"/>
    </xf>
    <xf numFmtId="0" fontId="89" fillId="0" borderId="435">
      <alignment horizontal="lef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98" fillId="1" borderId="435" applyNumberFormat="0" applyFont="0" applyAlignment="0">
      <alignment horizontal="center"/>
    </xf>
    <xf numFmtId="4" fontId="59" fillId="23" borderId="427" applyNumberFormat="0" applyProtection="0">
      <alignment horizontal="right" vertical="center"/>
    </xf>
    <xf numFmtId="0" fontId="89" fillId="0" borderId="435">
      <alignment horizontal="left" vertical="center"/>
    </xf>
    <xf numFmtId="0" fontId="55" fillId="33" borderId="427" applyNumberFormat="0" applyProtection="0">
      <alignment horizontal="left" vertical="center" indent="1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0" fontId="145" fillId="0" borderId="433" applyNumberFormat="0" applyFill="0" applyAlignment="0" applyProtection="0">
      <alignment vertical="center"/>
    </xf>
    <xf numFmtId="0" fontId="87" fillId="53" borderId="429" applyNumberFormat="0" applyFont="0" applyAlignment="0" applyProtection="0"/>
    <xf numFmtId="4" fontId="59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0" fontId="119" fillId="56" borderId="427" applyNumberForma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87" fillId="53" borderId="429" applyNumberFormat="0" applyFont="0" applyAlignment="0" applyProtection="0"/>
    <xf numFmtId="4" fontId="59" fillId="2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5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50" fillId="111" borderId="431" applyNumberFormat="0" applyAlignment="0" applyProtection="0">
      <alignment vertical="center"/>
    </xf>
    <xf numFmtId="4" fontId="59" fillId="22" borderId="427" applyNumberFormat="0" applyProtection="0">
      <alignment horizontal="right" vertical="center"/>
    </xf>
    <xf numFmtId="0" fontId="87" fillId="61" borderId="434"/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3" fontId="66" fillId="0" borderId="434"/>
    <xf numFmtId="0" fontId="117" fillId="54" borderId="429" applyNumberFormat="0" applyAlignment="0" applyProtection="0"/>
    <xf numFmtId="10" fontId="87" fillId="17" borderId="434" applyNumberFormat="0" applyBorder="0" applyAlignment="0" applyProtection="0"/>
    <xf numFmtId="4" fontId="59" fillId="21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3" fontId="66" fillId="0" borderId="434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10" fontId="87" fillId="17" borderId="434" applyNumberFormat="0" applyBorder="0" applyAlignment="0" applyProtection="0"/>
    <xf numFmtId="4" fontId="59" fillId="30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4" fontId="59" fillId="24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34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3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145" fillId="0" borderId="433" applyNumberFormat="0" applyFill="0" applyAlignment="0" applyProtection="0">
      <alignment vertical="center"/>
    </xf>
    <xf numFmtId="0" fontId="117" fillId="54" borderId="429" applyNumberFormat="0" applyAlignment="0" applyProtection="0"/>
    <xf numFmtId="0" fontId="113" fillId="56" borderId="429" applyNumberFormat="0" applyAlignment="0" applyProtection="0"/>
    <xf numFmtId="4" fontId="59" fillId="32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3" fontId="66" fillId="0" borderId="434"/>
    <xf numFmtId="4" fontId="59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156" fillId="98" borderId="431" applyNumberFormat="0" applyAlignment="0" applyProtection="0">
      <alignment vertical="center"/>
    </xf>
    <xf numFmtId="0" fontId="113" fillId="56" borderId="429" applyNumberFormat="0" applyAlignment="0" applyProtection="0"/>
    <xf numFmtId="0" fontId="55" fillId="34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1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196" fontId="82" fillId="0" borderId="434" applyFill="0" applyBorder="0" applyAlignment="0"/>
    <xf numFmtId="4" fontId="59" fillId="28" borderId="427" applyNumberFormat="0" applyProtection="0">
      <alignment horizontal="right" vertical="center"/>
    </xf>
    <xf numFmtId="0" fontId="120" fillId="60" borderId="430" applyBorder="0"/>
    <xf numFmtId="4" fontId="59" fillId="24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45" fillId="0" borderId="433" applyNumberFormat="0" applyFill="0" applyAlignment="0" applyProtection="0">
      <alignment vertical="center"/>
    </xf>
    <xf numFmtId="4" fontId="59" fillId="26" borderId="427" applyNumberFormat="0" applyProtection="0">
      <alignment horizontal="right" vertical="center"/>
    </xf>
    <xf numFmtId="0" fontId="119" fillId="56" borderId="427" applyNumberFormat="0" applyAlignment="0" applyProtection="0"/>
    <xf numFmtId="0" fontId="117" fillId="54" borderId="429" applyNumberFormat="0" applyAlignment="0" applyProtection="0"/>
    <xf numFmtId="4" fontId="59" fillId="30" borderId="428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0" fontId="87" fillId="53" borderId="429" applyNumberFormat="0" applyFont="0" applyAlignment="0" applyProtection="0"/>
    <xf numFmtId="0" fontId="55" fillId="34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99" fillId="30" borderId="427" applyNumberFormat="0" applyProtection="0">
      <alignment horizontal="right" vertical="center"/>
    </xf>
    <xf numFmtId="0" fontId="120" fillId="60" borderId="430" applyBorder="0"/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20" fillId="60" borderId="430" applyBorder="0"/>
    <xf numFmtId="0" fontId="55" fillId="32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99" fillId="3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89" fillId="0" borderId="435">
      <alignment horizontal="left" vertical="center"/>
    </xf>
    <xf numFmtId="0" fontId="117" fillId="54" borderId="429" applyNumberFormat="0" applyAlignment="0" applyProtection="0"/>
    <xf numFmtId="0" fontId="55" fillId="34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0" fontId="120" fillId="60" borderId="430" applyBorder="0"/>
    <xf numFmtId="0" fontId="120" fillId="60" borderId="430" applyBorder="0"/>
    <xf numFmtId="4" fontId="59" fillId="30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0" fontId="120" fillId="60" borderId="430" applyBorder="0"/>
    <xf numFmtId="4" fontId="59" fillId="23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4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10" fontId="87" fillId="17" borderId="434" applyNumberFormat="0" applyBorder="0" applyAlignment="0" applyProtection="0"/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30" borderId="428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4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0" fontId="89" fillId="0" borderId="435">
      <alignment horizontal="left" vertical="center"/>
    </xf>
    <xf numFmtId="4" fontId="59" fillId="35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34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2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145" fillId="0" borderId="433" applyNumberFormat="0" applyFill="0" applyAlignment="0" applyProtection="0">
      <alignment vertical="center"/>
    </xf>
    <xf numFmtId="4" fontId="59" fillId="21" borderId="427" applyNumberFormat="0" applyProtection="0">
      <alignment horizontal="right" vertical="center"/>
    </xf>
    <xf numFmtId="0" fontId="156" fillId="98" borderId="431" applyNumberFormat="0" applyAlignmen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20" fillId="60" borderId="430" applyBorder="0"/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10" fontId="87" fillId="17" borderId="434" applyNumberFormat="0" applyBorder="0" applyAlignment="0" applyProtection="0"/>
    <xf numFmtId="0" fontId="98" fillId="1" borderId="435" applyNumberFormat="0" applyFont="0" applyAlignment="0">
      <alignment horizontal="center"/>
    </xf>
    <xf numFmtId="4" fontId="59" fillId="30" borderId="427" applyNumberFormat="0" applyProtection="0">
      <alignment horizontal="right" vertical="center"/>
    </xf>
    <xf numFmtId="0" fontId="150" fillId="111" borderId="431" applyNumberFormat="0" applyAlignment="0" applyProtection="0">
      <alignment vertical="center"/>
    </xf>
    <xf numFmtId="4" fontId="59" fillId="28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4" fontId="100" fillId="2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3" fillId="56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87" fillId="53" borderId="429" applyNumberFormat="0" applyFon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0" fontId="120" fillId="60" borderId="430" applyBorder="0"/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3" fontId="66" fillId="0" borderId="434"/>
    <xf numFmtId="4" fontId="59" fillId="35" borderId="427" applyNumberFormat="0" applyProtection="0">
      <alignment vertical="center"/>
    </xf>
    <xf numFmtId="0" fontId="98" fillId="1" borderId="435" applyNumberFormat="0" applyFont="0" applyAlignment="0">
      <alignment horizont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7" fillId="54" borderId="429" applyNumberFormat="0" applyAlignment="0" applyProtection="0"/>
    <xf numFmtId="0" fontId="21" fillId="10" borderId="432" applyNumberFormat="0" applyFont="0" applyAlignment="0" applyProtection="0">
      <alignment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32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89" fillId="0" borderId="435">
      <alignment horizontal="left" vertical="center"/>
    </xf>
    <xf numFmtId="4" fontId="59" fillId="32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4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0" fontId="117" fillId="54" borderId="429" applyNumberFormat="0" applyAlignment="0" applyProtection="0"/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1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87" fillId="61" borderId="434"/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89" fillId="0" borderId="435">
      <alignment horizontal="left" vertical="center"/>
    </xf>
    <xf numFmtId="4" fontId="100" fillId="2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45" fillId="0" borderId="433" applyNumberFormat="0" applyFill="0" applyAlignmen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55" fillId="33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3" fontId="66" fillId="0" borderId="434"/>
    <xf numFmtId="0" fontId="98" fillId="1" borderId="435" applyNumberFormat="0" applyFont="0" applyAlignment="0">
      <alignment horizontal="center"/>
    </xf>
    <xf numFmtId="4" fontId="59" fillId="27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62" fillId="111" borderId="427" applyNumberFormat="0" applyAlignmen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120" fillId="60" borderId="430" applyBorder="0"/>
    <xf numFmtId="0" fontId="150" fillId="111" borderId="431" applyNumberFormat="0" applyAlignment="0" applyProtection="0">
      <alignment vertical="center"/>
    </xf>
    <xf numFmtId="4" fontId="59" fillId="22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119" fillId="56" borderId="427" applyNumberFormat="0" applyAlignment="0" applyProtection="0"/>
    <xf numFmtId="0" fontId="55" fillId="32" borderId="427" applyNumberFormat="0" applyProtection="0">
      <alignment horizontal="left" vertical="center" indent="1"/>
    </xf>
    <xf numFmtId="0" fontId="87" fillId="61" borderId="434"/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87" fillId="61" borderId="434"/>
    <xf numFmtId="4" fontId="59" fillId="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100" fillId="2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89" fillId="0" borderId="435">
      <alignment horizontal="left" vertical="center"/>
    </xf>
    <xf numFmtId="0" fontId="55" fillId="34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0" fontId="87" fillId="53" borderId="429" applyNumberFormat="0" applyFont="0" applyAlignment="0" applyProtection="0"/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4" fontId="59" fillId="35" borderId="427" applyNumberFormat="0" applyProtection="0">
      <alignment vertical="center"/>
    </xf>
    <xf numFmtId="4" fontId="59" fillId="25" borderId="427" applyNumberFormat="0" applyProtection="0">
      <alignment horizontal="right" vertical="center"/>
    </xf>
    <xf numFmtId="3" fontId="66" fillId="0" borderId="434"/>
    <xf numFmtId="3" fontId="66" fillId="0" borderId="434"/>
    <xf numFmtId="4" fontId="59" fillId="27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55" fillId="34" borderId="427" applyNumberFormat="0" applyProtection="0">
      <alignment horizontal="left" vertical="center" indent="1"/>
    </xf>
    <xf numFmtId="10" fontId="87" fillId="17" borderId="434" applyNumberFormat="0" applyBorder="0" applyAlignment="0" applyProtection="0"/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89" fillId="0" borderId="435">
      <alignment horizontal="left" vertical="center"/>
    </xf>
    <xf numFmtId="0" fontId="55" fillId="19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0" fontId="120" fillId="60" borderId="430" applyBorder="0"/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156" fillId="98" borderId="431" applyNumberFormat="0" applyAlignment="0" applyProtection="0">
      <alignment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4" fontId="59" fillId="22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0" fontId="113" fillId="56" borderId="429" applyNumberFormat="0" applyAlignment="0" applyProtection="0"/>
    <xf numFmtId="4" fontId="99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7" fillId="54" borderId="429" applyNumberFormat="0" applyAlignment="0" applyProtection="0"/>
    <xf numFmtId="0" fontId="55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120" fillId="60" borderId="430" applyBorder="0"/>
    <xf numFmtId="4" fontId="5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7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26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59" fillId="3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4" fontId="59" fillId="2" borderId="427" applyNumberFormat="0" applyProtection="0">
      <alignment vertical="center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0" fontId="119" fillId="56" borderId="427" applyNumberFormat="0" applyAlignment="0" applyProtection="0"/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4" fontId="103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100" fillId="29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3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196" fontId="82" fillId="0" borderId="434" applyFill="0" applyBorder="0" applyAlignment="0"/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59" fillId="22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0" fontId="119" fillId="56" borderId="427" applyNumberFormat="0" applyAlignment="0" applyProtection="0"/>
    <xf numFmtId="0" fontId="55" fillId="32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162" fillId="111" borderId="427" applyNumberFormat="0" applyAlignment="0" applyProtection="0">
      <alignment vertical="center"/>
    </xf>
    <xf numFmtId="0" fontId="120" fillId="60" borderId="430" applyBorder="0"/>
    <xf numFmtId="4" fontId="103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30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20" fillId="60" borderId="430" applyBorder="0"/>
    <xf numFmtId="4" fontId="59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21" fillId="10" borderId="432" applyNumberFormat="0" applyFont="0" applyAlignment="0" applyProtection="0">
      <alignment vertical="center"/>
    </xf>
    <xf numFmtId="4" fontId="5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89" fillId="0" borderId="435">
      <alignment horizontal="left" vertical="center"/>
    </xf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98" fillId="1" borderId="435" applyNumberFormat="0" applyFont="0" applyAlignment="0">
      <alignment horizontal="center"/>
    </xf>
    <xf numFmtId="0" fontId="55" fillId="19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10" fontId="87" fillId="17" borderId="434" applyNumberFormat="0" applyBorder="0" applyAlignment="0" applyProtection="0"/>
    <xf numFmtId="4" fontId="59" fillId="35" borderId="427" applyNumberFormat="0" applyProtection="0">
      <alignment vertical="center"/>
    </xf>
    <xf numFmtId="4" fontId="100" fillId="29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119" fillId="56" borderId="427" applyNumberFormat="0" applyAlignment="0" applyProtection="0"/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3" fontId="66" fillId="0" borderId="434"/>
    <xf numFmtId="4" fontId="99" fillId="2" borderId="427" applyNumberFormat="0" applyProtection="0">
      <alignment vertical="center"/>
    </xf>
    <xf numFmtId="0" fontId="119" fillId="56" borderId="427" applyNumberFormat="0" applyAlignment="0" applyProtection="0"/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0" fontId="55" fillId="32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0" fontId="117" fillId="54" borderId="429" applyNumberFormat="0" applyAlignment="0" applyProtection="0"/>
    <xf numFmtId="4" fontId="59" fillId="30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145" fillId="0" borderId="433" applyNumberFormat="0" applyFill="0" applyAlignment="0" applyProtection="0">
      <alignment vertical="center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1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3" fontId="66" fillId="0" borderId="434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10" fontId="87" fillId="17" borderId="434" applyNumberFormat="0" applyBorder="0" applyAlignment="0" applyProtection="0"/>
    <xf numFmtId="4" fontId="59" fillId="27" borderId="427" applyNumberFormat="0" applyProtection="0">
      <alignment horizontal="right" vertical="center"/>
    </xf>
    <xf numFmtId="0" fontId="156" fillId="98" borderId="431" applyNumberFormat="0" applyAlignment="0" applyProtection="0">
      <alignment vertical="center"/>
    </xf>
    <xf numFmtId="10" fontId="87" fillId="17" borderId="434" applyNumberFormat="0" applyBorder="0" applyAlignment="0" applyProtection="0"/>
    <xf numFmtId="4" fontId="99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25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0" fontId="113" fillId="56" borderId="429" applyNumberFormat="0" applyAlignment="0" applyProtection="0"/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30" borderId="428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35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32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103" fillId="30" borderId="427" applyNumberFormat="0" applyProtection="0">
      <alignment horizontal="right" vertical="center"/>
    </xf>
    <xf numFmtId="0" fontId="21" fillId="10" borderId="432" applyNumberFormat="0" applyFont="0" applyAlignment="0" applyProtection="0">
      <alignment vertical="center"/>
    </xf>
    <xf numFmtId="0" fontId="55" fillId="3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3" fontId="66" fillId="0" borderId="434"/>
    <xf numFmtId="4" fontId="59" fillId="25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103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30" borderId="427" applyNumberFormat="0" applyProtection="0">
      <alignment horizontal="left" vertical="center" indent="1"/>
    </xf>
    <xf numFmtId="3" fontId="66" fillId="0" borderId="434"/>
    <xf numFmtId="0" fontId="120" fillId="60" borderId="430" applyBorder="0"/>
    <xf numFmtId="0" fontId="120" fillId="60" borderId="430" applyBorder="0"/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3" fontId="66" fillId="0" borderId="434"/>
    <xf numFmtId="4" fontId="59" fillId="22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0" fontId="87" fillId="53" borderId="429" applyNumberFormat="0" applyFont="0" applyAlignment="0" applyProtection="0"/>
    <xf numFmtId="196" fontId="82" fillId="0" borderId="434" applyFill="0" applyBorder="0" applyAlignment="0"/>
    <xf numFmtId="4" fontId="59" fillId="2" borderId="427" applyNumberFormat="0" applyProtection="0">
      <alignment vertical="center"/>
    </xf>
    <xf numFmtId="4" fontId="59" fillId="26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98" fillId="1" borderId="435" applyNumberFormat="0" applyFont="0" applyAlignment="0">
      <alignment horizont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196" fontId="82" fillId="0" borderId="434" applyFill="0" applyBorder="0" applyAlignment="0"/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62" fillId="111" borderId="427" applyNumberFormat="0" applyAlignment="0" applyProtection="0">
      <alignment vertical="center"/>
    </xf>
    <xf numFmtId="196" fontId="82" fillId="0" borderId="434" applyFill="0" applyBorder="0" applyAlignment="0"/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117" fillId="54" borderId="429" applyNumberFormat="0" applyAlignment="0" applyProtection="0"/>
    <xf numFmtId="4" fontId="103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103" fillId="30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5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10" fontId="87" fillId="17" borderId="434" applyNumberFormat="0" applyBorder="0" applyAlignment="0" applyProtection="0"/>
    <xf numFmtId="4" fontId="59" fillId="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87" fillId="61" borderId="434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4" fontId="59" fillId="27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59" fillId="22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117" fillId="54" borderId="429" applyNumberFormat="0" applyAlignment="0" applyProtection="0"/>
    <xf numFmtId="0" fontId="119" fillId="56" borderId="427" applyNumberFormat="0" applyAlignment="0" applyProtection="0"/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4" fontId="59" fillId="22" borderId="427" applyNumberFormat="0" applyProtection="0">
      <alignment horizontal="right" vertical="center"/>
    </xf>
    <xf numFmtId="0" fontId="117" fillId="54" borderId="429" applyNumberFormat="0" applyAlignment="0" applyProtection="0"/>
    <xf numFmtId="4" fontId="59" fillId="2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4" fontId="99" fillId="2" borderId="427" applyNumberFormat="0" applyProtection="0">
      <alignment vertical="center"/>
    </xf>
    <xf numFmtId="0" fontId="145" fillId="0" borderId="433" applyNumberFormat="0" applyFill="0" applyAlignment="0" applyProtection="0">
      <alignment vertical="center"/>
    </xf>
    <xf numFmtId="4" fontId="59" fillId="23" borderId="427" applyNumberFormat="0" applyProtection="0">
      <alignment horizontal="right" vertical="center"/>
    </xf>
    <xf numFmtId="0" fontId="117" fillId="54" borderId="429" applyNumberFormat="0" applyAlignment="0" applyProtection="0"/>
    <xf numFmtId="196" fontId="82" fillId="0" borderId="434" applyFill="0" applyBorder="0" applyAlignment="0"/>
    <xf numFmtId="4" fontId="59" fillId="26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103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59" fillId="25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0" fontId="119" fillId="56" borderId="427" applyNumberFormat="0" applyAlignment="0" applyProtection="0"/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0" fontId="55" fillId="34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19" fillId="56" borderId="427" applyNumberFormat="0" applyAlignment="0" applyProtection="0"/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0" fontId="89" fillId="0" borderId="435">
      <alignment horizontal="left" vertical="center"/>
    </xf>
    <xf numFmtId="4" fontId="59" fillId="23" borderId="427" applyNumberFormat="0" applyProtection="0">
      <alignment horizontal="right" vertical="center"/>
    </xf>
    <xf numFmtId="0" fontId="87" fillId="61" borderId="434"/>
    <xf numFmtId="4" fontId="100" fillId="29" borderId="427" applyNumberFormat="0" applyProtection="0">
      <alignment horizontal="left" vertical="center" indent="1"/>
    </xf>
    <xf numFmtId="0" fontId="89" fillId="0" borderId="435">
      <alignment horizontal="left" vertical="center"/>
    </xf>
    <xf numFmtId="4" fontId="59" fillId="27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32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8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156" fillId="98" borderId="431" applyNumberFormat="0" applyAlignment="0" applyProtection="0">
      <alignment vertical="center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0" fontId="55" fillId="19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0" fontId="162" fillId="111" borderId="427" applyNumberFormat="0" applyAlignment="0" applyProtection="0">
      <alignment vertical="center"/>
    </xf>
    <xf numFmtId="4" fontId="59" fillId="22" borderId="427" applyNumberFormat="0" applyProtection="0">
      <alignment horizontal="right" vertical="center"/>
    </xf>
    <xf numFmtId="0" fontId="120" fillId="60" borderId="430" applyBorder="0"/>
    <xf numFmtId="4" fontId="59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30" borderId="427" applyNumberFormat="0" applyProtection="0">
      <alignment horizontal="right" vertical="center"/>
    </xf>
    <xf numFmtId="0" fontId="55" fillId="34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4" fontId="59" fillId="30" borderId="427" applyNumberFormat="0" applyProtection="0">
      <alignment horizontal="left" vertical="center" indent="1"/>
    </xf>
    <xf numFmtId="0" fontId="150" fillId="111" borderId="431" applyNumberFormat="0" applyAlignment="0" applyProtection="0">
      <alignment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27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117" fillId="54" borderId="429" applyNumberFormat="0" applyAlignment="0" applyProtection="0"/>
    <xf numFmtId="4" fontId="59" fillId="27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0" fontId="55" fillId="33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59" fillId="23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1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120" fillId="60" borderId="430" applyBorder="0"/>
    <xf numFmtId="0" fontId="55" fillId="32" borderId="427" applyNumberFormat="0" applyProtection="0">
      <alignment horizontal="left" vertical="center" indent="1"/>
    </xf>
    <xf numFmtId="4" fontId="59" fillId="24" borderId="427" applyNumberFormat="0" applyProtection="0">
      <alignment horizontal="right" vertical="center"/>
    </xf>
    <xf numFmtId="0" fontId="21" fillId="10" borderId="432" applyNumberFormat="0" applyFont="0" applyAlignment="0" applyProtection="0">
      <alignment vertical="center"/>
    </xf>
    <xf numFmtId="4" fontId="59" fillId="26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0" fontId="87" fillId="61" borderId="434"/>
    <xf numFmtId="4" fontId="59" fillId="2" borderId="427" applyNumberFormat="0" applyProtection="0">
      <alignment vertical="center"/>
    </xf>
    <xf numFmtId="0" fontId="120" fillId="60" borderId="430" applyBorder="0"/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0" fontId="55" fillId="32" borderId="427" applyNumberFormat="0" applyProtection="0">
      <alignment horizontal="left" vertical="center" indent="1"/>
    </xf>
    <xf numFmtId="4" fontId="59" fillId="26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87" fillId="53" borderId="429" applyNumberFormat="0" applyFont="0" applyAlignment="0" applyProtection="0"/>
    <xf numFmtId="4" fontId="59" fillId="30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2" borderId="427" applyNumberFormat="0" applyProtection="0">
      <alignment horizontal="right" vertical="center"/>
    </xf>
    <xf numFmtId="0" fontId="119" fillId="56" borderId="427" applyNumberFormat="0" applyAlignment="0" applyProtection="0"/>
    <xf numFmtId="4" fontId="59" fillId="24" borderId="427" applyNumberFormat="0" applyProtection="0">
      <alignment horizontal="right" vertical="center"/>
    </xf>
    <xf numFmtId="4" fontId="59" fillId="35" borderId="427" applyNumberFormat="0" applyProtection="0">
      <alignment vertical="center"/>
    </xf>
    <xf numFmtId="4" fontId="59" fillId="30" borderId="428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113" fillId="56" borderId="429" applyNumberFormat="0" applyAlignment="0" applyProtection="0"/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0" fontId="98" fillId="1" borderId="435" applyNumberFormat="0" applyFont="0" applyAlignment="0">
      <alignment horizont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3" borderId="427" applyNumberFormat="0" applyProtection="0">
      <alignment horizontal="right" vertical="center"/>
    </xf>
    <xf numFmtId="4" fontId="59" fillId="2" borderId="427" applyNumberFormat="0" applyProtection="0">
      <alignment vertical="center"/>
    </xf>
    <xf numFmtId="0" fontId="156" fillId="98" borderId="431" applyNumberFormat="0" applyAlignment="0" applyProtection="0">
      <alignment vertical="center"/>
    </xf>
    <xf numFmtId="4" fontId="59" fillId="22" borderId="427" applyNumberFormat="0" applyProtection="0">
      <alignment horizontal="right" vertical="center"/>
    </xf>
    <xf numFmtId="196" fontId="82" fillId="0" borderId="434" applyFill="0" applyBorder="0" applyAlignment="0"/>
    <xf numFmtId="196" fontId="82" fillId="0" borderId="434" applyFill="0" applyBorder="0" applyAlignment="0"/>
    <xf numFmtId="4" fontId="5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25" borderId="427" applyNumberFormat="0" applyProtection="0">
      <alignment horizontal="right" vertical="center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1" borderId="427" applyNumberFormat="0" applyProtection="0">
      <alignment horizontal="right" vertical="center"/>
    </xf>
    <xf numFmtId="0" fontId="87" fillId="53" borderId="429" applyNumberFormat="0" applyFont="0" applyAlignment="0" applyProtection="0"/>
    <xf numFmtId="4" fontId="59" fillId="25" borderId="427" applyNumberFormat="0" applyProtection="0">
      <alignment horizontal="right" vertical="center"/>
    </xf>
    <xf numFmtId="4" fontId="99" fillId="35" borderId="427" applyNumberFormat="0" applyProtection="0">
      <alignment vertical="center"/>
    </xf>
    <xf numFmtId="0" fontId="119" fillId="56" borderId="427" applyNumberFormat="0" applyAlignment="0" applyProtection="0"/>
    <xf numFmtId="4" fontId="99" fillId="2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117" fillId="54" borderId="429" applyNumberFormat="0" applyAlignment="0" applyProtection="0"/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1" fillId="0" borderId="0">
      <alignment vertical="center"/>
    </xf>
    <xf numFmtId="0" fontId="1" fillId="0" borderId="0">
      <alignment vertical="center"/>
    </xf>
    <xf numFmtId="0" fontId="64" fillId="0" borderId="438">
      <alignment horizontal="center"/>
    </xf>
    <xf numFmtId="3" fontId="66" fillId="0" borderId="436"/>
    <xf numFmtId="0" fontId="98" fillId="1" borderId="439" applyNumberFormat="0" applyFont="0" applyAlignment="0">
      <alignment horizontal="center"/>
    </xf>
    <xf numFmtId="4" fontId="103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99" fillId="30" borderId="427" applyNumberFormat="0" applyProtection="0">
      <alignment horizontal="right" vertical="center"/>
    </xf>
    <xf numFmtId="4" fontId="59" fillId="30" borderId="427" applyNumberFormat="0" applyProtection="0">
      <alignment horizontal="right"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8" applyNumberFormat="0" applyProtection="0">
      <alignment horizontal="left" vertical="center" indent="1"/>
    </xf>
    <xf numFmtId="4" fontId="100" fillId="29" borderId="427" applyNumberFormat="0" applyProtection="0">
      <alignment horizontal="left" vertical="center" indent="1"/>
    </xf>
    <xf numFmtId="4" fontId="59" fillId="28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vertical="center"/>
    </xf>
    <xf numFmtId="0" fontId="89" fillId="0" borderId="439">
      <alignment horizontal="left" vertical="center"/>
    </xf>
    <xf numFmtId="0" fontId="96" fillId="0" borderId="206"/>
    <xf numFmtId="0" fontId="91" fillId="0" borderId="206">
      <alignment horizontal="center"/>
    </xf>
    <xf numFmtId="3" fontId="66" fillId="0" borderId="436"/>
    <xf numFmtId="3" fontId="66" fillId="0" borderId="436"/>
    <xf numFmtId="196" fontId="82" fillId="0" borderId="436" applyFill="0" applyBorder="0" applyAlignment="0"/>
    <xf numFmtId="10" fontId="87" fillId="17" borderId="436" applyNumberFormat="0" applyBorder="0" applyAlignment="0" applyProtection="0"/>
    <xf numFmtId="3" fontId="66" fillId="0" borderId="436"/>
    <xf numFmtId="3" fontId="66" fillId="0" borderId="436"/>
    <xf numFmtId="3" fontId="66" fillId="0" borderId="436"/>
    <xf numFmtId="196" fontId="82" fillId="0" borderId="436" applyFill="0" applyBorder="0" applyAlignment="0"/>
    <xf numFmtId="10" fontId="87" fillId="17" borderId="436" applyNumberFormat="0" applyBorder="0" applyAlignment="0" applyProtection="0"/>
    <xf numFmtId="4" fontId="59" fillId="2" borderId="427" applyNumberFormat="0" applyProtection="0">
      <alignment vertical="center"/>
    </xf>
    <xf numFmtId="4" fontId="99" fillId="2" borderId="427" applyNumberFormat="0" applyProtection="0">
      <alignment vertical="center"/>
    </xf>
    <xf numFmtId="4" fontId="59" fillId="2" borderId="427" applyNumberFormat="0" applyProtection="0">
      <alignment horizontal="left" vertical="center" indent="1"/>
    </xf>
    <xf numFmtId="4" fontId="59" fillId="2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20" borderId="427" applyNumberFormat="0" applyProtection="0">
      <alignment horizontal="right" vertical="center"/>
    </xf>
    <xf numFmtId="4" fontId="59" fillId="21" borderId="427" applyNumberFormat="0" applyProtection="0">
      <alignment horizontal="right" vertical="center"/>
    </xf>
    <xf numFmtId="4" fontId="59" fillId="22" borderId="427" applyNumberFormat="0" applyProtection="0">
      <alignment horizontal="right" vertical="center"/>
    </xf>
    <xf numFmtId="4" fontId="59" fillId="23" borderId="427" applyNumberFormat="0" applyProtection="0">
      <alignment horizontal="right" vertical="center"/>
    </xf>
    <xf numFmtId="4" fontId="59" fillId="24" borderId="427" applyNumberFormat="0" applyProtection="0">
      <alignment horizontal="right" vertical="center"/>
    </xf>
    <xf numFmtId="4" fontId="59" fillId="25" borderId="427" applyNumberFormat="0" applyProtection="0">
      <alignment horizontal="right" vertical="center"/>
    </xf>
    <xf numFmtId="4" fontId="59" fillId="26" borderId="427" applyNumberFormat="0" applyProtection="0">
      <alignment horizontal="right" vertical="center"/>
    </xf>
    <xf numFmtId="4" fontId="59" fillId="27" borderId="427" applyNumberFormat="0" applyProtection="0">
      <alignment horizontal="right" vertical="center"/>
    </xf>
    <xf numFmtId="4" fontId="59" fillId="28" borderId="427" applyNumberFormat="0" applyProtection="0">
      <alignment horizontal="right" vertical="center"/>
    </xf>
    <xf numFmtId="4" fontId="100" fillId="2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0" borderId="427" applyNumberFormat="0" applyProtection="0">
      <alignment horizontal="left" vertical="center" indent="1"/>
    </xf>
    <xf numFmtId="4" fontId="59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2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3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34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59" fillId="35" borderId="427" applyNumberFormat="0" applyProtection="0">
      <alignment vertical="center"/>
    </xf>
    <xf numFmtId="4" fontId="99" fillId="35" borderId="427" applyNumberFormat="0" applyProtection="0">
      <alignment vertical="center"/>
    </xf>
    <xf numFmtId="4" fontId="59" fillId="35" borderId="427" applyNumberFormat="0" applyProtection="0">
      <alignment horizontal="left" vertical="center" indent="1"/>
    </xf>
    <xf numFmtId="4" fontId="59" fillId="35" borderId="427" applyNumberFormat="0" applyProtection="0">
      <alignment horizontal="left" vertical="center" indent="1"/>
    </xf>
    <xf numFmtId="4" fontId="59" fillId="30" borderId="427" applyNumberFormat="0" applyProtection="0">
      <alignment horizontal="right" vertical="center"/>
    </xf>
    <xf numFmtId="4" fontId="99" fillId="30" borderId="427" applyNumberFormat="0" applyProtection="0">
      <alignment horizontal="right" vertical="center"/>
    </xf>
    <xf numFmtId="0" fontId="55" fillId="19" borderId="427" applyNumberFormat="0" applyProtection="0">
      <alignment horizontal="left" vertical="center" indent="1"/>
    </xf>
    <xf numFmtId="0" fontId="55" fillId="19" borderId="427" applyNumberFormat="0" applyProtection="0">
      <alignment horizontal="left" vertical="center" indent="1"/>
    </xf>
    <xf numFmtId="4" fontId="103" fillId="30" borderId="427" applyNumberFormat="0" applyProtection="0">
      <alignment horizontal="right" vertical="center"/>
    </xf>
    <xf numFmtId="0" fontId="150" fillId="111" borderId="431" applyNumberFormat="0" applyAlignment="0" applyProtection="0">
      <alignment vertical="center"/>
    </xf>
    <xf numFmtId="0" fontId="150" fillId="111" borderId="431" applyNumberForma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21" fillId="10" borderId="432" applyNumberFormat="0" applyFont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45" fillId="0" borderId="433" applyNumberFormat="0" applyFill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56" fillId="98" borderId="431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62" fillId="111" borderId="427" applyNumberFormat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" fontId="59" fillId="2" borderId="440" applyNumberFormat="0" applyProtection="0">
      <alignment vertical="center"/>
    </xf>
    <xf numFmtId="4" fontId="99" fillId="2" borderId="440" applyNumberFormat="0" applyProtection="0">
      <alignment vertical="center"/>
    </xf>
    <xf numFmtId="4" fontId="59" fillId="2" borderId="440" applyNumberFormat="0" applyProtection="0">
      <alignment horizontal="left" vertical="center" indent="1"/>
    </xf>
    <xf numFmtId="4" fontId="59" fillId="2" borderId="440" applyNumberFormat="0" applyProtection="0">
      <alignment horizontal="left" vertical="center" indent="1"/>
    </xf>
    <xf numFmtId="0" fontId="55" fillId="19" borderId="440" applyNumberFormat="0" applyProtection="0">
      <alignment horizontal="left" vertical="center" indent="1"/>
    </xf>
    <xf numFmtId="4" fontId="59" fillId="20" borderId="440" applyNumberFormat="0" applyProtection="0">
      <alignment horizontal="right" vertical="center"/>
    </xf>
    <xf numFmtId="4" fontId="59" fillId="21" borderId="440" applyNumberFormat="0" applyProtection="0">
      <alignment horizontal="right" vertical="center"/>
    </xf>
    <xf numFmtId="4" fontId="59" fillId="22" borderId="440" applyNumberFormat="0" applyProtection="0">
      <alignment horizontal="right" vertical="center"/>
    </xf>
    <xf numFmtId="4" fontId="59" fillId="23" borderId="440" applyNumberFormat="0" applyProtection="0">
      <alignment horizontal="right" vertical="center"/>
    </xf>
    <xf numFmtId="4" fontId="59" fillId="24" borderId="440" applyNumberFormat="0" applyProtection="0">
      <alignment horizontal="right" vertical="center"/>
    </xf>
    <xf numFmtId="4" fontId="59" fillId="25" borderId="440" applyNumberFormat="0" applyProtection="0">
      <alignment horizontal="right" vertical="center"/>
    </xf>
    <xf numFmtId="4" fontId="59" fillId="26" borderId="440" applyNumberFormat="0" applyProtection="0">
      <alignment horizontal="right" vertical="center"/>
    </xf>
    <xf numFmtId="4" fontId="59" fillId="27" borderId="440" applyNumberFormat="0" applyProtection="0">
      <alignment horizontal="right" vertical="center"/>
    </xf>
    <xf numFmtId="4" fontId="59" fillId="28" borderId="440" applyNumberFormat="0" applyProtection="0">
      <alignment horizontal="right" vertical="center"/>
    </xf>
    <xf numFmtId="4" fontId="100" fillId="29" borderId="440" applyNumberFormat="0" applyProtection="0">
      <alignment horizontal="left" vertical="center" indent="1"/>
    </xf>
    <xf numFmtId="4" fontId="59" fillId="30" borderId="441" applyNumberFormat="0" applyProtection="0">
      <alignment horizontal="left" vertical="center" indent="1"/>
    </xf>
    <xf numFmtId="0" fontId="55" fillId="19" borderId="440" applyNumberFormat="0" applyProtection="0">
      <alignment horizontal="left" vertical="center" indent="1"/>
    </xf>
    <xf numFmtId="4" fontId="59" fillId="30" borderId="440" applyNumberFormat="0" applyProtection="0">
      <alignment horizontal="left" vertical="center" indent="1"/>
    </xf>
    <xf numFmtId="4" fontId="59" fillId="32" borderId="440" applyNumberFormat="0" applyProtection="0">
      <alignment horizontal="left" vertical="center" indent="1"/>
    </xf>
    <xf numFmtId="0" fontId="55" fillId="32" borderId="440" applyNumberFormat="0" applyProtection="0">
      <alignment horizontal="left" vertical="center" indent="1"/>
    </xf>
    <xf numFmtId="0" fontId="55" fillId="32" borderId="440" applyNumberFormat="0" applyProtection="0">
      <alignment horizontal="left" vertical="center" indent="1"/>
    </xf>
    <xf numFmtId="0" fontId="55" fillId="33" borderId="440" applyNumberFormat="0" applyProtection="0">
      <alignment horizontal="left" vertical="center" indent="1"/>
    </xf>
    <xf numFmtId="0" fontId="55" fillId="33" borderId="440" applyNumberFormat="0" applyProtection="0">
      <alignment horizontal="left" vertical="center" indent="1"/>
    </xf>
    <xf numFmtId="0" fontId="55" fillId="34" borderId="440" applyNumberFormat="0" applyProtection="0">
      <alignment horizontal="left" vertical="center" indent="1"/>
    </xf>
    <xf numFmtId="0" fontId="55" fillId="34" borderId="440" applyNumberFormat="0" applyProtection="0">
      <alignment horizontal="left" vertical="center" indent="1"/>
    </xf>
    <xf numFmtId="0" fontId="55" fillId="19" borderId="440" applyNumberFormat="0" applyProtection="0">
      <alignment horizontal="left" vertical="center" indent="1"/>
    </xf>
    <xf numFmtId="0" fontId="55" fillId="19" borderId="440" applyNumberFormat="0" applyProtection="0">
      <alignment horizontal="left" vertical="center" indent="1"/>
    </xf>
    <xf numFmtId="4" fontId="59" fillId="35" borderId="440" applyNumberFormat="0" applyProtection="0">
      <alignment vertical="center"/>
    </xf>
    <xf numFmtId="4" fontId="99" fillId="35" borderId="440" applyNumberFormat="0" applyProtection="0">
      <alignment vertical="center"/>
    </xf>
    <xf numFmtId="4" fontId="59" fillId="35" borderId="440" applyNumberFormat="0" applyProtection="0">
      <alignment horizontal="left" vertical="center" indent="1"/>
    </xf>
    <xf numFmtId="4" fontId="59" fillId="35" borderId="440" applyNumberFormat="0" applyProtection="0">
      <alignment horizontal="left" vertical="center" indent="1"/>
    </xf>
    <xf numFmtId="4" fontId="59" fillId="30" borderId="440" applyNumberFormat="0" applyProtection="0">
      <alignment horizontal="right" vertical="center"/>
    </xf>
    <xf numFmtId="4" fontId="99" fillId="30" borderId="440" applyNumberFormat="0" applyProtection="0">
      <alignment horizontal="right" vertical="center"/>
    </xf>
    <xf numFmtId="0" fontId="55" fillId="19" borderId="440" applyNumberFormat="0" applyProtection="0">
      <alignment horizontal="left" vertical="center" indent="1"/>
    </xf>
    <xf numFmtId="0" fontId="55" fillId="19" borderId="440" applyNumberFormat="0" applyProtection="0">
      <alignment horizontal="left" vertical="center" indent="1"/>
    </xf>
    <xf numFmtId="4" fontId="103" fillId="30" borderId="440" applyNumberFormat="0" applyProtection="0">
      <alignment horizontal="right" vertical="center"/>
    </xf>
    <xf numFmtId="0" fontId="150" fillId="111" borderId="442" applyNumberFormat="0" applyAlignment="0" applyProtection="0">
      <alignment vertical="center"/>
    </xf>
    <xf numFmtId="0" fontId="21" fillId="10" borderId="443" applyNumberFormat="0" applyFont="0" applyAlignment="0" applyProtection="0">
      <alignment vertical="center"/>
    </xf>
    <xf numFmtId="0" fontId="145" fillId="0" borderId="444" applyNumberFormat="0" applyFill="0" applyAlignment="0" applyProtection="0">
      <alignment vertical="center"/>
    </xf>
    <xf numFmtId="0" fontId="156" fillId="98" borderId="442" applyNumberFormat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2" fillId="111" borderId="440" applyNumberFormat="0" applyAlignment="0" applyProtection="0">
      <alignment vertical="center"/>
    </xf>
  </cellStyleXfs>
  <cellXfs count="7770">
    <xf numFmtId="0" fontId="0" fillId="0" borderId="0" xfId="0">
      <alignment vertical="center"/>
    </xf>
    <xf numFmtId="10" fontId="27" fillId="7" borderId="2" xfId="1" applyNumberFormat="1" applyFont="1" applyFill="1" applyBorder="1" applyAlignment="1">
      <alignment horizontal="center" vertical="center"/>
    </xf>
    <xf numFmtId="10" fontId="27" fillId="7" borderId="13" xfId="1" applyNumberFormat="1" applyFont="1" applyFill="1" applyBorder="1" applyAlignment="1">
      <alignment horizontal="center" vertical="center"/>
    </xf>
    <xf numFmtId="41" fontId="27" fillId="7" borderId="0" xfId="2" applyFont="1" applyFill="1" applyBorder="1" applyAlignment="1">
      <alignment horizontal="center" vertical="center"/>
    </xf>
    <xf numFmtId="0" fontId="27" fillId="7" borderId="0" xfId="0" applyFont="1" applyFill="1" applyBorder="1" applyAlignment="1">
      <alignment horizontal="center" vertical="center"/>
    </xf>
    <xf numFmtId="0" fontId="30" fillId="7" borderId="0" xfId="0" applyFont="1" applyFill="1" applyBorder="1" applyAlignment="1">
      <alignment horizontal="center" vertical="center"/>
    </xf>
    <xf numFmtId="10" fontId="27" fillId="7" borderId="0" xfId="1" applyNumberFormat="1" applyFont="1" applyFill="1" applyBorder="1" applyAlignment="1">
      <alignment horizontal="center" vertical="center"/>
    </xf>
    <xf numFmtId="0" fontId="30" fillId="7" borderId="15" xfId="0" applyFont="1" applyFill="1" applyBorder="1" applyAlignment="1">
      <alignment horizontal="center" vertical="center"/>
    </xf>
    <xf numFmtId="41" fontId="30" fillId="7" borderId="16" xfId="2" applyFont="1" applyFill="1" applyBorder="1" applyAlignment="1">
      <alignment horizontal="center" vertical="center"/>
    </xf>
    <xf numFmtId="10" fontId="27" fillId="7" borderId="3" xfId="1" applyNumberFormat="1" applyFont="1" applyFill="1" applyBorder="1" applyAlignment="1">
      <alignment horizontal="center" vertical="center"/>
    </xf>
    <xf numFmtId="10" fontId="27" fillId="7" borderId="11" xfId="1" applyNumberFormat="1" applyFont="1" applyFill="1" applyBorder="1" applyAlignment="1">
      <alignment horizontal="center" vertical="center"/>
    </xf>
    <xf numFmtId="42" fontId="27" fillId="7" borderId="4" xfId="3" quotePrefix="1" applyFont="1" applyFill="1" applyBorder="1" applyAlignment="1">
      <alignment horizontal="center" vertical="center"/>
    </xf>
    <xf numFmtId="42" fontId="27" fillId="7" borderId="27" xfId="3" quotePrefix="1" applyFont="1" applyFill="1" applyBorder="1" applyAlignment="1">
      <alignment horizontal="center" vertical="center"/>
    </xf>
    <xf numFmtId="0" fontId="30" fillId="7" borderId="4" xfId="0" applyFont="1" applyFill="1" applyBorder="1" applyAlignment="1">
      <alignment horizontal="center" vertical="center"/>
    </xf>
    <xf numFmtId="0" fontId="30" fillId="7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179" fontId="27" fillId="7" borderId="0" xfId="0" applyNumberFormat="1" applyFont="1" applyFill="1" applyAlignment="1">
      <alignment horizontal="center" vertical="center"/>
    </xf>
    <xf numFmtId="42" fontId="27" fillId="7" borderId="9" xfId="3" quotePrefix="1" applyFont="1" applyFill="1" applyBorder="1" applyAlignment="1">
      <alignment horizontal="center" vertical="center"/>
    </xf>
    <xf numFmtId="42" fontId="27" fillId="7" borderId="16" xfId="3" quotePrefix="1" applyFont="1" applyFill="1" applyBorder="1" applyAlignment="1">
      <alignment horizontal="center" vertical="center"/>
    </xf>
    <xf numFmtId="41" fontId="27" fillId="7" borderId="25" xfId="2" quotePrefix="1" applyFont="1" applyFill="1" applyBorder="1" applyAlignment="1">
      <alignment horizontal="center" vertical="center"/>
    </xf>
    <xf numFmtId="41" fontId="27" fillId="7" borderId="42" xfId="2" quotePrefix="1" applyFont="1" applyFill="1" applyBorder="1" applyAlignment="1">
      <alignment horizontal="center" vertical="center"/>
    </xf>
    <xf numFmtId="41" fontId="27" fillId="7" borderId="26" xfId="2" quotePrefix="1" applyFont="1" applyFill="1" applyBorder="1" applyAlignment="1">
      <alignment horizontal="center" vertical="center"/>
    </xf>
    <xf numFmtId="41" fontId="30" fillId="7" borderId="13" xfId="2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  <xf numFmtId="42" fontId="27" fillId="7" borderId="7" xfId="3" quotePrefix="1" applyFont="1" applyFill="1" applyBorder="1" applyAlignment="1">
      <alignment horizontal="center" vertical="center"/>
    </xf>
    <xf numFmtId="177" fontId="27" fillId="7" borderId="7" xfId="3" quotePrefix="1" applyNumberFormat="1" applyFont="1" applyFill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41" fontId="27" fillId="7" borderId="24" xfId="2" quotePrefix="1" applyFont="1" applyFill="1" applyBorder="1" applyAlignment="1">
      <alignment horizontal="center" vertical="center"/>
    </xf>
    <xf numFmtId="0" fontId="27" fillId="7" borderId="24" xfId="0" applyFont="1" applyFill="1" applyBorder="1" applyAlignment="1">
      <alignment horizontal="center" vertical="center"/>
    </xf>
    <xf numFmtId="0" fontId="27" fillId="7" borderId="18" xfId="0" applyFont="1" applyFill="1" applyBorder="1" applyAlignment="1">
      <alignment horizontal="center" vertical="center"/>
    </xf>
    <xf numFmtId="0" fontId="27" fillId="7" borderId="19" xfId="0" applyFont="1" applyFill="1" applyBorder="1" applyAlignment="1">
      <alignment horizontal="center" vertical="center"/>
    </xf>
    <xf numFmtId="42" fontId="27" fillId="7" borderId="8" xfId="3" applyFont="1" applyFill="1" applyBorder="1" applyAlignment="1">
      <alignment horizontal="center" vertical="center"/>
    </xf>
    <xf numFmtId="41" fontId="27" fillId="7" borderId="39" xfId="2" quotePrefix="1" applyFont="1" applyFill="1" applyBorder="1" applyAlignment="1">
      <alignment horizontal="center" vertical="center"/>
    </xf>
    <xf numFmtId="42" fontId="27" fillId="7" borderId="15" xfId="3" quotePrefix="1" applyFont="1" applyFill="1" applyBorder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0" fontId="27" fillId="7" borderId="0" xfId="0" applyFont="1" applyFill="1" applyBorder="1" applyAlignment="1" applyProtection="1">
      <alignment horizontal="center" vertical="center"/>
      <protection locked="0"/>
    </xf>
    <xf numFmtId="179" fontId="36" fillId="7" borderId="0" xfId="0" applyNumberFormat="1" applyFont="1" applyFill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42" fontId="27" fillId="7" borderId="34" xfId="3" quotePrefix="1" applyFont="1" applyFill="1" applyBorder="1" applyAlignment="1">
      <alignment horizontal="center" vertical="center"/>
    </xf>
    <xf numFmtId="42" fontId="27" fillId="7" borderId="33" xfId="3" applyFont="1" applyFill="1" applyBorder="1" applyAlignment="1">
      <alignment horizontal="center" vertical="center"/>
    </xf>
    <xf numFmtId="0" fontId="30" fillId="3" borderId="15" xfId="0" applyFont="1" applyFill="1" applyBorder="1" applyAlignment="1">
      <alignment horizontal="center" vertical="center"/>
    </xf>
    <xf numFmtId="10" fontId="27" fillId="7" borderId="21" xfId="1" applyNumberFormat="1" applyFont="1" applyFill="1" applyBorder="1" applyAlignment="1">
      <alignment horizontal="center" vertical="center"/>
    </xf>
    <xf numFmtId="181" fontId="27" fillId="7" borderId="21" xfId="2" applyNumberFormat="1" applyFont="1" applyFill="1" applyBorder="1" applyAlignment="1">
      <alignment horizontal="center" vertical="center"/>
    </xf>
    <xf numFmtId="0" fontId="27" fillId="7" borderId="44" xfId="0" applyFont="1" applyFill="1" applyBorder="1" applyAlignment="1">
      <alignment horizontal="center" vertical="center"/>
    </xf>
    <xf numFmtId="0" fontId="27" fillId="7" borderId="45" xfId="0" applyFont="1" applyFill="1" applyBorder="1" applyAlignment="1">
      <alignment horizontal="center" vertical="center"/>
    </xf>
    <xf numFmtId="178" fontId="27" fillId="7" borderId="34" xfId="0" quotePrefix="1" applyNumberFormat="1" applyFont="1" applyFill="1" applyBorder="1" applyAlignment="1">
      <alignment horizontal="center" vertical="center"/>
    </xf>
    <xf numFmtId="10" fontId="27" fillId="7" borderId="7" xfId="1" quotePrefix="1" applyNumberFormat="1" applyFont="1" applyFill="1" applyBorder="1" applyAlignment="1">
      <alignment horizontal="center" vertical="center"/>
    </xf>
    <xf numFmtId="0" fontId="37" fillId="10" borderId="0" xfId="0" applyFont="1" applyFill="1" applyBorder="1" applyAlignment="1" applyProtection="1">
      <protection locked="0"/>
    </xf>
    <xf numFmtId="0" fontId="0" fillId="11" borderId="0" xfId="0" applyFill="1" applyAlignment="1" applyProtection="1">
      <protection locked="0"/>
    </xf>
    <xf numFmtId="0" fontId="37" fillId="11" borderId="0" xfId="0" applyFont="1" applyFill="1" applyBorder="1" applyAlignment="1" applyProtection="1">
      <protection locked="0"/>
    </xf>
    <xf numFmtId="0" fontId="0" fillId="12" borderId="0" xfId="0" applyFill="1" applyAlignment="1" applyProtection="1">
      <protection locked="0"/>
    </xf>
    <xf numFmtId="0" fontId="37" fillId="12" borderId="0" xfId="0" applyFont="1" applyFill="1" applyBorder="1" applyAlignment="1" applyProtection="1">
      <protection locked="0"/>
    </xf>
    <xf numFmtId="0" fontId="37" fillId="0" borderId="0" xfId="0" applyFont="1" applyBorder="1" applyAlignment="1" applyProtection="1">
      <alignment horizontal="right" vertical="center"/>
    </xf>
    <xf numFmtId="0" fontId="37" fillId="0" borderId="0" xfId="0" applyFont="1" applyBorder="1" applyAlignment="1" applyProtection="1">
      <alignment horizontal="center" vertical="center"/>
    </xf>
    <xf numFmtId="184" fontId="37" fillId="0" borderId="0" xfId="0" applyNumberFormat="1" applyFont="1" applyBorder="1" applyAlignment="1" applyProtection="1">
      <alignment horizontal="right" vertical="center"/>
    </xf>
    <xf numFmtId="184" fontId="37" fillId="0" borderId="0" xfId="0" applyNumberFormat="1" applyFont="1" applyBorder="1" applyAlignment="1" applyProtection="1">
      <alignment vertical="center"/>
    </xf>
    <xf numFmtId="0" fontId="37" fillId="0" borderId="0" xfId="0" applyFont="1" applyBorder="1" applyAlignment="1" applyProtection="1">
      <protection locked="0"/>
    </xf>
    <xf numFmtId="0" fontId="0" fillId="0" borderId="0" xfId="0" applyAlignment="1" applyProtection="1">
      <protection locked="0"/>
    </xf>
    <xf numFmtId="0" fontId="38" fillId="9" borderId="0" xfId="0" applyFont="1" applyFill="1" applyBorder="1" applyAlignment="1" applyProtection="1">
      <alignment horizontal="center" vertical="center"/>
    </xf>
    <xf numFmtId="0" fontId="27" fillId="7" borderId="21" xfId="0" applyFont="1" applyFill="1" applyBorder="1" applyAlignment="1">
      <alignment horizontal="center" vertical="center"/>
    </xf>
    <xf numFmtId="42" fontId="27" fillId="7" borderId="33" xfId="3" quotePrefix="1" applyFont="1" applyFill="1" applyBorder="1" applyAlignment="1">
      <alignment horizontal="center" vertical="center"/>
    </xf>
    <xf numFmtId="42" fontId="27" fillId="7" borderId="0" xfId="3" applyFont="1" applyFill="1" applyBorder="1" applyAlignment="1">
      <alignment horizontal="center" vertical="center"/>
    </xf>
    <xf numFmtId="42" fontId="27" fillId="7" borderId="32" xfId="3" quotePrefix="1" applyFont="1" applyFill="1" applyBorder="1" applyAlignment="1">
      <alignment horizontal="center" vertical="center"/>
    </xf>
    <xf numFmtId="42" fontId="30" fillId="7" borderId="0" xfId="3" applyFont="1" applyFill="1" applyBorder="1" applyAlignment="1">
      <alignment horizontal="center" vertical="center"/>
    </xf>
    <xf numFmtId="0" fontId="0" fillId="0" borderId="0" xfId="0" applyAlignment="1"/>
    <xf numFmtId="0" fontId="41" fillId="0" borderId="0" xfId="0" applyFont="1" applyAlignment="1"/>
    <xf numFmtId="0" fontId="45" fillId="0" borderId="0" xfId="0" applyFont="1" applyAlignment="1">
      <alignment horizontal="center" vertical="center"/>
    </xf>
    <xf numFmtId="0" fontId="45" fillId="0" borderId="0" xfId="0" applyFont="1" applyAlignment="1"/>
    <xf numFmtId="0" fontId="0" fillId="0" borderId="0" xfId="0" applyAlignment="1">
      <alignment horizontal="center" vertical="center"/>
    </xf>
    <xf numFmtId="0" fontId="30" fillId="4" borderId="15" xfId="4" applyFont="1" applyFill="1" applyBorder="1" applyAlignment="1">
      <alignment horizontal="center" vertical="center"/>
    </xf>
    <xf numFmtId="0" fontId="30" fillId="4" borderId="4" xfId="4" applyFont="1" applyFill="1" applyBorder="1" applyAlignment="1">
      <alignment horizontal="center" vertical="center"/>
    </xf>
    <xf numFmtId="0" fontId="30" fillId="4" borderId="16" xfId="4" applyFont="1" applyFill="1" applyBorder="1" applyAlignment="1">
      <alignment horizontal="center" vertical="center"/>
    </xf>
    <xf numFmtId="0" fontId="30" fillId="4" borderId="21" xfId="4" applyFont="1" applyFill="1" applyBorder="1" applyAlignment="1">
      <alignment horizontal="center" vertical="center"/>
    </xf>
    <xf numFmtId="10" fontId="27" fillId="7" borderId="0" xfId="0" applyNumberFormat="1" applyFont="1" applyFill="1" applyBorder="1" applyAlignment="1">
      <alignment horizontal="center" vertical="center"/>
    </xf>
    <xf numFmtId="10" fontId="27" fillId="7" borderId="1" xfId="0" applyNumberFormat="1" applyFont="1" applyFill="1" applyBorder="1" applyAlignment="1">
      <alignment horizontal="center" vertical="center"/>
    </xf>
    <xf numFmtId="10" fontId="27" fillId="7" borderId="9" xfId="0" applyNumberFormat="1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42" fontId="27" fillId="13" borderId="8" xfId="3" applyFont="1" applyFill="1" applyBorder="1" applyAlignment="1">
      <alignment horizontal="center" vertical="center"/>
    </xf>
    <xf numFmtId="10" fontId="27" fillId="13" borderId="1" xfId="0" applyNumberFormat="1" applyFont="1" applyFill="1" applyBorder="1" applyAlignment="1">
      <alignment horizontal="center" vertical="center"/>
    </xf>
    <xf numFmtId="10" fontId="27" fillId="13" borderId="9" xfId="0" applyNumberFormat="1" applyFont="1" applyFill="1" applyBorder="1" applyAlignment="1">
      <alignment horizontal="center" vertical="center"/>
    </xf>
    <xf numFmtId="0" fontId="27" fillId="13" borderId="12" xfId="0" applyFont="1" applyFill="1" applyBorder="1" applyAlignment="1">
      <alignment horizontal="center" vertical="center"/>
    </xf>
    <xf numFmtId="10" fontId="27" fillId="13" borderId="2" xfId="1" applyNumberFormat="1" applyFont="1" applyFill="1" applyBorder="1" applyAlignment="1">
      <alignment horizontal="center" vertical="center"/>
    </xf>
    <xf numFmtId="10" fontId="27" fillId="13" borderId="13" xfId="1" applyNumberFormat="1" applyFont="1" applyFill="1" applyBorder="1" applyAlignment="1">
      <alignment horizontal="center" vertical="center"/>
    </xf>
    <xf numFmtId="0" fontId="27" fillId="13" borderId="10" xfId="0" applyFont="1" applyFill="1" applyBorder="1" applyAlignment="1">
      <alignment horizontal="center" vertical="center"/>
    </xf>
    <xf numFmtId="10" fontId="27" fillId="13" borderId="3" xfId="1" applyNumberFormat="1" applyFont="1" applyFill="1" applyBorder="1" applyAlignment="1">
      <alignment horizontal="center" vertical="center"/>
    </xf>
    <xf numFmtId="10" fontId="27" fillId="13" borderId="11" xfId="1" applyNumberFormat="1" applyFont="1" applyFill="1" applyBorder="1" applyAlignment="1">
      <alignment horizontal="center" vertical="center"/>
    </xf>
    <xf numFmtId="181" fontId="27" fillId="13" borderId="1" xfId="0" applyNumberFormat="1" applyFont="1" applyFill="1" applyBorder="1" applyAlignment="1">
      <alignment horizontal="center" vertical="center"/>
    </xf>
    <xf numFmtId="10" fontId="27" fillId="7" borderId="33" xfId="0" applyNumberFormat="1" applyFont="1" applyFill="1" applyBorder="1" applyAlignment="1">
      <alignment horizontal="center" vertical="center"/>
    </xf>
    <xf numFmtId="10" fontId="27" fillId="7" borderId="34" xfId="0" applyNumberFormat="1" applyFont="1" applyFill="1" applyBorder="1" applyAlignment="1">
      <alignment horizontal="center" vertical="center"/>
    </xf>
    <xf numFmtId="181" fontId="27" fillId="7" borderId="33" xfId="0" applyNumberFormat="1" applyFont="1" applyFill="1" applyBorder="1" applyAlignment="1">
      <alignment horizontal="center" vertical="center"/>
    </xf>
    <xf numFmtId="181" fontId="27" fillId="7" borderId="34" xfId="0" applyNumberFormat="1" applyFont="1" applyFill="1" applyBorder="1" applyAlignment="1">
      <alignment horizontal="center" vertical="center"/>
    </xf>
    <xf numFmtId="42" fontId="27" fillId="7" borderId="21" xfId="3" applyFont="1" applyFill="1" applyBorder="1" applyAlignment="1">
      <alignment horizontal="center" vertical="center"/>
    </xf>
    <xf numFmtId="179" fontId="27" fillId="7" borderId="21" xfId="0" applyNumberFormat="1" applyFont="1" applyFill="1" applyBorder="1" applyAlignment="1">
      <alignment horizontal="center" vertical="center"/>
    </xf>
    <xf numFmtId="42" fontId="27" fillId="13" borderId="21" xfId="3" applyFont="1" applyFill="1" applyBorder="1" applyAlignment="1">
      <alignment horizontal="center" vertical="center"/>
    </xf>
    <xf numFmtId="41" fontId="27" fillId="7" borderId="21" xfId="2" applyFont="1" applyFill="1" applyBorder="1" applyAlignment="1">
      <alignment horizontal="center" vertical="center"/>
    </xf>
    <xf numFmtId="41" fontId="27" fillId="13" borderId="21" xfId="2" applyFont="1" applyFill="1" applyBorder="1" applyAlignment="1">
      <alignment horizontal="center" vertical="center"/>
    </xf>
    <xf numFmtId="42" fontId="36" fillId="7" borderId="0" xfId="0" applyNumberFormat="1" applyFont="1" applyFill="1" applyAlignment="1">
      <alignment horizontal="center" vertical="center"/>
    </xf>
    <xf numFmtId="42" fontId="27" fillId="7" borderId="32" xfId="3" applyFont="1" applyFill="1" applyBorder="1" applyAlignment="1">
      <alignment horizontal="center" vertical="center"/>
    </xf>
    <xf numFmtId="42" fontId="27" fillId="7" borderId="34" xfId="3" applyFont="1" applyFill="1" applyBorder="1" applyAlignment="1">
      <alignment horizontal="center" vertical="center"/>
    </xf>
    <xf numFmtId="0" fontId="27" fillId="7" borderId="33" xfId="0" applyFont="1" applyFill="1" applyBorder="1" applyAlignment="1">
      <alignment horizontal="center" vertical="center"/>
    </xf>
    <xf numFmtId="0" fontId="27" fillId="7" borderId="0" xfId="0" quotePrefix="1" applyFont="1" applyFill="1" applyBorder="1" applyAlignment="1">
      <alignment horizontal="center" vertical="center"/>
    </xf>
    <xf numFmtId="42" fontId="27" fillId="7" borderId="0" xfId="3" quotePrefix="1" applyFont="1" applyFill="1" applyBorder="1" applyAlignment="1">
      <alignment horizontal="center" vertical="center"/>
    </xf>
    <xf numFmtId="1" fontId="37" fillId="0" borderId="0" xfId="0" applyNumberFormat="1" applyFont="1" applyBorder="1" applyAlignment="1" applyProtection="1">
      <protection locked="0"/>
    </xf>
    <xf numFmtId="0" fontId="28" fillId="7" borderId="0" xfId="0" applyFont="1" applyFill="1" applyBorder="1" applyAlignment="1">
      <alignment horizontal="center" vertical="center"/>
    </xf>
    <xf numFmtId="0" fontId="34" fillId="7" borderId="0" xfId="0" applyFont="1" applyFill="1" applyBorder="1" applyAlignment="1">
      <alignment horizontal="center" vertical="center"/>
    </xf>
    <xf numFmtId="0" fontId="30" fillId="7" borderId="12" xfId="0" applyFont="1" applyFill="1" applyBorder="1" applyAlignment="1">
      <alignment horizontal="center" vertical="center"/>
    </xf>
    <xf numFmtId="0" fontId="30" fillId="7" borderId="10" xfId="0" applyFont="1" applyFill="1" applyBorder="1" applyAlignment="1">
      <alignment horizontal="center" vertical="center"/>
    </xf>
    <xf numFmtId="41" fontId="30" fillId="7" borderId="9" xfId="2" applyFont="1" applyFill="1" applyBorder="1" applyAlignment="1">
      <alignment horizontal="center" vertical="center"/>
    </xf>
    <xf numFmtId="10" fontId="27" fillId="7" borderId="0" xfId="0" applyNumberFormat="1" applyFont="1" applyFill="1" applyAlignment="1">
      <alignment horizontal="center" vertical="center"/>
    </xf>
    <xf numFmtId="0" fontId="30" fillId="7" borderId="27" xfId="0" applyFont="1" applyFill="1" applyBorder="1" applyAlignment="1">
      <alignment horizontal="center" vertical="center"/>
    </xf>
    <xf numFmtId="0" fontId="30" fillId="7" borderId="24" xfId="0" applyFont="1" applyFill="1" applyBorder="1" applyAlignment="1">
      <alignment horizontal="center" vertical="center"/>
    </xf>
    <xf numFmtId="0" fontId="30" fillId="7" borderId="18" xfId="0" applyFont="1" applyFill="1" applyBorder="1" applyAlignment="1">
      <alignment horizontal="center" vertical="center"/>
    </xf>
    <xf numFmtId="0" fontId="30" fillId="7" borderId="19" xfId="0" applyFont="1" applyFill="1" applyBorder="1" applyAlignment="1">
      <alignment horizontal="center" vertical="center"/>
    </xf>
    <xf numFmtId="0" fontId="30" fillId="7" borderId="36" xfId="0" applyFont="1" applyFill="1" applyBorder="1" applyAlignment="1">
      <alignment horizontal="center" vertical="center"/>
    </xf>
    <xf numFmtId="0" fontId="30" fillId="7" borderId="28" xfId="0" applyFont="1" applyFill="1" applyBorder="1" applyAlignment="1">
      <alignment horizontal="center" vertical="center"/>
    </xf>
    <xf numFmtId="0" fontId="30" fillId="7" borderId="29" xfId="0" applyFont="1" applyFill="1" applyBorder="1" applyAlignment="1">
      <alignment horizontal="center" vertical="center"/>
    </xf>
    <xf numFmtId="0" fontId="30" fillId="7" borderId="30" xfId="0" applyFont="1" applyFill="1" applyBorder="1" applyAlignment="1">
      <alignment horizontal="center" vertical="center"/>
    </xf>
    <xf numFmtId="41" fontId="30" fillId="7" borderId="4" xfId="2" applyFont="1" applyFill="1" applyBorder="1" applyAlignment="1">
      <alignment horizontal="center" vertical="center"/>
    </xf>
    <xf numFmtId="10" fontId="27" fillId="7" borderId="0" xfId="1" applyNumberFormat="1" applyFont="1" applyFill="1" applyAlignment="1">
      <alignment horizontal="center" vertical="center"/>
    </xf>
    <xf numFmtId="41" fontId="37" fillId="0" borderId="0" xfId="2" applyFont="1" applyBorder="1" applyAlignment="1" applyProtection="1">
      <alignment horizontal="right" vertical="center"/>
    </xf>
    <xf numFmtId="43" fontId="37" fillId="0" borderId="0" xfId="0" applyNumberFormat="1" applyFont="1" applyBorder="1" applyAlignment="1" applyProtection="1">
      <alignment horizontal="right" vertical="center"/>
    </xf>
    <xf numFmtId="10" fontId="37" fillId="0" borderId="0" xfId="1" applyNumberFormat="1" applyFont="1" applyBorder="1" applyAlignment="1" applyProtection="1">
      <alignment vertical="center"/>
    </xf>
    <xf numFmtId="41" fontId="36" fillId="7" borderId="0" xfId="2" applyFont="1" applyFill="1" applyBorder="1" applyAlignment="1">
      <alignment horizontal="center" vertical="center"/>
    </xf>
    <xf numFmtId="41" fontId="36" fillId="7" borderId="0" xfId="0" applyNumberFormat="1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1" fontId="0" fillId="0" borderId="21" xfId="2" applyFont="1" applyBorder="1" applyAlignment="1">
      <alignment horizontal="center" vertical="center"/>
    </xf>
    <xf numFmtId="41" fontId="0" fillId="0" borderId="21" xfId="0" applyNumberFormat="1" applyBorder="1" applyAlignment="1">
      <alignment horizontal="center" vertical="center"/>
    </xf>
    <xf numFmtId="41" fontId="0" fillId="0" borderId="0" xfId="2" applyFont="1" applyAlignment="1">
      <alignment horizontal="center" vertical="center"/>
    </xf>
    <xf numFmtId="0" fontId="27" fillId="3" borderId="4" xfId="0" applyFont="1" applyFill="1" applyBorder="1" applyAlignment="1" applyProtection="1">
      <alignment horizontal="center" vertical="center"/>
      <protection locked="0"/>
    </xf>
    <xf numFmtId="0" fontId="30" fillId="4" borderId="58" xfId="4" applyFont="1" applyFill="1" applyBorder="1" applyAlignment="1">
      <alignment horizontal="center" vertical="center"/>
    </xf>
    <xf numFmtId="10" fontId="27" fillId="13" borderId="24" xfId="0" applyNumberFormat="1" applyFont="1" applyFill="1" applyBorder="1" applyAlignment="1">
      <alignment horizontal="center" vertical="center"/>
    </xf>
    <xf numFmtId="10" fontId="27" fillId="13" borderId="18" xfId="1" applyNumberFormat="1" applyFont="1" applyFill="1" applyBorder="1" applyAlignment="1">
      <alignment horizontal="center" vertical="center"/>
    </xf>
    <xf numFmtId="10" fontId="27" fillId="13" borderId="19" xfId="1" applyNumberFormat="1" applyFont="1" applyFill="1" applyBorder="1" applyAlignment="1">
      <alignment horizontal="center" vertical="center"/>
    </xf>
    <xf numFmtId="10" fontId="27" fillId="7" borderId="24" xfId="0" applyNumberFormat="1" applyFont="1" applyFill="1" applyBorder="1" applyAlignment="1">
      <alignment horizontal="center" vertical="center"/>
    </xf>
    <xf numFmtId="10" fontId="27" fillId="7" borderId="18" xfId="1" applyNumberFormat="1" applyFont="1" applyFill="1" applyBorder="1" applyAlignment="1">
      <alignment horizontal="center" vertical="center"/>
    </xf>
    <xf numFmtId="10" fontId="27" fillId="7" borderId="19" xfId="1" applyNumberFormat="1" applyFont="1" applyFill="1" applyBorder="1" applyAlignment="1">
      <alignment horizontal="center" vertical="center"/>
    </xf>
    <xf numFmtId="180" fontId="27" fillId="7" borderId="21" xfId="2" quotePrefix="1" applyNumberFormat="1" applyFont="1" applyFill="1" applyBorder="1" applyAlignment="1">
      <alignment horizontal="center" vertical="center"/>
    </xf>
    <xf numFmtId="0" fontId="27" fillId="3" borderId="21" xfId="0" applyFont="1" applyFill="1" applyBorder="1" applyAlignment="1" applyProtection="1">
      <alignment horizontal="center" vertical="center"/>
      <protection locked="0"/>
    </xf>
    <xf numFmtId="182" fontId="27" fillId="7" borderId="21" xfId="0" applyNumberFormat="1" applyFont="1" applyFill="1" applyBorder="1" applyAlignment="1">
      <alignment horizontal="center" vertical="center"/>
    </xf>
    <xf numFmtId="41" fontId="27" fillId="7" borderId="21" xfId="2" quotePrefix="1" applyFont="1" applyFill="1" applyBorder="1" applyAlignment="1">
      <alignment horizontal="center" vertical="center"/>
    </xf>
    <xf numFmtId="184" fontId="37" fillId="0" borderId="118" xfId="0" applyNumberFormat="1" applyFont="1" applyBorder="1" applyAlignment="1" applyProtection="1">
      <alignment horizontal="right" vertical="center"/>
    </xf>
    <xf numFmtId="0" fontId="37" fillId="0" borderId="118" xfId="0" applyFont="1" applyBorder="1" applyAlignment="1" applyProtection="1">
      <alignment horizontal="right" vertical="center"/>
    </xf>
    <xf numFmtId="41" fontId="37" fillId="0" borderId="118" xfId="2" applyFont="1" applyBorder="1" applyAlignment="1" applyProtection="1">
      <alignment horizontal="right" vertical="center"/>
    </xf>
    <xf numFmtId="0" fontId="27" fillId="7" borderId="174" xfId="0" quotePrefix="1" applyFont="1" applyFill="1" applyBorder="1" applyAlignment="1">
      <alignment horizontal="center" vertical="center"/>
    </xf>
    <xf numFmtId="186" fontId="0" fillId="0" borderId="0" xfId="4124" applyNumberFormat="1" applyFont="1" applyAlignment="1">
      <alignment horizontal="right"/>
    </xf>
    <xf numFmtId="3" fontId="27" fillId="7" borderId="0" xfId="0" applyNumberFormat="1" applyFont="1" applyFill="1" applyAlignment="1">
      <alignment horizontal="center" vertical="center"/>
    </xf>
    <xf numFmtId="0" fontId="123" fillId="0" borderId="120" xfId="0" applyFont="1" applyBorder="1" applyAlignment="1">
      <alignment horizontal="center" vertical="center"/>
    </xf>
    <xf numFmtId="0" fontId="124" fillId="0" borderId="121" xfId="0" applyFont="1" applyFill="1" applyBorder="1" applyAlignment="1">
      <alignment horizontal="center" vertical="center" wrapText="1"/>
    </xf>
    <xf numFmtId="0" fontId="124" fillId="0" borderId="122" xfId="0" applyFont="1" applyFill="1" applyBorder="1" applyAlignment="1">
      <alignment horizontal="center" vertical="center"/>
    </xf>
    <xf numFmtId="0" fontId="124" fillId="0" borderId="123" xfId="0" applyFont="1" applyFill="1" applyBorder="1" applyAlignment="1">
      <alignment horizontal="center" vertical="center"/>
    </xf>
    <xf numFmtId="41" fontId="42" fillId="0" borderId="0" xfId="4124" applyFont="1"/>
    <xf numFmtId="186" fontId="41" fillId="0" borderId="0" xfId="0" applyNumberFormat="1" applyFont="1" applyAlignment="1">
      <alignment horizontal="right"/>
    </xf>
    <xf numFmtId="41" fontId="42" fillId="0" borderId="0" xfId="4124" applyNumberFormat="1" applyFont="1"/>
    <xf numFmtId="181" fontId="164" fillId="0" borderId="0" xfId="4124" applyNumberFormat="1" applyFont="1"/>
    <xf numFmtId="0" fontId="44" fillId="0" borderId="124" xfId="0" applyFont="1" applyBorder="1" applyAlignment="1">
      <alignment horizontal="center" vertical="center" wrapText="1"/>
    </xf>
    <xf numFmtId="0" fontId="43" fillId="0" borderId="126" xfId="0" applyFont="1" applyBorder="1" applyAlignment="1">
      <alignment horizontal="center" vertical="center" wrapText="1"/>
    </xf>
    <xf numFmtId="0" fontId="44" fillId="0" borderId="51" xfId="0" applyFont="1" applyBorder="1" applyAlignment="1">
      <alignment horizontal="center" vertical="center"/>
    </xf>
    <xf numFmtId="186" fontId="44" fillId="0" borderId="87" xfId="4124" applyNumberFormat="1" applyFont="1" applyBorder="1" applyAlignment="1">
      <alignment horizontal="right" vertical="center"/>
    </xf>
    <xf numFmtId="186" fontId="44" fillId="0" borderId="91" xfId="4124" applyNumberFormat="1" applyFont="1" applyBorder="1" applyAlignment="1">
      <alignment horizontal="right" vertical="center"/>
    </xf>
    <xf numFmtId="41" fontId="53" fillId="0" borderId="88" xfId="4124" applyFont="1" applyBorder="1" applyAlignment="1">
      <alignment horizontal="center" vertical="center"/>
    </xf>
    <xf numFmtId="183" fontId="47" fillId="0" borderId="89" xfId="0" applyNumberFormat="1" applyFont="1" applyBorder="1" applyAlignment="1">
      <alignment horizontal="center" vertical="center"/>
    </xf>
    <xf numFmtId="186" fontId="44" fillId="0" borderId="87" xfId="0" applyNumberFormat="1" applyFont="1" applyBorder="1" applyAlignment="1">
      <alignment horizontal="right" vertical="center"/>
    </xf>
    <xf numFmtId="186" fontId="44" fillId="0" borderId="88" xfId="4124" applyNumberFormat="1" applyFont="1" applyBorder="1" applyAlignment="1">
      <alignment horizontal="right" vertical="center"/>
    </xf>
    <xf numFmtId="41" fontId="53" fillId="0" borderId="88" xfId="4124" applyNumberFormat="1" applyFont="1" applyBorder="1" applyAlignment="1">
      <alignment horizontal="center" vertical="center"/>
    </xf>
    <xf numFmtId="183" fontId="47" fillId="0" borderId="92" xfId="0" applyNumberFormat="1" applyFont="1" applyBorder="1" applyAlignment="1">
      <alignment horizontal="center" vertical="center"/>
    </xf>
    <xf numFmtId="186" fontId="44" fillId="0" borderId="91" xfId="0" applyNumberFormat="1" applyFont="1" applyBorder="1" applyAlignment="1">
      <alignment horizontal="right" vertical="center"/>
    </xf>
    <xf numFmtId="183" fontId="43" fillId="0" borderId="127" xfId="0" applyNumberFormat="1" applyFont="1" applyBorder="1" applyAlignment="1">
      <alignment horizontal="center" vertical="center"/>
    </xf>
    <xf numFmtId="181" fontId="126" fillId="0" borderId="51" xfId="4124" applyNumberFormat="1" applyFont="1" applyBorder="1" applyAlignment="1">
      <alignment horizontal="center" vertical="center"/>
    </xf>
    <xf numFmtId="41" fontId="53" fillId="0" borderId="83" xfId="4124" applyFont="1" applyBorder="1" applyAlignment="1">
      <alignment horizontal="center" vertical="center"/>
    </xf>
    <xf numFmtId="183" fontId="47" fillId="0" borderId="63" xfId="4124" applyNumberFormat="1" applyFont="1" applyBorder="1" applyAlignment="1">
      <alignment horizontal="center" vertical="center"/>
    </xf>
    <xf numFmtId="186" fontId="44" fillId="0" borderId="93" xfId="4124" applyNumberFormat="1" applyFont="1" applyBorder="1" applyAlignment="1">
      <alignment horizontal="right" vertical="center"/>
    </xf>
    <xf numFmtId="186" fontId="44" fillId="0" borderId="95" xfId="4124" applyNumberFormat="1" applyFont="1" applyBorder="1" applyAlignment="1">
      <alignment horizontal="right" vertical="center"/>
    </xf>
    <xf numFmtId="41" fontId="53" fillId="0" borderId="94" xfId="4124" applyNumberFormat="1" applyFont="1" applyBorder="1" applyAlignment="1">
      <alignment horizontal="center" vertical="center"/>
    </xf>
    <xf numFmtId="186" fontId="44" fillId="0" borderId="93" xfId="0" applyNumberFormat="1" applyFont="1" applyBorder="1" applyAlignment="1">
      <alignment horizontal="right" vertical="center"/>
    </xf>
    <xf numFmtId="186" fontId="44" fillId="0" borderId="94" xfId="4124" applyNumberFormat="1" applyFont="1" applyBorder="1" applyAlignment="1">
      <alignment horizontal="right" vertical="center"/>
    </xf>
    <xf numFmtId="186" fontId="44" fillId="0" borderId="95" xfId="0" applyNumberFormat="1" applyFont="1" applyBorder="1" applyAlignment="1">
      <alignment horizontal="right" vertical="center"/>
    </xf>
    <xf numFmtId="41" fontId="53" fillId="0" borderId="94" xfId="4124" applyFont="1" applyBorder="1" applyAlignment="1">
      <alignment horizontal="center" vertical="center"/>
    </xf>
    <xf numFmtId="183" fontId="47" fillId="0" borderId="90" xfId="0" applyNumberFormat="1" applyFont="1" applyBorder="1" applyAlignment="1">
      <alignment horizontal="center" vertical="center"/>
    </xf>
    <xf numFmtId="183" fontId="43" fillId="0" borderId="126" xfId="0" applyNumberFormat="1" applyFont="1" applyBorder="1" applyAlignment="1">
      <alignment horizontal="center" vertical="center"/>
    </xf>
    <xf numFmtId="181" fontId="126" fillId="0" borderId="50" xfId="4124" applyNumberFormat="1" applyFont="1" applyBorder="1" applyAlignment="1">
      <alignment horizontal="center" vertical="center"/>
    </xf>
    <xf numFmtId="0" fontId="44" fillId="0" borderId="50" xfId="0" applyFont="1" applyBorder="1" applyAlignment="1">
      <alignment horizontal="center" vertical="center"/>
    </xf>
    <xf numFmtId="183" fontId="44" fillId="0" borderId="126" xfId="0" applyNumberFormat="1" applyFont="1" applyBorder="1" applyAlignment="1">
      <alignment horizontal="center" vertical="center"/>
    </xf>
    <xf numFmtId="183" fontId="44" fillId="0" borderId="127" xfId="0" applyNumberFormat="1" applyFont="1" applyBorder="1" applyAlignment="1">
      <alignment horizontal="center" vertical="center"/>
    </xf>
    <xf numFmtId="0" fontId="44" fillId="0" borderId="98" xfId="0" applyFont="1" applyBorder="1" applyAlignment="1">
      <alignment horizontal="center" vertical="center"/>
    </xf>
    <xf numFmtId="186" fontId="44" fillId="0" borderId="99" xfId="4124" applyNumberFormat="1" applyFont="1" applyBorder="1" applyAlignment="1">
      <alignment horizontal="right" vertical="center"/>
    </xf>
    <xf numFmtId="186" fontId="44" fillId="0" borderId="103" xfId="4124" applyNumberFormat="1" applyFont="1" applyBorder="1" applyAlignment="1">
      <alignment horizontal="right" vertical="center"/>
    </xf>
    <xf numFmtId="183" fontId="47" fillId="0" borderId="101" xfId="4124" applyNumberFormat="1" applyFont="1" applyBorder="1" applyAlignment="1">
      <alignment horizontal="center" vertical="center"/>
    </xf>
    <xf numFmtId="186" fontId="44" fillId="0" borderId="100" xfId="4124" applyNumberFormat="1" applyFont="1" applyBorder="1" applyAlignment="1">
      <alignment horizontal="right" vertical="center"/>
    </xf>
    <xf numFmtId="183" fontId="47" fillId="0" borderId="102" xfId="4124" applyNumberFormat="1" applyFont="1" applyBorder="1" applyAlignment="1">
      <alignment horizontal="center" vertical="center"/>
    </xf>
    <xf numFmtId="183" fontId="44" fillId="0" borderId="129" xfId="4124" applyNumberFormat="1" applyFont="1" applyBorder="1" applyAlignment="1">
      <alignment horizontal="center" vertical="center"/>
    </xf>
    <xf numFmtId="43" fontId="127" fillId="0" borderId="98" xfId="4124" applyNumberFormat="1" applyFont="1" applyBorder="1" applyAlignment="1">
      <alignment horizontal="center" vertical="center"/>
    </xf>
    <xf numFmtId="183" fontId="47" fillId="0" borderId="131" xfId="4124" applyNumberFormat="1" applyFont="1" applyBorder="1" applyAlignment="1">
      <alignment horizontal="center" vertical="center"/>
    </xf>
    <xf numFmtId="186" fontId="43" fillId="0" borderId="146" xfId="4124" applyNumberFormat="1" applyFont="1" applyFill="1" applyBorder="1" applyAlignment="1">
      <alignment horizontal="right" vertical="center"/>
    </xf>
    <xf numFmtId="186" fontId="43" fillId="0" borderId="147" xfId="4124" applyNumberFormat="1" applyFont="1" applyFill="1" applyBorder="1" applyAlignment="1">
      <alignment horizontal="right" vertical="center"/>
    </xf>
    <xf numFmtId="186" fontId="43" fillId="0" borderId="146" xfId="0" applyNumberFormat="1" applyFont="1" applyFill="1" applyBorder="1" applyAlignment="1">
      <alignment horizontal="right" vertical="center"/>
    </xf>
    <xf numFmtId="186" fontId="43" fillId="0" borderId="148" xfId="4124" applyNumberFormat="1" applyFont="1" applyFill="1" applyBorder="1" applyAlignment="1">
      <alignment horizontal="right" vertical="center"/>
    </xf>
    <xf numFmtId="186" fontId="43" fillId="0" borderId="65" xfId="4124" applyNumberFormat="1" applyFont="1" applyFill="1" applyBorder="1" applyAlignment="1">
      <alignment horizontal="right" vertical="center"/>
    </xf>
    <xf numFmtId="186" fontId="43" fillId="0" borderId="67" xfId="4124" applyNumberFormat="1" applyFont="1" applyFill="1" applyBorder="1" applyAlignment="1">
      <alignment horizontal="right" vertical="center"/>
    </xf>
    <xf numFmtId="186" fontId="43" fillId="0" borderId="65" xfId="0" applyNumberFormat="1" applyFont="1" applyFill="1" applyBorder="1" applyAlignment="1">
      <alignment horizontal="right" vertical="center"/>
    </xf>
    <xf numFmtId="186" fontId="43" fillId="0" borderId="66" xfId="4124" applyNumberFormat="1" applyFont="1" applyFill="1" applyBorder="1" applyAlignment="1">
      <alignment horizontal="right" vertical="center"/>
    </xf>
    <xf numFmtId="186" fontId="43" fillId="0" borderId="70" xfId="4124" applyNumberFormat="1" applyFont="1" applyFill="1" applyBorder="1" applyAlignment="1">
      <alignment horizontal="right" vertical="center"/>
    </xf>
    <xf numFmtId="186" fontId="43" fillId="0" borderId="133" xfId="4124" applyNumberFormat="1" applyFont="1" applyFill="1" applyBorder="1" applyAlignment="1">
      <alignment horizontal="right" vertical="center"/>
    </xf>
    <xf numFmtId="186" fontId="43" fillId="0" borderId="134" xfId="4124" applyNumberFormat="1" applyFont="1" applyFill="1" applyBorder="1" applyAlignment="1">
      <alignment horizontal="right" vertical="center"/>
    </xf>
    <xf numFmtId="41" fontId="51" fillId="0" borderId="135" xfId="4124" applyFont="1" applyFill="1" applyBorder="1" applyAlignment="1">
      <alignment horizontal="center" vertical="center"/>
    </xf>
    <xf numFmtId="186" fontId="43" fillId="0" borderId="135" xfId="4124" applyNumberFormat="1" applyFont="1" applyFill="1" applyBorder="1" applyAlignment="1">
      <alignment horizontal="right" vertical="center"/>
    </xf>
    <xf numFmtId="183" fontId="46" fillId="0" borderId="140" xfId="4124" applyNumberFormat="1" applyFont="1" applyFill="1" applyBorder="1" applyAlignment="1">
      <alignment horizontal="center" vertical="center"/>
    </xf>
    <xf numFmtId="187" fontId="27" fillId="7" borderId="0" xfId="2" applyNumberFormat="1" applyFont="1" applyFill="1" applyBorder="1" applyAlignment="1">
      <alignment horizontal="center" vertical="center"/>
    </xf>
    <xf numFmtId="0" fontId="30" fillId="3" borderId="216" xfId="0" applyFont="1" applyFill="1" applyBorder="1" applyAlignment="1">
      <alignment horizontal="center" vertical="center"/>
    </xf>
    <xf numFmtId="0" fontId="30" fillId="4" borderId="216" xfId="4" applyFont="1" applyFill="1" applyBorder="1" applyAlignment="1">
      <alignment horizontal="center" vertical="center"/>
    </xf>
    <xf numFmtId="42" fontId="27" fillId="7" borderId="216" xfId="3" applyFont="1" applyFill="1" applyBorder="1" applyAlignment="1">
      <alignment horizontal="center" vertical="center"/>
    </xf>
    <xf numFmtId="10" fontId="27" fillId="7" borderId="216" xfId="1" quotePrefix="1" applyNumberFormat="1" applyFont="1" applyFill="1" applyBorder="1" applyAlignment="1">
      <alignment horizontal="center" vertical="center"/>
    </xf>
    <xf numFmtId="187" fontId="27" fillId="7" borderId="216" xfId="2" quotePrefix="1" applyNumberFormat="1" applyFont="1" applyFill="1" applyBorder="1" applyAlignment="1">
      <alignment horizontal="center" vertical="center"/>
    </xf>
    <xf numFmtId="41" fontId="27" fillId="7" borderId="216" xfId="2" quotePrefix="1" applyFont="1" applyFill="1" applyBorder="1" applyAlignment="1">
      <alignment horizontal="center" vertical="center"/>
    </xf>
    <xf numFmtId="42" fontId="27" fillId="7" borderId="216" xfId="3" quotePrefix="1" applyFont="1" applyFill="1" applyBorder="1" applyAlignment="1">
      <alignment horizontal="center" vertical="center"/>
    </xf>
    <xf numFmtId="187" fontId="27" fillId="7" borderId="216" xfId="3" quotePrefix="1" applyNumberFormat="1" applyFont="1" applyFill="1" applyBorder="1" applyAlignment="1">
      <alignment horizontal="center" vertical="center"/>
    </xf>
    <xf numFmtId="187" fontId="27" fillId="7" borderId="216" xfId="3" applyNumberFormat="1" applyFont="1" applyFill="1" applyBorder="1" applyAlignment="1">
      <alignment horizontal="center" vertical="center"/>
    </xf>
    <xf numFmtId="0" fontId="27" fillId="7" borderId="216" xfId="0" applyFont="1" applyFill="1" applyBorder="1" applyAlignment="1">
      <alignment horizontal="center" vertical="center"/>
    </xf>
    <xf numFmtId="41" fontId="27" fillId="5" borderId="216" xfId="2" applyFont="1" applyFill="1" applyBorder="1" applyAlignment="1">
      <alignment horizontal="center" vertical="center"/>
    </xf>
    <xf numFmtId="177" fontId="27" fillId="5" borderId="216" xfId="2" applyNumberFormat="1" applyFont="1" applyFill="1" applyBorder="1" applyAlignment="1">
      <alignment horizontal="center" vertical="center"/>
    </xf>
    <xf numFmtId="187" fontId="27" fillId="7" borderId="216" xfId="0" applyNumberFormat="1" applyFont="1" applyFill="1" applyBorder="1" applyAlignment="1">
      <alignment horizontal="center" vertical="center"/>
    </xf>
    <xf numFmtId="187" fontId="27" fillId="7" borderId="216" xfId="2" applyNumberFormat="1" applyFont="1" applyFill="1" applyBorder="1" applyAlignment="1">
      <alignment horizontal="center" vertical="center"/>
    </xf>
    <xf numFmtId="177" fontId="27" fillId="7" borderId="216" xfId="2" applyNumberFormat="1" applyFont="1" applyFill="1" applyBorder="1" applyAlignment="1">
      <alignment horizontal="center" vertical="center"/>
    </xf>
    <xf numFmtId="183" fontId="27" fillId="7" borderId="216" xfId="1" applyNumberFormat="1" applyFont="1" applyFill="1" applyBorder="1" applyAlignment="1">
      <alignment horizontal="center" vertical="center"/>
    </xf>
    <xf numFmtId="0" fontId="27" fillId="5" borderId="216" xfId="0" applyFont="1" applyFill="1" applyBorder="1" applyAlignment="1">
      <alignment horizontal="center" vertical="center"/>
    </xf>
    <xf numFmtId="10" fontId="27" fillId="7" borderId="216" xfId="1" applyNumberFormat="1" applyFont="1" applyFill="1" applyBorder="1" applyAlignment="1">
      <alignment horizontal="center" vertical="center"/>
    </xf>
    <xf numFmtId="177" fontId="27" fillId="3" borderId="216" xfId="2" applyNumberFormat="1" applyFont="1" applyFill="1" applyBorder="1" applyAlignment="1">
      <alignment horizontal="center" vertical="center"/>
    </xf>
    <xf numFmtId="178" fontId="27" fillId="7" borderId="216" xfId="1" quotePrefix="1" applyNumberFormat="1" applyFont="1" applyFill="1" applyBorder="1" applyAlignment="1">
      <alignment horizontal="center" vertical="center"/>
    </xf>
    <xf numFmtId="178" fontId="27" fillId="7" borderId="216" xfId="3" quotePrefix="1" applyNumberFormat="1" applyFont="1" applyFill="1" applyBorder="1" applyAlignment="1">
      <alignment horizontal="center" vertical="center"/>
    </xf>
    <xf numFmtId="177" fontId="27" fillId="7" borderId="216" xfId="3" applyNumberFormat="1" applyFont="1" applyFill="1" applyBorder="1" applyAlignment="1">
      <alignment horizontal="center" vertical="center"/>
    </xf>
    <xf numFmtId="0" fontId="27" fillId="3" borderId="216" xfId="0" applyFont="1" applyFill="1" applyBorder="1" applyAlignment="1">
      <alignment horizontal="center" vertical="center"/>
    </xf>
    <xf numFmtId="176" fontId="27" fillId="7" borderId="216" xfId="0" applyNumberFormat="1" applyFont="1" applyFill="1" applyBorder="1" applyAlignment="1">
      <alignment horizontal="center" vertical="center"/>
    </xf>
    <xf numFmtId="176" fontId="27" fillId="5" borderId="216" xfId="0" applyNumberFormat="1" applyFont="1" applyFill="1" applyBorder="1" applyAlignment="1">
      <alignment horizontal="center" vertical="center"/>
    </xf>
    <xf numFmtId="43" fontId="27" fillId="7" borderId="216" xfId="0" applyNumberFormat="1" applyFont="1" applyFill="1" applyBorder="1" applyAlignment="1">
      <alignment horizontal="center" vertical="center"/>
    </xf>
    <xf numFmtId="176" fontId="27" fillId="7" borderId="216" xfId="4" applyNumberFormat="1" applyFont="1" applyFill="1" applyBorder="1" applyAlignment="1">
      <alignment horizontal="center" vertical="center"/>
    </xf>
    <xf numFmtId="43" fontId="27" fillId="5" borderId="216" xfId="0" applyNumberFormat="1" applyFont="1" applyFill="1" applyBorder="1" applyAlignment="1">
      <alignment horizontal="center" vertical="center"/>
    </xf>
    <xf numFmtId="176" fontId="30" fillId="7" borderId="216" xfId="0" applyNumberFormat="1" applyFont="1" applyFill="1" applyBorder="1" applyAlignment="1">
      <alignment horizontal="center" vertical="center"/>
    </xf>
    <xf numFmtId="176" fontId="30" fillId="5" borderId="216" xfId="0" applyNumberFormat="1" applyFont="1" applyFill="1" applyBorder="1" applyAlignment="1">
      <alignment horizontal="center" vertical="center"/>
    </xf>
    <xf numFmtId="10" fontId="27" fillId="5" borderId="216" xfId="1" applyNumberFormat="1" applyFont="1" applyFill="1" applyBorder="1" applyAlignment="1">
      <alignment horizontal="center" vertical="center"/>
    </xf>
    <xf numFmtId="10" fontId="27" fillId="3" borderId="216" xfId="1" applyNumberFormat="1" applyFont="1" applyFill="1" applyBorder="1" applyAlignment="1">
      <alignment horizontal="center" vertical="center"/>
    </xf>
    <xf numFmtId="183" fontId="27" fillId="7" borderId="216" xfId="2" applyNumberFormat="1" applyFont="1" applyFill="1" applyBorder="1" applyAlignment="1">
      <alignment horizontal="center" vertical="center"/>
    </xf>
    <xf numFmtId="176" fontId="27" fillId="3" borderId="216" xfId="0" applyNumberFormat="1" applyFont="1" applyFill="1" applyBorder="1" applyAlignment="1">
      <alignment horizontal="center" vertical="center"/>
    </xf>
    <xf numFmtId="179" fontId="27" fillId="5" borderId="216" xfId="3" applyNumberFormat="1" applyFont="1" applyFill="1" applyBorder="1" applyAlignment="1">
      <alignment horizontal="center" vertical="center"/>
    </xf>
    <xf numFmtId="179" fontId="27" fillId="3" borderId="216" xfId="3" applyNumberFormat="1" applyFont="1" applyFill="1" applyBorder="1" applyAlignment="1">
      <alignment horizontal="center" vertical="center"/>
    </xf>
    <xf numFmtId="181" fontId="27" fillId="7" borderId="216" xfId="2" applyNumberFormat="1" applyFont="1" applyFill="1" applyBorder="1" applyAlignment="1">
      <alignment horizontal="center" vertical="center"/>
    </xf>
    <xf numFmtId="181" fontId="27" fillId="3" borderId="216" xfId="2" applyNumberFormat="1" applyFont="1" applyFill="1" applyBorder="1" applyAlignment="1">
      <alignment horizontal="center" vertical="center"/>
    </xf>
    <xf numFmtId="41" fontId="27" fillId="6" borderId="216" xfId="2" quotePrefix="1" applyFont="1" applyFill="1" applyBorder="1" applyAlignment="1">
      <alignment horizontal="center" vertical="center"/>
    </xf>
    <xf numFmtId="10" fontId="27" fillId="6" borderId="216" xfId="1" applyNumberFormat="1" applyFont="1" applyFill="1" applyBorder="1" applyAlignment="1">
      <alignment horizontal="center" vertical="center"/>
    </xf>
    <xf numFmtId="0" fontId="30" fillId="6" borderId="216" xfId="0" applyFont="1" applyFill="1" applyBorder="1" applyAlignment="1">
      <alignment horizontal="center" vertical="center"/>
    </xf>
    <xf numFmtId="183" fontId="27" fillId="6" borderId="216" xfId="2" applyNumberFormat="1" applyFont="1" applyFill="1" applyBorder="1" applyAlignment="1">
      <alignment horizontal="center" vertical="center"/>
    </xf>
    <xf numFmtId="181" fontId="27" fillId="6" borderId="216" xfId="2" applyNumberFormat="1" applyFont="1" applyFill="1" applyBorder="1" applyAlignment="1">
      <alignment horizontal="center" vertical="center"/>
    </xf>
    <xf numFmtId="42" fontId="27" fillId="6" borderId="216" xfId="3" applyFont="1" applyFill="1" applyBorder="1" applyAlignment="1">
      <alignment horizontal="center" vertical="center"/>
    </xf>
    <xf numFmtId="42" fontId="27" fillId="6" borderId="216" xfId="3" quotePrefix="1" applyFont="1" applyFill="1" applyBorder="1" applyAlignment="1">
      <alignment horizontal="center" vertical="center"/>
    </xf>
    <xf numFmtId="187" fontId="27" fillId="6" borderId="216" xfId="3" quotePrefix="1" applyNumberFormat="1" applyFont="1" applyFill="1" applyBorder="1" applyAlignment="1">
      <alignment horizontal="center" vertical="center"/>
    </xf>
    <xf numFmtId="42" fontId="30" fillId="6" borderId="216" xfId="3" quotePrefix="1" applyFont="1" applyFill="1" applyBorder="1" applyAlignment="1">
      <alignment horizontal="center" vertical="center"/>
    </xf>
    <xf numFmtId="187" fontId="30" fillId="6" borderId="216" xfId="3" quotePrefix="1" applyNumberFormat="1" applyFont="1" applyFill="1" applyBorder="1" applyAlignment="1">
      <alignment horizontal="center" vertical="center"/>
    </xf>
    <xf numFmtId="186" fontId="43" fillId="0" borderId="142" xfId="4124" applyNumberFormat="1" applyFont="1" applyFill="1" applyBorder="1" applyAlignment="1">
      <alignment horizontal="right" vertical="center"/>
    </xf>
    <xf numFmtId="186" fontId="43" fillId="0" borderId="143" xfId="4124" applyNumberFormat="1" applyFont="1" applyFill="1" applyBorder="1" applyAlignment="1">
      <alignment horizontal="right" vertical="center"/>
    </xf>
    <xf numFmtId="41" fontId="51" fillId="0" borderId="33" xfId="4124" applyFont="1" applyFill="1" applyBorder="1" applyAlignment="1">
      <alignment horizontal="center" vertical="center"/>
    </xf>
    <xf numFmtId="186" fontId="43" fillId="0" borderId="33" xfId="4124" applyNumberFormat="1" applyFont="1" applyFill="1" applyBorder="1" applyAlignment="1">
      <alignment horizontal="right" vertical="center"/>
    </xf>
    <xf numFmtId="177" fontId="27" fillId="7" borderId="0" xfId="0" applyNumberFormat="1" applyFont="1" applyFill="1" applyBorder="1" applyAlignment="1">
      <alignment horizontal="center" vertical="center"/>
    </xf>
    <xf numFmtId="221" fontId="27" fillId="7" borderId="0" xfId="0" applyNumberFormat="1" applyFont="1" applyFill="1" applyBorder="1" applyAlignment="1">
      <alignment horizontal="center" vertical="center"/>
    </xf>
    <xf numFmtId="179" fontId="27" fillId="7" borderId="0" xfId="0" applyNumberFormat="1" applyFont="1" applyFill="1" applyBorder="1" applyAlignment="1">
      <alignment horizontal="center" vertical="center"/>
    </xf>
    <xf numFmtId="41" fontId="27" fillId="7" borderId="0" xfId="2" applyFont="1" applyFill="1" applyAlignment="1">
      <alignment horizontal="center" vertical="center"/>
    </xf>
    <xf numFmtId="0" fontId="58" fillId="0" borderId="217" xfId="0" applyFont="1" applyBorder="1" applyAlignment="1">
      <alignment horizontal="center" vertical="top" wrapText="1" readingOrder="1"/>
    </xf>
    <xf numFmtId="41" fontId="37" fillId="0" borderId="0" xfId="2" applyFont="1" applyBorder="1" applyAlignment="1" applyProtection="1">
      <protection locked="0"/>
    </xf>
    <xf numFmtId="41" fontId="37" fillId="0" borderId="216" xfId="2" applyFont="1" applyBorder="1" applyAlignment="1" applyProtection="1">
      <protection locked="0"/>
    </xf>
    <xf numFmtId="180" fontId="37" fillId="0" borderId="216" xfId="0" applyNumberFormat="1" applyFont="1" applyBorder="1" applyAlignment="1" applyProtection="1">
      <protection locked="0"/>
    </xf>
    <xf numFmtId="41" fontId="37" fillId="0" borderId="0" xfId="0" applyNumberFormat="1" applyFont="1" applyBorder="1" applyAlignment="1" applyProtection="1">
      <alignment horizontal="right" vertical="center"/>
    </xf>
    <xf numFmtId="187" fontId="27" fillId="7" borderId="0" xfId="0" applyNumberFormat="1" applyFont="1" applyFill="1" applyBorder="1" applyAlignment="1">
      <alignment horizontal="center" vertical="center"/>
    </xf>
    <xf numFmtId="0" fontId="50" fillId="0" borderId="0" xfId="0" applyFont="1">
      <alignment vertical="center"/>
    </xf>
    <xf numFmtId="184" fontId="37" fillId="0" borderId="0" xfId="0" applyNumberFormat="1" applyFont="1" applyBorder="1" applyAlignment="1" applyProtection="1">
      <protection locked="0"/>
    </xf>
    <xf numFmtId="41" fontId="22" fillId="0" borderId="216" xfId="2" applyFont="1" applyBorder="1" applyAlignment="1">
      <alignment horizontal="right" vertical="center"/>
    </xf>
    <xf numFmtId="43" fontId="37" fillId="10" borderId="0" xfId="0" applyNumberFormat="1" applyFont="1" applyFill="1" applyBorder="1" applyAlignment="1" applyProtection="1">
      <protection locked="0"/>
    </xf>
    <xf numFmtId="41" fontId="37" fillId="10" borderId="0" xfId="2" applyFont="1" applyFill="1" applyBorder="1" applyAlignment="1" applyProtection="1">
      <protection locked="0"/>
    </xf>
    <xf numFmtId="180" fontId="37" fillId="10" borderId="0" xfId="0" applyNumberFormat="1" applyFont="1" applyFill="1" applyBorder="1" applyAlignment="1" applyProtection="1">
      <protection locked="0"/>
    </xf>
    <xf numFmtId="41" fontId="0" fillId="0" borderId="0" xfId="0" applyNumberFormat="1" applyAlignment="1" applyProtection="1">
      <protection locked="0"/>
    </xf>
    <xf numFmtId="41" fontId="0" fillId="11" borderId="0" xfId="2" applyFont="1" applyFill="1" applyAlignment="1" applyProtection="1">
      <protection locked="0"/>
    </xf>
    <xf numFmtId="3" fontId="27" fillId="7" borderId="0" xfId="0" applyNumberFormat="1" applyFont="1" applyFill="1" applyBorder="1" applyAlignment="1">
      <alignment horizontal="center" vertical="center"/>
    </xf>
    <xf numFmtId="10" fontId="0" fillId="11" borderId="0" xfId="1" applyNumberFormat="1" applyFont="1" applyFill="1" applyAlignment="1" applyProtection="1">
      <protection locked="0"/>
    </xf>
    <xf numFmtId="0" fontId="27" fillId="114" borderId="216" xfId="0" applyFont="1" applyFill="1" applyBorder="1" applyAlignment="1">
      <alignment horizontal="center" vertical="center"/>
    </xf>
    <xf numFmtId="0" fontId="37" fillId="10" borderId="0" xfId="3846" applyFont="1" applyFill="1" applyBorder="1">
      <protection locked="0"/>
    </xf>
    <xf numFmtId="0" fontId="109" fillId="11" borderId="0" xfId="3846" applyFill="1">
      <protection locked="0"/>
    </xf>
    <xf numFmtId="41" fontId="27" fillId="114" borderId="216" xfId="2" applyFont="1" applyFill="1" applyBorder="1" applyAlignment="1">
      <alignment horizontal="center" vertical="center"/>
    </xf>
    <xf numFmtId="177" fontId="27" fillId="114" borderId="216" xfId="2" applyNumberFormat="1" applyFont="1" applyFill="1" applyBorder="1" applyAlignment="1">
      <alignment horizontal="center" vertical="center"/>
    </xf>
    <xf numFmtId="178" fontId="27" fillId="114" borderId="216" xfId="1" quotePrefix="1" applyNumberFormat="1" applyFont="1" applyFill="1" applyBorder="1" applyAlignment="1">
      <alignment horizontal="center" vertical="center"/>
    </xf>
    <xf numFmtId="178" fontId="27" fillId="114" borderId="216" xfId="3" quotePrefix="1" applyNumberFormat="1" applyFont="1" applyFill="1" applyBorder="1" applyAlignment="1">
      <alignment horizontal="center" vertical="center"/>
    </xf>
    <xf numFmtId="177" fontId="27" fillId="114" borderId="216" xfId="3" applyNumberFormat="1" applyFont="1" applyFill="1" applyBorder="1" applyAlignment="1">
      <alignment horizontal="center" vertical="center"/>
    </xf>
    <xf numFmtId="10" fontId="27" fillId="7" borderId="7" xfId="3" quotePrefix="1" applyNumberFormat="1" applyFont="1" applyFill="1" applyBorder="1" applyAlignment="1">
      <alignment horizontal="center" vertical="center"/>
    </xf>
    <xf numFmtId="0" fontId="58" fillId="0" borderId="220" xfId="0" applyFont="1" applyBorder="1" applyAlignment="1">
      <alignment horizontal="center" vertical="center" wrapText="1" readingOrder="1"/>
    </xf>
    <xf numFmtId="3" fontId="58" fillId="0" borderId="220" xfId="0" applyNumberFormat="1" applyFont="1" applyBorder="1" applyAlignment="1">
      <alignment horizontal="center" vertical="center" wrapText="1" readingOrder="1"/>
    </xf>
    <xf numFmtId="3" fontId="37" fillId="0" borderId="0" xfId="0" applyNumberFormat="1" applyFont="1" applyBorder="1" applyAlignment="1" applyProtection="1">
      <protection locked="0"/>
    </xf>
    <xf numFmtId="3" fontId="0" fillId="0" borderId="0" xfId="0" applyNumberFormat="1" applyAlignment="1" applyProtection="1">
      <protection locked="0"/>
    </xf>
    <xf numFmtId="41" fontId="0" fillId="0" borderId="0" xfId="2" applyFont="1" applyAlignment="1" applyProtection="1">
      <protection locked="0"/>
    </xf>
    <xf numFmtId="187" fontId="171" fillId="15" borderId="231" xfId="0" applyNumberFormat="1" applyFont="1" applyFill="1" applyBorder="1" applyAlignment="1">
      <alignment vertical="center"/>
    </xf>
    <xf numFmtId="0" fontId="27" fillId="116" borderId="216" xfId="0" applyFont="1" applyFill="1" applyBorder="1" applyAlignment="1">
      <alignment horizontal="center" vertical="center"/>
    </xf>
    <xf numFmtId="41" fontId="27" fillId="116" borderId="216" xfId="2" quotePrefix="1" applyFont="1" applyFill="1" applyBorder="1" applyAlignment="1">
      <alignment horizontal="center" vertical="center"/>
    </xf>
    <xf numFmtId="41" fontId="27" fillId="116" borderId="216" xfId="2" applyFont="1" applyFill="1" applyBorder="1" applyAlignment="1">
      <alignment horizontal="center" vertical="center"/>
    </xf>
    <xf numFmtId="177" fontId="27" fillId="116" borderId="216" xfId="2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45" fillId="0" borderId="0" xfId="0" applyFont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horizontal="center" vertical="center"/>
    </xf>
    <xf numFmtId="0" fontId="172" fillId="0" borderId="0" xfId="0" applyFont="1" applyAlignment="1">
      <alignment horizontal="center" vertical="center"/>
    </xf>
    <xf numFmtId="0" fontId="34" fillId="0" borderId="0" xfId="0" applyFont="1">
      <alignment vertical="center"/>
    </xf>
    <xf numFmtId="0" fontId="173" fillId="7" borderId="0" xfId="0" applyFont="1" applyFill="1">
      <alignment vertical="center"/>
    </xf>
    <xf numFmtId="0" fontId="168" fillId="0" borderId="0" xfId="0" applyFont="1">
      <alignment vertical="center"/>
    </xf>
    <xf numFmtId="3" fontId="165" fillId="0" borderId="84" xfId="0" applyNumberFormat="1" applyFont="1" applyBorder="1" applyAlignment="1">
      <alignment horizontal="center" vertical="center" wrapText="1"/>
    </xf>
    <xf numFmtId="3" fontId="165" fillId="0" borderId="255" xfId="0" applyNumberFormat="1" applyFont="1" applyBorder="1" applyAlignment="1">
      <alignment horizontal="center" vertical="center" wrapText="1"/>
    </xf>
    <xf numFmtId="38" fontId="28" fillId="0" borderId="255" xfId="0" applyNumberFormat="1" applyFont="1" applyBorder="1" applyAlignment="1">
      <alignment horizontal="center" vertical="center"/>
    </xf>
    <xf numFmtId="3" fontId="165" fillId="0" borderId="256" xfId="0" applyNumberFormat="1" applyFont="1" applyBorder="1" applyAlignment="1">
      <alignment horizontal="center" vertical="center" wrapText="1"/>
    </xf>
    <xf numFmtId="3" fontId="165" fillId="0" borderId="257" xfId="0" applyNumberFormat="1" applyFont="1" applyBorder="1" applyAlignment="1">
      <alignment horizontal="center" vertical="center" wrapText="1"/>
    </xf>
    <xf numFmtId="3" fontId="165" fillId="16" borderId="257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28" fillId="0" borderId="84" xfId="0" applyFont="1" applyBorder="1" applyAlignment="1">
      <alignment horizontal="center" vertical="center"/>
    </xf>
    <xf numFmtId="0" fontId="28" fillId="0" borderId="255" xfId="0" applyFont="1" applyBorder="1" applyAlignment="1">
      <alignment horizontal="center" vertical="center"/>
    </xf>
    <xf numFmtId="0" fontId="28" fillId="0" borderId="255" xfId="0" applyFont="1" applyBorder="1" applyAlignment="1">
      <alignment horizontal="left" vertical="center" wrapText="1"/>
    </xf>
    <xf numFmtId="3" fontId="25" fillId="0" borderId="0" xfId="0" applyNumberFormat="1" applyFont="1">
      <alignment vertical="center"/>
    </xf>
    <xf numFmtId="10" fontId="37" fillId="0" borderId="0" xfId="1" applyNumberFormat="1" applyFont="1" applyBorder="1" applyAlignment="1" applyProtection="1">
      <alignment horizontal="right" vertical="center"/>
    </xf>
    <xf numFmtId="2" fontId="45" fillId="0" borderId="0" xfId="0" applyNumberFormat="1" applyFont="1" applyAlignment="1">
      <alignment horizontal="center" vertical="center"/>
    </xf>
    <xf numFmtId="0" fontId="171" fillId="5" borderId="6" xfId="0" quotePrefix="1" applyFont="1" applyFill="1" applyBorder="1" applyAlignment="1">
      <alignment horizontal="center" vertical="center"/>
    </xf>
    <xf numFmtId="0" fontId="171" fillId="5" borderId="6" xfId="0" applyFont="1" applyFill="1" applyBorder="1" applyAlignment="1">
      <alignment horizontal="center" vertical="center"/>
    </xf>
    <xf numFmtId="4" fontId="57" fillId="7" borderId="238" xfId="2" applyNumberFormat="1" applyFont="1" applyFill="1" applyBorder="1" applyAlignment="1">
      <alignment horizontal="center" vertical="center"/>
    </xf>
    <xf numFmtId="183" fontId="57" fillId="7" borderId="238" xfId="2" applyNumberFormat="1" applyFont="1" applyFill="1" applyBorder="1" applyAlignment="1">
      <alignment horizontal="center" vertical="center"/>
    </xf>
    <xf numFmtId="38" fontId="171" fillId="6" borderId="238" xfId="2" applyNumberFormat="1" applyFont="1" applyFill="1" applyBorder="1" applyAlignment="1">
      <alignment horizontal="center" vertical="center"/>
    </xf>
    <xf numFmtId="38" fontId="171" fillId="6" borderId="196" xfId="2" applyNumberFormat="1" applyFont="1" applyFill="1" applyBorder="1" applyAlignment="1">
      <alignment horizontal="center" vertical="center"/>
    </xf>
    <xf numFmtId="9" fontId="171" fillId="6" borderId="238" xfId="1" applyFont="1" applyFill="1" applyBorder="1" applyAlignment="1">
      <alignment horizontal="center" vertical="center"/>
    </xf>
    <xf numFmtId="0" fontId="171" fillId="7" borderId="0" xfId="0" applyFont="1" applyFill="1" applyBorder="1" applyAlignment="1">
      <alignment horizontal="center" vertical="center"/>
    </xf>
    <xf numFmtId="41" fontId="57" fillId="7" borderId="0" xfId="2" applyFont="1" applyFill="1" applyBorder="1" applyAlignment="1">
      <alignment horizontal="center" vertical="center"/>
    </xf>
    <xf numFmtId="183" fontId="57" fillId="7" borderId="0" xfId="2" applyNumberFormat="1" applyFont="1" applyFill="1" applyBorder="1" applyAlignment="1">
      <alignment horizontal="center" vertical="center"/>
    </xf>
    <xf numFmtId="9" fontId="57" fillId="7" borderId="0" xfId="1" applyFont="1" applyFill="1" applyBorder="1" applyAlignment="1">
      <alignment horizontal="center" vertical="center"/>
    </xf>
    <xf numFmtId="0" fontId="178" fillId="7" borderId="238" xfId="0" applyFont="1" applyFill="1" applyBorder="1" applyAlignment="1">
      <alignment horizontal="center" vertical="center" wrapText="1" readingOrder="1"/>
    </xf>
    <xf numFmtId="38" fontId="178" fillId="7" borderId="238" xfId="0" applyNumberFormat="1" applyFont="1" applyFill="1" applyBorder="1" applyAlignment="1">
      <alignment horizontal="center" vertical="center" wrapText="1" readingOrder="1"/>
    </xf>
    <xf numFmtId="0" fontId="28" fillId="7" borderId="0" xfId="0" applyFont="1" applyFill="1">
      <alignment vertical="center"/>
    </xf>
    <xf numFmtId="0" fontId="28" fillId="7" borderId="0" xfId="0" applyFont="1" applyFill="1" applyAlignment="1">
      <alignment vertical="center" wrapText="1"/>
    </xf>
    <xf numFmtId="2" fontId="28" fillId="7" borderId="0" xfId="0" applyNumberFormat="1" applyFont="1" applyFill="1">
      <alignment vertical="center"/>
    </xf>
    <xf numFmtId="4" fontId="28" fillId="7" borderId="0" xfId="0" applyNumberFormat="1" applyFont="1" applyFill="1">
      <alignment vertical="center"/>
    </xf>
    <xf numFmtId="0" fontId="43" fillId="0" borderId="132" xfId="0" applyFont="1" applyFill="1" applyBorder="1" applyAlignment="1">
      <alignment horizontal="center" vertical="center"/>
    </xf>
    <xf numFmtId="0" fontId="43" fillId="0" borderId="141" xfId="0" applyFont="1" applyFill="1" applyBorder="1" applyAlignment="1">
      <alignment horizontal="center" vertical="center"/>
    </xf>
    <xf numFmtId="0" fontId="43" fillId="0" borderId="145" xfId="0" applyFont="1" applyFill="1" applyBorder="1" applyAlignment="1">
      <alignment horizontal="center" vertical="center"/>
    </xf>
    <xf numFmtId="0" fontId="43" fillId="0" borderId="150" xfId="0" applyFont="1" applyFill="1" applyBorder="1" applyAlignment="1">
      <alignment horizontal="center" vertical="center"/>
    </xf>
    <xf numFmtId="183" fontId="46" fillId="0" borderId="151" xfId="4124" applyNumberFormat="1" applyFont="1" applyFill="1" applyBorder="1" applyAlignment="1">
      <alignment horizontal="center" vertical="center"/>
    </xf>
    <xf numFmtId="0" fontId="43" fillId="0" borderId="53" xfId="0" applyFont="1" applyFill="1" applyBorder="1" applyAlignment="1">
      <alignment horizontal="center" vertical="center"/>
    </xf>
    <xf numFmtId="183" fontId="46" fillId="0" borderId="61" xfId="4124" applyNumberFormat="1" applyFont="1" applyFill="1" applyBorder="1" applyAlignment="1">
      <alignment horizontal="center" vertical="center"/>
    </xf>
    <xf numFmtId="187" fontId="28" fillId="0" borderId="0" xfId="0" applyNumberFormat="1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203" xfId="0" applyFont="1" applyBorder="1" applyAlignment="1">
      <alignment horizontal="center" vertical="center"/>
    </xf>
    <xf numFmtId="0" fontId="57" fillId="0" borderId="216" xfId="0" applyFont="1" applyBorder="1" applyAlignment="1">
      <alignment horizontal="center" vertical="center"/>
    </xf>
    <xf numFmtId="0" fontId="57" fillId="7" borderId="222" xfId="0" applyFont="1" applyFill="1" applyBorder="1" applyAlignment="1">
      <alignment horizontal="center" vertical="center"/>
    </xf>
    <xf numFmtId="178" fontId="57" fillId="7" borderId="244" xfId="2" applyNumberFormat="1" applyFont="1" applyFill="1" applyBorder="1" applyAlignment="1">
      <alignment horizontal="center" vertical="center"/>
    </xf>
    <xf numFmtId="187" fontId="171" fillId="0" borderId="227" xfId="0" applyNumberFormat="1" applyFont="1" applyBorder="1" applyAlignment="1">
      <alignment horizontal="center" vertical="center"/>
    </xf>
    <xf numFmtId="9" fontId="171" fillId="0" borderId="228" xfId="1" applyFont="1" applyBorder="1" applyAlignment="1">
      <alignment horizontal="center" vertical="center"/>
    </xf>
    <xf numFmtId="0" fontId="171" fillId="0" borderId="229" xfId="0" applyFont="1" applyBorder="1" applyAlignment="1">
      <alignment horizontal="center" vertical="center"/>
    </xf>
    <xf numFmtId="0" fontId="57" fillId="0" borderId="0" xfId="0" applyFont="1">
      <alignment vertical="center"/>
    </xf>
    <xf numFmtId="187" fontId="57" fillId="0" borderId="0" xfId="0" applyNumberFormat="1" applyFont="1">
      <alignment vertical="center"/>
    </xf>
    <xf numFmtId="187" fontId="57" fillId="7" borderId="3" xfId="2" applyNumberFormat="1" applyFont="1" applyFill="1" applyBorder="1" applyAlignment="1">
      <alignment horizontal="center" vertical="center"/>
    </xf>
    <xf numFmtId="183" fontId="57" fillId="7" borderId="1" xfId="0" applyNumberFormat="1" applyFont="1" applyFill="1" applyBorder="1" applyAlignment="1">
      <alignment horizontal="center" vertical="center"/>
    </xf>
    <xf numFmtId="187" fontId="57" fillId="7" borderId="1" xfId="2" applyNumberFormat="1" applyFont="1" applyFill="1" applyBorder="1" applyAlignment="1">
      <alignment horizontal="center" vertical="center"/>
    </xf>
    <xf numFmtId="226" fontId="57" fillId="7" borderId="1" xfId="2" applyNumberFormat="1" applyFont="1" applyFill="1" applyBorder="1" applyAlignment="1">
      <alignment horizontal="center" vertical="center"/>
    </xf>
    <xf numFmtId="0" fontId="171" fillId="0" borderId="0" xfId="0" applyFont="1" applyAlignment="1">
      <alignment horizontal="center" vertical="center"/>
    </xf>
    <xf numFmtId="31" fontId="171" fillId="0" borderId="206" xfId="0" applyNumberFormat="1" applyFont="1" applyBorder="1" applyAlignment="1">
      <alignment vertical="center"/>
    </xf>
    <xf numFmtId="181" fontId="171" fillId="0" borderId="206" xfId="2" applyNumberFormat="1" applyFont="1" applyBorder="1" applyAlignment="1">
      <alignment vertical="center"/>
    </xf>
    <xf numFmtId="3" fontId="57" fillId="0" borderId="216" xfId="0" applyNumberFormat="1" applyFont="1" applyBorder="1" applyAlignment="1">
      <alignment horizontal="center" vertical="center"/>
    </xf>
    <xf numFmtId="187" fontId="57" fillId="0" borderId="216" xfId="0" applyNumberFormat="1" applyFont="1" applyBorder="1" applyAlignment="1">
      <alignment horizontal="center" vertical="center"/>
    </xf>
    <xf numFmtId="38" fontId="57" fillId="0" borderId="238" xfId="0" applyNumberFormat="1" applyFont="1" applyBorder="1" applyAlignment="1">
      <alignment horizontal="center" vertical="center"/>
    </xf>
    <xf numFmtId="9" fontId="57" fillId="0" borderId="216" xfId="1" applyFont="1" applyBorder="1" applyAlignment="1">
      <alignment horizontal="center" vertical="center"/>
    </xf>
    <xf numFmtId="2" fontId="57" fillId="0" borderId="216" xfId="0" applyNumberFormat="1" applyFont="1" applyBorder="1" applyAlignment="1">
      <alignment horizontal="center" vertical="center"/>
    </xf>
    <xf numFmtId="0" fontId="57" fillId="15" borderId="106" xfId="0" applyFont="1" applyFill="1" applyBorder="1">
      <alignment vertical="center"/>
    </xf>
    <xf numFmtId="38" fontId="171" fillId="15" borderId="106" xfId="0" applyNumberFormat="1" applyFont="1" applyFill="1" applyBorder="1" applyAlignment="1">
      <alignment horizontal="center" vertical="center"/>
    </xf>
    <xf numFmtId="187" fontId="171" fillId="15" borderId="224" xfId="0" applyNumberFormat="1" applyFont="1" applyFill="1" applyBorder="1" applyAlignment="1">
      <alignment horizontal="center" vertical="center"/>
    </xf>
    <xf numFmtId="9" fontId="171" fillId="15" borderId="106" xfId="1" applyFont="1" applyFill="1" applyBorder="1" applyAlignment="1">
      <alignment horizontal="center" vertical="center"/>
    </xf>
    <xf numFmtId="176" fontId="57" fillId="0" borderId="0" xfId="0" applyNumberFormat="1" applyFont="1">
      <alignment vertical="center"/>
    </xf>
    <xf numFmtId="187" fontId="57" fillId="0" borderId="3" xfId="2" applyNumberFormat="1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223" fontId="57" fillId="0" borderId="226" xfId="2" applyNumberFormat="1" applyFont="1" applyBorder="1" applyAlignment="1">
      <alignment horizontal="center" vertical="center"/>
    </xf>
    <xf numFmtId="9" fontId="171" fillId="0" borderId="226" xfId="1" applyFont="1" applyBorder="1" applyAlignment="1">
      <alignment horizontal="center" vertical="center"/>
    </xf>
    <xf numFmtId="0" fontId="57" fillId="0" borderId="229" xfId="0" applyFont="1" applyBorder="1">
      <alignment vertical="center"/>
    </xf>
    <xf numFmtId="226" fontId="57" fillId="0" borderId="0" xfId="0" applyNumberFormat="1" applyFont="1">
      <alignment vertical="center"/>
    </xf>
    <xf numFmtId="2" fontId="4" fillId="0" borderId="0" xfId="12074" applyNumberFormat="1" applyFont="1">
      <alignment vertical="center"/>
    </xf>
    <xf numFmtId="0" fontId="0" fillId="0" borderId="0" xfId="0" applyFont="1">
      <alignment vertical="center"/>
    </xf>
    <xf numFmtId="38" fontId="171" fillId="0" borderId="227" xfId="2" applyNumberFormat="1" applyFont="1" applyBorder="1" applyAlignment="1">
      <alignment horizontal="center" vertical="center"/>
    </xf>
    <xf numFmtId="38" fontId="57" fillId="0" borderId="0" xfId="0" applyNumberFormat="1" applyFont="1">
      <alignment vertical="center"/>
    </xf>
    <xf numFmtId="0" fontId="178" fillId="3" borderId="216" xfId="0" applyFont="1" applyFill="1" applyBorder="1" applyAlignment="1">
      <alignment horizontal="center" vertical="center" wrapText="1" readingOrder="1"/>
    </xf>
    <xf numFmtId="0" fontId="34" fillId="3" borderId="216" xfId="0" applyFont="1" applyFill="1" applyBorder="1" applyAlignment="1">
      <alignment horizontal="center" vertical="center"/>
    </xf>
    <xf numFmtId="0" fontId="178" fillId="6" borderId="216" xfId="0" applyFont="1" applyFill="1" applyBorder="1" applyAlignment="1">
      <alignment horizontal="center" vertical="center" wrapText="1" readingOrder="1"/>
    </xf>
    <xf numFmtId="38" fontId="34" fillId="6" borderId="216" xfId="0" applyNumberFormat="1" applyFont="1" applyFill="1" applyBorder="1" applyAlignment="1">
      <alignment horizontal="center" vertical="center"/>
    </xf>
    <xf numFmtId="38" fontId="28" fillId="0" borderId="216" xfId="0" applyNumberFormat="1" applyFont="1" applyBorder="1" applyAlignment="1">
      <alignment horizontal="center" vertical="center"/>
    </xf>
    <xf numFmtId="187" fontId="28" fillId="115" borderId="216" xfId="0" applyNumberFormat="1" applyFont="1" applyFill="1" applyBorder="1" applyAlignment="1">
      <alignment horizontal="center" vertical="center"/>
    </xf>
    <xf numFmtId="224" fontId="28" fillId="7" borderId="0" xfId="0" applyNumberFormat="1" applyFont="1" applyFill="1" applyBorder="1" applyAlignment="1">
      <alignment horizontal="center" vertical="center"/>
    </xf>
    <xf numFmtId="0" fontId="178" fillId="7" borderId="216" xfId="0" applyFont="1" applyFill="1" applyBorder="1" applyAlignment="1">
      <alignment horizontal="center" vertical="center" wrapText="1" readingOrder="1"/>
    </xf>
    <xf numFmtId="2" fontId="34" fillId="7" borderId="216" xfId="0" applyNumberFormat="1" applyFont="1" applyFill="1" applyBorder="1" applyAlignment="1">
      <alignment horizontal="center" vertical="center"/>
    </xf>
    <xf numFmtId="2" fontId="34" fillId="7" borderId="251" xfId="0" applyNumberFormat="1" applyFont="1" applyFill="1" applyBorder="1" applyAlignment="1">
      <alignment horizontal="center" vertical="center"/>
    </xf>
    <xf numFmtId="0" fontId="178" fillId="0" borderId="216" xfId="0" applyFont="1" applyBorder="1" applyAlignment="1">
      <alignment horizontal="center" vertical="center" wrapText="1" readingOrder="1"/>
    </xf>
    <xf numFmtId="3" fontId="178" fillId="3" borderId="216" xfId="0" applyNumberFormat="1" applyFont="1" applyFill="1" applyBorder="1" applyAlignment="1">
      <alignment horizontal="center" vertical="center" wrapText="1" readingOrder="1"/>
    </xf>
    <xf numFmtId="38" fontId="28" fillId="7" borderId="216" xfId="0" applyNumberFormat="1" applyFont="1" applyFill="1" applyBorder="1" applyAlignment="1">
      <alignment horizontal="center" vertical="center"/>
    </xf>
    <xf numFmtId="38" fontId="28" fillId="7" borderId="251" xfId="0" applyNumberFormat="1" applyFont="1" applyFill="1" applyBorder="1" applyAlignment="1">
      <alignment horizontal="center" vertical="center"/>
    </xf>
    <xf numFmtId="38" fontId="0" fillId="0" borderId="0" xfId="0" applyNumberFormat="1" applyFont="1">
      <alignment vertical="center"/>
    </xf>
    <xf numFmtId="0" fontId="34" fillId="7" borderId="238" xfId="0" applyFont="1" applyFill="1" applyBorder="1" applyAlignment="1">
      <alignment horizontal="center" vertical="center"/>
    </xf>
    <xf numFmtId="183" fontId="34" fillId="7" borderId="216" xfId="0" applyNumberFormat="1" applyFont="1" applyFill="1" applyBorder="1" applyAlignment="1">
      <alignment horizontal="center" vertical="center" readingOrder="1"/>
    </xf>
    <xf numFmtId="183" fontId="28" fillId="7" borderId="216" xfId="0" applyNumberFormat="1" applyFont="1" applyFill="1" applyBorder="1" applyAlignment="1">
      <alignment horizontal="center" vertical="center" readingOrder="1"/>
    </xf>
    <xf numFmtId="0" fontId="28" fillId="7" borderId="0" xfId="0" applyFont="1" applyFill="1" applyBorder="1" applyAlignment="1">
      <alignment horizontal="center" vertical="center" readingOrder="1"/>
    </xf>
    <xf numFmtId="38" fontId="28" fillId="7" borderId="216" xfId="0" applyNumberFormat="1" applyFont="1" applyFill="1" applyBorder="1" applyAlignment="1">
      <alignment horizontal="center" vertical="center" readingOrder="1"/>
    </xf>
    <xf numFmtId="0" fontId="178" fillId="0" borderId="0" xfId="0" applyFont="1" applyBorder="1" applyAlignment="1">
      <alignment horizontal="center" vertical="center" wrapText="1" readingOrder="1"/>
    </xf>
    <xf numFmtId="38" fontId="28" fillId="7" borderId="0" xfId="0" applyNumberFormat="1" applyFont="1" applyFill="1" applyBorder="1" applyAlignment="1">
      <alignment horizontal="center" vertical="center"/>
    </xf>
    <xf numFmtId="38" fontId="28" fillId="7" borderId="0" xfId="0" applyNumberFormat="1" applyFont="1" applyFill="1" applyBorder="1" applyAlignment="1">
      <alignment horizontal="center" vertical="center" readingOrder="1"/>
    </xf>
    <xf numFmtId="41" fontId="28" fillId="7" borderId="0" xfId="0" applyNumberFormat="1" applyFont="1" applyFill="1" applyBorder="1" applyAlignment="1">
      <alignment horizontal="center" vertical="center" readingOrder="1"/>
    </xf>
    <xf numFmtId="38" fontId="34" fillId="3" borderId="216" xfId="0" applyNumberFormat="1" applyFont="1" applyFill="1" applyBorder="1" applyAlignment="1">
      <alignment horizontal="center" vertical="center"/>
    </xf>
    <xf numFmtId="0" fontId="178" fillId="3" borderId="238" xfId="0" applyFont="1" applyFill="1" applyBorder="1" applyAlignment="1">
      <alignment horizontal="center" vertical="center" wrapText="1" readingOrder="1"/>
    </xf>
    <xf numFmtId="0" fontId="34" fillId="3" borderId="238" xfId="0" applyFont="1" applyFill="1" applyBorder="1" applyAlignment="1">
      <alignment horizontal="center" vertical="center"/>
    </xf>
    <xf numFmtId="38" fontId="28" fillId="7" borderId="238" xfId="0" applyNumberFormat="1" applyFont="1" applyFill="1" applyBorder="1" applyAlignment="1">
      <alignment horizontal="center" vertical="center"/>
    </xf>
    <xf numFmtId="38" fontId="34" fillId="7" borderId="238" xfId="0" applyNumberFormat="1" applyFont="1" applyFill="1" applyBorder="1" applyAlignment="1">
      <alignment horizontal="center" vertical="center"/>
    </xf>
    <xf numFmtId="3" fontId="178" fillId="3" borderId="238" xfId="0" applyNumberFormat="1" applyFont="1" applyFill="1" applyBorder="1" applyAlignment="1">
      <alignment horizontal="center" vertical="center" wrapText="1" readingOrder="1"/>
    </xf>
    <xf numFmtId="0" fontId="171" fillId="5" borderId="238" xfId="0" applyFont="1" applyFill="1" applyBorder="1" applyAlignment="1">
      <alignment horizontal="center" vertical="center"/>
    </xf>
    <xf numFmtId="10" fontId="171" fillId="6" borderId="238" xfId="1" applyNumberFormat="1" applyFont="1" applyFill="1" applyBorder="1" applyAlignment="1">
      <alignment horizontal="center" vertical="center"/>
    </xf>
    <xf numFmtId="2" fontId="27" fillId="5" borderId="216" xfId="0" applyNumberFormat="1" applyFont="1" applyFill="1" applyBorder="1" applyAlignment="1">
      <alignment horizontal="center" vertical="center"/>
    </xf>
    <xf numFmtId="0" fontId="28" fillId="0" borderId="216" xfId="0" applyFont="1" applyBorder="1" applyAlignment="1">
      <alignment horizontal="center" vertical="center"/>
    </xf>
    <xf numFmtId="10" fontId="165" fillId="0" borderId="216" xfId="0" applyNumberFormat="1" applyFont="1" applyBorder="1" applyAlignment="1">
      <alignment horizontal="center" vertical="center" wrapText="1"/>
    </xf>
    <xf numFmtId="183" fontId="165" fillId="0" borderId="216" xfId="0" applyNumberFormat="1" applyFont="1" applyBorder="1" applyAlignment="1">
      <alignment horizontal="center" vertical="center" wrapText="1"/>
    </xf>
    <xf numFmtId="183" fontId="28" fillId="0" borderId="216" xfId="0" applyNumberFormat="1" applyFont="1" applyBorder="1" applyAlignment="1">
      <alignment horizontal="center" vertical="center"/>
    </xf>
    <xf numFmtId="183" fontId="28" fillId="0" borderId="0" xfId="0" applyNumberFormat="1" applyFont="1" applyAlignment="1">
      <alignment horizontal="center" vertical="center"/>
    </xf>
    <xf numFmtId="0" fontId="34" fillId="6" borderId="216" xfId="0" applyFont="1" applyFill="1" applyBorder="1" applyAlignment="1">
      <alignment horizontal="center" vertical="center"/>
    </xf>
    <xf numFmtId="9" fontId="171" fillId="6" borderId="216" xfId="1" applyFont="1" applyFill="1" applyBorder="1" applyAlignment="1">
      <alignment horizontal="center" vertical="center"/>
    </xf>
    <xf numFmtId="0" fontId="171" fillId="6" borderId="216" xfId="0" applyFont="1" applyFill="1" applyBorder="1" applyAlignment="1">
      <alignment horizontal="center" vertical="center"/>
    </xf>
    <xf numFmtId="0" fontId="165" fillId="0" borderId="0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/>
    </xf>
    <xf numFmtId="3" fontId="28" fillId="0" borderId="0" xfId="0" applyNumberFormat="1" applyFont="1" applyBorder="1" applyAlignment="1">
      <alignment horizontal="center" vertical="center"/>
    </xf>
    <xf numFmtId="0" fontId="165" fillId="0" borderId="216" xfId="0" applyFont="1" applyBorder="1" applyAlignment="1">
      <alignment horizontal="center" vertical="center" wrapText="1"/>
    </xf>
    <xf numFmtId="38" fontId="28" fillId="0" borderId="238" xfId="0" applyNumberFormat="1" applyFont="1" applyBorder="1" applyAlignment="1">
      <alignment horizontal="center" vertical="center"/>
    </xf>
    <xf numFmtId="0" fontId="178" fillId="7" borderId="0" xfId="0" applyFont="1" applyFill="1" applyBorder="1" applyAlignment="1">
      <alignment horizontal="center" vertical="center" wrapText="1"/>
    </xf>
    <xf numFmtId="0" fontId="34" fillId="7" borderId="0" xfId="0" applyFont="1" applyFill="1" applyBorder="1">
      <alignment vertical="center"/>
    </xf>
    <xf numFmtId="3" fontId="34" fillId="7" borderId="0" xfId="0" applyNumberFormat="1" applyFont="1" applyFill="1" applyBorder="1" applyAlignment="1">
      <alignment horizontal="center" vertical="center"/>
    </xf>
    <xf numFmtId="38" fontId="34" fillId="7" borderId="0" xfId="0" applyNumberFormat="1" applyFont="1" applyFill="1" applyBorder="1" applyAlignment="1">
      <alignment horizontal="center" vertical="center"/>
    </xf>
    <xf numFmtId="0" fontId="57" fillId="7" borderId="0" xfId="0" applyFont="1" applyFill="1" applyBorder="1" applyAlignment="1">
      <alignment horizontal="center" vertical="center"/>
    </xf>
    <xf numFmtId="183" fontId="34" fillId="7" borderId="0" xfId="0" applyNumberFormat="1" applyFont="1" applyFill="1" applyBorder="1" applyAlignment="1">
      <alignment horizontal="center" vertical="center"/>
    </xf>
    <xf numFmtId="0" fontId="57" fillId="0" borderId="216" xfId="0" applyFont="1" applyBorder="1" applyAlignment="1">
      <alignment horizontal="left" vertical="center"/>
    </xf>
    <xf numFmtId="0" fontId="165" fillId="0" borderId="246" xfId="0" applyFont="1" applyBorder="1" applyAlignment="1">
      <alignment horizontal="center" vertical="center" wrapText="1"/>
    </xf>
    <xf numFmtId="38" fontId="28" fillId="0" borderId="0" xfId="0" applyNumberFormat="1" applyFont="1" applyAlignment="1">
      <alignment horizontal="center" vertical="center"/>
    </xf>
    <xf numFmtId="183" fontId="177" fillId="0" borderId="0" xfId="0" applyNumberFormat="1" applyFont="1" applyBorder="1" applyAlignment="1">
      <alignment horizontal="center" vertical="center"/>
    </xf>
    <xf numFmtId="228" fontId="28" fillId="0" borderId="0" xfId="0" applyNumberFormat="1" applyFont="1" applyBorder="1" applyAlignment="1">
      <alignment horizontal="center" vertical="center"/>
    </xf>
    <xf numFmtId="225" fontId="177" fillId="0" borderId="0" xfId="0" applyNumberFormat="1" applyFont="1" applyAlignment="1">
      <alignment horizontal="center" vertical="center"/>
    </xf>
    <xf numFmtId="0" fontId="177" fillId="0" borderId="0" xfId="0" applyFont="1">
      <alignment vertical="center"/>
    </xf>
    <xf numFmtId="1" fontId="176" fillId="7" borderId="0" xfId="0" applyNumberFormat="1" applyFont="1" applyFill="1" applyBorder="1" applyAlignment="1">
      <alignment horizontal="center" vertical="center"/>
    </xf>
    <xf numFmtId="0" fontId="176" fillId="7" borderId="0" xfId="0" applyFont="1" applyFill="1" applyBorder="1">
      <alignment vertical="center"/>
    </xf>
    <xf numFmtId="0" fontId="176" fillId="7" borderId="0" xfId="0" applyFont="1" applyFill="1" applyBorder="1" applyAlignment="1">
      <alignment horizontal="center" vertical="center"/>
    </xf>
    <xf numFmtId="0" fontId="177" fillId="0" borderId="0" xfId="0" applyFont="1" applyAlignment="1">
      <alignment horizontal="center" vertical="center"/>
    </xf>
    <xf numFmtId="3" fontId="165" fillId="0" borderId="56" xfId="0" applyNumberFormat="1" applyFont="1" applyBorder="1" applyAlignment="1">
      <alignment horizontal="center" vertical="center" wrapText="1"/>
    </xf>
    <xf numFmtId="0" fontId="28" fillId="0" borderId="56" xfId="0" applyFont="1" applyBorder="1" applyAlignment="1">
      <alignment horizontal="center" vertical="center" wrapText="1"/>
    </xf>
    <xf numFmtId="10" fontId="28" fillId="0" borderId="0" xfId="0" applyNumberFormat="1" applyFont="1" applyBorder="1">
      <alignment vertical="center"/>
    </xf>
    <xf numFmtId="0" fontId="179" fillId="119" borderId="56" xfId="0" applyFont="1" applyFill="1" applyBorder="1" applyAlignment="1">
      <alignment horizontal="center" vertical="center" wrapText="1"/>
    </xf>
    <xf numFmtId="1" fontId="179" fillId="16" borderId="56" xfId="0" applyNumberFormat="1" applyFont="1" applyFill="1" applyBorder="1" applyAlignment="1">
      <alignment horizontal="center" vertical="center" wrapText="1"/>
    </xf>
    <xf numFmtId="0" fontId="179" fillId="16" borderId="56" xfId="0" applyFont="1" applyFill="1" applyBorder="1" applyAlignment="1">
      <alignment horizontal="center" vertical="center" wrapText="1"/>
    </xf>
    <xf numFmtId="0" fontId="166" fillId="0" borderId="56" xfId="0" applyFont="1" applyBorder="1" applyAlignment="1">
      <alignment horizontal="center" vertical="center" wrapText="1"/>
    </xf>
    <xf numFmtId="0" fontId="174" fillId="16" borderId="56" xfId="0" applyFont="1" applyFill="1" applyBorder="1" applyAlignment="1">
      <alignment horizontal="center" vertical="center" wrapText="1"/>
    </xf>
    <xf numFmtId="1" fontId="28" fillId="7" borderId="56" xfId="0" applyNumberFormat="1" applyFont="1" applyFill="1" applyBorder="1" applyAlignment="1">
      <alignment horizontal="center" vertical="center"/>
    </xf>
    <xf numFmtId="227" fontId="28" fillId="7" borderId="56" xfId="0" applyNumberFormat="1" applyFont="1" applyFill="1" applyBorder="1" applyAlignment="1">
      <alignment horizontal="center" vertical="center"/>
    </xf>
    <xf numFmtId="0" fontId="28" fillId="7" borderId="56" xfId="0" applyFont="1" applyFill="1" applyBorder="1" applyAlignment="1">
      <alignment horizontal="center" vertical="center"/>
    </xf>
    <xf numFmtId="0" fontId="166" fillId="119" borderId="105" xfId="0" applyFont="1" applyFill="1" applyBorder="1" applyAlignment="1">
      <alignment horizontal="center" vertical="center" wrapText="1"/>
    </xf>
    <xf numFmtId="0" fontId="179" fillId="119" borderId="105" xfId="0" applyFont="1" applyFill="1" applyBorder="1" applyAlignment="1">
      <alignment horizontal="center" vertical="center" wrapText="1"/>
    </xf>
    <xf numFmtId="227" fontId="58" fillId="16" borderId="56" xfId="0" applyNumberFormat="1" applyFont="1" applyFill="1" applyBorder="1" applyAlignment="1">
      <alignment horizontal="center" vertical="center" wrapText="1"/>
    </xf>
    <xf numFmtId="227" fontId="179" fillId="16" borderId="56" xfId="0" applyNumberFormat="1" applyFont="1" applyFill="1" applyBorder="1" applyAlignment="1">
      <alignment horizontal="center" vertical="center" wrapText="1"/>
    </xf>
    <xf numFmtId="230" fontId="0" fillId="0" borderId="264" xfId="0" applyNumberFormat="1" applyBorder="1" applyAlignment="1">
      <alignment horizontal="center" vertical="center"/>
    </xf>
    <xf numFmtId="0" fontId="181" fillId="121" borderId="264" xfId="0" applyFont="1" applyFill="1" applyBorder="1" applyAlignment="1">
      <alignment horizontal="center" vertical="center"/>
    </xf>
    <xf numFmtId="0" fontId="182" fillId="123" borderId="264" xfId="0" applyFont="1" applyFill="1" applyBorder="1" applyAlignment="1">
      <alignment horizontal="center" vertical="center"/>
    </xf>
    <xf numFmtId="187" fontId="182" fillId="123" borderId="264" xfId="0" applyNumberFormat="1" applyFont="1" applyFill="1" applyBorder="1" applyAlignment="1">
      <alignment horizontal="center" vertical="center"/>
    </xf>
    <xf numFmtId="3" fontId="182" fillId="123" borderId="264" xfId="0" applyNumberFormat="1" applyFont="1" applyFill="1" applyBorder="1" applyAlignment="1">
      <alignment horizontal="center" vertical="center"/>
    </xf>
    <xf numFmtId="4" fontId="57" fillId="7" borderId="264" xfId="2" applyNumberFormat="1" applyFont="1" applyFill="1" applyBorder="1" applyAlignment="1">
      <alignment horizontal="center" vertical="center"/>
    </xf>
    <xf numFmtId="0" fontId="27" fillId="3" borderId="216" xfId="0" applyFont="1" applyFill="1" applyBorder="1" applyAlignment="1" applyProtection="1">
      <alignment horizontal="center" vertical="center"/>
      <protection locked="0"/>
    </xf>
    <xf numFmtId="0" fontId="30" fillId="7" borderId="8" xfId="0" applyFont="1" applyFill="1" applyBorder="1" applyAlignment="1">
      <alignment horizontal="center" vertical="center"/>
    </xf>
    <xf numFmtId="0" fontId="27" fillId="7" borderId="34" xfId="0" applyFont="1" applyFill="1" applyBorder="1" applyAlignment="1">
      <alignment horizontal="center" vertical="center"/>
    </xf>
    <xf numFmtId="0" fontId="27" fillId="7" borderId="32" xfId="0" applyFont="1" applyFill="1" applyBorder="1" applyAlignment="1">
      <alignment horizontal="center" vertical="center"/>
    </xf>
    <xf numFmtId="0" fontId="27" fillId="7" borderId="21" xfId="0" applyFont="1" applyFill="1" applyBorder="1" applyAlignment="1">
      <alignment horizontal="center" vertical="center"/>
    </xf>
    <xf numFmtId="187" fontId="27" fillId="5" borderId="216" xfId="2" applyNumberFormat="1" applyFont="1" applyFill="1" applyBorder="1" applyAlignment="1">
      <alignment horizontal="center" vertical="center"/>
    </xf>
    <xf numFmtId="187" fontId="170" fillId="0" borderId="216" xfId="2" applyNumberFormat="1" applyFont="1" applyBorder="1" applyAlignment="1">
      <alignment horizontal="center" vertical="center"/>
    </xf>
    <xf numFmtId="187" fontId="27" fillId="114" borderId="216" xfId="0" applyNumberFormat="1" applyFont="1" applyFill="1" applyBorder="1" applyAlignment="1">
      <alignment horizontal="center" vertical="center"/>
    </xf>
    <xf numFmtId="187" fontId="27" fillId="114" borderId="216" xfId="2" quotePrefix="1" applyNumberFormat="1" applyFont="1" applyFill="1" applyBorder="1" applyAlignment="1">
      <alignment horizontal="center" vertical="center"/>
    </xf>
    <xf numFmtId="187" fontId="27" fillId="114" borderId="216" xfId="2" applyNumberFormat="1" applyFont="1" applyFill="1" applyBorder="1" applyAlignment="1">
      <alignment horizontal="center" vertical="center"/>
    </xf>
    <xf numFmtId="38" fontId="27" fillId="7" borderId="216" xfId="3" applyNumberFormat="1" applyFont="1" applyFill="1" applyBorder="1" applyAlignment="1">
      <alignment horizontal="center" vertical="center"/>
    </xf>
    <xf numFmtId="38" fontId="27" fillId="7" borderId="216" xfId="2" quotePrefix="1" applyNumberFormat="1" applyFont="1" applyFill="1" applyBorder="1" applyAlignment="1">
      <alignment horizontal="center" vertical="center"/>
    </xf>
    <xf numFmtId="38" fontId="27" fillId="7" borderId="0" xfId="3" applyNumberFormat="1" applyFont="1" applyFill="1" applyBorder="1" applyAlignment="1">
      <alignment horizontal="center" vertical="center"/>
    </xf>
    <xf numFmtId="38" fontId="27" fillId="7" borderId="216" xfId="3" quotePrefix="1" applyNumberFormat="1" applyFont="1" applyFill="1" applyBorder="1" applyAlignment="1">
      <alignment horizontal="center" vertical="center"/>
    </xf>
    <xf numFmtId="38" fontId="30" fillId="7" borderId="216" xfId="3" applyNumberFormat="1" applyFont="1" applyFill="1" applyBorder="1" applyAlignment="1">
      <alignment horizontal="center" vertical="center"/>
    </xf>
    <xf numFmtId="38" fontId="27" fillId="5" borderId="216" xfId="2" quotePrefix="1" applyNumberFormat="1" applyFont="1" applyFill="1" applyBorder="1" applyAlignment="1">
      <alignment horizontal="center" vertical="center"/>
    </xf>
    <xf numFmtId="38" fontId="27" fillId="6" borderId="216" xfId="3" applyNumberFormat="1" applyFont="1" applyFill="1" applyBorder="1" applyAlignment="1">
      <alignment horizontal="center" vertical="center"/>
    </xf>
    <xf numFmtId="38" fontId="27" fillId="6" borderId="216" xfId="3" quotePrefix="1" applyNumberFormat="1" applyFont="1" applyFill="1" applyBorder="1" applyAlignment="1">
      <alignment horizontal="center" vertical="center"/>
    </xf>
    <xf numFmtId="38" fontId="27" fillId="6" borderId="216" xfId="2" quotePrefix="1" applyNumberFormat="1" applyFont="1" applyFill="1" applyBorder="1" applyAlignment="1">
      <alignment horizontal="center" vertical="center"/>
    </xf>
    <xf numFmtId="38" fontId="27" fillId="5" borderId="216" xfId="1" quotePrefix="1" applyNumberFormat="1" applyFont="1" applyFill="1" applyBorder="1" applyAlignment="1">
      <alignment horizontal="center" vertical="center"/>
    </xf>
    <xf numFmtId="38" fontId="27" fillId="7" borderId="216" xfId="2" quotePrefix="1" applyNumberFormat="1" applyFont="1" applyFill="1" applyBorder="1" applyAlignment="1">
      <alignment horizontal="center" vertical="center" wrapText="1"/>
    </xf>
    <xf numFmtId="187" fontId="170" fillId="0" borderId="0" xfId="0" applyNumberFormat="1" applyFont="1" applyAlignment="1">
      <alignment horizontal="center" vertical="center"/>
    </xf>
    <xf numFmtId="0" fontId="181" fillId="120" borderId="264" xfId="22859" applyFont="1" applyFill="1" applyBorder="1" applyAlignment="1">
      <alignment horizontal="center" vertical="center" wrapText="1"/>
    </xf>
    <xf numFmtId="0" fontId="182" fillId="124" borderId="264" xfId="22859" applyFont="1" applyFill="1" applyBorder="1" applyAlignment="1">
      <alignment horizontal="center" vertical="center" wrapText="1"/>
    </xf>
    <xf numFmtId="187" fontId="182" fillId="124" borderId="264" xfId="22859" applyNumberFormat="1" applyFont="1" applyFill="1" applyBorder="1" applyAlignment="1">
      <alignment horizontal="center" vertical="center" wrapText="1"/>
    </xf>
    <xf numFmtId="3" fontId="39" fillId="0" borderId="17" xfId="0" applyNumberFormat="1" applyFont="1" applyBorder="1" applyAlignment="1">
      <alignment horizontal="center" vertical="center" wrapText="1"/>
    </xf>
    <xf numFmtId="3" fontId="39" fillId="0" borderId="2" xfId="0" applyNumberFormat="1" applyFont="1" applyBorder="1" applyAlignment="1">
      <alignment horizontal="center" vertical="center" wrapText="1"/>
    </xf>
    <xf numFmtId="3" fontId="39" fillId="0" borderId="3" xfId="0" applyNumberFormat="1" applyFont="1" applyBorder="1" applyAlignment="1">
      <alignment horizontal="center" vertical="center" wrapText="1"/>
    </xf>
    <xf numFmtId="187" fontId="26" fillId="0" borderId="0" xfId="0" applyNumberFormat="1" applyFont="1" applyAlignment="1">
      <alignment horizontal="center" vertical="center"/>
    </xf>
    <xf numFmtId="187" fontId="54" fillId="0" borderId="5" xfId="0" applyNumberFormat="1" applyFont="1" applyFill="1" applyBorder="1" applyAlignment="1">
      <alignment horizontal="center" vertical="center"/>
    </xf>
    <xf numFmtId="3" fontId="49" fillId="0" borderId="0" xfId="0" applyNumberFormat="1" applyFont="1" applyAlignment="1">
      <alignment horizontal="center" vertical="center"/>
    </xf>
    <xf numFmtId="3" fontId="52" fillId="0" borderId="0" xfId="0" applyNumberFormat="1" applyFont="1" applyAlignment="1">
      <alignment horizontal="center" vertical="center"/>
    </xf>
    <xf numFmtId="3" fontId="39" fillId="0" borderId="21" xfId="3799" applyNumberFormat="1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187" fontId="30" fillId="6" borderId="216" xfId="0" applyNumberFormat="1" applyFont="1" applyFill="1" applyBorder="1" applyAlignment="1">
      <alignment horizontal="center" vertical="center"/>
    </xf>
    <xf numFmtId="187" fontId="30" fillId="6" borderId="216" xfId="2" applyNumberFormat="1" applyFont="1" applyFill="1" applyBorder="1" applyAlignment="1">
      <alignment horizontal="center" vertical="center"/>
    </xf>
    <xf numFmtId="187" fontId="30" fillId="7" borderId="0" xfId="0" applyNumberFormat="1" applyFont="1" applyFill="1" applyBorder="1" applyAlignment="1">
      <alignment horizontal="center" vertical="center"/>
    </xf>
    <xf numFmtId="187" fontId="30" fillId="6" borderId="216" xfId="2" quotePrefix="1" applyNumberFormat="1" applyFont="1" applyFill="1" applyBorder="1" applyAlignment="1">
      <alignment horizontal="center" vertical="center"/>
    </xf>
    <xf numFmtId="38" fontId="30" fillId="6" borderId="216" xfId="1" applyNumberFormat="1" applyFont="1" applyFill="1" applyBorder="1" applyAlignment="1">
      <alignment horizontal="center" vertical="center"/>
    </xf>
    <xf numFmtId="38" fontId="30" fillId="6" borderId="216" xfId="2" applyNumberFormat="1" applyFont="1" applyFill="1" applyBorder="1" applyAlignment="1">
      <alignment horizontal="center" vertical="center"/>
    </xf>
    <xf numFmtId="38" fontId="30" fillId="7" borderId="0" xfId="0" applyNumberFormat="1" applyFont="1" applyFill="1" applyBorder="1" applyAlignment="1">
      <alignment horizontal="center" vertical="center"/>
    </xf>
    <xf numFmtId="0" fontId="30" fillId="7" borderId="7" xfId="0" applyFont="1" applyFill="1" applyBorder="1" applyAlignment="1">
      <alignment horizontal="center" vertical="center"/>
    </xf>
    <xf numFmtId="10" fontId="30" fillId="7" borderId="0" xfId="1" applyNumberFormat="1" applyFont="1" applyFill="1" applyAlignment="1">
      <alignment horizontal="center" vertical="center"/>
    </xf>
    <xf numFmtId="31" fontId="171" fillId="0" borderId="206" xfId="0" applyNumberFormat="1" applyFont="1" applyBorder="1" applyAlignment="1">
      <alignment horizontal="right" vertical="center"/>
    </xf>
    <xf numFmtId="2" fontId="57" fillId="0" borderId="0" xfId="0" applyNumberFormat="1" applyFont="1">
      <alignment vertical="center"/>
    </xf>
    <xf numFmtId="187" fontId="57" fillId="7" borderId="19" xfId="2" applyNumberFormat="1" applyFont="1" applyFill="1" applyBorder="1" applyAlignment="1">
      <alignment horizontal="center" vertical="center"/>
    </xf>
    <xf numFmtId="229" fontId="57" fillId="0" borderId="0" xfId="0" applyNumberFormat="1" applyFont="1" applyAlignment="1">
      <alignment horizontal="center" vertical="center"/>
    </xf>
    <xf numFmtId="187" fontId="57" fillId="0" borderId="267" xfId="2" applyNumberFormat="1" applyFont="1" applyBorder="1" applyAlignment="1">
      <alignment horizontal="center" vertical="center"/>
    </xf>
    <xf numFmtId="38" fontId="171" fillId="0" borderId="229" xfId="0" applyNumberFormat="1" applyFont="1" applyBorder="1" applyAlignment="1">
      <alignment horizontal="center" vertical="center" wrapText="1"/>
    </xf>
    <xf numFmtId="10" fontId="28" fillId="0" borderId="0" xfId="1" applyNumberFormat="1" applyFont="1" applyAlignment="1">
      <alignment horizontal="center" vertical="center"/>
    </xf>
    <xf numFmtId="183" fontId="28" fillId="0" borderId="0" xfId="1" applyNumberFormat="1" applyFont="1" applyAlignment="1">
      <alignment horizontal="center" vertical="center"/>
    </xf>
    <xf numFmtId="3" fontId="28" fillId="7" borderId="0" xfId="0" applyNumberFormat="1" applyFont="1" applyFill="1" applyAlignment="1">
      <alignment vertical="center" wrapText="1"/>
    </xf>
    <xf numFmtId="1" fontId="28" fillId="7" borderId="0" xfId="0" applyNumberFormat="1" applyFont="1" applyFill="1">
      <alignment vertical="center"/>
    </xf>
    <xf numFmtId="183" fontId="57" fillId="0" borderId="267" xfId="2" applyNumberFormat="1" applyFont="1" applyBorder="1" applyAlignment="1">
      <alignment horizontal="center" vertical="center"/>
    </xf>
    <xf numFmtId="10" fontId="27" fillId="7" borderId="0" xfId="1" quotePrefix="1" applyNumberFormat="1" applyFont="1" applyFill="1" applyBorder="1" applyAlignment="1">
      <alignment horizontal="center" vertical="center"/>
    </xf>
    <xf numFmtId="187" fontId="27" fillId="7" borderId="0" xfId="3" quotePrefix="1" applyNumberFormat="1" applyFont="1" applyFill="1" applyBorder="1" applyAlignment="1">
      <alignment horizontal="center" vertical="center"/>
    </xf>
    <xf numFmtId="41" fontId="27" fillId="7" borderId="0" xfId="2" quotePrefix="1" applyFont="1" applyFill="1" applyBorder="1" applyAlignment="1">
      <alignment horizontal="center" vertical="center"/>
    </xf>
    <xf numFmtId="0" fontId="165" fillId="0" borderId="216" xfId="0" applyFont="1" applyBorder="1" applyAlignment="1">
      <alignment horizontal="center" vertical="center" wrapText="1"/>
    </xf>
    <xf numFmtId="178" fontId="27" fillId="114" borderId="216" xfId="2" applyNumberFormat="1" applyFont="1" applyFill="1" applyBorder="1" applyAlignment="1">
      <alignment horizontal="center" vertical="center"/>
    </xf>
    <xf numFmtId="178" fontId="27" fillId="116" borderId="216" xfId="2" applyNumberFormat="1" applyFont="1" applyFill="1" applyBorder="1" applyAlignment="1">
      <alignment horizontal="center" vertical="center"/>
    </xf>
    <xf numFmtId="0" fontId="26" fillId="0" borderId="56" xfId="0" applyFont="1" applyBorder="1" applyAlignment="1">
      <alignment horizontal="center" vertical="center" wrapText="1"/>
    </xf>
    <xf numFmtId="0" fontId="26" fillId="16" borderId="56" xfId="0" applyFont="1" applyFill="1" applyBorder="1" applyAlignment="1">
      <alignment horizontal="center" vertical="center" wrapText="1"/>
    </xf>
    <xf numFmtId="10" fontId="165" fillId="0" borderId="271" xfId="0" applyNumberFormat="1" applyFont="1" applyBorder="1" applyAlignment="1">
      <alignment horizontal="center" vertical="center" wrapText="1"/>
    </xf>
    <xf numFmtId="183" fontId="165" fillId="0" borderId="271" xfId="0" applyNumberFormat="1" applyFont="1" applyBorder="1" applyAlignment="1">
      <alignment horizontal="center" vertical="center" wrapText="1"/>
    </xf>
    <xf numFmtId="183" fontId="28" fillId="0" borderId="271" xfId="0" applyNumberFormat="1" applyFont="1" applyBorder="1" applyAlignment="1">
      <alignment horizontal="center" vertical="center"/>
    </xf>
    <xf numFmtId="0" fontId="165" fillId="0" borderId="271" xfId="0" applyFont="1" applyBorder="1" applyAlignment="1">
      <alignment horizontal="center" vertical="center" wrapText="1"/>
    </xf>
    <xf numFmtId="0" fontId="34" fillId="6" borderId="271" xfId="0" applyFont="1" applyFill="1" applyBorder="1" applyAlignment="1">
      <alignment horizontal="center" vertical="center"/>
    </xf>
    <xf numFmtId="10" fontId="28" fillId="0" borderId="0" xfId="0" applyNumberFormat="1" applyFont="1" applyBorder="1" applyAlignment="1">
      <alignment horizontal="center" vertical="center"/>
    </xf>
    <xf numFmtId="38" fontId="177" fillId="0" borderId="216" xfId="0" applyNumberFormat="1" applyFont="1" applyBorder="1" applyAlignment="1">
      <alignment horizontal="center" vertical="center"/>
    </xf>
    <xf numFmtId="183" fontId="57" fillId="0" borderId="0" xfId="0" applyNumberFormat="1" applyFont="1" applyBorder="1" applyAlignment="1">
      <alignment horizontal="center" vertical="center"/>
    </xf>
    <xf numFmtId="183" fontId="47" fillId="0" borderId="136" xfId="0" applyNumberFormat="1" applyFont="1" applyFill="1" applyBorder="1" applyAlignment="1">
      <alignment horizontal="center" vertical="center"/>
    </xf>
    <xf numFmtId="183" fontId="47" fillId="0" borderId="137" xfId="0" applyNumberFormat="1" applyFont="1" applyFill="1" applyBorder="1" applyAlignment="1">
      <alignment horizontal="center" vertical="center"/>
    </xf>
    <xf numFmtId="183" fontId="47" fillId="0" borderId="138" xfId="0" applyNumberFormat="1" applyFont="1" applyFill="1" applyBorder="1" applyAlignment="1">
      <alignment horizontal="center" vertical="center"/>
    </xf>
    <xf numFmtId="9" fontId="171" fillId="7" borderId="0" xfId="1" applyFont="1" applyFill="1" applyBorder="1" applyAlignment="1">
      <alignment horizontal="center" vertical="center"/>
    </xf>
    <xf numFmtId="2" fontId="57" fillId="7" borderId="271" xfId="0" applyNumberFormat="1" applyFont="1" applyFill="1" applyBorder="1" applyAlignment="1">
      <alignment horizontal="center" vertical="center"/>
    </xf>
    <xf numFmtId="2" fontId="28" fillId="0" borderId="271" xfId="0" applyNumberFormat="1" applyFont="1" applyBorder="1" applyAlignment="1">
      <alignment horizontal="center" vertical="center"/>
    </xf>
    <xf numFmtId="1" fontId="28" fillId="0" borderId="271" xfId="0" applyNumberFormat="1" applyFont="1" applyBorder="1" applyAlignment="1">
      <alignment horizontal="center" vertical="center"/>
    </xf>
    <xf numFmtId="0" fontId="124" fillId="0" borderId="272" xfId="0" applyFont="1" applyFill="1" applyBorder="1" applyAlignment="1">
      <alignment horizontal="center" vertical="center" wrapText="1"/>
    </xf>
    <xf numFmtId="0" fontId="124" fillId="0" borderId="247" xfId="0" applyFont="1" applyFill="1" applyBorder="1" applyAlignment="1">
      <alignment horizontal="center"/>
    </xf>
    <xf numFmtId="0" fontId="124" fillId="0" borderId="273" xfId="0" applyFont="1" applyFill="1" applyBorder="1" applyAlignment="1">
      <alignment horizontal="center"/>
    </xf>
    <xf numFmtId="186" fontId="43" fillId="0" borderId="274" xfId="4124" applyNumberFormat="1" applyFont="1" applyBorder="1" applyAlignment="1">
      <alignment horizontal="center" vertical="center" wrapText="1"/>
    </xf>
    <xf numFmtId="186" fontId="43" fillId="0" borderId="275" xfId="4124" applyNumberFormat="1" applyFont="1" applyBorder="1" applyAlignment="1">
      <alignment horizontal="center" vertical="center" wrapText="1"/>
    </xf>
    <xf numFmtId="41" fontId="51" fillId="0" borderId="276" xfId="4124" applyFont="1" applyBorder="1" applyAlignment="1">
      <alignment horizontal="center" vertical="center"/>
    </xf>
    <xf numFmtId="0" fontId="46" fillId="0" borderId="277" xfId="0" applyFont="1" applyBorder="1" applyAlignment="1">
      <alignment horizontal="center" vertical="center"/>
    </xf>
    <xf numFmtId="186" fontId="43" fillId="0" borderId="276" xfId="4124" applyNumberFormat="1" applyFont="1" applyBorder="1" applyAlignment="1">
      <alignment horizontal="center" vertical="center" wrapText="1"/>
    </xf>
    <xf numFmtId="41" fontId="51" fillId="0" borderId="276" xfId="4124" applyNumberFormat="1" applyFont="1" applyBorder="1" applyAlignment="1">
      <alignment horizontal="center" vertical="center" wrapText="1"/>
    </xf>
    <xf numFmtId="0" fontId="46" fillId="0" borderId="278" xfId="0" applyFont="1" applyBorder="1" applyAlignment="1">
      <alignment horizontal="center" vertical="center"/>
    </xf>
    <xf numFmtId="41" fontId="51" fillId="0" borderId="276" xfId="4124" applyFont="1" applyBorder="1" applyAlignment="1">
      <alignment horizontal="center" vertical="center" wrapText="1"/>
    </xf>
    <xf numFmtId="0" fontId="46" fillId="0" borderId="277" xfId="0" applyFont="1" applyBorder="1" applyAlignment="1">
      <alignment horizontal="center" vertical="center" wrapText="1"/>
    </xf>
    <xf numFmtId="0" fontId="46" fillId="0" borderId="278" xfId="0" applyFont="1" applyBorder="1" applyAlignment="1">
      <alignment horizontal="center" vertical="center" wrapText="1"/>
    </xf>
    <xf numFmtId="41" fontId="43" fillId="0" borderId="279" xfId="4124" applyFont="1" applyBorder="1" applyAlignment="1">
      <alignment horizontal="center" vertical="center"/>
    </xf>
    <xf numFmtId="181" fontId="43" fillId="0" borderId="280" xfId="4124" applyNumberFormat="1" applyFont="1" applyBorder="1" applyAlignment="1">
      <alignment horizontal="center" vertical="center"/>
    </xf>
    <xf numFmtId="180" fontId="53" fillId="0" borderId="100" xfId="4124" applyNumberFormat="1" applyFont="1" applyBorder="1" applyAlignment="1">
      <alignment horizontal="center" vertical="center"/>
    </xf>
    <xf numFmtId="180" fontId="53" fillId="0" borderId="130" xfId="4124" applyNumberFormat="1" applyFont="1" applyBorder="1" applyAlignment="1">
      <alignment horizontal="center" vertical="center"/>
    </xf>
    <xf numFmtId="186" fontId="43" fillId="0" borderId="133" xfId="0" applyNumberFormat="1" applyFont="1" applyFill="1" applyBorder="1" applyAlignment="1">
      <alignment horizontal="right" vertical="center"/>
    </xf>
    <xf numFmtId="186" fontId="43" fillId="0" borderId="134" xfId="0" applyNumberFormat="1" applyFont="1" applyFill="1" applyBorder="1" applyAlignment="1">
      <alignment horizontal="right" vertical="center"/>
    </xf>
    <xf numFmtId="183" fontId="43" fillId="0" borderId="139" xfId="0" applyNumberFormat="1" applyFont="1" applyFill="1" applyBorder="1" applyAlignment="1">
      <alignment horizontal="center" vertical="center"/>
    </xf>
    <xf numFmtId="186" fontId="43" fillId="0" borderId="142" xfId="0" applyNumberFormat="1" applyFont="1" applyFill="1" applyBorder="1" applyAlignment="1">
      <alignment horizontal="right" vertical="center"/>
    </xf>
    <xf numFmtId="183" fontId="47" fillId="0" borderId="104" xfId="0" applyNumberFormat="1" applyFont="1" applyFill="1" applyBorder="1" applyAlignment="1">
      <alignment horizontal="center" vertical="center"/>
    </xf>
    <xf numFmtId="186" fontId="43" fillId="0" borderId="143" xfId="0" applyNumberFormat="1" applyFont="1" applyFill="1" applyBorder="1" applyAlignment="1">
      <alignment horizontal="right" vertical="center"/>
    </xf>
    <xf numFmtId="183" fontId="43" fillId="0" borderId="144" xfId="0" applyNumberFormat="1" applyFont="1" applyFill="1" applyBorder="1" applyAlignment="1">
      <alignment horizontal="center" vertical="center"/>
    </xf>
    <xf numFmtId="41" fontId="51" fillId="0" borderId="148" xfId="4124" applyFont="1" applyFill="1" applyBorder="1" applyAlignment="1">
      <alignment horizontal="center" vertical="center"/>
    </xf>
    <xf numFmtId="186" fontId="43" fillId="0" borderId="147" xfId="0" applyNumberFormat="1" applyFont="1" applyFill="1" applyBorder="1" applyAlignment="1">
      <alignment horizontal="right" vertical="center"/>
    </xf>
    <xf numFmtId="183" fontId="43" fillId="0" borderId="149" xfId="0" applyNumberFormat="1" applyFont="1" applyFill="1" applyBorder="1" applyAlignment="1">
      <alignment horizontal="center" vertical="center"/>
    </xf>
    <xf numFmtId="0" fontId="44" fillId="0" borderId="51" xfId="0" applyFont="1" applyFill="1" applyBorder="1" applyAlignment="1">
      <alignment horizontal="center" vertical="center"/>
    </xf>
    <xf numFmtId="186" fontId="44" fillId="0" borderId="87" xfId="4124" applyNumberFormat="1" applyFont="1" applyFill="1" applyBorder="1" applyAlignment="1">
      <alignment horizontal="right" vertical="center"/>
    </xf>
    <xf numFmtId="186" fontId="44" fillId="0" borderId="91" xfId="4124" applyNumberFormat="1" applyFont="1" applyFill="1" applyBorder="1" applyAlignment="1">
      <alignment horizontal="right" vertical="center"/>
    </xf>
    <xf numFmtId="41" fontId="53" fillId="0" borderId="88" xfId="4124" applyNumberFormat="1" applyFont="1" applyFill="1" applyBorder="1" applyAlignment="1">
      <alignment horizontal="center" vertical="center"/>
    </xf>
    <xf numFmtId="183" fontId="47" fillId="0" borderId="89" xfId="0" applyNumberFormat="1" applyFont="1" applyFill="1" applyBorder="1" applyAlignment="1">
      <alignment horizontal="center" vertical="center"/>
    </xf>
    <xf numFmtId="186" fontId="44" fillId="0" borderId="88" xfId="4124" applyNumberFormat="1" applyFont="1" applyFill="1" applyBorder="1" applyAlignment="1">
      <alignment horizontal="right" vertical="center"/>
    </xf>
    <xf numFmtId="183" fontId="47" fillId="0" borderId="92" xfId="0" applyNumberFormat="1" applyFont="1" applyFill="1" applyBorder="1" applyAlignment="1">
      <alignment horizontal="center" vertical="center"/>
    </xf>
    <xf numFmtId="41" fontId="53" fillId="0" borderId="88" xfId="4124" applyFont="1" applyFill="1" applyBorder="1" applyAlignment="1">
      <alignment horizontal="center" vertical="center"/>
    </xf>
    <xf numFmtId="183" fontId="44" fillId="0" borderId="127" xfId="0" applyNumberFormat="1" applyFont="1" applyFill="1" applyBorder="1" applyAlignment="1">
      <alignment horizontal="center" vertical="center"/>
    </xf>
    <xf numFmtId="41" fontId="53" fillId="0" borderId="83" xfId="4124" applyFont="1" applyFill="1" applyBorder="1" applyAlignment="1">
      <alignment horizontal="center" vertical="center"/>
    </xf>
    <xf numFmtId="183" fontId="47" fillId="0" borderId="63" xfId="4124" applyNumberFormat="1" applyFont="1" applyFill="1" applyBorder="1" applyAlignment="1">
      <alignment horizontal="center" vertical="center"/>
    </xf>
    <xf numFmtId="41" fontId="51" fillId="0" borderId="66" xfId="4124" applyFont="1" applyFill="1" applyBorder="1" applyAlignment="1">
      <alignment horizontal="center" vertical="center"/>
    </xf>
    <xf numFmtId="186" fontId="48" fillId="0" borderId="80" xfId="4124" applyNumberFormat="1" applyFont="1" applyFill="1" applyBorder="1" applyAlignment="1">
      <alignment horizontal="right" vertical="center"/>
    </xf>
    <xf numFmtId="186" fontId="43" fillId="0" borderId="97" xfId="0" applyNumberFormat="1" applyFont="1" applyFill="1" applyBorder="1" applyAlignment="1">
      <alignment horizontal="right" vertical="center"/>
    </xf>
    <xf numFmtId="183" fontId="47" fillId="0" borderId="68" xfId="0" applyNumberFormat="1" applyFont="1" applyFill="1" applyBorder="1" applyAlignment="1">
      <alignment horizontal="center" vertical="center"/>
    </xf>
    <xf numFmtId="186" fontId="43" fillId="0" borderId="86" xfId="0" applyNumberFormat="1" applyFont="1" applyFill="1" applyBorder="1" applyAlignment="1">
      <alignment horizontal="right" vertical="center"/>
    </xf>
    <xf numFmtId="183" fontId="43" fillId="0" borderId="120" xfId="0" applyNumberFormat="1" applyFont="1" applyFill="1" applyBorder="1" applyAlignment="1">
      <alignment horizontal="center" vertical="center"/>
    </xf>
    <xf numFmtId="41" fontId="51" fillId="0" borderId="208" xfId="4124" applyFont="1" applyFill="1" applyBorder="1" applyAlignment="1">
      <alignment horizontal="center" vertical="center"/>
    </xf>
    <xf numFmtId="186" fontId="43" fillId="0" borderId="69" xfId="4124" applyNumberFormat="1" applyFont="1" applyFill="1" applyBorder="1" applyAlignment="1">
      <alignment horizontal="right" vertical="center"/>
    </xf>
    <xf numFmtId="186" fontId="43" fillId="0" borderId="73" xfId="4124" applyNumberFormat="1" applyFont="1" applyFill="1" applyBorder="1" applyAlignment="1">
      <alignment horizontal="right" vertical="center"/>
    </xf>
    <xf numFmtId="41" fontId="51" fillId="0" borderId="70" xfId="4124" applyFont="1" applyFill="1" applyBorder="1" applyAlignment="1">
      <alignment horizontal="center" vertical="center"/>
    </xf>
    <xf numFmtId="183" fontId="47" fillId="0" borderId="71" xfId="0" applyNumberFormat="1" applyFont="1" applyFill="1" applyBorder="1" applyAlignment="1">
      <alignment horizontal="center" vertical="center"/>
    </xf>
    <xf numFmtId="186" fontId="43" fillId="0" borderId="69" xfId="0" applyNumberFormat="1" applyFont="1" applyFill="1" applyBorder="1" applyAlignment="1">
      <alignment horizontal="right" vertical="center"/>
    </xf>
    <xf numFmtId="183" fontId="47" fillId="0" borderId="72" xfId="0" applyNumberFormat="1" applyFont="1" applyFill="1" applyBorder="1" applyAlignment="1">
      <alignment horizontal="center" vertical="center"/>
    </xf>
    <xf numFmtId="186" fontId="43" fillId="0" borderId="73" xfId="0" applyNumberFormat="1" applyFont="1" applyFill="1" applyBorder="1" applyAlignment="1">
      <alignment horizontal="right" vertical="center"/>
    </xf>
    <xf numFmtId="183" fontId="43" fillId="0" borderId="152" xfId="0" applyNumberFormat="1" applyFont="1" applyFill="1" applyBorder="1" applyAlignment="1">
      <alignment horizontal="center" vertical="center"/>
    </xf>
    <xf numFmtId="181" fontId="125" fillId="0" borderId="53" xfId="4124" applyNumberFormat="1" applyFont="1" applyFill="1" applyBorder="1" applyAlignment="1">
      <alignment horizontal="center" vertical="center"/>
    </xf>
    <xf numFmtId="0" fontId="43" fillId="0" borderId="153" xfId="0" applyFont="1" applyFill="1" applyBorder="1" applyAlignment="1">
      <alignment horizontal="center" vertical="center"/>
    </xf>
    <xf numFmtId="186" fontId="43" fillId="0" borderId="154" xfId="4124" applyNumberFormat="1" applyFont="1" applyFill="1" applyBorder="1" applyAlignment="1">
      <alignment horizontal="right" vertical="center"/>
    </xf>
    <xf numFmtId="186" fontId="43" fillId="0" borderId="155" xfId="4124" applyNumberFormat="1" applyFont="1" applyFill="1" applyBorder="1" applyAlignment="1">
      <alignment horizontal="right" vertical="center"/>
    </xf>
    <xf numFmtId="41" fontId="51" fillId="0" borderId="156" xfId="4124" applyFont="1" applyFill="1" applyBorder="1" applyAlignment="1">
      <alignment horizontal="center" vertical="center"/>
    </xf>
    <xf numFmtId="183" fontId="47" fillId="0" borderId="157" xfId="0" applyNumberFormat="1" applyFont="1" applyFill="1" applyBorder="1" applyAlignment="1">
      <alignment horizontal="center" vertical="center"/>
    </xf>
    <xf numFmtId="186" fontId="43" fillId="0" borderId="154" xfId="0" applyNumberFormat="1" applyFont="1" applyFill="1" applyBorder="1" applyAlignment="1">
      <alignment horizontal="right" vertical="center"/>
    </xf>
    <xf numFmtId="186" fontId="43" fillId="0" borderId="156" xfId="4124" applyNumberFormat="1" applyFont="1" applyFill="1" applyBorder="1" applyAlignment="1">
      <alignment horizontal="right" vertical="center"/>
    </xf>
    <xf numFmtId="186" fontId="43" fillId="0" borderId="155" xfId="0" applyNumberFormat="1" applyFont="1" applyFill="1" applyBorder="1" applyAlignment="1">
      <alignment horizontal="right" vertical="center"/>
    </xf>
    <xf numFmtId="183" fontId="43" fillId="0" borderId="158" xfId="0" applyNumberFormat="1" applyFont="1" applyFill="1" applyBorder="1" applyAlignment="1">
      <alignment horizontal="center" vertical="center"/>
    </xf>
    <xf numFmtId="41" fontId="51" fillId="0" borderId="209" xfId="4124" applyFont="1" applyFill="1" applyBorder="1" applyAlignment="1">
      <alignment horizontal="center" vertical="center"/>
    </xf>
    <xf numFmtId="183" fontId="46" fillId="0" borderId="62" xfId="4124" applyNumberFormat="1" applyFont="1" applyFill="1" applyBorder="1" applyAlignment="1">
      <alignment horizontal="center" vertical="center"/>
    </xf>
    <xf numFmtId="186" fontId="44" fillId="0" borderId="93" xfId="4124" applyNumberFormat="1" applyFont="1" applyFill="1" applyBorder="1" applyAlignment="1">
      <alignment horizontal="right" vertical="center"/>
    </xf>
    <xf numFmtId="181" fontId="125" fillId="0" borderId="51" xfId="4124" applyNumberFormat="1" applyFont="1" applyFill="1" applyBorder="1" applyAlignment="1">
      <alignment horizontal="center" vertical="center"/>
    </xf>
    <xf numFmtId="186" fontId="43" fillId="0" borderId="67" xfId="0" applyNumberFormat="1" applyFont="1" applyFill="1" applyBorder="1" applyAlignment="1">
      <alignment horizontal="right" vertical="center"/>
    </xf>
    <xf numFmtId="181" fontId="0" fillId="0" borderId="0" xfId="0" applyNumberFormat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0" fontId="43" fillId="0" borderId="55" xfId="0" applyFont="1" applyFill="1" applyBorder="1" applyAlignment="1">
      <alignment horizontal="center" vertical="center"/>
    </xf>
    <xf numFmtId="186" fontId="43" fillId="0" borderId="74" xfId="4124" applyNumberFormat="1" applyFont="1" applyFill="1" applyBorder="1" applyAlignment="1">
      <alignment horizontal="right" vertical="center"/>
    </xf>
    <xf numFmtId="186" fontId="43" fillId="0" borderId="78" xfId="4124" applyNumberFormat="1" applyFont="1" applyFill="1" applyBorder="1" applyAlignment="1">
      <alignment horizontal="right" vertical="center"/>
    </xf>
    <xf numFmtId="41" fontId="51" fillId="0" borderId="75" xfId="4124" applyFont="1" applyFill="1" applyBorder="1" applyAlignment="1">
      <alignment horizontal="center" vertical="center"/>
    </xf>
    <xf numFmtId="183" fontId="47" fillId="0" borderId="76" xfId="0" applyNumberFormat="1" applyFont="1" applyFill="1" applyBorder="1" applyAlignment="1">
      <alignment horizontal="center" vertical="center"/>
    </xf>
    <xf numFmtId="186" fontId="43" fillId="0" borderId="74" xfId="0" applyNumberFormat="1" applyFont="1" applyFill="1" applyBorder="1" applyAlignment="1">
      <alignment horizontal="right" vertical="center"/>
    </xf>
    <xf numFmtId="186" fontId="43" fillId="0" borderId="75" xfId="4124" applyNumberFormat="1" applyFont="1" applyFill="1" applyBorder="1" applyAlignment="1">
      <alignment horizontal="right" vertical="center"/>
    </xf>
    <xf numFmtId="183" fontId="47" fillId="0" borderId="77" xfId="0" applyNumberFormat="1" applyFont="1" applyFill="1" applyBorder="1" applyAlignment="1">
      <alignment horizontal="center" vertical="center"/>
    </xf>
    <xf numFmtId="186" fontId="43" fillId="0" borderId="78" xfId="0" applyNumberFormat="1" applyFont="1" applyFill="1" applyBorder="1" applyAlignment="1">
      <alignment horizontal="right" vertical="center"/>
    </xf>
    <xf numFmtId="183" fontId="43" fillId="0" borderId="159" xfId="0" applyNumberFormat="1" applyFont="1" applyFill="1" applyBorder="1" applyAlignment="1">
      <alignment horizontal="center" vertical="center"/>
    </xf>
    <xf numFmtId="183" fontId="46" fillId="0" borderId="160" xfId="4124" applyNumberFormat="1" applyFont="1" applyFill="1" applyBorder="1" applyAlignment="1">
      <alignment horizontal="center" vertical="center"/>
    </xf>
    <xf numFmtId="41" fontId="51" fillId="0" borderId="83" xfId="4124" applyFont="1" applyFill="1" applyBorder="1" applyAlignment="1">
      <alignment horizontal="center" vertical="center"/>
    </xf>
    <xf numFmtId="183" fontId="46" fillId="0" borderId="63" xfId="4124" applyNumberFormat="1" applyFont="1" applyFill="1" applyBorder="1" applyAlignment="1">
      <alignment horizontal="center" vertical="center"/>
    </xf>
    <xf numFmtId="0" fontId="43" fillId="0" borderId="54" xfId="0" applyFont="1" applyFill="1" applyBorder="1" applyAlignment="1">
      <alignment horizontal="center" vertical="center"/>
    </xf>
    <xf numFmtId="186" fontId="43" fillId="0" borderId="79" xfId="4124" applyNumberFormat="1" applyFont="1" applyFill="1" applyBorder="1" applyAlignment="1">
      <alignment horizontal="right" vertical="center"/>
    </xf>
    <xf numFmtId="186" fontId="43" fillId="0" borderId="82" xfId="4124" applyNumberFormat="1" applyFont="1" applyFill="1" applyBorder="1" applyAlignment="1">
      <alignment horizontal="right" vertical="center"/>
    </xf>
    <xf numFmtId="41" fontId="51" fillId="0" borderId="80" xfId="4124" applyFont="1" applyFill="1" applyBorder="1" applyAlignment="1">
      <alignment horizontal="center" vertical="center"/>
    </xf>
    <xf numFmtId="183" fontId="47" fillId="0" borderId="81" xfId="0" applyNumberFormat="1" applyFont="1" applyFill="1" applyBorder="1" applyAlignment="1">
      <alignment horizontal="center" vertical="center"/>
    </xf>
    <xf numFmtId="186" fontId="43" fillId="0" borderId="79" xfId="0" applyNumberFormat="1" applyFont="1" applyFill="1" applyBorder="1" applyAlignment="1">
      <alignment horizontal="right" vertical="center"/>
    </xf>
    <xf numFmtId="186" fontId="43" fillId="0" borderId="80" xfId="4124" applyNumberFormat="1" applyFont="1" applyFill="1" applyBorder="1" applyAlignment="1">
      <alignment horizontal="right" vertical="center"/>
    </xf>
    <xf numFmtId="186" fontId="43" fillId="0" borderId="82" xfId="0" applyNumberFormat="1" applyFont="1" applyFill="1" applyBorder="1" applyAlignment="1">
      <alignment horizontal="right" vertical="center"/>
    </xf>
    <xf numFmtId="41" fontId="51" fillId="0" borderId="210" xfId="4124" applyFont="1" applyFill="1" applyBorder="1" applyAlignment="1">
      <alignment horizontal="center" vertical="center"/>
    </xf>
    <xf numFmtId="2" fontId="47" fillId="0" borderId="92" xfId="0" applyNumberFormat="1" applyFont="1" applyFill="1" applyBorder="1" applyAlignment="1">
      <alignment horizontal="center" vertical="center"/>
    </xf>
    <xf numFmtId="0" fontId="44" fillId="0" borderId="52" xfId="0" applyFont="1" applyFill="1" applyBorder="1" applyAlignment="1">
      <alignment horizontal="center" vertical="center"/>
    </xf>
    <xf numFmtId="186" fontId="44" fillId="0" borderId="161" xfId="4124" applyNumberFormat="1" applyFont="1" applyFill="1" applyBorder="1" applyAlignment="1">
      <alignment horizontal="right" vertical="center"/>
    </xf>
    <xf numFmtId="186" fontId="44" fillId="0" borderId="211" xfId="4124" applyNumberFormat="1" applyFont="1" applyFill="1" applyBorder="1" applyAlignment="1">
      <alignment horizontal="right" vertical="center"/>
    </xf>
    <xf numFmtId="41" fontId="53" fillId="0" borderId="212" xfId="4124" applyNumberFormat="1" applyFont="1" applyFill="1" applyBorder="1" applyAlignment="1">
      <alignment horizontal="center" vertical="center"/>
    </xf>
    <xf numFmtId="43" fontId="47" fillId="0" borderId="162" xfId="0" applyNumberFormat="1" applyFont="1" applyFill="1" applyBorder="1" applyAlignment="1">
      <alignment horizontal="center" vertical="center"/>
    </xf>
    <xf numFmtId="186" fontId="44" fillId="0" borderId="212" xfId="4124" applyNumberFormat="1" applyFont="1" applyFill="1" applyBorder="1" applyAlignment="1">
      <alignment horizontal="right" vertical="center"/>
    </xf>
    <xf numFmtId="43" fontId="47" fillId="0" borderId="163" xfId="0" applyNumberFormat="1" applyFont="1" applyFill="1" applyBorder="1" applyAlignment="1">
      <alignment horizontal="center" vertical="center"/>
    </xf>
    <xf numFmtId="43" fontId="44" fillId="0" borderId="164" xfId="0" applyNumberFormat="1" applyFont="1" applyFill="1" applyBorder="1" applyAlignment="1">
      <alignment horizontal="center" vertical="center"/>
    </xf>
    <xf numFmtId="41" fontId="51" fillId="0" borderId="213" xfId="4124" applyFont="1" applyFill="1" applyBorder="1" applyAlignment="1">
      <alignment horizontal="center" vertical="center"/>
    </xf>
    <xf numFmtId="181" fontId="47" fillId="0" borderId="60" xfId="4124" applyNumberFormat="1" applyFont="1" applyFill="1" applyBorder="1" applyAlignment="1">
      <alignment horizontal="center" vertical="center"/>
    </xf>
    <xf numFmtId="178" fontId="28" fillId="0" borderId="271" xfId="0" applyNumberFormat="1" applyFont="1" applyBorder="1" applyAlignment="1">
      <alignment horizontal="center" vertical="center"/>
    </xf>
    <xf numFmtId="0" fontId="57" fillId="5" borderId="271" xfId="0" applyFont="1" applyFill="1" applyBorder="1" applyAlignment="1">
      <alignment horizontal="center" vertical="center" wrapText="1"/>
    </xf>
    <xf numFmtId="0" fontId="28" fillId="5" borderId="271" xfId="0" applyFont="1" applyFill="1" applyBorder="1" applyAlignment="1">
      <alignment horizontal="center" vertical="center" wrapText="1"/>
    </xf>
    <xf numFmtId="2" fontId="57" fillId="0" borderId="271" xfId="0" applyNumberFormat="1" applyFont="1" applyBorder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3" fontId="57" fillId="0" borderId="271" xfId="0" applyNumberFormat="1" applyFont="1" applyBorder="1" applyAlignment="1">
      <alignment horizontal="center" vertical="center"/>
    </xf>
    <xf numFmtId="9" fontId="57" fillId="0" borderId="271" xfId="1" applyFont="1" applyBorder="1" applyAlignment="1">
      <alignment horizontal="center" vertical="center"/>
    </xf>
    <xf numFmtId="1" fontId="57" fillId="0" borderId="0" xfId="0" applyNumberFormat="1" applyFont="1">
      <alignment vertical="center"/>
    </xf>
    <xf numFmtId="226" fontId="57" fillId="0" borderId="271" xfId="2" applyNumberFormat="1" applyFont="1" applyBorder="1" applyAlignment="1">
      <alignment horizontal="center" vertical="center"/>
    </xf>
    <xf numFmtId="2" fontId="45" fillId="0" borderId="0" xfId="0" applyNumberFormat="1" applyFont="1" applyAlignment="1"/>
    <xf numFmtId="2" fontId="0" fillId="0" borderId="0" xfId="0" applyNumberFormat="1" applyAlignment="1">
      <alignment horizontal="center" vertical="center"/>
    </xf>
    <xf numFmtId="43" fontId="27" fillId="116" borderId="216" xfId="2" applyNumberFormat="1" applyFont="1" applyFill="1" applyBorder="1" applyAlignment="1">
      <alignment horizontal="center" vertical="center"/>
    </xf>
    <xf numFmtId="2" fontId="26" fillId="16" borderId="56" xfId="0" applyNumberFormat="1" applyFont="1" applyFill="1" applyBorder="1" applyAlignment="1">
      <alignment horizontal="center" vertical="center" wrapText="1"/>
    </xf>
    <xf numFmtId="1" fontId="30" fillId="7" borderId="0" xfId="0" applyNumberFormat="1" applyFont="1" applyFill="1" applyBorder="1" applyAlignment="1">
      <alignment horizontal="center" vertical="center"/>
    </xf>
    <xf numFmtId="1" fontId="27" fillId="7" borderId="0" xfId="0" applyNumberFormat="1" applyFont="1" applyFill="1" applyBorder="1" applyAlignment="1">
      <alignment horizontal="center" vertical="center"/>
    </xf>
    <xf numFmtId="179" fontId="57" fillId="0" borderId="0" xfId="0" applyNumberFormat="1" applyFont="1">
      <alignment vertical="center"/>
    </xf>
    <xf numFmtId="187" fontId="27" fillId="7" borderId="0" xfId="0" applyNumberFormat="1" applyFont="1" applyFill="1" applyAlignment="1">
      <alignment horizontal="center" vertical="center"/>
    </xf>
    <xf numFmtId="3" fontId="57" fillId="0" borderId="0" xfId="0" applyNumberFormat="1" applyFont="1">
      <alignment vertical="center"/>
    </xf>
    <xf numFmtId="0" fontId="44" fillId="3" borderId="51" xfId="0" applyFont="1" applyFill="1" applyBorder="1" applyAlignment="1">
      <alignment horizontal="center" vertical="center"/>
    </xf>
    <xf numFmtId="186" fontId="44" fillId="3" borderId="87" xfId="4124" applyNumberFormat="1" applyFont="1" applyFill="1" applyBorder="1" applyAlignment="1">
      <alignment horizontal="right" vertical="center"/>
    </xf>
    <xf numFmtId="186" fontId="44" fillId="3" borderId="91" xfId="4124" applyNumberFormat="1" applyFont="1" applyFill="1" applyBorder="1" applyAlignment="1">
      <alignment horizontal="right" vertical="center"/>
    </xf>
    <xf numFmtId="41" fontId="53" fillId="3" borderId="88" xfId="4124" applyFont="1" applyFill="1" applyBorder="1" applyAlignment="1">
      <alignment horizontal="center" vertical="center"/>
    </xf>
    <xf numFmtId="183" fontId="47" fillId="3" borderId="92" xfId="0" applyNumberFormat="1" applyFont="1" applyFill="1" applyBorder="1" applyAlignment="1">
      <alignment horizontal="center" vertical="center"/>
    </xf>
    <xf numFmtId="186" fontId="44" fillId="3" borderId="87" xfId="0" applyNumberFormat="1" applyFont="1" applyFill="1" applyBorder="1" applyAlignment="1">
      <alignment horizontal="right" vertical="center"/>
    </xf>
    <xf numFmtId="186" fontId="44" fillId="3" borderId="88" xfId="4124" applyNumberFormat="1" applyFont="1" applyFill="1" applyBorder="1" applyAlignment="1">
      <alignment horizontal="right" vertical="center"/>
    </xf>
    <xf numFmtId="41" fontId="53" fillId="3" borderId="88" xfId="4124" applyNumberFormat="1" applyFont="1" applyFill="1" applyBorder="1" applyAlignment="1">
      <alignment horizontal="center" vertical="center"/>
    </xf>
    <xf numFmtId="183" fontId="47" fillId="3" borderId="89" xfId="0" applyNumberFormat="1" applyFont="1" applyFill="1" applyBorder="1" applyAlignment="1">
      <alignment horizontal="center" vertical="center"/>
    </xf>
    <xf numFmtId="186" fontId="44" fillId="3" borderId="91" xfId="0" applyNumberFormat="1" applyFont="1" applyFill="1" applyBorder="1" applyAlignment="1">
      <alignment horizontal="right" vertical="center"/>
    </xf>
    <xf numFmtId="183" fontId="44" fillId="3" borderId="127" xfId="0" applyNumberFormat="1" applyFont="1" applyFill="1" applyBorder="1" applyAlignment="1">
      <alignment horizontal="center" vertical="center"/>
    </xf>
    <xf numFmtId="181" fontId="126" fillId="3" borderId="51" xfId="4124" applyNumberFormat="1" applyFont="1" applyFill="1" applyBorder="1" applyAlignment="1">
      <alignment horizontal="center" vertical="center"/>
    </xf>
    <xf numFmtId="41" fontId="53" fillId="3" borderId="83" xfId="4124" applyFont="1" applyFill="1" applyBorder="1" applyAlignment="1">
      <alignment horizontal="center" vertical="center"/>
    </xf>
    <xf numFmtId="183" fontId="47" fillId="3" borderId="63" xfId="4124" applyNumberFormat="1" applyFont="1" applyFill="1" applyBorder="1" applyAlignment="1">
      <alignment horizontal="center" vertical="center"/>
    </xf>
    <xf numFmtId="0" fontId="45" fillId="3" borderId="0" xfId="0" applyFont="1" applyFill="1" applyAlignment="1">
      <alignment horizontal="center" vertical="center"/>
    </xf>
    <xf numFmtId="0" fontId="44" fillId="3" borderId="96" xfId="0" applyFont="1" applyFill="1" applyBorder="1" applyAlignment="1">
      <alignment horizontal="center" vertical="center"/>
    </xf>
    <xf numFmtId="186" fontId="44" fillId="3" borderId="97" xfId="4124" applyNumberFormat="1" applyFont="1" applyFill="1" applyBorder="1" applyAlignment="1">
      <alignment horizontal="right" vertical="center"/>
    </xf>
    <xf numFmtId="186" fontId="44" fillId="3" borderId="86" xfId="4124" applyNumberFormat="1" applyFont="1" applyFill="1" applyBorder="1" applyAlignment="1">
      <alignment horizontal="right" vertical="center"/>
    </xf>
    <xf numFmtId="41" fontId="53" fillId="3" borderId="5" xfId="4124" applyFont="1" applyFill="1" applyBorder="1" applyAlignment="1">
      <alignment horizontal="center" vertical="center"/>
    </xf>
    <xf numFmtId="183" fontId="47" fillId="3" borderId="43" xfId="0" applyNumberFormat="1" applyFont="1" applyFill="1" applyBorder="1" applyAlignment="1">
      <alignment horizontal="center" vertical="center"/>
    </xf>
    <xf numFmtId="186" fontId="44" fillId="3" borderId="97" xfId="0" applyNumberFormat="1" applyFont="1" applyFill="1" applyBorder="1" applyAlignment="1">
      <alignment horizontal="right" vertical="center"/>
    </xf>
    <xf numFmtId="186" fontId="44" fillId="3" borderId="5" xfId="4124" applyNumberFormat="1" applyFont="1" applyFill="1" applyBorder="1" applyAlignment="1">
      <alignment horizontal="right" vertical="center"/>
    </xf>
    <xf numFmtId="41" fontId="53" fillId="3" borderId="5" xfId="4124" applyNumberFormat="1" applyFont="1" applyFill="1" applyBorder="1" applyAlignment="1">
      <alignment horizontal="center" vertical="center"/>
    </xf>
    <xf numFmtId="183" fontId="47" fillId="3" borderId="68" xfId="0" applyNumberFormat="1" applyFont="1" applyFill="1" applyBorder="1" applyAlignment="1">
      <alignment horizontal="center" vertical="center"/>
    </xf>
    <xf numFmtId="186" fontId="44" fillId="3" borderId="86" xfId="0" applyNumberFormat="1" applyFont="1" applyFill="1" applyBorder="1" applyAlignment="1">
      <alignment horizontal="right" vertical="center"/>
    </xf>
    <xf numFmtId="183" fontId="44" fillId="3" borderId="120" xfId="0" applyNumberFormat="1" applyFont="1" applyFill="1" applyBorder="1" applyAlignment="1">
      <alignment horizontal="center" vertical="center"/>
    </xf>
    <xf numFmtId="181" fontId="126" fillId="3" borderId="96" xfId="4124" applyNumberFormat="1" applyFont="1" applyFill="1" applyBorder="1" applyAlignment="1">
      <alignment horizontal="center" vertical="center"/>
    </xf>
    <xf numFmtId="41" fontId="53" fillId="3" borderId="0" xfId="4124" applyFont="1" applyFill="1" applyBorder="1" applyAlignment="1">
      <alignment horizontal="center" vertical="center"/>
    </xf>
    <xf numFmtId="183" fontId="47" fillId="3" borderId="128" xfId="4124" applyNumberFormat="1" applyFont="1" applyFill="1" applyBorder="1" applyAlignment="1">
      <alignment horizontal="center" vertical="center"/>
    </xf>
    <xf numFmtId="179" fontId="28" fillId="7" borderId="0" xfId="0" applyNumberFormat="1" applyFont="1" applyFill="1">
      <alignment vertical="center"/>
    </xf>
    <xf numFmtId="2" fontId="0" fillId="0" borderId="0" xfId="0" applyNumberFormat="1">
      <alignment vertical="center"/>
    </xf>
    <xf numFmtId="226" fontId="27" fillId="7" borderId="0" xfId="0" applyNumberFormat="1" applyFont="1" applyFill="1" applyBorder="1" applyAlignment="1">
      <alignment horizontal="center" vertical="center"/>
    </xf>
    <xf numFmtId="181" fontId="27" fillId="7" borderId="0" xfId="2" applyNumberFormat="1" applyFont="1" applyFill="1" applyBorder="1" applyAlignment="1">
      <alignment horizontal="center" vertical="center"/>
    </xf>
    <xf numFmtId="0" fontId="171" fillId="5" borderId="5" xfId="0" quotePrefix="1" applyFont="1" applyFill="1" applyBorder="1" applyAlignment="1">
      <alignment horizontal="center" vertical="center"/>
    </xf>
    <xf numFmtId="4" fontId="57" fillId="7" borderId="6" xfId="2" applyNumberFormat="1" applyFont="1" applyFill="1" applyBorder="1" applyAlignment="1">
      <alignment horizontal="center" vertical="center"/>
    </xf>
    <xf numFmtId="0" fontId="171" fillId="7" borderId="122" xfId="0" applyFont="1" applyFill="1" applyBorder="1" applyAlignment="1">
      <alignment horizontal="center" vertical="center"/>
    </xf>
    <xf numFmtId="0" fontId="171" fillId="7" borderId="271" xfId="0" applyFont="1" applyFill="1" applyBorder="1" applyAlignment="1">
      <alignment horizontal="center" vertical="center"/>
    </xf>
    <xf numFmtId="176" fontId="28" fillId="7" borderId="0" xfId="0" applyNumberFormat="1" applyFont="1" applyFill="1">
      <alignment vertical="center"/>
    </xf>
    <xf numFmtId="184" fontId="189" fillId="7" borderId="0" xfId="0" applyNumberFormat="1" applyFont="1" applyFill="1" applyBorder="1" applyAlignment="1" applyProtection="1">
      <alignment vertical="center"/>
    </xf>
    <xf numFmtId="0" fontId="189" fillId="7" borderId="0" xfId="0" applyFont="1" applyFill="1" applyBorder="1" applyAlignment="1" applyProtection="1">
      <alignment vertical="center"/>
    </xf>
    <xf numFmtId="0" fontId="190" fillId="7" borderId="0" xfId="0" applyFont="1" applyFill="1" applyAlignment="1" applyProtection="1">
      <protection locked="0"/>
    </xf>
    <xf numFmtId="0" fontId="0" fillId="0" borderId="0" xfId="0" applyAlignment="1">
      <alignment horizontal="center" vertical="center"/>
    </xf>
    <xf numFmtId="10" fontId="30" fillId="7" borderId="0" xfId="1" applyNumberFormat="1" applyFont="1" applyFill="1" applyBorder="1" applyAlignment="1">
      <alignment horizontal="center" vertical="center"/>
    </xf>
    <xf numFmtId="222" fontId="27" fillId="7" borderId="0" xfId="0" applyNumberFormat="1" applyFont="1" applyFill="1" applyBorder="1" applyAlignment="1">
      <alignment horizontal="center" vertical="center"/>
    </xf>
    <xf numFmtId="38" fontId="28" fillId="7" borderId="0" xfId="0" applyNumberFormat="1" applyFont="1" applyFill="1">
      <alignment vertical="center"/>
    </xf>
    <xf numFmtId="0" fontId="171" fillId="7" borderId="264" xfId="0" applyFont="1" applyFill="1" applyBorder="1" applyAlignment="1">
      <alignment horizontal="center" vertical="center"/>
    </xf>
    <xf numFmtId="0" fontId="171" fillId="7" borderId="238" xfId="0" applyFont="1" applyFill="1" applyBorder="1" applyAlignment="1">
      <alignment horizontal="center" vertical="center"/>
    </xf>
    <xf numFmtId="0" fontId="172" fillId="5" borderId="267" xfId="0" applyFont="1" applyFill="1" applyBorder="1" applyAlignment="1">
      <alignment vertical="center"/>
    </xf>
    <xf numFmtId="0" fontId="124" fillId="0" borderId="0" xfId="0" applyFont="1">
      <alignment vertical="center"/>
    </xf>
    <xf numFmtId="0" fontId="124" fillId="0" borderId="0" xfId="0" applyFont="1" applyAlignment="1">
      <alignment horizontal="center" vertical="center"/>
    </xf>
    <xf numFmtId="0" fontId="169" fillId="7" borderId="267" xfId="0" applyFont="1" applyFill="1" applyBorder="1" applyAlignment="1">
      <alignment vertical="center"/>
    </xf>
    <xf numFmtId="3" fontId="124" fillId="0" borderId="0" xfId="0" applyNumberFormat="1" applyFont="1">
      <alignment vertical="center"/>
    </xf>
    <xf numFmtId="0" fontId="124" fillId="0" borderId="0" xfId="0" applyFont="1" applyFill="1" applyBorder="1">
      <alignment vertical="center"/>
    </xf>
    <xf numFmtId="0" fontId="169" fillId="7" borderId="0" xfId="0" applyFont="1" applyFill="1" applyAlignment="1">
      <alignment horizontal="center" vertical="center"/>
    </xf>
    <xf numFmtId="2" fontId="169" fillId="7" borderId="271" xfId="0" applyNumberFormat="1" applyFont="1" applyFill="1" applyBorder="1" applyAlignment="1" applyProtection="1">
      <alignment vertical="center"/>
      <protection locked="0"/>
    </xf>
    <xf numFmtId="0" fontId="169" fillId="7" borderId="271" xfId="0" applyFont="1" applyFill="1" applyBorder="1" applyAlignment="1" applyProtection="1">
      <alignment vertical="center"/>
      <protection locked="0"/>
    </xf>
    <xf numFmtId="9" fontId="124" fillId="0" borderId="0" xfId="1" applyNumberFormat="1" applyFont="1" applyAlignment="1">
      <alignment horizontal="center" vertical="center"/>
    </xf>
    <xf numFmtId="0" fontId="58" fillId="0" borderId="217" xfId="0" applyFont="1" applyBorder="1" applyAlignment="1">
      <alignment horizontal="center" vertical="center" wrapText="1"/>
    </xf>
    <xf numFmtId="0" fontId="179" fillId="0" borderId="217" xfId="0" applyFont="1" applyBorder="1" applyAlignment="1">
      <alignment horizontal="center" wrapText="1"/>
    </xf>
    <xf numFmtId="0" fontId="58" fillId="0" borderId="217" xfId="0" applyFont="1" applyBorder="1" applyAlignment="1">
      <alignment horizontal="center" wrapText="1"/>
    </xf>
    <xf numFmtId="178" fontId="28" fillId="0" borderId="0" xfId="0" applyNumberFormat="1" applyFont="1">
      <alignment vertical="center"/>
    </xf>
    <xf numFmtId="223" fontId="57" fillId="0" borderId="0" xfId="0" applyNumberFormat="1" applyFont="1" applyAlignment="1">
      <alignment horizontal="center" vertical="center"/>
    </xf>
    <xf numFmtId="223" fontId="57" fillId="0" borderId="0" xfId="0" applyNumberFormat="1" applyFont="1">
      <alignment vertical="center"/>
    </xf>
    <xf numFmtId="0" fontId="171" fillId="7" borderId="238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vertical="center" wrapText="1"/>
    </xf>
    <xf numFmtId="3" fontId="28" fillId="0" borderId="0" xfId="0" applyNumberFormat="1" applyFont="1">
      <alignment vertical="center"/>
    </xf>
    <xf numFmtId="2" fontId="28" fillId="0" borderId="0" xfId="0" applyNumberFormat="1" applyFont="1">
      <alignment vertical="center"/>
    </xf>
    <xf numFmtId="183" fontId="28" fillId="7" borderId="0" xfId="0" applyNumberFormat="1" applyFont="1" applyFill="1">
      <alignment vertical="center"/>
    </xf>
    <xf numFmtId="0" fontId="37" fillId="11" borderId="0" xfId="3846" applyFont="1" applyFill="1" applyBorder="1">
      <protection locked="0"/>
    </xf>
    <xf numFmtId="0" fontId="109" fillId="11" borderId="0" xfId="3846" applyFill="1">
      <protection locked="0"/>
    </xf>
    <xf numFmtId="0" fontId="109" fillId="12" borderId="0" xfId="3846" applyFill="1">
      <protection locked="0"/>
    </xf>
    <xf numFmtId="233" fontId="27" fillId="7" borderId="0" xfId="0" applyNumberFormat="1" applyFont="1" applyFill="1" applyBorder="1" applyAlignment="1">
      <alignment horizontal="center" vertical="center"/>
    </xf>
    <xf numFmtId="9" fontId="28" fillId="7" borderId="0" xfId="1" applyFont="1" applyFill="1">
      <alignment vertical="center"/>
    </xf>
    <xf numFmtId="188" fontId="28" fillId="7" borderId="0" xfId="1" applyNumberFormat="1" applyFont="1" applyFill="1">
      <alignment vertical="center"/>
    </xf>
    <xf numFmtId="2" fontId="57" fillId="0" borderId="203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73" fillId="0" borderId="0" xfId="0" applyFont="1">
      <alignment vertical="center"/>
    </xf>
    <xf numFmtId="0" fontId="29" fillId="0" borderId="271" xfId="0" applyFont="1" applyBorder="1" applyAlignment="1">
      <alignment horizontal="center" vertical="center"/>
    </xf>
    <xf numFmtId="0" fontId="169" fillId="7" borderId="271" xfId="0" applyFont="1" applyFill="1" applyBorder="1" applyAlignment="1">
      <alignment horizontal="center" vertical="center"/>
    </xf>
    <xf numFmtId="3" fontId="169" fillId="7" borderId="271" xfId="2" applyNumberFormat="1" applyFont="1" applyFill="1" applyBorder="1" applyAlignment="1">
      <alignment horizontal="center" vertical="center"/>
    </xf>
    <xf numFmtId="227" fontId="169" fillId="7" borderId="271" xfId="2" applyNumberFormat="1" applyFont="1" applyFill="1" applyBorder="1" applyAlignment="1">
      <alignment horizontal="center" vertical="center"/>
    </xf>
    <xf numFmtId="4" fontId="169" fillId="7" borderId="271" xfId="2" applyNumberFormat="1" applyFont="1" applyFill="1" applyBorder="1" applyAlignment="1">
      <alignment horizontal="center" vertical="center"/>
    </xf>
    <xf numFmtId="0" fontId="29" fillId="0" borderId="271" xfId="0" applyFont="1" applyBorder="1" applyAlignment="1">
      <alignment horizontal="center" vertical="center" wrapText="1"/>
    </xf>
    <xf numFmtId="0" fontId="165" fillId="0" borderId="216" xfId="0" applyFont="1" applyBorder="1" applyAlignment="1">
      <alignment horizontal="center" vertical="center" wrapText="1"/>
    </xf>
    <xf numFmtId="0" fontId="27" fillId="3" borderId="216" xfId="0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71" fillId="15" borderId="6" xfId="0" applyFont="1" applyFill="1" applyBorder="1" applyAlignment="1">
      <alignment horizontal="center" vertical="center"/>
    </xf>
    <xf numFmtId="187" fontId="27" fillId="7" borderId="271" xfId="0" applyNumberFormat="1" applyFont="1" applyFill="1" applyBorder="1" applyAlignment="1">
      <alignment horizontal="center" vertical="center"/>
    </xf>
    <xf numFmtId="38" fontId="30" fillId="7" borderId="271" xfId="0" applyNumberFormat="1" applyFont="1" applyFill="1" applyBorder="1" applyAlignment="1">
      <alignment horizontal="center" vertical="center"/>
    </xf>
    <xf numFmtId="0" fontId="27" fillId="7" borderId="271" xfId="0" applyFont="1" applyFill="1" applyBorder="1" applyAlignment="1">
      <alignment horizontal="center" vertical="center"/>
    </xf>
    <xf numFmtId="187" fontId="27" fillId="116" borderId="216" xfId="2" applyNumberFormat="1" applyFont="1" applyFill="1" applyBorder="1" applyAlignment="1">
      <alignment horizontal="center" vertical="center"/>
    </xf>
    <xf numFmtId="187" fontId="27" fillId="116" borderId="216" xfId="2" quotePrefix="1" applyNumberFormat="1" applyFont="1" applyFill="1" applyBorder="1" applyAlignment="1">
      <alignment horizontal="center" vertical="center"/>
    </xf>
    <xf numFmtId="187" fontId="27" fillId="116" borderId="216" xfId="1" applyNumberFormat="1" applyFont="1" applyFill="1" applyBorder="1" applyAlignment="1">
      <alignment horizontal="center" vertical="center"/>
    </xf>
    <xf numFmtId="38" fontId="28" fillId="7" borderId="122" xfId="2" applyNumberFormat="1" applyFont="1" applyFill="1" applyBorder="1" applyAlignment="1">
      <alignment horizontal="center" vertical="center"/>
    </xf>
    <xf numFmtId="38" fontId="28" fillId="7" borderId="47" xfId="2" applyNumberFormat="1" applyFont="1" applyFill="1" applyBorder="1" applyAlignment="1">
      <alignment horizontal="center" vertical="center"/>
    </xf>
    <xf numFmtId="9" fontId="28" fillId="7" borderId="123" xfId="1" applyFont="1" applyFill="1" applyBorder="1" applyAlignment="1">
      <alignment horizontal="center" vertical="center"/>
    </xf>
    <xf numFmtId="38" fontId="28" fillId="7" borderId="40" xfId="2" applyNumberFormat="1" applyFont="1" applyFill="1" applyBorder="1" applyAlignment="1">
      <alignment horizontal="center" vertical="center"/>
    </xf>
    <xf numFmtId="183" fontId="28" fillId="7" borderId="0" xfId="2" applyNumberFormat="1" applyFont="1" applyFill="1" applyBorder="1" applyAlignment="1">
      <alignment horizontal="center" vertical="center"/>
    </xf>
    <xf numFmtId="38" fontId="28" fillId="7" borderId="0" xfId="2" applyNumberFormat="1" applyFont="1" applyFill="1" applyBorder="1" applyAlignment="1">
      <alignment horizontal="center" vertical="center"/>
    </xf>
    <xf numFmtId="9" fontId="28" fillId="7" borderId="0" xfId="1" applyFont="1" applyFill="1" applyBorder="1" applyAlignment="1">
      <alignment horizontal="center" vertical="center"/>
    </xf>
    <xf numFmtId="9" fontId="28" fillId="7" borderId="238" xfId="1" applyFont="1" applyFill="1" applyBorder="1" applyAlignment="1">
      <alignment horizontal="center" vertical="center"/>
    </xf>
    <xf numFmtId="0" fontId="165" fillId="0" borderId="216" xfId="0" applyFont="1" applyBorder="1" applyAlignment="1">
      <alignment horizontal="center" vertical="center" wrapText="1"/>
    </xf>
    <xf numFmtId="41" fontId="184" fillId="93" borderId="271" xfId="2" applyFont="1" applyFill="1" applyBorder="1" applyAlignment="1">
      <alignment horizontal="center" vertical="center"/>
    </xf>
    <xf numFmtId="41" fontId="192" fillId="0" borderId="16" xfId="2" applyFont="1" applyBorder="1" applyAlignment="1">
      <alignment horizontal="center" vertical="center"/>
    </xf>
    <xf numFmtId="41" fontId="184" fillId="3" borderId="267" xfId="2" applyFont="1" applyFill="1" applyBorder="1" applyAlignment="1">
      <alignment horizontal="center" vertical="center"/>
    </xf>
    <xf numFmtId="183" fontId="28" fillId="0" borderId="0" xfId="0" applyNumberFormat="1" applyFont="1">
      <alignment vertical="center"/>
    </xf>
    <xf numFmtId="0" fontId="178" fillId="15" borderId="271" xfId="0" applyFont="1" applyFill="1" applyBorder="1" applyAlignment="1">
      <alignment horizontal="center" vertical="center" wrapText="1"/>
    </xf>
    <xf numFmtId="3" fontId="0" fillId="0" borderId="0" xfId="0" applyNumberFormat="1" applyFont="1" applyAlignment="1">
      <alignment horizontal="center" vertical="center"/>
    </xf>
    <xf numFmtId="0" fontId="181" fillId="120" borderId="264" xfId="22859" applyFont="1" applyFill="1" applyBorder="1" applyAlignment="1">
      <alignment horizontal="center" vertical="center" wrapText="1"/>
    </xf>
    <xf numFmtId="40" fontId="27" fillId="7" borderId="216" xfId="3" quotePrefix="1" applyNumberFormat="1" applyFont="1" applyFill="1" applyBorder="1" applyAlignment="1">
      <alignment horizontal="center" vertical="center"/>
    </xf>
    <xf numFmtId="178" fontId="27" fillId="7" borderId="0" xfId="1" applyNumberFormat="1" applyFont="1" applyFill="1" applyBorder="1" applyAlignment="1">
      <alignment horizontal="center" vertical="center"/>
    </xf>
    <xf numFmtId="3" fontId="172" fillId="0" borderId="0" xfId="0" applyNumberFormat="1" applyFont="1" applyAlignment="1">
      <alignment horizontal="center" vertical="center"/>
    </xf>
    <xf numFmtId="3" fontId="124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187" fontId="57" fillId="7" borderId="291" xfId="2" applyNumberFormat="1" applyFont="1" applyFill="1" applyBorder="1" applyAlignment="1">
      <alignment horizontal="center" vertical="center"/>
    </xf>
    <xf numFmtId="187" fontId="0" fillId="0" borderId="0" xfId="0" applyNumberFormat="1">
      <alignment vertical="center"/>
    </xf>
    <xf numFmtId="0" fontId="188" fillId="0" borderId="0" xfId="0" applyFont="1">
      <alignment vertical="center"/>
    </xf>
    <xf numFmtId="178" fontId="57" fillId="7" borderId="292" xfId="2" applyNumberFormat="1" applyFont="1" applyFill="1" applyBorder="1" applyAlignment="1">
      <alignment horizontal="center" vertical="center"/>
    </xf>
    <xf numFmtId="187" fontId="57" fillId="7" borderId="292" xfId="2" applyNumberFormat="1" applyFont="1" applyFill="1" applyBorder="1" applyAlignment="1">
      <alignment horizontal="center" vertical="center"/>
    </xf>
    <xf numFmtId="187" fontId="57" fillId="0" borderId="244" xfId="2" applyNumberFormat="1" applyFont="1" applyBorder="1" applyAlignment="1">
      <alignment horizontal="center" vertical="center"/>
    </xf>
    <xf numFmtId="0" fontId="194" fillId="0" borderId="0" xfId="0" applyFont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187" fontId="57" fillId="0" borderId="271" xfId="0" applyNumberFormat="1" applyFont="1" applyBorder="1" applyAlignment="1">
      <alignment horizontal="center" vertical="center"/>
    </xf>
    <xf numFmtId="0" fontId="57" fillId="0" borderId="295" xfId="0" applyFont="1" applyBorder="1" applyAlignment="1">
      <alignment horizontal="center" vertical="center"/>
    </xf>
    <xf numFmtId="0" fontId="171" fillId="0" borderId="0" xfId="0" applyFont="1" applyBorder="1" applyAlignment="1">
      <alignment horizontal="right" vertical="center"/>
    </xf>
    <xf numFmtId="0" fontId="171" fillId="0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216" xfId="0" applyFont="1" applyBorder="1" applyAlignment="1">
      <alignment horizontal="center" vertical="center" wrapText="1"/>
    </xf>
    <xf numFmtId="38" fontId="28" fillId="0" borderId="216" xfId="0" applyNumberFormat="1" applyFont="1" applyBorder="1" applyAlignment="1">
      <alignment horizontal="center" vertical="center" wrapText="1"/>
    </xf>
    <xf numFmtId="0" fontId="34" fillId="7" borderId="0" xfId="0" applyFont="1" applyFill="1" applyBorder="1" applyAlignment="1">
      <alignment horizontal="center" vertical="center" wrapText="1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183" fontId="57" fillId="7" borderId="244" xfId="2" applyNumberFormat="1" applyFont="1" applyFill="1" applyBorder="1" applyAlignment="1">
      <alignment horizontal="center" vertical="center"/>
    </xf>
    <xf numFmtId="187" fontId="57" fillId="7" borderId="5" xfId="2" applyNumberFormat="1" applyFont="1" applyFill="1" applyBorder="1" applyAlignment="1">
      <alignment horizontal="center" vertical="center"/>
    </xf>
    <xf numFmtId="187" fontId="57" fillId="7" borderId="244" xfId="2" applyNumberFormat="1" applyFont="1" applyFill="1" applyBorder="1" applyAlignment="1">
      <alignment horizontal="center" vertical="center"/>
    </xf>
    <xf numFmtId="3" fontId="195" fillId="3" borderId="21" xfId="3799" applyNumberFormat="1" applyFont="1" applyFill="1" applyBorder="1" applyAlignment="1">
      <alignment horizontal="center" vertical="center" wrapText="1"/>
    </xf>
    <xf numFmtId="187" fontId="57" fillId="0" borderId="25" xfId="2" applyNumberFormat="1" applyFont="1" applyFill="1" applyBorder="1" applyAlignment="1">
      <alignment horizontal="center" vertical="center"/>
    </xf>
    <xf numFmtId="0" fontId="28" fillId="7" borderId="271" xfId="0" applyFont="1" applyFill="1" applyBorder="1">
      <alignment vertical="center"/>
    </xf>
    <xf numFmtId="0" fontId="28" fillId="7" borderId="0" xfId="0" applyFont="1" applyFill="1" applyBorder="1">
      <alignment vertical="center"/>
    </xf>
    <xf numFmtId="183" fontId="57" fillId="7" borderId="297" xfId="0" applyNumberFormat="1" applyFont="1" applyFill="1" applyBorder="1" applyAlignment="1">
      <alignment horizontal="center" vertical="center"/>
    </xf>
    <xf numFmtId="183" fontId="57" fillId="7" borderId="291" xfId="2" applyNumberFormat="1" applyFont="1" applyFill="1" applyBorder="1" applyAlignment="1">
      <alignment horizontal="center" vertical="center"/>
    </xf>
    <xf numFmtId="183" fontId="57" fillId="7" borderId="299" xfId="2" applyNumberFormat="1" applyFont="1" applyFill="1" applyBorder="1" applyAlignment="1">
      <alignment horizontal="center" vertical="center"/>
    </xf>
    <xf numFmtId="187" fontId="57" fillId="7" borderId="297" xfId="2" applyNumberFormat="1" applyFont="1" applyFill="1" applyBorder="1" applyAlignment="1">
      <alignment horizontal="center" vertical="center"/>
    </xf>
    <xf numFmtId="178" fontId="57" fillId="7" borderId="299" xfId="2" applyNumberFormat="1" applyFont="1" applyFill="1" applyBorder="1" applyAlignment="1">
      <alignment horizontal="center" vertical="center"/>
    </xf>
    <xf numFmtId="178" fontId="57" fillId="7" borderId="301" xfId="2" applyNumberFormat="1" applyFont="1" applyFill="1" applyBorder="1" applyAlignment="1">
      <alignment horizontal="center" vertical="center"/>
    </xf>
    <xf numFmtId="187" fontId="171" fillId="0" borderId="302" xfId="0" applyNumberFormat="1" applyFont="1" applyBorder="1" applyAlignment="1">
      <alignment horizontal="center" vertical="center"/>
    </xf>
    <xf numFmtId="183" fontId="57" fillId="0" borderId="293" xfId="2" applyNumberFormat="1" applyFont="1" applyFill="1" applyBorder="1" applyAlignment="1">
      <alignment horizontal="center" vertical="center" wrapText="1"/>
    </xf>
    <xf numFmtId="187" fontId="57" fillId="15" borderId="5" xfId="2" applyNumberFormat="1" applyFont="1" applyFill="1" applyBorder="1" applyAlignment="1">
      <alignment horizontal="center" vertical="center"/>
    </xf>
    <xf numFmtId="235" fontId="27" fillId="7" borderId="34" xfId="0" quotePrefix="1" applyNumberFormat="1" applyFont="1" applyFill="1" applyBorder="1" applyAlignment="1">
      <alignment horizontal="center" vertical="center"/>
    </xf>
    <xf numFmtId="187" fontId="57" fillId="7" borderId="300" xfId="2" applyNumberFormat="1" applyFont="1" applyFill="1" applyBorder="1" applyAlignment="1">
      <alignment horizontal="center" vertical="center"/>
    </xf>
    <xf numFmtId="183" fontId="57" fillId="7" borderId="298" xfId="0" applyNumberFormat="1" applyFont="1" applyFill="1" applyBorder="1" applyAlignment="1">
      <alignment horizontal="center" vertical="center"/>
    </xf>
    <xf numFmtId="187" fontId="57" fillId="7" borderId="298" xfId="2" applyNumberFormat="1" applyFont="1" applyFill="1" applyBorder="1" applyAlignment="1">
      <alignment horizontal="center" vertical="center"/>
    </xf>
    <xf numFmtId="187" fontId="57" fillId="7" borderId="301" xfId="2" applyNumberFormat="1" applyFont="1" applyFill="1" applyBorder="1" applyAlignment="1">
      <alignment horizontal="center" vertical="center"/>
    </xf>
    <xf numFmtId="223" fontId="57" fillId="0" borderId="40" xfId="2" applyNumberFormat="1" applyFont="1" applyBorder="1" applyAlignment="1">
      <alignment horizontal="center" vertical="center"/>
    </xf>
    <xf numFmtId="178" fontId="57" fillId="15" borderId="33" xfId="2" applyNumberFormat="1" applyFont="1" applyFill="1" applyBorder="1" applyAlignment="1">
      <alignment horizontal="center" vertical="center"/>
    </xf>
    <xf numFmtId="178" fontId="57" fillId="15" borderId="5" xfId="1" applyNumberFormat="1" applyFont="1" applyFill="1" applyBorder="1" applyAlignment="1">
      <alignment horizontal="center" vertical="center"/>
    </xf>
    <xf numFmtId="187" fontId="57" fillId="15" borderId="40" xfId="2" applyNumberFormat="1" applyFont="1" applyFill="1" applyBorder="1" applyAlignment="1">
      <alignment horizontal="center" vertical="center"/>
    </xf>
    <xf numFmtId="38" fontId="57" fillId="15" borderId="5" xfId="2" applyNumberFormat="1" applyFont="1" applyFill="1" applyBorder="1" applyAlignment="1">
      <alignment horizontal="center" vertical="center"/>
    </xf>
    <xf numFmtId="3" fontId="57" fillId="15" borderId="5" xfId="2" quotePrefix="1" applyNumberFormat="1" applyFont="1" applyFill="1" applyBorder="1" applyAlignment="1">
      <alignment horizontal="center" vertical="center"/>
    </xf>
    <xf numFmtId="3" fontId="57" fillId="15" borderId="5" xfId="0" applyNumberFormat="1" applyFont="1" applyFill="1" applyBorder="1" applyAlignment="1">
      <alignment horizontal="center" vertical="center"/>
    </xf>
    <xf numFmtId="9" fontId="57" fillId="15" borderId="5" xfId="1" applyFont="1" applyFill="1" applyBorder="1" applyAlignment="1">
      <alignment horizontal="center" vertical="center"/>
    </xf>
    <xf numFmtId="3" fontId="57" fillId="15" borderId="6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57" fillId="0" borderId="271" xfId="0" applyFont="1" applyBorder="1" applyAlignment="1">
      <alignment horizontal="center" vertical="center"/>
    </xf>
    <xf numFmtId="0" fontId="165" fillId="0" borderId="216" xfId="0" applyFont="1" applyBorder="1" applyAlignment="1">
      <alignment horizontal="center" vertical="center" wrapText="1"/>
    </xf>
    <xf numFmtId="223" fontId="57" fillId="15" borderId="5" xfId="2" applyNumberFormat="1" applyFont="1" applyFill="1" applyBorder="1" applyAlignment="1">
      <alignment horizontal="center" vertical="center"/>
    </xf>
    <xf numFmtId="187" fontId="57" fillId="0" borderId="310" xfId="2" applyNumberFormat="1" applyFont="1" applyFill="1" applyBorder="1" applyAlignment="1">
      <alignment horizontal="center" vertical="center"/>
    </xf>
    <xf numFmtId="187" fontId="57" fillId="0" borderId="299" xfId="2" applyNumberFormat="1" applyFont="1" applyBorder="1" applyAlignment="1">
      <alignment horizontal="center" vertical="center"/>
    </xf>
    <xf numFmtId="38" fontId="171" fillId="0" borderId="302" xfId="0" applyNumberFormat="1" applyFont="1" applyBorder="1" applyAlignment="1">
      <alignment horizontal="center" vertical="center"/>
    </xf>
    <xf numFmtId="187" fontId="57" fillId="0" borderId="300" xfId="2" applyNumberFormat="1" applyFont="1" applyBorder="1" applyAlignment="1">
      <alignment horizontal="center" vertical="center"/>
    </xf>
    <xf numFmtId="3" fontId="57" fillId="0" borderId="283" xfId="0" applyNumberFormat="1" applyFont="1" applyBorder="1" applyAlignment="1">
      <alignment horizontal="center" vertical="center"/>
    </xf>
    <xf numFmtId="2" fontId="57" fillId="0" borderId="283" xfId="0" applyNumberFormat="1" applyFont="1" applyBorder="1" applyAlignment="1">
      <alignment horizontal="center" vertical="center"/>
    </xf>
    <xf numFmtId="183" fontId="57" fillId="0" borderId="271" xfId="0" applyNumberFormat="1" applyFont="1" applyBorder="1" applyAlignment="1">
      <alignment horizontal="center" vertical="center"/>
    </xf>
    <xf numFmtId="0" fontId="57" fillId="0" borderId="283" xfId="0" applyFont="1" applyBorder="1" applyAlignment="1">
      <alignment horizontal="center" vertical="center"/>
    </xf>
    <xf numFmtId="0" fontId="57" fillId="0" borderId="284" xfId="0" applyFont="1" applyBorder="1" applyAlignment="1">
      <alignment horizontal="center" vertical="center"/>
    </xf>
    <xf numFmtId="178" fontId="27" fillId="7" borderId="216" xfId="2" applyNumberFormat="1" applyFont="1" applyFill="1" applyBorder="1" applyAlignment="1">
      <alignment horizontal="center" vertical="center"/>
    </xf>
    <xf numFmtId="0" fontId="28" fillId="7" borderId="0" xfId="0" applyFont="1" applyFill="1" applyAlignment="1">
      <alignment horizontal="center" vertical="center"/>
    </xf>
    <xf numFmtId="0" fontId="28" fillId="7" borderId="271" xfId="0" applyFont="1" applyFill="1" applyBorder="1" applyAlignment="1">
      <alignment horizontal="center" vertical="center"/>
    </xf>
    <xf numFmtId="187" fontId="57" fillId="7" borderId="271" xfId="2" applyNumberFormat="1" applyFont="1" applyFill="1" applyBorder="1" applyAlignment="1">
      <alignment horizontal="center" vertical="center" wrapText="1"/>
    </xf>
    <xf numFmtId="187" fontId="57" fillId="7" borderId="296" xfId="2" applyNumberFormat="1" applyFont="1" applyFill="1" applyBorder="1" applyAlignment="1">
      <alignment horizontal="center" vertical="center"/>
    </xf>
    <xf numFmtId="187" fontId="171" fillId="0" borderId="270" xfId="0" applyNumberFormat="1" applyFont="1" applyBorder="1" applyAlignment="1">
      <alignment horizontal="center" vertical="center"/>
    </xf>
    <xf numFmtId="41" fontId="27" fillId="116" borderId="216" xfId="2" quotePrefix="1" applyNumberFormat="1" applyFont="1" applyFill="1" applyBorder="1" applyAlignment="1">
      <alignment horizontal="center" vertical="center"/>
    </xf>
    <xf numFmtId="41" fontId="27" fillId="116" borderId="216" xfId="1" applyNumberFormat="1" applyFont="1" applyFill="1" applyBorder="1" applyAlignment="1">
      <alignment horizontal="center" vertical="center"/>
    </xf>
    <xf numFmtId="41" fontId="27" fillId="116" borderId="216" xfId="2" applyNumberFormat="1" applyFont="1" applyFill="1" applyBorder="1" applyAlignment="1">
      <alignment horizontal="center" vertical="center"/>
    </xf>
    <xf numFmtId="178" fontId="171" fillId="0" borderId="206" xfId="0" applyNumberFormat="1" applyFont="1" applyBorder="1" applyAlignment="1">
      <alignment vertical="center"/>
    </xf>
    <xf numFmtId="178" fontId="57" fillId="0" borderId="0" xfId="0" applyNumberFormat="1" applyFont="1">
      <alignment vertical="center"/>
    </xf>
    <xf numFmtId="38" fontId="165" fillId="0" borderId="271" xfId="0" applyNumberFormat="1" applyFont="1" applyBorder="1" applyAlignment="1">
      <alignment horizontal="center" vertical="center" wrapText="1"/>
    </xf>
    <xf numFmtId="38" fontId="28" fillId="0" borderId="271" xfId="0" applyNumberFormat="1" applyFont="1" applyBorder="1" applyAlignment="1">
      <alignment horizontal="center" vertical="center"/>
    </xf>
    <xf numFmtId="38" fontId="34" fillId="6" borderId="271" xfId="0" applyNumberFormat="1" applyFont="1" applyFill="1" applyBorder="1" applyAlignment="1">
      <alignment horizontal="center" vertical="center"/>
    </xf>
    <xf numFmtId="9" fontId="171" fillId="6" borderId="271" xfId="1" applyFont="1" applyFill="1" applyBorder="1" applyAlignment="1">
      <alignment horizontal="center" vertical="center"/>
    </xf>
    <xf numFmtId="0" fontId="171" fillId="6" borderId="271" xfId="0" applyFont="1" applyFill="1" applyBorder="1" applyAlignment="1">
      <alignment horizontal="center" vertical="center"/>
    </xf>
    <xf numFmtId="0" fontId="193" fillId="0" borderId="56" xfId="0" applyFont="1" applyBorder="1" applyAlignment="1">
      <alignment horizontal="center" vertical="center" wrapText="1"/>
    </xf>
    <xf numFmtId="235" fontId="27" fillId="7" borderId="216" xfId="3" quotePrefix="1" applyNumberFormat="1" applyFont="1" applyFill="1" applyBorder="1" applyAlignment="1">
      <alignment horizontal="center" vertical="center"/>
    </xf>
    <xf numFmtId="38" fontId="28" fillId="0" borderId="216" xfId="0" quotePrefix="1" applyNumberFormat="1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57" fillId="0" borderId="0" xfId="0" applyFont="1" applyBorder="1" applyAlignment="1">
      <alignment horizontal="left" vertical="center"/>
    </xf>
    <xf numFmtId="3" fontId="57" fillId="0" borderId="294" xfId="0" applyNumberFormat="1" applyFont="1" applyBorder="1" applyAlignment="1">
      <alignment horizontal="center" vertical="center"/>
    </xf>
    <xf numFmtId="187" fontId="57" fillId="7" borderId="312" xfId="2" applyNumberFormat="1" applyFont="1" applyFill="1" applyBorder="1" applyAlignment="1">
      <alignment horizontal="center" vertical="center"/>
    </xf>
    <xf numFmtId="185" fontId="0" fillId="0" borderId="0" xfId="0" applyNumberFormat="1" applyAlignment="1">
      <alignment horizontal="center" vertical="center"/>
    </xf>
    <xf numFmtId="185" fontId="28" fillId="7" borderId="0" xfId="0" applyNumberFormat="1" applyFont="1" applyFill="1">
      <alignment vertical="center"/>
    </xf>
    <xf numFmtId="0" fontId="34" fillId="3" borderId="271" xfId="0" applyFont="1" applyFill="1" applyBorder="1" applyAlignment="1">
      <alignment horizontal="center" vertical="center"/>
    </xf>
    <xf numFmtId="0" fontId="28" fillId="7" borderId="271" xfId="0" applyFont="1" applyFill="1" applyBorder="1" applyAlignment="1">
      <alignment horizontal="left" vertical="center"/>
    </xf>
    <xf numFmtId="0" fontId="28" fillId="7" borderId="269" xfId="0" applyFont="1" applyFill="1" applyBorder="1">
      <alignment vertical="center"/>
    </xf>
    <xf numFmtId="0" fontId="28" fillId="7" borderId="266" xfId="0" applyFont="1" applyFill="1" applyBorder="1">
      <alignment vertical="center"/>
    </xf>
    <xf numFmtId="226" fontId="57" fillId="7" borderId="0" xfId="2" applyNumberFormat="1" applyFont="1" applyFill="1" applyBorder="1" applyAlignment="1">
      <alignment horizontal="center" vertical="center"/>
    </xf>
    <xf numFmtId="187" fontId="28" fillId="7" borderId="271" xfId="0" applyNumberFormat="1" applyFont="1" applyFill="1" applyBorder="1" applyAlignment="1">
      <alignment vertical="center"/>
    </xf>
    <xf numFmtId="3" fontId="57" fillId="7" borderId="271" xfId="2" applyNumberFormat="1" applyFont="1" applyFill="1" applyBorder="1" applyAlignment="1">
      <alignment horizontal="center" vertical="center"/>
    </xf>
    <xf numFmtId="0" fontId="197" fillId="0" borderId="0" xfId="0" applyFont="1" applyAlignment="1">
      <alignment horizontal="right" vertical="center"/>
    </xf>
    <xf numFmtId="0" fontId="186" fillId="0" borderId="0" xfId="0" applyFont="1" applyAlignment="1">
      <alignment horizontal="left" vertical="center"/>
    </xf>
    <xf numFmtId="0" fontId="43" fillId="0" borderId="202" xfId="0" applyFont="1" applyBorder="1">
      <alignment vertical="center"/>
    </xf>
    <xf numFmtId="0" fontId="43" fillId="0" borderId="282" xfId="0" applyFont="1" applyBorder="1">
      <alignment vertical="center"/>
    </xf>
    <xf numFmtId="0" fontId="44" fillId="0" borderId="271" xfId="0" applyFont="1" applyBorder="1" applyAlignment="1">
      <alignment horizontal="left" vertical="center" wrapText="1"/>
    </xf>
    <xf numFmtId="0" fontId="44" fillId="0" borderId="271" xfId="0" applyFont="1" applyBorder="1" applyAlignment="1">
      <alignment vertical="center" wrapText="1"/>
    </xf>
    <xf numFmtId="0" fontId="44" fillId="0" borderId="285" xfId="0" applyFont="1" applyBorder="1" applyAlignment="1">
      <alignment vertical="center" wrapText="1"/>
    </xf>
    <xf numFmtId="0" fontId="43" fillId="0" borderId="286" xfId="0" applyFont="1" applyBorder="1">
      <alignment vertical="center"/>
    </xf>
    <xf numFmtId="0" fontId="165" fillId="0" borderId="216" xfId="0" applyFont="1" applyBorder="1" applyAlignment="1">
      <alignment horizontal="center" vertical="center" wrapText="1"/>
    </xf>
    <xf numFmtId="0" fontId="43" fillId="0" borderId="0" xfId="0" applyFont="1">
      <alignment vertical="center"/>
    </xf>
    <xf numFmtId="0" fontId="175" fillId="117" borderId="314" xfId="0" applyFont="1" applyFill="1" applyBorder="1" applyAlignment="1">
      <alignment horizontal="center" vertical="center"/>
    </xf>
    <xf numFmtId="0" fontId="175" fillId="117" borderId="315" xfId="0" applyFont="1" applyFill="1" applyBorder="1" applyAlignment="1">
      <alignment horizontal="center" vertical="center"/>
    </xf>
    <xf numFmtId="0" fontId="175" fillId="117" borderId="316" xfId="0" applyFont="1" applyFill="1" applyBorder="1" applyAlignment="1">
      <alignment horizontal="center" vertical="center"/>
    </xf>
    <xf numFmtId="0" fontId="175" fillId="117" borderId="221" xfId="0" applyFont="1" applyFill="1" applyBorder="1" applyAlignment="1">
      <alignment horizontal="center" vertical="center"/>
    </xf>
    <xf numFmtId="0" fontId="175" fillId="117" borderId="6" xfId="0" applyFont="1" applyFill="1" applyBorder="1" applyAlignment="1">
      <alignment horizontal="center" vertical="center"/>
    </xf>
    <xf numFmtId="0" fontId="175" fillId="117" borderId="311" xfId="0" applyFont="1" applyFill="1" applyBorder="1" applyAlignment="1">
      <alignment horizontal="center" vertical="center"/>
    </xf>
    <xf numFmtId="0" fontId="175" fillId="117" borderId="271" xfId="0" applyFont="1" applyFill="1" applyBorder="1" applyAlignment="1">
      <alignment horizontal="center" vertical="center"/>
    </xf>
    <xf numFmtId="0" fontId="175" fillId="117" borderId="284" xfId="0" applyFont="1" applyFill="1" applyBorder="1" applyAlignment="1">
      <alignment horizontal="center" vertical="center"/>
    </xf>
    <xf numFmtId="0" fontId="175" fillId="117" borderId="285" xfId="0" applyFont="1" applyFill="1" applyBorder="1" applyAlignment="1">
      <alignment horizontal="center" vertical="center"/>
    </xf>
    <xf numFmtId="38" fontId="165" fillId="0" borderId="216" xfId="0" applyNumberFormat="1" applyFont="1" applyBorder="1" applyAlignment="1">
      <alignment horizontal="center" vertical="center" wrapText="1"/>
    </xf>
    <xf numFmtId="0" fontId="57" fillId="0" borderId="243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15" borderId="202" xfId="0" applyFont="1" applyFill="1" applyBorder="1" applyAlignment="1">
      <alignment horizontal="center" vertical="center"/>
    </xf>
    <xf numFmtId="3" fontId="57" fillId="0" borderId="243" xfId="0" applyNumberFormat="1" applyFont="1" applyBorder="1" applyAlignment="1">
      <alignment horizontal="center" vertical="center"/>
    </xf>
    <xf numFmtId="3" fontId="57" fillId="0" borderId="6" xfId="0" applyNumberFormat="1" applyFont="1" applyBorder="1" applyAlignment="1">
      <alignment horizontal="center" vertical="center"/>
    </xf>
    <xf numFmtId="0" fontId="176" fillId="125" borderId="297" xfId="0" applyFont="1" applyFill="1" applyBorder="1" applyAlignment="1">
      <alignment horizontal="center" vertical="center"/>
    </xf>
    <xf numFmtId="0" fontId="176" fillId="125" borderId="291" xfId="0" applyFont="1" applyFill="1" applyBorder="1" applyAlignment="1">
      <alignment horizontal="center" vertical="center"/>
    </xf>
    <xf numFmtId="0" fontId="176" fillId="125" borderId="290" xfId="0" applyFont="1" applyFill="1" applyBorder="1" applyAlignment="1">
      <alignment horizontal="center" vertical="center"/>
    </xf>
    <xf numFmtId="0" fontId="176" fillId="125" borderId="271" xfId="0" applyFont="1" applyFill="1" applyBorder="1" applyAlignment="1">
      <alignment horizontal="center" vertical="center"/>
    </xf>
    <xf numFmtId="0" fontId="176" fillId="125" borderId="6" xfId="0" applyFont="1" applyFill="1" applyBorder="1" applyAlignment="1">
      <alignment horizontal="center" vertical="center"/>
    </xf>
    <xf numFmtId="0" fontId="176" fillId="127" borderId="282" xfId="0" applyFont="1" applyFill="1" applyBorder="1" applyAlignment="1">
      <alignment horizontal="center" vertical="center"/>
    </xf>
    <xf numFmtId="0" fontId="176" fillId="127" borderId="97" xfId="0" applyFont="1" applyFill="1" applyBorder="1" applyAlignment="1">
      <alignment horizontal="center" vertical="center"/>
    </xf>
    <xf numFmtId="0" fontId="176" fillId="127" borderId="68" xfId="0" applyFont="1" applyFill="1" applyBorder="1" applyAlignment="1">
      <alignment horizontal="center" vertical="center"/>
    </xf>
    <xf numFmtId="0" fontId="176" fillId="127" borderId="245" xfId="0" applyFont="1" applyFill="1" applyBorder="1" applyAlignment="1">
      <alignment horizontal="center" vertical="center"/>
    </xf>
    <xf numFmtId="0" fontId="176" fillId="127" borderId="286" xfId="0" applyFont="1" applyFill="1" applyBorder="1" applyAlignment="1">
      <alignment horizontal="center" vertical="center"/>
    </xf>
    <xf numFmtId="41" fontId="177" fillId="126" borderId="303" xfId="2" applyFont="1" applyFill="1" applyBorder="1" applyAlignment="1">
      <alignment horizontal="center" vertical="center"/>
    </xf>
    <xf numFmtId="0" fontId="177" fillId="126" borderId="303" xfId="0" applyFont="1" applyFill="1" applyBorder="1" applyAlignment="1">
      <alignment horizontal="center" vertical="center"/>
    </xf>
    <xf numFmtId="0" fontId="177" fillId="126" borderId="304" xfId="0" applyFont="1" applyFill="1" applyBorder="1" applyAlignment="1">
      <alignment horizontal="center" vertical="center"/>
    </xf>
    <xf numFmtId="0" fontId="177" fillId="126" borderId="96" xfId="0" applyFont="1" applyFill="1" applyBorder="1" applyAlignment="1">
      <alignment horizontal="center" vertical="center"/>
    </xf>
    <xf numFmtId="0" fontId="177" fillId="126" borderId="305" xfId="0" applyFont="1" applyFill="1" applyBorder="1" applyAlignment="1">
      <alignment horizontal="center" vertical="center"/>
    </xf>
    <xf numFmtId="0" fontId="177" fillId="126" borderId="306" xfId="0" applyFont="1" applyFill="1" applyBorder="1" applyAlignment="1">
      <alignment horizontal="center" vertical="center"/>
    </xf>
    <xf numFmtId="0" fontId="176" fillId="126" borderId="289" xfId="0" applyFont="1" applyFill="1" applyBorder="1" applyAlignment="1">
      <alignment horizontal="center" vertical="center"/>
    </xf>
    <xf numFmtId="0" fontId="177" fillId="126" borderId="308" xfId="0" applyFont="1" applyFill="1" applyBorder="1" applyAlignment="1">
      <alignment horizontal="center" vertical="center"/>
    </xf>
    <xf numFmtId="178" fontId="57" fillId="0" borderId="310" xfId="2" applyNumberFormat="1" applyFont="1" applyBorder="1" applyAlignment="1">
      <alignment horizontal="center" vertical="center" wrapText="1"/>
    </xf>
    <xf numFmtId="178" fontId="57" fillId="0" borderId="25" xfId="2" applyNumberFormat="1" applyFont="1" applyBorder="1" applyAlignment="1">
      <alignment horizontal="center" vertical="center" wrapText="1"/>
    </xf>
    <xf numFmtId="178" fontId="57" fillId="0" borderId="26" xfId="2" applyNumberFormat="1" applyFont="1" applyBorder="1" applyAlignment="1">
      <alignment horizontal="center" vertical="center" wrapText="1"/>
    </xf>
    <xf numFmtId="178" fontId="57" fillId="0" borderId="221" xfId="2" applyNumberFormat="1" applyFont="1" applyBorder="1" applyAlignment="1">
      <alignment horizontal="center" vertical="center" wrapText="1"/>
    </xf>
    <xf numFmtId="38" fontId="57" fillId="15" borderId="6" xfId="2" applyNumberFormat="1" applyFont="1" applyFill="1" applyBorder="1" applyAlignment="1">
      <alignment horizontal="center" vertical="center"/>
    </xf>
    <xf numFmtId="223" fontId="57" fillId="15" borderId="40" xfId="2" applyNumberFormat="1" applyFont="1" applyFill="1" applyBorder="1" applyAlignment="1">
      <alignment horizontal="center" vertical="center"/>
    </xf>
    <xf numFmtId="9" fontId="57" fillId="15" borderId="40" xfId="1" applyFont="1" applyFill="1" applyBorder="1" applyAlignment="1">
      <alignment horizontal="center" vertical="center"/>
    </xf>
    <xf numFmtId="0" fontId="176" fillId="127" borderId="123" xfId="0" applyFont="1" applyFill="1" applyBorder="1" applyAlignment="1">
      <alignment horizontal="center" vertical="center"/>
    </xf>
    <xf numFmtId="0" fontId="177" fillId="126" borderId="124" xfId="0" applyFont="1" applyFill="1" applyBorder="1" applyAlignment="1">
      <alignment horizontal="center" vertical="center"/>
    </xf>
    <xf numFmtId="183" fontId="57" fillId="0" borderId="322" xfId="2" applyNumberFormat="1" applyFont="1" applyBorder="1" applyAlignment="1">
      <alignment horizontal="center" vertical="center"/>
    </xf>
    <xf numFmtId="183" fontId="57" fillId="0" borderId="323" xfId="2" applyNumberFormat="1" applyFont="1" applyBorder="1" applyAlignment="1">
      <alignment horizontal="center" vertical="center"/>
    </xf>
    <xf numFmtId="183" fontId="57" fillId="0" borderId="324" xfId="2" applyNumberFormat="1" applyFont="1" applyBorder="1" applyAlignment="1">
      <alignment horizontal="center" vertical="center"/>
    </xf>
    <xf numFmtId="183" fontId="57" fillId="0" borderId="121" xfId="2" applyNumberFormat="1" applyFont="1" applyBorder="1" applyAlignment="1">
      <alignment horizontal="center" vertical="center"/>
    </xf>
    <xf numFmtId="38" fontId="57" fillId="0" borderId="122" xfId="2" applyNumberFormat="1" applyFont="1" applyBorder="1" applyAlignment="1">
      <alignment horizontal="center" vertical="center"/>
    </xf>
    <xf numFmtId="187" fontId="57" fillId="0" borderId="47" xfId="2" applyNumberFormat="1" applyFont="1" applyBorder="1" applyAlignment="1">
      <alignment horizontal="center" vertical="center"/>
    </xf>
    <xf numFmtId="9" fontId="57" fillId="0" borderId="47" xfId="1" applyFont="1" applyBorder="1" applyAlignment="1">
      <alignment horizontal="center" vertical="center"/>
    </xf>
    <xf numFmtId="0" fontId="57" fillId="0" borderId="123" xfId="0" applyFont="1" applyBorder="1" applyAlignment="1">
      <alignment horizontal="center" vertical="center"/>
    </xf>
    <xf numFmtId="0" fontId="176" fillId="127" borderId="325" xfId="0" applyFont="1" applyFill="1" applyBorder="1" applyAlignment="1">
      <alignment horizontal="center" vertical="center"/>
    </xf>
    <xf numFmtId="0" fontId="177" fillId="126" borderId="328" xfId="0" applyFont="1" applyFill="1" applyBorder="1" applyAlignment="1">
      <alignment horizontal="center" vertical="center"/>
    </xf>
    <xf numFmtId="2" fontId="57" fillId="0" borderId="243" xfId="0" applyNumberFormat="1" applyFont="1" applyBorder="1" applyAlignment="1">
      <alignment horizontal="center" vertical="center"/>
    </xf>
    <xf numFmtId="183" fontId="57" fillId="0" borderId="299" xfId="0" applyNumberFormat="1" applyFont="1" applyFill="1" applyBorder="1" applyAlignment="1">
      <alignment horizontal="center" vertical="center"/>
    </xf>
    <xf numFmtId="183" fontId="57" fillId="0" borderId="244" xfId="0" applyNumberFormat="1" applyFont="1" applyFill="1" applyBorder="1" applyAlignment="1">
      <alignment horizontal="center" vertical="center"/>
    </xf>
    <xf numFmtId="183" fontId="57" fillId="0" borderId="244" xfId="2" applyNumberFormat="1" applyFont="1" applyFill="1" applyBorder="1" applyAlignment="1">
      <alignment horizontal="center" vertical="center"/>
    </xf>
    <xf numFmtId="187" fontId="57" fillId="0" borderId="244" xfId="2" applyNumberFormat="1" applyFont="1" applyFill="1" applyBorder="1" applyAlignment="1">
      <alignment horizontal="center" vertical="center"/>
    </xf>
    <xf numFmtId="187" fontId="57" fillId="0" borderId="296" xfId="2" applyNumberFormat="1" applyFont="1" applyFill="1" applyBorder="1" applyAlignment="1">
      <alignment horizontal="center" vertical="center"/>
    </xf>
    <xf numFmtId="187" fontId="57" fillId="15" borderId="330" xfId="2" applyNumberFormat="1" applyFont="1" applyFill="1" applyBorder="1" applyAlignment="1">
      <alignment horizontal="center" vertical="center"/>
    </xf>
    <xf numFmtId="9" fontId="57" fillId="15" borderId="330" xfId="1" applyFont="1" applyFill="1" applyBorder="1" applyAlignment="1">
      <alignment horizontal="center" vertical="center"/>
    </xf>
    <xf numFmtId="0" fontId="177" fillId="126" borderId="289" xfId="0" applyFont="1" applyFill="1" applyBorder="1" applyAlignment="1">
      <alignment horizontal="center" vertical="center"/>
    </xf>
    <xf numFmtId="183" fontId="57" fillId="7" borderId="302" xfId="0" applyNumberFormat="1" applyFont="1" applyFill="1" applyBorder="1" applyAlignment="1">
      <alignment horizontal="center" vertical="center"/>
    </xf>
    <xf numFmtId="183" fontId="57" fillId="7" borderId="227" xfId="0" applyNumberFormat="1" applyFont="1" applyFill="1" applyBorder="1" applyAlignment="1">
      <alignment horizontal="center" vertical="center"/>
    </xf>
    <xf numFmtId="183" fontId="57" fillId="7" borderId="227" xfId="2" applyNumberFormat="1" applyFont="1" applyFill="1" applyBorder="1" applyAlignment="1">
      <alignment horizontal="center" vertical="center"/>
    </xf>
    <xf numFmtId="187" fontId="57" fillId="7" borderId="227" xfId="2" applyNumberFormat="1" applyFont="1" applyFill="1" applyBorder="1" applyAlignment="1">
      <alignment horizontal="center" vertical="center"/>
    </xf>
    <xf numFmtId="187" fontId="57" fillId="7" borderId="270" xfId="2" applyNumberFormat="1" applyFont="1" applyFill="1" applyBorder="1" applyAlignment="1">
      <alignment horizontal="center" vertical="center"/>
    </xf>
    <xf numFmtId="187" fontId="57" fillId="7" borderId="225" xfId="2" applyNumberFormat="1" applyFont="1" applyFill="1" applyBorder="1" applyAlignment="1">
      <alignment horizontal="center" vertical="center" wrapText="1"/>
    </xf>
    <xf numFmtId="38" fontId="57" fillId="7" borderId="226" xfId="2" applyNumberFormat="1" applyFont="1" applyFill="1" applyBorder="1" applyAlignment="1">
      <alignment horizontal="center" vertical="center"/>
    </xf>
    <xf numFmtId="187" fontId="57" fillId="7" borderId="228" xfId="2" applyNumberFormat="1" applyFont="1" applyFill="1" applyBorder="1" applyAlignment="1">
      <alignment horizontal="center" vertical="center"/>
    </xf>
    <xf numFmtId="223" fontId="57" fillId="0" borderId="228" xfId="2" applyNumberFormat="1" applyFont="1" applyBorder="1" applyAlignment="1">
      <alignment horizontal="center" vertical="center"/>
    </xf>
    <xf numFmtId="9" fontId="57" fillId="7" borderId="228" xfId="1" applyFont="1" applyFill="1" applyBorder="1" applyAlignment="1">
      <alignment horizontal="center" vertical="center"/>
    </xf>
    <xf numFmtId="0" fontId="57" fillId="0" borderId="229" xfId="0" applyFont="1" applyBorder="1" applyAlignment="1">
      <alignment horizontal="center" vertical="center"/>
    </xf>
    <xf numFmtId="183" fontId="57" fillId="0" borderId="320" xfId="2" applyNumberFormat="1" applyFont="1" applyFill="1" applyBorder="1" applyAlignment="1">
      <alignment horizontal="center" vertical="center"/>
    </xf>
    <xf numFmtId="187" fontId="57" fillId="0" borderId="320" xfId="2" applyNumberFormat="1" applyFont="1" applyFill="1" applyBorder="1" applyAlignment="1">
      <alignment horizontal="center" vertical="center"/>
    </xf>
    <xf numFmtId="187" fontId="57" fillId="7" borderId="310" xfId="2" applyNumberFormat="1" applyFont="1" applyFill="1" applyBorder="1" applyAlignment="1">
      <alignment horizontal="center" vertical="center"/>
    </xf>
    <xf numFmtId="187" fontId="57" fillId="7" borderId="25" xfId="2" applyNumberFormat="1" applyFont="1" applyFill="1" applyBorder="1" applyAlignment="1">
      <alignment horizontal="center" vertical="center"/>
    </xf>
    <xf numFmtId="226" fontId="57" fillId="7" borderId="25" xfId="2" applyNumberFormat="1" applyFont="1" applyFill="1" applyBorder="1" applyAlignment="1">
      <alignment horizontal="center" vertical="center"/>
    </xf>
    <xf numFmtId="226" fontId="57" fillId="7" borderId="26" xfId="2" applyNumberFormat="1" applyFont="1" applyFill="1" applyBorder="1" applyAlignment="1">
      <alignment horizontal="center" vertical="center"/>
    </xf>
    <xf numFmtId="187" fontId="57" fillId="7" borderId="221" xfId="2" applyNumberFormat="1" applyFont="1" applyFill="1" applyBorder="1" applyAlignment="1">
      <alignment horizontal="center" vertical="center"/>
    </xf>
    <xf numFmtId="9" fontId="57" fillId="7" borderId="40" xfId="1" applyFont="1" applyFill="1" applyBorder="1" applyAlignment="1">
      <alignment horizontal="center" vertical="center"/>
    </xf>
    <xf numFmtId="0" fontId="177" fillId="126" borderId="132" xfId="0" applyFont="1" applyFill="1" applyBorder="1" applyAlignment="1">
      <alignment horizontal="center" vertical="center"/>
    </xf>
    <xf numFmtId="183" fontId="57" fillId="7" borderId="331" xfId="2" applyNumberFormat="1" applyFont="1" applyFill="1" applyBorder="1" applyAlignment="1">
      <alignment horizontal="center" vertical="center"/>
    </xf>
    <xf numFmtId="183" fontId="57" fillId="7" borderId="332" xfId="2" applyNumberFormat="1" applyFont="1" applyFill="1" applyBorder="1" applyAlignment="1">
      <alignment horizontal="center" vertical="center"/>
    </xf>
    <xf numFmtId="183" fontId="57" fillId="7" borderId="333" xfId="2" applyNumberFormat="1" applyFont="1" applyFill="1" applyBorder="1" applyAlignment="1">
      <alignment horizontal="center" vertical="center"/>
    </xf>
    <xf numFmtId="183" fontId="57" fillId="7" borderId="121" xfId="2" applyNumberFormat="1" applyFont="1" applyFill="1" applyBorder="1" applyAlignment="1">
      <alignment horizontal="center" vertical="center"/>
    </xf>
    <xf numFmtId="187" fontId="57" fillId="7" borderId="135" xfId="2" applyNumberFormat="1" applyFont="1" applyFill="1" applyBorder="1" applyAlignment="1">
      <alignment horizontal="center" vertical="center"/>
    </xf>
    <xf numFmtId="223" fontId="57" fillId="0" borderId="334" xfId="2" applyNumberFormat="1" applyFont="1" applyBorder="1" applyAlignment="1">
      <alignment horizontal="center" vertical="center"/>
    </xf>
    <xf numFmtId="0" fontId="57" fillId="7" borderId="138" xfId="0" applyFont="1" applyFill="1" applyBorder="1" applyAlignment="1">
      <alignment horizontal="center" vertical="center"/>
    </xf>
    <xf numFmtId="0" fontId="177" fillId="126" borderId="317" xfId="0" applyFont="1" applyFill="1" applyBorder="1" applyAlignment="1">
      <alignment horizontal="center" vertical="center"/>
    </xf>
    <xf numFmtId="0" fontId="177" fillId="126" borderId="338" xfId="0" applyFont="1" applyFill="1" applyBorder="1" applyAlignment="1">
      <alignment horizontal="center" vertical="center"/>
    </xf>
    <xf numFmtId="187" fontId="57" fillId="7" borderId="0" xfId="2" applyNumberFormat="1" applyFont="1" applyFill="1" applyBorder="1" applyAlignment="1">
      <alignment horizontal="center" vertical="center"/>
    </xf>
    <xf numFmtId="187" fontId="57" fillId="7" borderId="330" xfId="2" applyNumberFormat="1" applyFont="1" applyFill="1" applyBorder="1" applyAlignment="1">
      <alignment horizontal="center" vertical="center"/>
    </xf>
    <xf numFmtId="223" fontId="57" fillId="0" borderId="330" xfId="2" applyNumberFormat="1" applyFont="1" applyBorder="1" applyAlignment="1">
      <alignment horizontal="center" vertical="center"/>
    </xf>
    <xf numFmtId="178" fontId="57" fillId="7" borderId="302" xfId="2" applyNumberFormat="1" applyFont="1" applyFill="1" applyBorder="1" applyAlignment="1">
      <alignment horizontal="center" vertical="center"/>
    </xf>
    <xf numFmtId="178" fontId="57" fillId="7" borderId="227" xfId="2" applyNumberFormat="1" applyFont="1" applyFill="1" applyBorder="1" applyAlignment="1">
      <alignment horizontal="center" vertical="center"/>
    </xf>
    <xf numFmtId="178" fontId="57" fillId="7" borderId="270" xfId="2" applyNumberFormat="1" applyFont="1" applyFill="1" applyBorder="1" applyAlignment="1">
      <alignment horizontal="center" vertical="center"/>
    </xf>
    <xf numFmtId="178" fontId="57" fillId="7" borderId="225" xfId="2" quotePrefix="1" applyNumberFormat="1" applyFont="1" applyFill="1" applyBorder="1" applyAlignment="1">
      <alignment horizontal="center" vertical="center"/>
    </xf>
    <xf numFmtId="178" fontId="57" fillId="7" borderId="110" xfId="2" applyNumberFormat="1" applyFont="1" applyFill="1" applyBorder="1" applyAlignment="1">
      <alignment horizontal="center" vertical="center"/>
    </xf>
    <xf numFmtId="178" fontId="57" fillId="7" borderId="228" xfId="2" applyNumberFormat="1" applyFont="1" applyFill="1" applyBorder="1" applyAlignment="1">
      <alignment horizontal="center" vertical="center"/>
    </xf>
    <xf numFmtId="0" fontId="57" fillId="7" borderId="229" xfId="0" applyFont="1" applyFill="1" applyBorder="1" applyAlignment="1">
      <alignment horizontal="center" vertical="center"/>
    </xf>
    <xf numFmtId="183" fontId="57" fillId="7" borderId="319" xfId="0" applyNumberFormat="1" applyFont="1" applyFill="1" applyBorder="1" applyAlignment="1">
      <alignment horizontal="center" vertical="center"/>
    </xf>
    <xf numFmtId="183" fontId="57" fillId="7" borderId="320" xfId="2" applyNumberFormat="1" applyFont="1" applyFill="1" applyBorder="1" applyAlignment="1">
      <alignment horizontal="center" vertical="center"/>
    </xf>
    <xf numFmtId="0" fontId="177" fillId="126" borderId="339" xfId="0" applyFont="1" applyFill="1" applyBorder="1" applyAlignment="1">
      <alignment horizontal="center" vertical="center"/>
    </xf>
    <xf numFmtId="178" fontId="57" fillId="7" borderId="340" xfId="0" applyNumberFormat="1" applyFont="1" applyFill="1" applyBorder="1" applyAlignment="1">
      <alignment horizontal="center" vertical="center"/>
    </xf>
    <xf numFmtId="178" fontId="57" fillId="7" borderId="341" xfId="0" applyNumberFormat="1" applyFont="1" applyFill="1" applyBorder="1" applyAlignment="1">
      <alignment horizontal="center" vertical="center"/>
    </xf>
    <xf numFmtId="178" fontId="57" fillId="7" borderId="342" xfId="0" applyNumberFormat="1" applyFont="1" applyFill="1" applyBorder="1" applyAlignment="1">
      <alignment horizontal="center" vertical="center"/>
    </xf>
    <xf numFmtId="0" fontId="177" fillId="126" borderId="343" xfId="0" applyFont="1" applyFill="1" applyBorder="1" applyAlignment="1">
      <alignment horizontal="center" vertical="center"/>
    </xf>
    <xf numFmtId="183" fontId="57" fillId="7" borderId="344" xfId="2" applyNumberFormat="1" applyFont="1" applyFill="1" applyBorder="1" applyAlignment="1">
      <alignment horizontal="center" vertical="center"/>
    </xf>
    <xf numFmtId="183" fontId="57" fillId="7" borderId="17" xfId="2" applyNumberFormat="1" applyFont="1" applyFill="1" applyBorder="1" applyAlignment="1">
      <alignment horizontal="center" vertical="center"/>
    </xf>
    <xf numFmtId="187" fontId="57" fillId="7" borderId="299" xfId="2" applyNumberFormat="1" applyFont="1" applyFill="1" applyBorder="1" applyAlignment="1">
      <alignment horizontal="center" vertical="center"/>
    </xf>
    <xf numFmtId="187" fontId="57" fillId="7" borderId="97" xfId="2" applyNumberFormat="1" applyFont="1" applyFill="1" applyBorder="1" applyAlignment="1">
      <alignment horizontal="center" vertical="center"/>
    </xf>
    <xf numFmtId="38" fontId="57" fillId="0" borderId="330" xfId="2" applyNumberFormat="1" applyFont="1" applyFill="1" applyBorder="1" applyAlignment="1">
      <alignment horizontal="center" vertical="center"/>
    </xf>
    <xf numFmtId="9" fontId="57" fillId="0" borderId="330" xfId="1" applyFont="1" applyFill="1" applyBorder="1" applyAlignment="1">
      <alignment horizontal="center" vertical="center"/>
    </xf>
    <xf numFmtId="0" fontId="176" fillId="126" borderId="52" xfId="0" applyFont="1" applyFill="1" applyBorder="1" applyAlignment="1">
      <alignment horizontal="center" vertical="center"/>
    </xf>
    <xf numFmtId="187" fontId="171" fillId="7" borderId="346" xfId="0" applyNumberFormat="1" applyFont="1" applyFill="1" applyBorder="1" applyAlignment="1">
      <alignment horizontal="center" vertical="center"/>
    </xf>
    <xf numFmtId="187" fontId="171" fillId="7" borderId="347" xfId="0" applyNumberFormat="1" applyFont="1" applyFill="1" applyBorder="1" applyAlignment="1">
      <alignment horizontal="center" vertical="center"/>
    </xf>
    <xf numFmtId="187" fontId="171" fillId="7" borderId="348" xfId="0" applyNumberFormat="1" applyFont="1" applyFill="1" applyBorder="1" applyAlignment="1">
      <alignment horizontal="center" vertical="center"/>
    </xf>
    <xf numFmtId="183" fontId="57" fillId="7" borderId="322" xfId="2" applyNumberFormat="1" applyFont="1" applyFill="1" applyBorder="1" applyAlignment="1">
      <alignment horizontal="center" vertical="center"/>
    </xf>
    <xf numFmtId="183" fontId="57" fillId="7" borderId="323" xfId="2" applyNumberFormat="1" applyFont="1" applyFill="1" applyBorder="1" applyAlignment="1">
      <alignment horizontal="center" vertical="center"/>
    </xf>
    <xf numFmtId="183" fontId="57" fillId="7" borderId="122" xfId="2" applyNumberFormat="1" applyFont="1" applyFill="1" applyBorder="1" applyAlignment="1">
      <alignment horizontal="center" vertical="center"/>
    </xf>
    <xf numFmtId="183" fontId="57" fillId="7" borderId="47" xfId="2" applyNumberFormat="1" applyFont="1" applyFill="1" applyBorder="1" applyAlignment="1">
      <alignment horizontal="center" vertical="center"/>
    </xf>
    <xf numFmtId="38" fontId="57" fillId="7" borderId="122" xfId="2" applyNumberFormat="1" applyFont="1" applyFill="1" applyBorder="1" applyAlignment="1">
      <alignment horizontal="center" vertical="center"/>
    </xf>
    <xf numFmtId="38" fontId="57" fillId="7" borderId="47" xfId="0" applyNumberFormat="1" applyFont="1" applyFill="1" applyBorder="1" applyAlignment="1">
      <alignment horizontal="center" vertical="center"/>
    </xf>
    <xf numFmtId="9" fontId="57" fillId="7" borderId="47" xfId="1" applyFont="1" applyFill="1" applyBorder="1" applyAlignment="1">
      <alignment horizontal="center" vertical="center"/>
    </xf>
    <xf numFmtId="0" fontId="177" fillId="126" borderId="46" xfId="0" applyFont="1" applyFill="1" applyBorder="1" applyAlignment="1">
      <alignment horizontal="center" vertical="center"/>
    </xf>
    <xf numFmtId="183" fontId="57" fillId="0" borderId="350" xfId="2" applyNumberFormat="1" applyFont="1" applyFill="1" applyBorder="1" applyAlignment="1">
      <alignment horizontal="center" vertical="center"/>
    </xf>
    <xf numFmtId="178" fontId="57" fillId="0" borderId="351" xfId="2" applyNumberFormat="1" applyFont="1" applyFill="1" applyBorder="1" applyAlignment="1">
      <alignment horizontal="center" vertical="center"/>
    </xf>
    <xf numFmtId="38" fontId="57" fillId="15" borderId="230" xfId="2" applyNumberFormat="1" applyFont="1" applyFill="1" applyBorder="1" applyAlignment="1">
      <alignment horizontal="center" vertical="center"/>
    </xf>
    <xf numFmtId="38" fontId="57" fillId="15" borderId="334" xfId="0" applyNumberFormat="1" applyFont="1" applyFill="1" applyBorder="1" applyAlignment="1">
      <alignment horizontal="center" vertical="center"/>
    </xf>
    <xf numFmtId="38" fontId="57" fillId="15" borderId="334" xfId="2" applyNumberFormat="1" applyFont="1" applyFill="1" applyBorder="1" applyAlignment="1">
      <alignment horizontal="center" vertical="center"/>
    </xf>
    <xf numFmtId="9" fontId="57" fillId="15" borderId="334" xfId="1" applyFont="1" applyFill="1" applyBorder="1" applyAlignment="1">
      <alignment horizontal="center" vertical="center"/>
    </xf>
    <xf numFmtId="0" fontId="57" fillId="15" borderId="137" xfId="0" applyFont="1" applyFill="1" applyBorder="1" applyAlignment="1">
      <alignment horizontal="center" vertical="center"/>
    </xf>
    <xf numFmtId="183" fontId="57" fillId="0" borderId="319" xfId="2" applyNumberFormat="1" applyFont="1" applyFill="1" applyBorder="1" applyAlignment="1">
      <alignment horizontal="center" vertical="center"/>
    </xf>
    <xf numFmtId="183" fontId="57" fillId="0" borderId="301" xfId="2" applyNumberFormat="1" applyFont="1" applyFill="1" applyBorder="1" applyAlignment="1">
      <alignment horizontal="center" vertical="center"/>
    </xf>
    <xf numFmtId="183" fontId="57" fillId="0" borderId="292" xfId="2" applyNumberFormat="1" applyFont="1" applyFill="1" applyBorder="1" applyAlignment="1">
      <alignment horizontal="center" vertical="center"/>
    </xf>
    <xf numFmtId="178" fontId="57" fillId="7" borderId="349" xfId="0" applyNumberFormat="1" applyFont="1" applyFill="1" applyBorder="1" applyAlignment="1">
      <alignment horizontal="center" vertical="center"/>
    </xf>
    <xf numFmtId="178" fontId="57" fillId="7" borderId="350" xfId="0" applyNumberFormat="1" applyFont="1" applyFill="1" applyBorder="1" applyAlignment="1">
      <alignment horizontal="center" vertical="center"/>
    </xf>
    <xf numFmtId="187" fontId="57" fillId="7" borderId="334" xfId="0" applyNumberFormat="1" applyFont="1" applyFill="1" applyBorder="1" applyAlignment="1">
      <alignment horizontal="center" vertical="center"/>
    </xf>
    <xf numFmtId="187" fontId="57" fillId="0" borderId="121" xfId="0" applyNumberFormat="1" applyFont="1" applyFill="1" applyBorder="1" applyAlignment="1">
      <alignment horizontal="center" vertical="center"/>
    </xf>
    <xf numFmtId="187" fontId="57" fillId="15" borderId="230" xfId="2" applyNumberFormat="1" applyFont="1" applyFill="1" applyBorder="1" applyAlignment="1">
      <alignment horizontal="center" vertical="center"/>
    </xf>
    <xf numFmtId="187" fontId="57" fillId="15" borderId="47" xfId="2" applyNumberFormat="1" applyFont="1" applyFill="1" applyBorder="1" applyAlignment="1">
      <alignment horizontal="center" vertical="center"/>
    </xf>
    <xf numFmtId="38" fontId="57" fillId="0" borderId="281" xfId="2" applyNumberFormat="1" applyFont="1" applyFill="1" applyBorder="1" applyAlignment="1">
      <alignment horizontal="center" vertical="center"/>
    </xf>
    <xf numFmtId="187" fontId="57" fillId="0" borderId="319" xfId="2" applyNumberFormat="1" applyFont="1" applyFill="1" applyBorder="1" applyAlignment="1">
      <alignment horizontal="center" vertical="center"/>
    </xf>
    <xf numFmtId="226" fontId="57" fillId="0" borderId="320" xfId="2" applyNumberFormat="1" applyFont="1" applyFill="1" applyBorder="1" applyAlignment="1">
      <alignment horizontal="center" vertical="center"/>
    </xf>
    <xf numFmtId="187" fontId="57" fillId="0" borderId="301" xfId="2" applyNumberFormat="1" applyFont="1" applyFill="1" applyBorder="1" applyAlignment="1">
      <alignment horizontal="center" vertical="center"/>
    </xf>
    <xf numFmtId="187" fontId="57" fillId="0" borderId="292" xfId="2" applyNumberFormat="1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187" fontId="57" fillId="7" borderId="349" xfId="2" applyNumberFormat="1" applyFont="1" applyFill="1" applyBorder="1" applyAlignment="1">
      <alignment horizontal="center" vertical="center"/>
    </xf>
    <xf numFmtId="187" fontId="57" fillId="7" borderId="350" xfId="2" applyNumberFormat="1" applyFont="1" applyFill="1" applyBorder="1" applyAlignment="1">
      <alignment horizontal="center" vertical="center"/>
    </xf>
    <xf numFmtId="187" fontId="57" fillId="7" borderId="334" xfId="2" applyNumberFormat="1" applyFont="1" applyFill="1" applyBorder="1" applyAlignment="1">
      <alignment horizontal="center" vertical="center"/>
    </xf>
    <xf numFmtId="187" fontId="57" fillId="7" borderId="121" xfId="2" applyNumberFormat="1" applyFont="1" applyFill="1" applyBorder="1" applyAlignment="1">
      <alignment horizontal="center" vertical="center"/>
    </xf>
    <xf numFmtId="9" fontId="177" fillId="15" borderId="334" xfId="1" applyFont="1" applyFill="1" applyBorder="1" applyAlignment="1">
      <alignment horizontal="center" vertical="center"/>
    </xf>
    <xf numFmtId="0" fontId="176" fillId="125" borderId="283" xfId="0" applyFont="1" applyFill="1" applyBorder="1" applyAlignment="1">
      <alignment horizontal="center" vertical="center"/>
    </xf>
    <xf numFmtId="0" fontId="176" fillId="125" borderId="337" xfId="0" applyFont="1" applyFill="1" applyBorder="1" applyAlignment="1">
      <alignment horizontal="center" vertical="center"/>
    </xf>
    <xf numFmtId="187" fontId="57" fillId="0" borderId="337" xfId="2" applyNumberFormat="1" applyFont="1" applyBorder="1" applyAlignment="1">
      <alignment horizontal="center" vertical="center"/>
    </xf>
    <xf numFmtId="183" fontId="57" fillId="0" borderId="337" xfId="2" applyNumberFormat="1" applyFont="1" applyBorder="1" applyAlignment="1">
      <alignment horizontal="center" vertical="center"/>
    </xf>
    <xf numFmtId="1" fontId="57" fillId="0" borderId="337" xfId="0" applyNumberFormat="1" applyFont="1" applyFill="1" applyBorder="1" applyAlignment="1">
      <alignment horizontal="center" vertical="center"/>
    </xf>
    <xf numFmtId="2" fontId="57" fillId="0" borderId="337" xfId="0" applyNumberFormat="1" applyFont="1" applyBorder="1" applyAlignment="1">
      <alignment horizontal="center" vertical="center"/>
    </xf>
    <xf numFmtId="177" fontId="57" fillId="0" borderId="337" xfId="0" applyNumberFormat="1" applyFont="1" applyBorder="1" applyAlignment="1">
      <alignment horizontal="center" vertical="center"/>
    </xf>
    <xf numFmtId="3" fontId="57" fillId="0" borderId="337" xfId="0" applyNumberFormat="1" applyFont="1" applyBorder="1" applyAlignment="1">
      <alignment horizontal="center" vertical="center"/>
    </xf>
    <xf numFmtId="1" fontId="57" fillId="0" borderId="318" xfId="0" applyNumberFormat="1" applyFont="1" applyFill="1" applyBorder="1" applyAlignment="1">
      <alignment horizontal="center" vertical="center"/>
    </xf>
    <xf numFmtId="2" fontId="57" fillId="0" borderId="318" xfId="0" applyNumberFormat="1" applyFont="1" applyBorder="1" applyAlignment="1">
      <alignment horizontal="center" vertical="center"/>
    </xf>
    <xf numFmtId="0" fontId="57" fillId="0" borderId="318" xfId="0" applyFont="1" applyBorder="1" applyAlignment="1">
      <alignment horizontal="center" vertical="center"/>
    </xf>
    <xf numFmtId="0" fontId="57" fillId="0" borderId="321" xfId="0" applyFont="1" applyBorder="1" applyAlignment="1">
      <alignment horizontal="center" vertical="center"/>
    </xf>
    <xf numFmtId="0" fontId="177" fillId="127" borderId="282" xfId="0" applyFont="1" applyFill="1" applyBorder="1" applyAlignment="1">
      <alignment horizontal="center" vertical="center"/>
    </xf>
    <xf numFmtId="0" fontId="177" fillId="127" borderId="245" xfId="0" applyFont="1" applyFill="1" applyBorder="1" applyAlignment="1">
      <alignment horizontal="center" vertical="center"/>
    </xf>
    <xf numFmtId="2" fontId="57" fillId="0" borderId="321" xfId="0" applyNumberFormat="1" applyFont="1" applyBorder="1" applyAlignment="1">
      <alignment horizontal="center" vertical="center"/>
    </xf>
    <xf numFmtId="183" fontId="57" fillId="0" borderId="243" xfId="0" applyNumberFormat="1" applyFont="1" applyBorder="1" applyAlignment="1">
      <alignment horizontal="center" vertical="center"/>
    </xf>
    <xf numFmtId="183" fontId="57" fillId="0" borderId="294" xfId="2" applyNumberFormat="1" applyFont="1" applyBorder="1" applyAlignment="1">
      <alignment horizontal="center" vertical="center"/>
    </xf>
    <xf numFmtId="2" fontId="57" fillId="0" borderId="294" xfId="0" applyNumberFormat="1" applyFont="1" applyBorder="1" applyAlignment="1">
      <alignment horizontal="center" vertical="center"/>
    </xf>
    <xf numFmtId="0" fontId="177" fillId="127" borderId="202" xfId="0" applyFont="1" applyFill="1" applyBorder="1" applyAlignment="1">
      <alignment horizontal="center" vertical="center"/>
    </xf>
    <xf numFmtId="2" fontId="57" fillId="0" borderId="221" xfId="0" applyNumberFormat="1" applyFont="1" applyBorder="1" applyAlignment="1">
      <alignment horizontal="center" vertical="center"/>
    </xf>
    <xf numFmtId="2" fontId="57" fillId="0" borderId="6" xfId="0" applyNumberFormat="1" applyFont="1" applyBorder="1" applyAlignment="1">
      <alignment horizontal="center" vertical="center"/>
    </xf>
    <xf numFmtId="187" fontId="57" fillId="0" borderId="221" xfId="2" applyNumberFormat="1" applyFont="1" applyBorder="1" applyAlignment="1">
      <alignment horizontal="center" vertical="center"/>
    </xf>
    <xf numFmtId="2" fontId="57" fillId="0" borderId="40" xfId="0" applyNumberFormat="1" applyFont="1" applyBorder="1" applyAlignment="1">
      <alignment horizontal="center" vertical="center"/>
    </xf>
    <xf numFmtId="0" fontId="57" fillId="0" borderId="202" xfId="0" applyFont="1" applyBorder="1" applyAlignment="1">
      <alignment horizontal="center" vertical="center"/>
    </xf>
    <xf numFmtId="0" fontId="57" fillId="0" borderId="221" xfId="0" applyFont="1" applyBorder="1" applyAlignment="1">
      <alignment horizontal="center" vertical="center"/>
    </xf>
    <xf numFmtId="0" fontId="177" fillId="127" borderId="97" xfId="0" applyFont="1" applyFill="1" applyBorder="1" applyAlignment="1">
      <alignment horizontal="center" vertical="center"/>
    </xf>
    <xf numFmtId="0" fontId="177" fillId="127" borderId="68" xfId="0" applyFont="1" applyFill="1" applyBorder="1" applyAlignment="1">
      <alignment horizontal="center" vertical="center"/>
    </xf>
    <xf numFmtId="0" fontId="57" fillId="0" borderId="97" xfId="0" applyFont="1" applyFill="1" applyBorder="1" applyAlignment="1">
      <alignment horizontal="center" vertical="center"/>
    </xf>
    <xf numFmtId="0" fontId="57" fillId="0" borderId="5" xfId="0" applyFont="1" applyFill="1" applyBorder="1" applyAlignment="1">
      <alignment horizontal="center" vertical="center"/>
    </xf>
    <xf numFmtId="0" fontId="57" fillId="15" borderId="5" xfId="0" applyFont="1" applyFill="1" applyBorder="1" applyAlignment="1">
      <alignment horizontal="center" vertical="center"/>
    </xf>
    <xf numFmtId="185" fontId="57" fillId="0" borderId="5" xfId="0" applyNumberFormat="1" applyFont="1" applyFill="1" applyBorder="1" applyAlignment="1">
      <alignment horizontal="center" vertical="center"/>
    </xf>
    <xf numFmtId="185" fontId="57" fillId="0" borderId="330" xfId="0" applyNumberFormat="1" applyFont="1" applyFill="1" applyBorder="1" applyAlignment="1">
      <alignment horizontal="center" vertical="center"/>
    </xf>
    <xf numFmtId="3" fontId="57" fillId="0" borderId="40" xfId="0" applyNumberFormat="1" applyFont="1" applyBorder="1" applyAlignment="1">
      <alignment horizontal="center" vertical="center"/>
    </xf>
    <xf numFmtId="0" fontId="177" fillId="127" borderId="123" xfId="0" applyFont="1" applyFill="1" applyBorder="1" applyAlignment="1">
      <alignment horizontal="center" vertical="center"/>
    </xf>
    <xf numFmtId="2" fontId="57" fillId="0" borderId="121" xfId="0" applyNumberFormat="1" applyFont="1" applyBorder="1" applyAlignment="1">
      <alignment horizontal="center" vertical="center"/>
    </xf>
    <xf numFmtId="2" fontId="57" fillId="0" borderId="122" xfId="0" applyNumberFormat="1" applyFont="1" applyBorder="1" applyAlignment="1">
      <alignment horizontal="center" vertical="center"/>
    </xf>
    <xf numFmtId="183" fontId="57" fillId="0" borderId="122" xfId="0" applyNumberFormat="1" applyFont="1" applyBorder="1" applyAlignment="1">
      <alignment horizontal="center" vertical="center"/>
    </xf>
    <xf numFmtId="183" fontId="57" fillId="0" borderId="47" xfId="2" applyNumberFormat="1" applyFont="1" applyBorder="1" applyAlignment="1">
      <alignment horizontal="center" vertical="center"/>
    </xf>
    <xf numFmtId="9" fontId="57" fillId="0" borderId="122" xfId="1" applyFont="1" applyBorder="1" applyAlignment="1">
      <alignment horizontal="center" vertical="center"/>
    </xf>
    <xf numFmtId="0" fontId="177" fillId="127" borderId="325" xfId="0" applyFont="1" applyFill="1" applyBorder="1" applyAlignment="1">
      <alignment horizontal="center" vertical="center"/>
    </xf>
    <xf numFmtId="4" fontId="57" fillId="0" borderId="284" xfId="0" applyNumberFormat="1" applyFont="1" applyBorder="1" applyAlignment="1">
      <alignment horizontal="center" vertical="center"/>
    </xf>
    <xf numFmtId="4" fontId="57" fillId="0" borderId="326" xfId="0" applyNumberFormat="1" applyFont="1" applyBorder="1" applyAlignment="1">
      <alignment horizontal="center" vertical="center"/>
    </xf>
    <xf numFmtId="187" fontId="57" fillId="0" borderId="326" xfId="0" applyNumberFormat="1" applyFont="1" applyBorder="1" applyAlignment="1">
      <alignment horizontal="center" vertical="center"/>
    </xf>
    <xf numFmtId="187" fontId="57" fillId="0" borderId="327" xfId="2" applyNumberFormat="1" applyFont="1" applyBorder="1" applyAlignment="1">
      <alignment horizontal="center" vertical="center"/>
    </xf>
    <xf numFmtId="1" fontId="57" fillId="0" borderId="121" xfId="0" applyNumberFormat="1" applyFont="1" applyFill="1" applyBorder="1" applyAlignment="1">
      <alignment horizontal="center" vertical="center"/>
    </xf>
    <xf numFmtId="1" fontId="57" fillId="0" borderId="122" xfId="0" applyNumberFormat="1" applyFont="1" applyFill="1" applyBorder="1" applyAlignment="1">
      <alignment horizontal="center" vertical="center"/>
    </xf>
    <xf numFmtId="1" fontId="57" fillId="0" borderId="47" xfId="0" applyNumberFormat="1" applyFont="1" applyFill="1" applyBorder="1" applyAlignment="1">
      <alignment horizontal="center" vertical="center"/>
    </xf>
    <xf numFmtId="9" fontId="57" fillId="0" borderId="122" xfId="1" applyFont="1" applyFill="1" applyBorder="1" applyAlignment="1">
      <alignment horizontal="center" vertical="center"/>
    </xf>
    <xf numFmtId="0" fontId="57" fillId="0" borderId="123" xfId="0" applyFont="1" applyFill="1" applyBorder="1" applyAlignment="1">
      <alignment horizontal="center" vertical="center"/>
    </xf>
    <xf numFmtId="1" fontId="57" fillId="0" borderId="336" xfId="0" applyNumberFormat="1" applyFont="1" applyFill="1" applyBorder="1" applyAlignment="1">
      <alignment horizontal="center" vertical="center"/>
    </xf>
    <xf numFmtId="1" fontId="57" fillId="0" borderId="284" xfId="0" applyNumberFormat="1" applyFont="1" applyFill="1" applyBorder="1" applyAlignment="1">
      <alignment horizontal="center" vertical="center"/>
    </xf>
    <xf numFmtId="1" fontId="57" fillId="0" borderId="326" xfId="0" applyNumberFormat="1" applyFont="1" applyFill="1" applyBorder="1" applyAlignment="1">
      <alignment horizontal="center" vertical="center"/>
    </xf>
    <xf numFmtId="1" fontId="57" fillId="0" borderId="327" xfId="0" applyNumberFormat="1" applyFont="1" applyFill="1" applyBorder="1" applyAlignment="1">
      <alignment horizontal="center" vertical="center"/>
    </xf>
    <xf numFmtId="2" fontId="57" fillId="0" borderId="47" xfId="0" applyNumberFormat="1" applyFont="1" applyBorder="1" applyAlignment="1">
      <alignment horizontal="center" vertical="center"/>
    </xf>
    <xf numFmtId="2" fontId="57" fillId="0" borderId="336" xfId="0" applyNumberFormat="1" applyFont="1" applyBorder="1" applyAlignment="1">
      <alignment horizontal="center" vertical="center"/>
    </xf>
    <xf numFmtId="177" fontId="57" fillId="0" borderId="336" xfId="0" applyNumberFormat="1" applyFont="1" applyBorder="1" applyAlignment="1">
      <alignment horizontal="center" vertical="center"/>
    </xf>
    <xf numFmtId="187" fontId="57" fillId="0" borderId="336" xfId="0" applyNumberFormat="1" applyFont="1" applyBorder="1" applyAlignment="1">
      <alignment horizontal="center" vertical="center"/>
    </xf>
    <xf numFmtId="0" fontId="177" fillId="127" borderId="335" xfId="0" applyFont="1" applyFill="1" applyBorder="1" applyAlignment="1">
      <alignment horizontal="center" vertical="center"/>
    </xf>
    <xf numFmtId="0" fontId="57" fillId="0" borderId="336" xfId="0" applyFont="1" applyBorder="1" applyAlignment="1">
      <alignment horizontal="center" vertical="center"/>
    </xf>
    <xf numFmtId="0" fontId="57" fillId="0" borderId="326" xfId="0" applyFont="1" applyBorder="1" applyAlignment="1">
      <alignment horizontal="center" vertical="center"/>
    </xf>
    <xf numFmtId="2" fontId="57" fillId="0" borderId="326" xfId="0" applyNumberFormat="1" applyFont="1" applyBorder="1" applyAlignment="1">
      <alignment horizontal="center" vertical="center"/>
    </xf>
    <xf numFmtId="2" fontId="57" fillId="0" borderId="327" xfId="0" applyNumberFormat="1" applyFont="1" applyBorder="1" applyAlignment="1">
      <alignment horizontal="center" vertical="center"/>
    </xf>
    <xf numFmtId="0" fontId="57" fillId="0" borderId="121" xfId="0" applyFont="1" applyBorder="1" applyAlignment="1">
      <alignment horizontal="center" vertical="center"/>
    </xf>
    <xf numFmtId="0" fontId="57" fillId="0" borderId="122" xfId="0" applyFont="1" applyBorder="1" applyAlignment="1">
      <alignment horizontal="center" vertical="center"/>
    </xf>
    <xf numFmtId="0" fontId="177" fillId="127" borderId="225" xfId="0" applyFont="1" applyFill="1" applyBorder="1" applyAlignment="1">
      <alignment horizontal="center" vertical="center"/>
    </xf>
    <xf numFmtId="0" fontId="177" fillId="127" borderId="229" xfId="0" applyFont="1" applyFill="1" applyBorder="1" applyAlignment="1">
      <alignment horizontal="center" vertical="center"/>
    </xf>
    <xf numFmtId="3" fontId="57" fillId="0" borderId="225" xfId="0" applyNumberFormat="1" applyFont="1" applyFill="1" applyBorder="1" applyAlignment="1">
      <alignment horizontal="center" vertical="center"/>
    </xf>
    <xf numFmtId="3" fontId="57" fillId="0" borderId="226" xfId="0" applyNumberFormat="1" applyFont="1" applyFill="1" applyBorder="1" applyAlignment="1">
      <alignment horizontal="center" vertical="center"/>
    </xf>
    <xf numFmtId="3" fontId="57" fillId="15" borderId="226" xfId="0" applyNumberFormat="1" applyFont="1" applyFill="1" applyBorder="1" applyAlignment="1">
      <alignment horizontal="center" vertical="center"/>
    </xf>
    <xf numFmtId="3" fontId="57" fillId="0" borderId="228" xfId="0" applyNumberFormat="1" applyFont="1" applyFill="1" applyBorder="1" applyAlignment="1">
      <alignment horizontal="center" vertical="center"/>
    </xf>
    <xf numFmtId="9" fontId="57" fillId="0" borderId="226" xfId="1" applyFont="1" applyFill="1" applyBorder="1" applyAlignment="1">
      <alignment horizontal="center" vertical="center"/>
    </xf>
    <xf numFmtId="0" fontId="57" fillId="0" borderId="229" xfId="0" applyFont="1" applyFill="1" applyBorder="1" applyAlignment="1">
      <alignment horizontal="center" vertical="center"/>
    </xf>
    <xf numFmtId="0" fontId="177" fillId="127" borderId="137" xfId="0" applyFont="1" applyFill="1" applyBorder="1" applyAlignment="1">
      <alignment horizontal="center" vertical="center"/>
    </xf>
    <xf numFmtId="0" fontId="57" fillId="0" borderId="263" xfId="0" applyFont="1" applyBorder="1" applyAlignment="1">
      <alignment horizontal="center" vertical="center"/>
    </xf>
    <xf numFmtId="3" fontId="57" fillId="0" borderId="230" xfId="0" applyNumberFormat="1" applyFont="1" applyBorder="1" applyAlignment="1">
      <alignment horizontal="center" vertical="center"/>
    </xf>
    <xf numFmtId="3" fontId="57" fillId="0" borderId="334" xfId="0" applyNumberFormat="1" applyFont="1" applyBorder="1" applyAlignment="1">
      <alignment horizontal="center" vertical="center"/>
    </xf>
    <xf numFmtId="3" fontId="57" fillId="0" borderId="121" xfId="0" applyNumberFormat="1" applyFont="1" applyBorder="1" applyAlignment="1">
      <alignment horizontal="center" vertical="center"/>
    </xf>
    <xf numFmtId="9" fontId="57" fillId="15" borderId="230" xfId="1" applyFont="1" applyFill="1" applyBorder="1" applyAlignment="1">
      <alignment horizontal="center" vertical="center"/>
    </xf>
    <xf numFmtId="0" fontId="57" fillId="15" borderId="125" xfId="0" applyFont="1" applyFill="1" applyBorder="1" applyAlignment="1">
      <alignment horizontal="center" vertical="center"/>
    </xf>
    <xf numFmtId="3" fontId="57" fillId="0" borderId="326" xfId="0" applyNumberFormat="1" applyFont="1" applyBorder="1" applyAlignment="1">
      <alignment horizontal="center" vertical="center"/>
    </xf>
    <xf numFmtId="0" fontId="57" fillId="7" borderId="353" xfId="0" applyFont="1" applyFill="1" applyBorder="1" applyAlignment="1">
      <alignment horizontal="center" vertical="center"/>
    </xf>
    <xf numFmtId="3" fontId="57" fillId="15" borderId="6" xfId="2" quotePrefix="1" applyNumberFormat="1" applyFont="1" applyFill="1" applyBorder="1" applyAlignment="1">
      <alignment horizontal="center" vertical="center"/>
    </xf>
    <xf numFmtId="226" fontId="57" fillId="0" borderId="322" xfId="2" applyNumberFormat="1" applyFont="1" applyBorder="1" applyAlignment="1">
      <alignment horizontal="center" vertical="center"/>
    </xf>
    <xf numFmtId="226" fontId="57" fillId="0" borderId="323" xfId="2" applyNumberFormat="1" applyFont="1" applyBorder="1" applyAlignment="1">
      <alignment horizontal="center" vertical="center"/>
    </xf>
    <xf numFmtId="226" fontId="57" fillId="0" borderId="121" xfId="2" applyNumberFormat="1" applyFont="1" applyBorder="1" applyAlignment="1">
      <alignment horizontal="center" vertical="center"/>
    </xf>
    <xf numFmtId="3" fontId="57" fillId="0" borderId="47" xfId="2" applyNumberFormat="1" applyFont="1" applyBorder="1" applyAlignment="1">
      <alignment horizontal="center" vertical="center"/>
    </xf>
    <xf numFmtId="38" fontId="57" fillId="15" borderId="122" xfId="2" applyNumberFormat="1" applyFont="1" applyFill="1" applyBorder="1" applyAlignment="1">
      <alignment horizontal="center" vertical="center"/>
    </xf>
    <xf numFmtId="3" fontId="57" fillId="15" borderId="122" xfId="2" quotePrefix="1" applyNumberFormat="1" applyFont="1" applyFill="1" applyBorder="1" applyAlignment="1">
      <alignment horizontal="center" vertical="center"/>
    </xf>
    <xf numFmtId="9" fontId="57" fillId="15" borderId="122" xfId="1" applyFont="1" applyFill="1" applyBorder="1" applyAlignment="1">
      <alignment horizontal="center" vertical="center"/>
    </xf>
    <xf numFmtId="226" fontId="57" fillId="0" borderId="331" xfId="2" applyNumberFormat="1" applyFont="1" applyBorder="1" applyAlignment="1">
      <alignment horizontal="center" vertical="center"/>
    </xf>
    <xf numFmtId="226" fontId="57" fillId="0" borderId="332" xfId="2" applyNumberFormat="1" applyFont="1" applyBorder="1" applyAlignment="1">
      <alignment horizontal="center" vertical="center"/>
    </xf>
    <xf numFmtId="0" fontId="57" fillId="0" borderId="138" xfId="0" applyFont="1" applyBorder="1" applyAlignment="1">
      <alignment horizontal="center" vertical="center"/>
    </xf>
    <xf numFmtId="187" fontId="57" fillId="0" borderId="355" xfId="2" applyNumberFormat="1" applyFont="1" applyBorder="1" applyAlignment="1">
      <alignment horizontal="center" vertical="center"/>
    </xf>
    <xf numFmtId="187" fontId="57" fillId="0" borderId="356" xfId="2" applyNumberFormat="1" applyFont="1" applyBorder="1" applyAlignment="1">
      <alignment horizontal="center" vertical="center"/>
    </xf>
    <xf numFmtId="0" fontId="57" fillId="0" borderId="357" xfId="0" applyFont="1" applyBorder="1" applyAlignment="1">
      <alignment horizontal="center" vertical="center"/>
    </xf>
    <xf numFmtId="183" fontId="47" fillId="0" borderId="334" xfId="0" applyNumberFormat="1" applyFont="1" applyFill="1" applyBorder="1" applyAlignment="1">
      <alignment horizontal="center" vertical="center"/>
    </xf>
    <xf numFmtId="181" fontId="125" fillId="0" borderId="46" xfId="4124" applyNumberFormat="1" applyFont="1" applyFill="1" applyBorder="1" applyAlignment="1">
      <alignment horizontal="center" vertical="center"/>
    </xf>
    <xf numFmtId="41" fontId="51" fillId="0" borderId="358" xfId="4124" applyFont="1" applyFill="1" applyBorder="1" applyAlignment="1">
      <alignment horizontal="center" vertical="center"/>
    </xf>
    <xf numFmtId="183" fontId="46" fillId="0" borderId="359" xfId="4124" applyNumberFormat="1" applyFont="1" applyFill="1" applyBorder="1" applyAlignment="1">
      <alignment horizontal="center" vertical="center"/>
    </xf>
    <xf numFmtId="183" fontId="47" fillId="0" borderId="345" xfId="0" applyNumberFormat="1" applyFont="1" applyFill="1" applyBorder="1" applyAlignment="1">
      <alignment horizontal="center" vertical="center"/>
    </xf>
    <xf numFmtId="183" fontId="47" fillId="0" borderId="307" xfId="0" applyNumberFormat="1" applyFont="1" applyFill="1" applyBorder="1" applyAlignment="1">
      <alignment horizontal="center" vertical="center"/>
    </xf>
    <xf numFmtId="41" fontId="51" fillId="0" borderId="360" xfId="4124" applyFont="1" applyFill="1" applyBorder="1" applyAlignment="1">
      <alignment horizontal="center" vertical="center"/>
    </xf>
    <xf numFmtId="183" fontId="46" fillId="0" borderId="361" xfId="4124" applyNumberFormat="1" applyFont="1" applyFill="1" applyBorder="1" applyAlignment="1">
      <alignment horizontal="center" vertical="center"/>
    </xf>
    <xf numFmtId="183" fontId="47" fillId="0" borderId="362" xfId="0" applyNumberFormat="1" applyFont="1" applyFill="1" applyBorder="1" applyAlignment="1">
      <alignment horizontal="center" vertical="center"/>
    </xf>
    <xf numFmtId="181" fontId="125" fillId="0" borderId="363" xfId="4124" applyNumberFormat="1" applyFont="1" applyFill="1" applyBorder="1" applyAlignment="1">
      <alignment horizontal="center" vertical="center"/>
    </xf>
    <xf numFmtId="41" fontId="51" fillId="0" borderId="364" xfId="4124" applyFont="1" applyFill="1" applyBorder="1" applyAlignment="1">
      <alignment horizontal="center" vertical="center"/>
    </xf>
    <xf numFmtId="183" fontId="46" fillId="0" borderId="365" xfId="4124" applyNumberFormat="1" applyFont="1" applyFill="1" applyBorder="1" applyAlignment="1">
      <alignment horizontal="center" vertical="center"/>
    </xf>
    <xf numFmtId="2" fontId="28" fillId="6" borderId="0" xfId="0" applyNumberFormat="1" applyFont="1" applyFill="1" applyAlignment="1">
      <alignment horizontal="center" vertical="center"/>
    </xf>
    <xf numFmtId="187" fontId="57" fillId="0" borderId="299" xfId="2" applyNumberFormat="1" applyFont="1" applyFill="1" applyBorder="1" applyAlignment="1">
      <alignment horizontal="center" vertical="center"/>
    </xf>
    <xf numFmtId="38" fontId="171" fillId="0" borderId="288" xfId="2" applyNumberFormat="1" applyFont="1" applyBorder="1" applyAlignment="1">
      <alignment horizontal="center" vertical="center"/>
    </xf>
    <xf numFmtId="4" fontId="28" fillId="7" borderId="47" xfId="2" applyNumberFormat="1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186" fontId="44" fillId="0" borderId="0" xfId="4124" applyNumberFormat="1" applyFont="1" applyFill="1" applyBorder="1" applyAlignment="1">
      <alignment horizontal="right" vertical="center"/>
    </xf>
    <xf numFmtId="41" fontId="53" fillId="0" borderId="0" xfId="4124" applyNumberFormat="1" applyFont="1" applyFill="1" applyBorder="1" applyAlignment="1">
      <alignment horizontal="center" vertical="center"/>
    </xf>
    <xf numFmtId="43" fontId="47" fillId="0" borderId="0" xfId="0" applyNumberFormat="1" applyFont="1" applyFill="1" applyBorder="1" applyAlignment="1">
      <alignment horizontal="center" vertical="center"/>
    </xf>
    <xf numFmtId="43" fontId="44" fillId="0" borderId="0" xfId="0" applyNumberFormat="1" applyFont="1" applyFill="1" applyBorder="1" applyAlignment="1">
      <alignment horizontal="center" vertical="center"/>
    </xf>
    <xf numFmtId="181" fontId="126" fillId="0" borderId="0" xfId="4124" applyNumberFormat="1" applyFont="1" applyFill="1" applyBorder="1" applyAlignment="1">
      <alignment horizontal="center" vertical="center"/>
    </xf>
    <xf numFmtId="41" fontId="51" fillId="0" borderId="0" xfId="4124" applyFont="1" applyFill="1" applyBorder="1" applyAlignment="1">
      <alignment horizontal="center" vertical="center"/>
    </xf>
    <xf numFmtId="181" fontId="47" fillId="0" borderId="0" xfId="4124" applyNumberFormat="1" applyFont="1" applyFill="1" applyBorder="1" applyAlignment="1">
      <alignment horizontal="center" vertical="center"/>
    </xf>
    <xf numFmtId="186" fontId="44" fillId="0" borderId="79" xfId="4124" applyNumberFormat="1" applyFont="1" applyFill="1" applyBorder="1" applyAlignment="1">
      <alignment horizontal="right" vertical="center"/>
    </xf>
    <xf numFmtId="186" fontId="44" fillId="0" borderId="80" xfId="4124" applyNumberFormat="1" applyFont="1" applyFill="1" applyBorder="1" applyAlignment="1">
      <alignment horizontal="right" vertical="center"/>
    </xf>
    <xf numFmtId="41" fontId="53" fillId="0" borderId="80" xfId="4124" applyNumberFormat="1" applyFont="1" applyFill="1" applyBorder="1" applyAlignment="1">
      <alignment horizontal="center" vertical="center"/>
    </xf>
    <xf numFmtId="183" fontId="47" fillId="0" borderId="80" xfId="0" applyNumberFormat="1" applyFont="1" applyFill="1" applyBorder="1" applyAlignment="1">
      <alignment horizontal="center" vertical="center"/>
    </xf>
    <xf numFmtId="43" fontId="44" fillId="0" borderId="80" xfId="0" applyNumberFormat="1" applyFont="1" applyFill="1" applyBorder="1" applyAlignment="1">
      <alignment horizontal="center" vertical="center"/>
    </xf>
    <xf numFmtId="181" fontId="125" fillId="0" borderId="80" xfId="4124" applyNumberFormat="1" applyFont="1" applyFill="1" applyBorder="1" applyAlignment="1">
      <alignment horizontal="center" vertical="center"/>
    </xf>
    <xf numFmtId="183" fontId="46" fillId="0" borderId="367" xfId="4124" applyNumberFormat="1" applyFont="1" applyFill="1" applyBorder="1" applyAlignment="1">
      <alignment horizontal="center" vertical="center"/>
    </xf>
    <xf numFmtId="186" fontId="44" fillId="0" borderId="69" xfId="4124" applyNumberFormat="1" applyFont="1" applyFill="1" applyBorder="1" applyAlignment="1">
      <alignment horizontal="right" vertical="center"/>
    </xf>
    <xf numFmtId="186" fontId="44" fillId="0" borderId="70" xfId="4124" applyNumberFormat="1" applyFont="1" applyFill="1" applyBorder="1" applyAlignment="1">
      <alignment horizontal="right" vertical="center"/>
    </xf>
    <xf numFmtId="41" fontId="53" fillId="0" borderId="70" xfId="4124" applyNumberFormat="1" applyFont="1" applyFill="1" applyBorder="1" applyAlignment="1">
      <alignment horizontal="center" vertical="center"/>
    </xf>
    <xf numFmtId="183" fontId="47" fillId="0" borderId="70" xfId="0" applyNumberFormat="1" applyFont="1" applyFill="1" applyBorder="1" applyAlignment="1">
      <alignment horizontal="center" vertical="center"/>
    </xf>
    <xf numFmtId="43" fontId="44" fillId="0" borderId="70" xfId="0" applyNumberFormat="1" applyFont="1" applyFill="1" applyBorder="1" applyAlignment="1">
      <alignment horizontal="center" vertical="center"/>
    </xf>
    <xf numFmtId="181" fontId="125" fillId="0" borderId="70" xfId="4124" applyNumberFormat="1" applyFont="1" applyFill="1" applyBorder="1" applyAlignment="1">
      <alignment horizontal="center" vertical="center"/>
    </xf>
    <xf numFmtId="183" fontId="46" fillId="0" borderId="72" xfId="4124" applyNumberFormat="1" applyFont="1" applyFill="1" applyBorder="1" applyAlignment="1">
      <alignment horizontal="center" vertical="center"/>
    </xf>
    <xf numFmtId="186" fontId="44" fillId="0" borderId="154" xfId="4124" applyNumberFormat="1" applyFont="1" applyFill="1" applyBorder="1" applyAlignment="1">
      <alignment horizontal="right" vertical="center"/>
    </xf>
    <xf numFmtId="186" fontId="44" fillId="0" borderId="156" xfId="4124" applyNumberFormat="1" applyFont="1" applyFill="1" applyBorder="1" applyAlignment="1">
      <alignment horizontal="right" vertical="center"/>
    </xf>
    <xf numFmtId="41" fontId="53" fillId="0" borderId="156" xfId="4124" applyNumberFormat="1" applyFont="1" applyFill="1" applyBorder="1" applyAlignment="1">
      <alignment horizontal="center" vertical="center"/>
    </xf>
    <xf numFmtId="43" fontId="47" fillId="0" borderId="156" xfId="0" applyNumberFormat="1" applyFont="1" applyFill="1" applyBorder="1" applyAlignment="1">
      <alignment horizontal="center" vertical="center"/>
    </xf>
    <xf numFmtId="43" fontId="44" fillId="0" borderId="156" xfId="0" applyNumberFormat="1" applyFont="1" applyFill="1" applyBorder="1" applyAlignment="1">
      <alignment horizontal="center" vertical="center"/>
    </xf>
    <xf numFmtId="181" fontId="126" fillId="0" borderId="156" xfId="4124" applyNumberFormat="1" applyFont="1" applyFill="1" applyBorder="1" applyAlignment="1">
      <alignment horizontal="center" vertical="center"/>
    </xf>
    <xf numFmtId="181" fontId="47" fillId="0" borderId="157" xfId="4124" applyNumberFormat="1" applyFont="1" applyFill="1" applyBorder="1" applyAlignment="1">
      <alignment horizontal="center" vertical="center"/>
    </xf>
    <xf numFmtId="187" fontId="183" fillId="0" borderId="349" xfId="2" applyNumberFormat="1" applyFont="1" applyBorder="1" applyAlignment="1">
      <alignment horizontal="center" vertical="center" wrapText="1"/>
    </xf>
    <xf numFmtId="187" fontId="183" fillId="0" borderId="350" xfId="2" applyNumberFormat="1" applyFont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187" fontId="57" fillId="7" borderId="263" xfId="2" applyNumberFormat="1" applyFont="1" applyFill="1" applyBorder="1" applyAlignment="1">
      <alignment horizontal="center" vertical="center" wrapText="1"/>
    </xf>
    <xf numFmtId="0" fontId="176" fillId="125" borderId="216" xfId="0" applyFont="1" applyFill="1" applyBorder="1" applyAlignment="1">
      <alignment horizontal="center" vertical="center"/>
    </xf>
    <xf numFmtId="0" fontId="176" fillId="125" borderId="271" xfId="0" applyFont="1" applyFill="1" applyBorder="1" applyAlignment="1">
      <alignment horizontal="center" vertical="center"/>
    </xf>
    <xf numFmtId="38" fontId="171" fillId="0" borderId="270" xfId="2" applyNumberFormat="1" applyFont="1" applyBorder="1" applyAlignment="1">
      <alignment horizontal="center" vertical="center"/>
    </xf>
    <xf numFmtId="0" fontId="177" fillId="126" borderId="369" xfId="0" applyFont="1" applyFill="1" applyBorder="1" applyAlignment="1">
      <alignment horizontal="center" vertical="center"/>
    </xf>
    <xf numFmtId="226" fontId="57" fillId="0" borderId="299" xfId="2" applyNumberFormat="1" applyFont="1" applyFill="1" applyBorder="1" applyAlignment="1">
      <alignment horizontal="center" vertical="center"/>
    </xf>
    <xf numFmtId="226" fontId="57" fillId="0" borderId="244" xfId="2" applyNumberFormat="1" applyFont="1" applyFill="1" applyBorder="1" applyAlignment="1">
      <alignment horizontal="center" vertical="center"/>
    </xf>
    <xf numFmtId="0" fontId="0" fillId="0" borderId="244" xfId="0" applyNumberFormat="1" applyBorder="1" applyAlignment="1" applyProtection="1">
      <alignment horizontal="center" vertical="center"/>
      <protection locked="0"/>
    </xf>
    <xf numFmtId="178" fontId="57" fillId="0" borderId="244" xfId="2" applyNumberFormat="1" applyFont="1" applyFill="1" applyBorder="1" applyAlignment="1">
      <alignment horizontal="center" vertical="center"/>
    </xf>
    <xf numFmtId="226" fontId="57" fillId="0" borderId="375" xfId="2" applyNumberFormat="1" applyFont="1" applyFill="1" applyBorder="1" applyAlignment="1">
      <alignment horizontal="center" vertical="center"/>
    </xf>
    <xf numFmtId="187" fontId="57" fillId="15" borderId="25" xfId="2" applyNumberFormat="1" applyFont="1" applyFill="1" applyBorder="1" applyAlignment="1">
      <alignment horizontal="center" vertical="center"/>
    </xf>
    <xf numFmtId="187" fontId="57" fillId="0" borderId="302" xfId="0" applyNumberFormat="1" applyFont="1" applyBorder="1" applyAlignment="1">
      <alignment horizontal="center" vertical="center"/>
    </xf>
    <xf numFmtId="187" fontId="57" fillId="0" borderId="227" xfId="0" applyNumberFormat="1" applyFont="1" applyBorder="1" applyAlignment="1">
      <alignment horizontal="center" vertical="center"/>
    </xf>
    <xf numFmtId="226" fontId="57" fillId="0" borderId="370" xfId="2" applyNumberFormat="1" applyFont="1" applyFill="1" applyBorder="1" applyAlignment="1">
      <alignment horizontal="center" vertical="center"/>
    </xf>
    <xf numFmtId="185" fontId="57" fillId="0" borderId="376" xfId="0" applyNumberFormat="1" applyFont="1" applyFill="1" applyBorder="1" applyAlignment="1">
      <alignment horizontal="center" vertical="center"/>
    </xf>
    <xf numFmtId="223" fontId="57" fillId="0" borderId="5" xfId="2" applyNumberFormat="1" applyFont="1" applyFill="1" applyBorder="1" applyAlignment="1">
      <alignment horizontal="center" vertical="center"/>
    </xf>
    <xf numFmtId="236" fontId="27" fillId="5" borderId="216" xfId="2" applyNumberFormat="1" applyFont="1" applyFill="1" applyBorder="1" applyAlignment="1">
      <alignment horizontal="center" vertical="center"/>
    </xf>
    <xf numFmtId="0" fontId="25" fillId="0" borderId="37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326" xfId="0" applyFont="1" applyBorder="1" applyAlignment="1">
      <alignment horizontal="center" vertical="center"/>
    </xf>
    <xf numFmtId="0" fontId="176" fillId="125" borderId="105" xfId="0" applyFont="1" applyFill="1" applyBorder="1" applyAlignment="1">
      <alignment horizontal="center" vertical="center" wrapText="1"/>
    </xf>
    <xf numFmtId="0" fontId="176" fillId="125" borderId="313" xfId="0" applyFont="1" applyFill="1" applyBorder="1" applyAlignment="1">
      <alignment horizontal="center" vertical="center" wrapText="1" readingOrder="1"/>
    </xf>
    <xf numFmtId="0" fontId="176" fillId="125" borderId="57" xfId="0" applyFont="1" applyFill="1" applyBorder="1" applyAlignment="1">
      <alignment horizontal="center" vertical="center" wrapText="1" readingOrder="1"/>
    </xf>
    <xf numFmtId="0" fontId="176" fillId="125" borderId="207" xfId="0" applyFont="1" applyFill="1" applyBorder="1" applyAlignment="1">
      <alignment horizontal="center" vertical="center" wrapText="1" readingOrder="1"/>
    </xf>
    <xf numFmtId="0" fontId="176" fillId="125" borderId="56" xfId="0" applyFont="1" applyFill="1" applyBorder="1" applyAlignment="1">
      <alignment horizontal="center" vertical="center" wrapText="1" readingOrder="1"/>
    </xf>
    <xf numFmtId="0" fontId="176" fillId="128" borderId="56" xfId="0" applyFont="1" applyFill="1" applyBorder="1" applyAlignment="1">
      <alignment horizontal="center" vertical="center" wrapText="1"/>
    </xf>
    <xf numFmtId="0" fontId="176" fillId="128" borderId="57" xfId="0" applyFont="1" applyFill="1" applyBorder="1" applyAlignment="1">
      <alignment horizontal="center" vertical="center" wrapText="1"/>
    </xf>
    <xf numFmtId="9" fontId="176" fillId="128" borderId="57" xfId="1" applyFont="1" applyFill="1" applyBorder="1" applyAlignment="1">
      <alignment horizontal="center" vertical="center" wrapText="1"/>
    </xf>
    <xf numFmtId="3" fontId="176" fillId="128" borderId="57" xfId="0" applyNumberFormat="1" applyFont="1" applyFill="1" applyBorder="1" applyAlignment="1">
      <alignment horizontal="center" vertical="center" wrapText="1"/>
    </xf>
    <xf numFmtId="3" fontId="176" fillId="128" borderId="56" xfId="0" applyNumberFormat="1" applyFont="1" applyFill="1" applyBorder="1" applyAlignment="1">
      <alignment horizontal="center" vertical="center" wrapText="1"/>
    </xf>
    <xf numFmtId="0" fontId="176" fillId="125" borderId="380" xfId="0" applyFont="1" applyFill="1" applyBorder="1" applyAlignment="1">
      <alignment horizontal="center" vertical="center" wrapText="1" readingOrder="1"/>
    </xf>
    <xf numFmtId="38" fontId="165" fillId="0" borderId="381" xfId="1" applyNumberFormat="1" applyFont="1" applyBorder="1" applyAlignment="1">
      <alignment horizontal="center" vertical="center" wrapText="1"/>
    </xf>
    <xf numFmtId="4" fontId="57" fillId="7" borderId="379" xfId="2" applyNumberFormat="1" applyFont="1" applyFill="1" applyBorder="1" applyAlignment="1">
      <alignment horizontal="center" vertical="center"/>
    </xf>
    <xf numFmtId="3" fontId="57" fillId="7" borderId="379" xfId="2" applyNumberFormat="1" applyFont="1" applyFill="1" applyBorder="1" applyAlignment="1">
      <alignment horizontal="center" vertical="center"/>
    </xf>
    <xf numFmtId="187" fontId="171" fillId="6" borderId="379" xfId="2" applyNumberFormat="1" applyFont="1" applyFill="1" applyBorder="1" applyAlignment="1">
      <alignment horizontal="center" vertical="center" wrapText="1"/>
    </xf>
    <xf numFmtId="3" fontId="57" fillId="7" borderId="6" xfId="2" applyNumberFormat="1" applyFont="1" applyFill="1" applyBorder="1" applyAlignment="1">
      <alignment horizontal="center" vertical="center"/>
    </xf>
    <xf numFmtId="9" fontId="28" fillId="7" borderId="122" xfId="1" applyFont="1" applyFill="1" applyBorder="1" applyAlignment="1">
      <alignment horizontal="center" vertical="center"/>
    </xf>
    <xf numFmtId="0" fontId="176" fillId="125" borderId="5" xfId="0" applyFont="1" applyFill="1" applyBorder="1" applyAlignment="1">
      <alignment horizontal="center" vertical="center"/>
    </xf>
    <xf numFmtId="0" fontId="176" fillId="125" borderId="384" xfId="0" applyFont="1" applyFill="1" applyBorder="1" applyAlignment="1">
      <alignment horizontal="center" vertical="center"/>
    </xf>
    <xf numFmtId="38" fontId="176" fillId="125" borderId="384" xfId="2" applyNumberFormat="1" applyFont="1" applyFill="1" applyBorder="1" applyAlignment="1">
      <alignment horizontal="center" vertical="center"/>
    </xf>
    <xf numFmtId="9" fontId="176" fillId="125" borderId="385" xfId="1" applyFont="1" applyFill="1" applyBorder="1" applyAlignment="1">
      <alignment horizontal="center" vertical="center"/>
    </xf>
    <xf numFmtId="9" fontId="176" fillId="125" borderId="384" xfId="1" applyFont="1" applyFill="1" applyBorder="1" applyAlignment="1">
      <alignment horizontal="center" vertical="center"/>
    </xf>
    <xf numFmtId="41" fontId="176" fillId="125" borderId="384" xfId="2" applyFont="1" applyFill="1" applyBorder="1" applyAlignment="1">
      <alignment horizontal="center" vertical="center"/>
    </xf>
    <xf numFmtId="41" fontId="177" fillId="127" borderId="6" xfId="2" applyFont="1" applyFill="1" applyBorder="1" applyAlignment="1">
      <alignment horizontal="center" vertical="center"/>
    </xf>
    <xf numFmtId="41" fontId="177" fillId="127" borderId="379" xfId="2" applyFont="1" applyFill="1" applyBorder="1" applyAlignment="1">
      <alignment horizontal="center" vertical="center"/>
    </xf>
    <xf numFmtId="41" fontId="177" fillId="127" borderId="122" xfId="2" applyFont="1" applyFill="1" applyBorder="1" applyAlignment="1">
      <alignment horizontal="center" vertical="center"/>
    </xf>
    <xf numFmtId="0" fontId="176" fillId="127" borderId="238" xfId="0" applyFont="1" applyFill="1" applyBorder="1" applyAlignment="1">
      <alignment horizontal="center" vertical="center"/>
    </xf>
    <xf numFmtId="41" fontId="177" fillId="127" borderId="238" xfId="2" applyFont="1" applyFill="1" applyBorder="1" applyAlignment="1">
      <alignment horizontal="center" vertical="center"/>
    </xf>
    <xf numFmtId="0" fontId="176" fillId="127" borderId="271" xfId="0" applyFont="1" applyFill="1" applyBorder="1" applyAlignment="1">
      <alignment horizontal="center" vertical="center"/>
    </xf>
    <xf numFmtId="41" fontId="177" fillId="127" borderId="271" xfId="2" applyFont="1" applyFill="1" applyBorder="1" applyAlignment="1">
      <alignment horizontal="center" vertical="center"/>
    </xf>
    <xf numFmtId="2" fontId="3" fillId="0" borderId="0" xfId="12074" applyNumberFormat="1" applyFont="1">
      <alignment vertical="center"/>
    </xf>
    <xf numFmtId="41" fontId="176" fillId="125" borderId="379" xfId="2" applyFont="1" applyFill="1" applyBorder="1" applyAlignment="1">
      <alignment horizontal="center" vertical="center"/>
    </xf>
    <xf numFmtId="38" fontId="176" fillId="125" borderId="379" xfId="2" applyNumberFormat="1" applyFont="1" applyFill="1" applyBorder="1" applyAlignment="1">
      <alignment horizontal="center" vertical="center"/>
    </xf>
    <xf numFmtId="9" fontId="176" fillId="125" borderId="379" xfId="1" applyFont="1" applyFill="1" applyBorder="1" applyAlignment="1">
      <alignment horizontal="center" vertical="center"/>
    </xf>
    <xf numFmtId="9" fontId="176" fillId="125" borderId="373" xfId="1" applyFont="1" applyFill="1" applyBorder="1" applyAlignment="1">
      <alignment horizontal="center" vertical="center"/>
    </xf>
    <xf numFmtId="187" fontId="57" fillId="7" borderId="122" xfId="2" applyNumberFormat="1" applyFont="1" applyFill="1" applyBorder="1" applyAlignment="1">
      <alignment horizontal="center" vertical="center"/>
    </xf>
    <xf numFmtId="3" fontId="57" fillId="7" borderId="122" xfId="2" applyNumberFormat="1" applyFont="1" applyFill="1" applyBorder="1" applyAlignment="1">
      <alignment horizontal="center" vertical="center"/>
    </xf>
    <xf numFmtId="38" fontId="28" fillId="0" borderId="122" xfId="2" applyNumberFormat="1" applyFont="1" applyFill="1" applyBorder="1" applyAlignment="1">
      <alignment horizontal="center" vertical="center"/>
    </xf>
    <xf numFmtId="9" fontId="28" fillId="0" borderId="123" xfId="1" applyFont="1" applyFill="1" applyBorder="1" applyAlignment="1">
      <alignment horizontal="center" vertical="center"/>
    </xf>
    <xf numFmtId="187" fontId="171" fillId="6" borderId="384" xfId="2" applyNumberFormat="1" applyFont="1" applyFill="1" applyBorder="1" applyAlignment="1">
      <alignment horizontal="center" vertical="center"/>
    </xf>
    <xf numFmtId="3" fontId="176" fillId="125" borderId="384" xfId="2" applyNumberFormat="1" applyFont="1" applyFill="1" applyBorder="1" applyAlignment="1">
      <alignment horizontal="center" vertical="center" wrapText="1"/>
    </xf>
    <xf numFmtId="178" fontId="176" fillId="125" borderId="384" xfId="2" applyNumberFormat="1" applyFont="1" applyFill="1" applyBorder="1" applyAlignment="1">
      <alignment horizontal="center" vertical="center"/>
    </xf>
    <xf numFmtId="226" fontId="171" fillId="8" borderId="122" xfId="0" applyNumberFormat="1" applyFont="1" applyFill="1" applyBorder="1" applyAlignment="1">
      <alignment horizontal="center" vertical="center"/>
    </xf>
    <xf numFmtId="2" fontId="171" fillId="8" borderId="122" xfId="0" applyNumberFormat="1" applyFont="1" applyFill="1" applyBorder="1" applyAlignment="1">
      <alignment horizontal="center" vertical="center" wrapText="1"/>
    </xf>
    <xf numFmtId="2" fontId="34" fillId="8" borderId="47" xfId="0" quotePrefix="1" applyNumberFormat="1" applyFont="1" applyFill="1" applyBorder="1" applyAlignment="1">
      <alignment horizontal="center" vertical="center"/>
    </xf>
    <xf numFmtId="2" fontId="34" fillId="8" borderId="122" xfId="0" applyNumberFormat="1" applyFont="1" applyFill="1" applyBorder="1" applyAlignment="1">
      <alignment horizontal="center" vertical="center"/>
    </xf>
    <xf numFmtId="0" fontId="34" fillId="8" borderId="122" xfId="0" applyFont="1" applyFill="1" applyBorder="1" applyAlignment="1">
      <alignment horizontal="center" vertical="center"/>
    </xf>
    <xf numFmtId="0" fontId="34" fillId="8" borderId="122" xfId="0" applyFont="1" applyFill="1" applyBorder="1" applyAlignment="1">
      <alignment horizontal="center" vertical="center" wrapText="1"/>
    </xf>
    <xf numFmtId="0" fontId="34" fillId="8" borderId="123" xfId="0" applyFont="1" applyFill="1" applyBorder="1" applyAlignment="1">
      <alignment horizontal="center" vertical="center" wrapText="1"/>
    </xf>
    <xf numFmtId="183" fontId="57" fillId="7" borderId="122" xfId="2" applyNumberFormat="1" applyFont="1" applyFill="1" applyBorder="1" applyAlignment="1">
      <alignment horizontal="center" vertical="center" wrapText="1"/>
    </xf>
    <xf numFmtId="183" fontId="28" fillId="7" borderId="47" xfId="2" applyNumberFormat="1" applyFont="1" applyFill="1" applyBorder="1" applyAlignment="1">
      <alignment horizontal="center" vertical="center" wrapText="1"/>
    </xf>
    <xf numFmtId="38" fontId="28" fillId="7" borderId="122" xfId="2" applyNumberFormat="1" applyFont="1" applyFill="1" applyBorder="1" applyAlignment="1">
      <alignment horizontal="center" vertical="center" wrapText="1"/>
    </xf>
    <xf numFmtId="0" fontId="176" fillId="125" borderId="216" xfId="0" applyFont="1" applyFill="1" applyBorder="1" applyAlignment="1">
      <alignment horizontal="center" vertical="center" wrapText="1"/>
    </xf>
    <xf numFmtId="38" fontId="176" fillId="125" borderId="216" xfId="0" applyNumberFormat="1" applyFont="1" applyFill="1" applyBorder="1" applyAlignment="1">
      <alignment horizontal="center" vertical="center"/>
    </xf>
    <xf numFmtId="9" fontId="176" fillId="125" borderId="216" xfId="1" applyFont="1" applyFill="1" applyBorder="1" applyAlignment="1">
      <alignment horizontal="center" vertical="center"/>
    </xf>
    <xf numFmtId="0" fontId="177" fillId="127" borderId="216" xfId="0" applyFont="1" applyFill="1" applyBorder="1" applyAlignment="1">
      <alignment horizontal="center" vertical="center"/>
    </xf>
    <xf numFmtId="183" fontId="176" fillId="125" borderId="271" xfId="0" applyNumberFormat="1" applyFont="1" applyFill="1" applyBorder="1" applyAlignment="1">
      <alignment horizontal="center" vertical="center"/>
    </xf>
    <xf numFmtId="183" fontId="176" fillId="125" borderId="216" xfId="0" applyNumberFormat="1" applyFont="1" applyFill="1" applyBorder="1" applyAlignment="1">
      <alignment horizontal="center" vertical="center"/>
    </xf>
    <xf numFmtId="38" fontId="176" fillId="125" borderId="238" xfId="0" applyNumberFormat="1" applyFont="1" applyFill="1" applyBorder="1" applyAlignment="1">
      <alignment horizontal="center" vertical="center"/>
    </xf>
    <xf numFmtId="187" fontId="57" fillId="15" borderId="374" xfId="2" applyNumberFormat="1" applyFont="1" applyFill="1" applyBorder="1" applyAlignment="1">
      <alignment horizontal="center" vertical="center"/>
    </xf>
    <xf numFmtId="0" fontId="57" fillId="15" borderId="373" xfId="0" applyFont="1" applyFill="1" applyBorder="1" applyAlignment="1">
      <alignment horizontal="center" vertical="center"/>
    </xf>
    <xf numFmtId="38" fontId="57" fillId="7" borderId="379" xfId="2" applyNumberFormat="1" applyFont="1" applyFill="1" applyBorder="1" applyAlignment="1">
      <alignment horizontal="center" vertical="center"/>
    </xf>
    <xf numFmtId="38" fontId="57" fillId="7" borderId="374" xfId="0" applyNumberFormat="1" applyFont="1" applyFill="1" applyBorder="1" applyAlignment="1">
      <alignment horizontal="center" vertical="center"/>
    </xf>
    <xf numFmtId="38" fontId="57" fillId="7" borderId="374" xfId="2" applyNumberFormat="1" applyFont="1" applyFill="1" applyBorder="1" applyAlignment="1">
      <alignment horizontal="center" vertical="center"/>
    </xf>
    <xf numFmtId="9" fontId="57" fillId="7" borderId="374" xfId="1" applyFont="1" applyFill="1" applyBorder="1" applyAlignment="1">
      <alignment horizontal="center" vertical="center"/>
    </xf>
    <xf numFmtId="38" fontId="57" fillId="15" borderId="383" xfId="2" applyNumberFormat="1" applyFont="1" applyFill="1" applyBorder="1" applyAlignment="1">
      <alignment horizontal="center" vertical="center"/>
    </xf>
    <xf numFmtId="0" fontId="57" fillId="15" borderId="385" xfId="0" applyFont="1" applyFill="1" applyBorder="1" applyAlignment="1">
      <alignment horizontal="center" vertical="center"/>
    </xf>
    <xf numFmtId="9" fontId="177" fillId="15" borderId="383" xfId="1" applyFont="1" applyFill="1" applyBorder="1" applyAlignment="1">
      <alignment horizontal="center" vertical="center"/>
    </xf>
    <xf numFmtId="183" fontId="57" fillId="7" borderId="330" xfId="2" applyNumberFormat="1" applyFont="1" applyFill="1" applyBorder="1" applyAlignment="1">
      <alignment horizontal="center" vertical="center"/>
    </xf>
    <xf numFmtId="183" fontId="57" fillId="7" borderId="228" xfId="2" applyNumberFormat="1" applyFont="1" applyFill="1" applyBorder="1" applyAlignment="1">
      <alignment horizontal="center" vertical="center"/>
    </xf>
    <xf numFmtId="178" fontId="57" fillId="0" borderId="330" xfId="2" applyNumberFormat="1" applyFont="1" applyFill="1" applyBorder="1" applyAlignment="1">
      <alignment horizontal="center" vertical="center"/>
    </xf>
    <xf numFmtId="183" fontId="57" fillId="0" borderId="294" xfId="2" applyNumberFormat="1" applyFont="1" applyFill="1" applyBorder="1" applyAlignment="1">
      <alignment horizontal="center" vertical="center" wrapText="1"/>
    </xf>
    <xf numFmtId="183" fontId="57" fillId="7" borderId="40" xfId="2" applyNumberFormat="1" applyFont="1" applyFill="1" applyBorder="1" applyAlignment="1">
      <alignment horizontal="center" vertical="center"/>
    </xf>
    <xf numFmtId="0" fontId="57" fillId="15" borderId="329" xfId="0" applyFont="1" applyFill="1" applyBorder="1" applyAlignment="1">
      <alignment horizontal="center" vertical="center"/>
    </xf>
    <xf numFmtId="187" fontId="171" fillId="0" borderId="228" xfId="0" applyNumberFormat="1" applyFont="1" applyBorder="1" applyAlignment="1">
      <alignment horizontal="center" vertical="center"/>
    </xf>
    <xf numFmtId="1" fontId="57" fillId="0" borderId="379" xfId="0" applyNumberFormat="1" applyFont="1" applyFill="1" applyBorder="1" applyAlignment="1">
      <alignment horizontal="center" vertical="center"/>
    </xf>
    <xf numFmtId="176" fontId="57" fillId="0" borderId="376" xfId="0" applyNumberFormat="1" applyFont="1" applyFill="1" applyBorder="1" applyAlignment="1">
      <alignment horizontal="center" vertical="center"/>
    </xf>
    <xf numFmtId="1" fontId="57" fillId="0" borderId="374" xfId="0" applyNumberFormat="1" applyFont="1" applyFill="1" applyBorder="1" applyAlignment="1">
      <alignment horizontal="center" vertical="center"/>
    </xf>
    <xf numFmtId="176" fontId="57" fillId="0" borderId="374" xfId="0" applyNumberFormat="1" applyFont="1" applyFill="1" applyBorder="1" applyAlignment="1">
      <alignment horizontal="center" vertical="center"/>
    </xf>
    <xf numFmtId="2" fontId="57" fillId="0" borderId="330" xfId="0" applyNumberFormat="1" applyFont="1" applyFill="1" applyBorder="1" applyAlignment="1">
      <alignment horizontal="center" vertical="center"/>
    </xf>
    <xf numFmtId="226" fontId="57" fillId="0" borderId="47" xfId="2" applyNumberFormat="1" applyFont="1" applyBorder="1" applyAlignment="1">
      <alignment horizontal="center" vertical="center"/>
    </xf>
    <xf numFmtId="187" fontId="57" fillId="0" borderId="330" xfId="2" applyNumberFormat="1" applyFont="1" applyFill="1" applyBorder="1" applyAlignment="1">
      <alignment horizontal="center" vertical="center"/>
    </xf>
    <xf numFmtId="187" fontId="57" fillId="0" borderId="40" xfId="2" applyNumberFormat="1" applyFont="1" applyFill="1" applyBorder="1" applyAlignment="1">
      <alignment horizontal="center" vertical="center"/>
    </xf>
    <xf numFmtId="226" fontId="57" fillId="0" borderId="136" xfId="2" applyNumberFormat="1" applyFont="1" applyBorder="1" applyAlignment="1">
      <alignment horizontal="center" vertical="center"/>
    </xf>
    <xf numFmtId="187" fontId="57" fillId="0" borderId="312" xfId="2" applyNumberFormat="1" applyFont="1" applyBorder="1" applyAlignment="1">
      <alignment horizontal="center" vertical="center"/>
    </xf>
    <xf numFmtId="187" fontId="57" fillId="0" borderId="387" xfId="2" applyNumberFormat="1" applyFont="1" applyBorder="1" applyAlignment="1">
      <alignment horizontal="center" vertical="center"/>
    </xf>
    <xf numFmtId="187" fontId="57" fillId="0" borderId="330" xfId="2" applyNumberFormat="1" applyFont="1" applyBorder="1" applyAlignment="1">
      <alignment horizontal="center" vertical="center"/>
    </xf>
    <xf numFmtId="38" fontId="171" fillId="0" borderId="228" xfId="2" applyNumberFormat="1" applyFont="1" applyBorder="1" applyAlignment="1">
      <alignment horizontal="center" vertical="center"/>
    </xf>
    <xf numFmtId="181" fontId="125" fillId="0" borderId="96" xfId="4124" applyNumberFormat="1" applyFont="1" applyFill="1" applyBorder="1" applyAlignment="1">
      <alignment horizontal="center" vertical="center"/>
    </xf>
    <xf numFmtId="185" fontId="57" fillId="0" borderId="377" xfId="0" applyNumberFormat="1" applyFont="1" applyFill="1" applyBorder="1" applyAlignment="1">
      <alignment horizontal="center" vertical="center"/>
    </xf>
    <xf numFmtId="0" fontId="176" fillId="125" borderId="37" xfId="0" quotePrefix="1" applyFont="1" applyFill="1" applyBorder="1" applyAlignment="1">
      <alignment horizontal="center" vertical="center"/>
    </xf>
    <xf numFmtId="183" fontId="57" fillId="0" borderId="48" xfId="2" applyNumberFormat="1" applyFont="1" applyBorder="1" applyAlignment="1">
      <alignment horizontal="center" vertical="center"/>
    </xf>
    <xf numFmtId="0" fontId="28" fillId="7" borderId="379" xfId="0" applyFont="1" applyFill="1" applyBorder="1" applyAlignment="1">
      <alignment horizontal="center" vertical="center"/>
    </xf>
    <xf numFmtId="0" fontId="28" fillId="7" borderId="379" xfId="0" applyFont="1" applyFill="1" applyBorder="1">
      <alignment vertical="center"/>
    </xf>
    <xf numFmtId="0" fontId="28" fillId="3" borderId="379" xfId="0" applyFont="1" applyFill="1" applyBorder="1" applyAlignment="1">
      <alignment horizontal="center" vertical="center"/>
    </xf>
    <xf numFmtId="2" fontId="28" fillId="7" borderId="0" xfId="0" applyNumberFormat="1" applyFont="1" applyFill="1" applyAlignment="1">
      <alignment horizontal="center" vertical="center"/>
    </xf>
    <xf numFmtId="176" fontId="28" fillId="7" borderId="0" xfId="0" applyNumberFormat="1" applyFont="1" applyFill="1" applyAlignment="1">
      <alignment horizontal="center" vertical="center"/>
    </xf>
    <xf numFmtId="178" fontId="28" fillId="7" borderId="0" xfId="0" applyNumberFormat="1" applyFont="1" applyFill="1" applyAlignment="1">
      <alignment horizontal="center" vertical="center"/>
    </xf>
    <xf numFmtId="0" fontId="25" fillId="0" borderId="121" xfId="0" applyFont="1" applyBorder="1" applyAlignment="1">
      <alignment horizontal="center" vertical="center"/>
    </xf>
    <xf numFmtId="225" fontId="25" fillId="0" borderId="122" xfId="0" applyNumberFormat="1" applyFont="1" applyBorder="1" applyAlignment="1">
      <alignment horizontal="center" vertical="center"/>
    </xf>
    <xf numFmtId="0" fontId="25" fillId="0" borderId="354" xfId="0" applyFont="1" applyBorder="1" applyAlignment="1">
      <alignment horizontal="center" vertical="center"/>
    </xf>
    <xf numFmtId="185" fontId="25" fillId="0" borderId="6" xfId="0" applyNumberFormat="1" applyFont="1" applyBorder="1" applyAlignment="1">
      <alignment horizontal="center" vertical="center"/>
    </xf>
    <xf numFmtId="185" fontId="25" fillId="0" borderId="379" xfId="0" applyNumberFormat="1" applyFont="1" applyBorder="1" applyAlignment="1">
      <alignment horizontal="center" vertical="center"/>
    </xf>
    <xf numFmtId="185" fontId="25" fillId="0" borderId="0" xfId="0" applyNumberFormat="1" applyFont="1" applyAlignment="1">
      <alignment horizontal="center" vertical="center"/>
    </xf>
    <xf numFmtId="0" fontId="28" fillId="3" borderId="0" xfId="0" applyFont="1" applyFill="1">
      <alignment vertical="center"/>
    </xf>
    <xf numFmtId="0" fontId="176" fillId="125" borderId="376" xfId="0" applyFont="1" applyFill="1" applyBorder="1" applyAlignment="1">
      <alignment horizontal="center" vertical="center" wrapText="1"/>
    </xf>
    <xf numFmtId="0" fontId="165" fillId="0" borderId="376" xfId="0" applyFont="1" applyBorder="1" applyAlignment="1">
      <alignment horizontal="center" vertical="center" wrapText="1"/>
    </xf>
    <xf numFmtId="4" fontId="57" fillId="7" borderId="47" xfId="2" applyNumberFormat="1" applyFont="1" applyFill="1" applyBorder="1" applyAlignment="1">
      <alignment horizontal="center" vertical="center"/>
    </xf>
    <xf numFmtId="4" fontId="57" fillId="7" borderId="40" xfId="2" applyNumberFormat="1" applyFont="1" applyFill="1" applyBorder="1" applyAlignment="1">
      <alignment horizontal="center" vertical="center"/>
    </xf>
    <xf numFmtId="237" fontId="27" fillId="5" borderId="216" xfId="2" applyNumberFormat="1" applyFont="1" applyFill="1" applyBorder="1" applyAlignment="1">
      <alignment horizontal="center" vertical="center"/>
    </xf>
    <xf numFmtId="237" fontId="27" fillId="5" borderId="216" xfId="0" applyNumberFormat="1" applyFont="1" applyFill="1" applyBorder="1" applyAlignment="1">
      <alignment horizontal="center" vertical="center"/>
    </xf>
    <xf numFmtId="187" fontId="57" fillId="0" borderId="121" xfId="2" applyNumberFormat="1" applyFont="1" applyBorder="1" applyAlignment="1">
      <alignment horizontal="center" vertical="center"/>
    </xf>
    <xf numFmtId="186" fontId="0" fillId="0" borderId="0" xfId="4124" applyNumberFormat="1" applyFont="1" applyAlignment="1">
      <alignment horizontal="left"/>
    </xf>
    <xf numFmtId="176" fontId="57" fillId="0" borderId="377" xfId="0" applyNumberFormat="1" applyFont="1" applyFill="1" applyBorder="1" applyAlignment="1">
      <alignment horizontal="center" vertical="center"/>
    </xf>
    <xf numFmtId="1" fontId="57" fillId="0" borderId="372" xfId="0" applyNumberFormat="1" applyFont="1" applyFill="1" applyBorder="1" applyAlignment="1">
      <alignment horizontal="center" vertical="center"/>
    </xf>
    <xf numFmtId="187" fontId="171" fillId="0" borderId="287" xfId="0" applyNumberFormat="1" applyFont="1" applyBorder="1" applyAlignment="1">
      <alignment horizontal="center" vertical="center"/>
    </xf>
    <xf numFmtId="9" fontId="171" fillId="7" borderId="228" xfId="1" applyFont="1" applyFill="1" applyBorder="1" applyAlignment="1">
      <alignment horizontal="center" vertical="center"/>
    </xf>
    <xf numFmtId="0" fontId="171" fillId="7" borderId="229" xfId="0" applyFont="1" applyFill="1" applyBorder="1" applyAlignment="1">
      <alignment horizontal="center" vertical="center"/>
    </xf>
    <xf numFmtId="0" fontId="188" fillId="3" borderId="0" xfId="0" applyFont="1" applyFill="1">
      <alignment vertical="center"/>
    </xf>
    <xf numFmtId="177" fontId="25" fillId="0" borderId="122" xfId="0" applyNumberFormat="1" applyFont="1" applyBorder="1" applyAlignment="1">
      <alignment horizontal="center" vertical="center"/>
    </xf>
    <xf numFmtId="177" fontId="25" fillId="0" borderId="123" xfId="0" applyNumberFormat="1" applyFont="1" applyBorder="1" applyAlignment="1">
      <alignment horizontal="center" vertical="center"/>
    </xf>
    <xf numFmtId="187" fontId="28" fillId="0" borderId="202" xfId="2" applyNumberFormat="1" applyFont="1" applyFill="1" applyBorder="1" applyAlignment="1">
      <alignment horizontal="center" vertical="center"/>
    </xf>
    <xf numFmtId="0" fontId="37" fillId="11" borderId="0" xfId="0" applyFont="1" applyFill="1" applyBorder="1" applyAlignment="1" applyProtection="1">
      <alignment horizontal="center" vertical="center"/>
      <protection locked="0"/>
    </xf>
    <xf numFmtId="0" fontId="0" fillId="11" borderId="0" xfId="0" applyFill="1" applyAlignment="1" applyProtection="1">
      <alignment horizontal="center" vertical="center"/>
      <protection locked="0"/>
    </xf>
    <xf numFmtId="0" fontId="0" fillId="12" borderId="0" xfId="0" applyFill="1" applyAlignment="1" applyProtection="1">
      <alignment horizontal="center" vertical="center"/>
      <protection locked="0"/>
    </xf>
    <xf numFmtId="187" fontId="171" fillId="7" borderId="287" xfId="0" applyNumberFormat="1" applyFont="1" applyFill="1" applyBorder="1" applyAlignment="1">
      <alignment horizontal="center" vertical="center"/>
    </xf>
    <xf numFmtId="0" fontId="57" fillId="15" borderId="228" xfId="0" applyFont="1" applyFill="1" applyBorder="1">
      <alignment vertical="center"/>
    </xf>
    <xf numFmtId="0" fontId="171" fillId="15" borderId="110" xfId="0" applyFont="1" applyFill="1" applyBorder="1" applyAlignment="1">
      <alignment vertical="center"/>
    </xf>
    <xf numFmtId="187" fontId="171" fillId="15" borderId="226" xfId="0" applyNumberFormat="1" applyFont="1" applyFill="1" applyBorder="1" applyAlignment="1">
      <alignment horizontal="center" vertical="center"/>
    </xf>
    <xf numFmtId="187" fontId="171" fillId="15" borderId="228" xfId="0" applyNumberFormat="1" applyFont="1" applyFill="1" applyBorder="1" applyAlignment="1">
      <alignment horizontal="center" vertical="center"/>
    </xf>
    <xf numFmtId="187" fontId="171" fillId="15" borderId="225" xfId="0" applyNumberFormat="1" applyFont="1" applyFill="1" applyBorder="1" applyAlignment="1">
      <alignment horizontal="center" vertical="center"/>
    </xf>
    <xf numFmtId="9" fontId="171" fillId="15" borderId="226" xfId="1" applyFont="1" applyFill="1" applyBorder="1" applyAlignment="1">
      <alignment horizontal="center" vertical="center"/>
    </xf>
    <xf numFmtId="187" fontId="171" fillId="15" borderId="391" xfId="0" applyNumberFormat="1" applyFont="1" applyFill="1" applyBorder="1" applyAlignment="1">
      <alignment vertical="center"/>
    </xf>
    <xf numFmtId="38" fontId="171" fillId="0" borderId="287" xfId="2" applyNumberFormat="1" applyFont="1" applyBorder="1" applyAlignment="1">
      <alignment horizontal="center" vertical="center"/>
    </xf>
    <xf numFmtId="0" fontId="174" fillId="0" borderId="379" xfId="0" applyFont="1" applyBorder="1" applyAlignment="1">
      <alignment horizontal="center" vertical="center" wrapText="1" readingOrder="1"/>
    </xf>
    <xf numFmtId="185" fontId="28" fillId="7" borderId="379" xfId="0" applyNumberFormat="1" applyFont="1" applyFill="1" applyBorder="1" applyAlignment="1">
      <alignment horizontal="center" vertical="center"/>
    </xf>
    <xf numFmtId="183" fontId="28" fillId="7" borderId="0" xfId="0" applyNumberFormat="1" applyFont="1" applyFill="1" applyAlignment="1">
      <alignment horizontal="center" vertical="center"/>
    </xf>
    <xf numFmtId="187" fontId="171" fillId="7" borderId="228" xfId="0" applyNumberFormat="1" applyFont="1" applyFill="1" applyBorder="1" applyAlignment="1">
      <alignment horizontal="center" vertical="center"/>
    </xf>
    <xf numFmtId="0" fontId="25" fillId="0" borderId="255" xfId="0" applyFont="1" applyBorder="1" applyAlignment="1">
      <alignment vertical="center" wrapText="1"/>
    </xf>
    <xf numFmtId="0" fontId="28" fillId="0" borderId="255" xfId="0" applyFont="1" applyBorder="1" applyAlignment="1">
      <alignment vertical="center" wrapText="1"/>
    </xf>
    <xf numFmtId="0" fontId="28" fillId="0" borderId="255" xfId="0" applyFont="1" applyBorder="1" applyAlignment="1">
      <alignment vertical="center"/>
    </xf>
    <xf numFmtId="2" fontId="28" fillId="7" borderId="379" xfId="0" applyNumberFormat="1" applyFont="1" applyFill="1" applyBorder="1" applyAlignment="1">
      <alignment horizontal="center" vertical="center"/>
    </xf>
    <xf numFmtId="183" fontId="57" fillId="7" borderId="47" xfId="2" applyNumberFormat="1" applyFont="1" applyFill="1" applyBorder="1" applyAlignment="1">
      <alignment horizontal="center" vertical="center" wrapText="1"/>
    </xf>
    <xf numFmtId="41" fontId="51" fillId="0" borderId="393" xfId="4124" applyFont="1" applyFill="1" applyBorder="1" applyAlignment="1">
      <alignment horizontal="center" vertical="center"/>
    </xf>
    <xf numFmtId="3" fontId="57" fillId="0" borderId="330" xfId="0" applyNumberFormat="1" applyFont="1" applyBorder="1" applyAlignment="1">
      <alignment horizontal="center" vertical="center"/>
    </xf>
    <xf numFmtId="178" fontId="28" fillId="7" borderId="0" xfId="0" applyNumberFormat="1" applyFont="1" applyFill="1">
      <alignment vertical="center"/>
    </xf>
    <xf numFmtId="0" fontId="171" fillId="0" borderId="0" xfId="0" applyFont="1" applyBorder="1" applyAlignment="1">
      <alignment horizontal="left" vertical="center"/>
    </xf>
    <xf numFmtId="0" fontId="57" fillId="0" borderId="0" xfId="0" applyFont="1" applyBorder="1" applyAlignment="1">
      <alignment horizontal="center" vertical="center" wrapText="1"/>
    </xf>
    <xf numFmtId="178" fontId="28" fillId="7" borderId="379" xfId="0" applyNumberFormat="1" applyFont="1" applyFill="1" applyBorder="1" applyAlignment="1">
      <alignment horizontal="center" vertical="center"/>
    </xf>
    <xf numFmtId="0" fontId="177" fillId="127" borderId="395" xfId="0" applyFont="1" applyFill="1" applyBorder="1" applyAlignment="1">
      <alignment horizontal="center" vertical="center" wrapText="1" readingOrder="1"/>
    </xf>
    <xf numFmtId="0" fontId="165" fillId="0" borderId="395" xfId="0" applyFont="1" applyBorder="1" applyAlignment="1">
      <alignment horizontal="center" vertical="center" wrapText="1"/>
    </xf>
    <xf numFmtId="0" fontId="177" fillId="127" borderId="255" xfId="0" applyFont="1" applyFill="1" applyBorder="1" applyAlignment="1">
      <alignment horizontal="center" vertical="center" wrapText="1" readingOrder="1"/>
    </xf>
    <xf numFmtId="0" fontId="165" fillId="0" borderId="255" xfId="0" applyFont="1" applyBorder="1" applyAlignment="1">
      <alignment horizontal="center" vertical="center" wrapText="1"/>
    </xf>
    <xf numFmtId="185" fontId="165" fillId="0" borderId="255" xfId="0" applyNumberFormat="1" applyFont="1" applyBorder="1" applyAlignment="1">
      <alignment horizontal="center" vertical="center" wrapText="1"/>
    </xf>
    <xf numFmtId="9" fontId="165" fillId="0" borderId="255" xfId="1" applyFont="1" applyBorder="1" applyAlignment="1">
      <alignment horizontal="center" vertical="center" wrapText="1"/>
    </xf>
    <xf numFmtId="0" fontId="176" fillId="125" borderId="255" xfId="0" applyFont="1" applyFill="1" applyBorder="1" applyAlignment="1">
      <alignment horizontal="center" vertical="center" wrapText="1" readingOrder="1"/>
    </xf>
    <xf numFmtId="0" fontId="176" fillId="125" borderId="255" xfId="0" applyFont="1" applyFill="1" applyBorder="1" applyAlignment="1">
      <alignment horizontal="center" vertical="center" wrapText="1"/>
    </xf>
    <xf numFmtId="9" fontId="176" fillId="125" borderId="255" xfId="1" applyFont="1" applyFill="1" applyBorder="1" applyAlignment="1">
      <alignment horizontal="center" vertical="center" wrapText="1"/>
    </xf>
    <xf numFmtId="3" fontId="176" fillId="125" borderId="255" xfId="0" applyNumberFormat="1" applyFont="1" applyFill="1" applyBorder="1" applyAlignment="1">
      <alignment horizontal="center" vertical="center" wrapText="1"/>
    </xf>
    <xf numFmtId="9" fontId="176" fillId="125" borderId="255" xfId="1" applyFont="1" applyFill="1" applyBorder="1" applyAlignment="1">
      <alignment horizontal="center" vertical="center"/>
    </xf>
    <xf numFmtId="0" fontId="28" fillId="0" borderId="255" xfId="0" applyFont="1" applyBorder="1">
      <alignment vertical="center"/>
    </xf>
    <xf numFmtId="0" fontId="177" fillId="127" borderId="255" xfId="0" applyFont="1" applyFill="1" applyBorder="1" applyAlignment="1">
      <alignment horizontal="center" vertical="center" wrapText="1"/>
    </xf>
    <xf numFmtId="0" fontId="165" fillId="16" borderId="255" xfId="0" applyFont="1" applyFill="1" applyBorder="1" applyAlignment="1">
      <alignment horizontal="center" vertical="center" wrapText="1"/>
    </xf>
    <xf numFmtId="0" fontId="176" fillId="125" borderId="85" xfId="0" applyFont="1" applyFill="1" applyBorder="1" applyAlignment="1">
      <alignment horizontal="center" vertical="center" wrapText="1"/>
    </xf>
    <xf numFmtId="9" fontId="176" fillId="125" borderId="85" xfId="1" applyFont="1" applyFill="1" applyBorder="1" applyAlignment="1">
      <alignment horizontal="center" vertical="center" wrapText="1"/>
    </xf>
    <xf numFmtId="3" fontId="176" fillId="125" borderId="85" xfId="0" applyNumberFormat="1" applyFont="1" applyFill="1" applyBorder="1" applyAlignment="1">
      <alignment horizontal="center" vertical="center" wrapText="1" readingOrder="1"/>
    </xf>
    <xf numFmtId="3" fontId="176" fillId="125" borderId="85" xfId="0" applyNumberFormat="1" applyFont="1" applyFill="1" applyBorder="1" applyAlignment="1">
      <alignment horizontal="center" vertical="center" wrapText="1"/>
    </xf>
    <xf numFmtId="9" fontId="176" fillId="125" borderId="85" xfId="1" applyFont="1" applyFill="1" applyBorder="1" applyAlignment="1">
      <alignment horizontal="center" vertical="center"/>
    </xf>
    <xf numFmtId="3" fontId="176" fillId="125" borderId="257" xfId="0" applyNumberFormat="1" applyFont="1" applyFill="1" applyBorder="1" applyAlignment="1">
      <alignment horizontal="center" vertical="center" wrapText="1"/>
    </xf>
    <xf numFmtId="3" fontId="176" fillId="125" borderId="258" xfId="0" applyNumberFormat="1" applyFont="1" applyFill="1" applyBorder="1" applyAlignment="1">
      <alignment horizontal="center" vertical="center" wrapText="1" readingOrder="1"/>
    </xf>
    <xf numFmtId="9" fontId="176" fillId="125" borderId="260" xfId="1" applyFont="1" applyFill="1" applyBorder="1" applyAlignment="1">
      <alignment horizontal="center" vertical="center" wrapText="1"/>
    </xf>
    <xf numFmtId="9" fontId="176" fillId="125" borderId="261" xfId="1" applyFont="1" applyFill="1" applyBorder="1" applyAlignment="1">
      <alignment horizontal="center" vertical="center" wrapText="1"/>
    </xf>
    <xf numFmtId="38" fontId="176" fillId="125" borderId="381" xfId="1" applyNumberFormat="1" applyFont="1" applyFill="1" applyBorder="1" applyAlignment="1">
      <alignment horizontal="center" vertical="center" wrapText="1"/>
    </xf>
    <xf numFmtId="38" fontId="176" fillId="125" borderId="396" xfId="1" applyNumberFormat="1" applyFont="1" applyFill="1" applyBorder="1" applyAlignment="1">
      <alignment horizontal="center" vertical="center" wrapText="1"/>
    </xf>
    <xf numFmtId="38" fontId="57" fillId="7" borderId="288" xfId="2" applyNumberFormat="1" applyFont="1" applyFill="1" applyBorder="1" applyAlignment="1">
      <alignment horizontal="center" vertical="center"/>
    </xf>
    <xf numFmtId="223" fontId="57" fillId="0" borderId="122" xfId="2" applyNumberFormat="1" applyFont="1" applyBorder="1" applyAlignment="1">
      <alignment horizontal="center" vertical="center"/>
    </xf>
    <xf numFmtId="183" fontId="57" fillId="0" borderId="370" xfId="0" applyNumberFormat="1" applyFont="1" applyFill="1" applyBorder="1" applyAlignment="1">
      <alignment horizontal="center" vertical="center"/>
    </xf>
    <xf numFmtId="183" fontId="57" fillId="0" borderId="375" xfId="0" applyNumberFormat="1" applyFont="1" applyFill="1" applyBorder="1" applyAlignment="1">
      <alignment horizontal="center" vertical="center"/>
    </xf>
    <xf numFmtId="183" fontId="57" fillId="0" borderId="375" xfId="2" applyNumberFormat="1" applyFont="1" applyFill="1" applyBorder="1" applyAlignment="1">
      <alignment horizontal="center" vertical="center"/>
    </xf>
    <xf numFmtId="183" fontId="57" fillId="0" borderId="370" xfId="2" applyNumberFormat="1" applyFont="1" applyFill="1" applyBorder="1" applyAlignment="1">
      <alignment horizontal="center" vertical="center"/>
    </xf>
    <xf numFmtId="0" fontId="177" fillId="126" borderId="398" xfId="0" applyFont="1" applyFill="1" applyBorder="1" applyAlignment="1">
      <alignment horizontal="center" vertical="center"/>
    </xf>
    <xf numFmtId="183" fontId="57" fillId="0" borderId="399" xfId="2" applyNumberFormat="1" applyFont="1" applyFill="1" applyBorder="1" applyAlignment="1">
      <alignment horizontal="center" vertical="center"/>
    </xf>
    <xf numFmtId="183" fontId="57" fillId="0" borderId="400" xfId="2" applyNumberFormat="1" applyFont="1" applyFill="1" applyBorder="1" applyAlignment="1">
      <alignment horizontal="center" vertical="center"/>
    </xf>
    <xf numFmtId="1" fontId="57" fillId="0" borderId="386" xfId="0" applyNumberFormat="1" applyFont="1" applyFill="1" applyBorder="1" applyAlignment="1">
      <alignment horizontal="center" vertical="center"/>
    </xf>
    <xf numFmtId="1" fontId="57" fillId="0" borderId="384" xfId="0" applyNumberFormat="1" applyFont="1" applyFill="1" applyBorder="1" applyAlignment="1">
      <alignment horizontal="center" vertical="center"/>
    </xf>
    <xf numFmtId="226" fontId="57" fillId="0" borderId="399" xfId="2" applyNumberFormat="1" applyFont="1" applyFill="1" applyBorder="1" applyAlignment="1">
      <alignment horizontal="center" vertical="center"/>
    </xf>
    <xf numFmtId="226" fontId="57" fillId="0" borderId="400" xfId="2" applyNumberFormat="1" applyFont="1" applyFill="1" applyBorder="1" applyAlignment="1">
      <alignment horizontal="center" vertical="center"/>
    </xf>
    <xf numFmtId="0" fontId="177" fillId="126" borderId="123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177" fillId="126" borderId="373" xfId="0" applyFont="1" applyFill="1" applyBorder="1" applyAlignment="1">
      <alignment horizontal="center" vertical="center"/>
    </xf>
    <xf numFmtId="0" fontId="0" fillId="0" borderId="376" xfId="0" applyBorder="1" applyAlignment="1">
      <alignment horizontal="center" vertical="center"/>
    </xf>
    <xf numFmtId="0" fontId="0" fillId="0" borderId="379" xfId="0" applyBorder="1" applyAlignment="1">
      <alignment horizontal="center" vertical="center"/>
    </xf>
    <xf numFmtId="0" fontId="177" fillId="126" borderId="245" xfId="0" applyFont="1" applyFill="1" applyBorder="1" applyAlignment="1">
      <alignment horizontal="center" vertical="center"/>
    </xf>
    <xf numFmtId="0" fontId="0" fillId="0" borderId="293" xfId="0" applyBorder="1" applyAlignment="1">
      <alignment horizontal="center" vertical="center"/>
    </xf>
    <xf numFmtId="0" fontId="0" fillId="0" borderId="218" xfId="0" applyBorder="1" applyAlignment="1">
      <alignment horizontal="center" vertical="center"/>
    </xf>
    <xf numFmtId="0" fontId="177" fillId="126" borderId="385" xfId="0" applyFont="1" applyFill="1" applyBorder="1" applyAlignment="1">
      <alignment horizontal="center" vertical="center"/>
    </xf>
    <xf numFmtId="0" fontId="0" fillId="0" borderId="388" xfId="0" applyBorder="1" applyAlignment="1">
      <alignment horizontal="center" vertical="center"/>
    </xf>
    <xf numFmtId="0" fontId="0" fillId="0" borderId="384" xfId="0" applyBorder="1" applyAlignment="1">
      <alignment horizontal="center" vertical="center"/>
    </xf>
    <xf numFmtId="176" fontId="28" fillId="7" borderId="379" xfId="0" applyNumberFormat="1" applyFont="1" applyFill="1" applyBorder="1" applyAlignment="1">
      <alignment horizontal="center" vertical="center"/>
    </xf>
    <xf numFmtId="0" fontId="57" fillId="0" borderId="255" xfId="0" applyFont="1" applyBorder="1" applyAlignment="1">
      <alignment vertical="center" wrapText="1"/>
    </xf>
    <xf numFmtId="9" fontId="167" fillId="125" borderId="260" xfId="1" applyFont="1" applyFill="1" applyBorder="1" applyAlignment="1">
      <alignment horizontal="center" vertical="center" wrapText="1"/>
    </xf>
    <xf numFmtId="0" fontId="203" fillId="7" borderId="379" xfId="0" applyFont="1" applyFill="1" applyBorder="1" applyAlignment="1">
      <alignment horizontal="center" vertical="center" wrapText="1" readingOrder="1"/>
    </xf>
    <xf numFmtId="0" fontId="203" fillId="0" borderId="216" xfId="0" applyFont="1" applyBorder="1" applyAlignment="1">
      <alignment horizontal="center" vertical="center" wrapText="1" readingOrder="1"/>
    </xf>
    <xf numFmtId="0" fontId="178" fillId="0" borderId="379" xfId="0" applyFont="1" applyBorder="1" applyAlignment="1">
      <alignment horizontal="center" vertical="center" wrapText="1" readingOrder="1"/>
    </xf>
    <xf numFmtId="3" fontId="204" fillId="0" borderId="379" xfId="0" applyNumberFormat="1" applyFont="1" applyBorder="1" applyAlignment="1">
      <alignment horizontal="center" vertical="center"/>
    </xf>
    <xf numFmtId="0" fontId="171" fillId="5" borderId="379" xfId="0" quotePrefix="1" applyFont="1" applyFill="1" applyBorder="1" applyAlignment="1">
      <alignment horizontal="center" vertical="center"/>
    </xf>
    <xf numFmtId="4" fontId="28" fillId="7" borderId="40" xfId="2" applyNumberFormat="1" applyFont="1" applyFill="1" applyBorder="1" applyAlignment="1">
      <alignment horizontal="center" vertical="center"/>
    </xf>
    <xf numFmtId="0" fontId="30" fillId="7" borderId="37" xfId="0" applyFont="1" applyFill="1" applyBorder="1" applyAlignment="1">
      <alignment vertical="center"/>
    </xf>
    <xf numFmtId="176" fontId="206" fillId="7" borderId="0" xfId="0" applyNumberFormat="1" applyFont="1" applyFill="1" applyBorder="1" applyAlignment="1">
      <alignment horizontal="center" vertical="center"/>
    </xf>
    <xf numFmtId="0" fontId="207" fillId="7" borderId="37" xfId="0" applyFont="1" applyFill="1" applyBorder="1" applyAlignment="1">
      <alignment vertical="center"/>
    </xf>
    <xf numFmtId="38" fontId="57" fillId="7" borderId="5" xfId="2" applyNumberFormat="1" applyFont="1" applyFill="1" applyBorder="1" applyAlignment="1">
      <alignment horizontal="center" vertical="center"/>
    </xf>
    <xf numFmtId="0" fontId="57" fillId="7" borderId="329" xfId="0" applyFont="1" applyFill="1" applyBorder="1" applyAlignment="1">
      <alignment horizontal="center" vertical="center"/>
    </xf>
    <xf numFmtId="38" fontId="171" fillId="0" borderId="226" xfId="2" applyNumberFormat="1" applyFont="1" applyBorder="1" applyAlignment="1">
      <alignment horizontal="center" vertical="center"/>
    </xf>
    <xf numFmtId="0" fontId="176" fillId="125" borderId="218" xfId="0" applyFont="1" applyFill="1" applyBorder="1" applyAlignment="1">
      <alignment horizontal="center" vertical="center"/>
    </xf>
    <xf numFmtId="0" fontId="176" fillId="125" borderId="124" xfId="0" applyFont="1" applyFill="1" applyBorder="1" applyAlignment="1">
      <alignment horizontal="center" vertical="center"/>
    </xf>
    <xf numFmtId="178" fontId="57" fillId="0" borderId="379" xfId="2" applyNumberFormat="1" applyFont="1" applyFill="1" applyBorder="1" applyAlignment="1">
      <alignment horizontal="center" vertical="center" wrapText="1"/>
    </xf>
    <xf numFmtId="183" fontId="57" fillId="0" borderId="379" xfId="2" applyNumberFormat="1" applyFont="1" applyFill="1" applyBorder="1" applyAlignment="1">
      <alignment horizontal="center" vertical="center" wrapText="1"/>
    </xf>
    <xf numFmtId="183" fontId="57" fillId="0" borderId="299" xfId="2" applyNumberFormat="1" applyFont="1" applyFill="1" applyBorder="1" applyAlignment="1">
      <alignment horizontal="center" vertical="center"/>
    </xf>
    <xf numFmtId="178" fontId="57" fillId="0" borderId="296" xfId="2" applyNumberFormat="1" applyFont="1" applyFill="1" applyBorder="1" applyAlignment="1">
      <alignment horizontal="center" vertical="center"/>
    </xf>
    <xf numFmtId="178" fontId="28" fillId="0" borderId="221" xfId="2" applyNumberFormat="1" applyFont="1" applyFill="1" applyBorder="1" applyAlignment="1">
      <alignment horizontal="center" vertical="center"/>
    </xf>
    <xf numFmtId="183" fontId="57" fillId="0" borderId="379" xfId="0" applyNumberFormat="1" applyFont="1" applyFill="1" applyBorder="1" applyAlignment="1">
      <alignment horizontal="center" vertical="center"/>
    </xf>
    <xf numFmtId="0" fontId="176" fillId="125" borderId="370" xfId="0" applyFont="1" applyFill="1" applyBorder="1" applyAlignment="1">
      <alignment horizontal="center" vertical="center"/>
    </xf>
    <xf numFmtId="0" fontId="176" fillId="125" borderId="375" xfId="0" applyFont="1" applyFill="1" applyBorder="1" applyAlignment="1">
      <alignment horizontal="center" vertical="center"/>
    </xf>
    <xf numFmtId="0" fontId="176" fillId="125" borderId="371" xfId="0" applyFont="1" applyFill="1" applyBorder="1" applyAlignment="1">
      <alignment horizontal="center" vertical="center"/>
    </xf>
    <xf numFmtId="0" fontId="176" fillId="125" borderId="294" xfId="0" applyFont="1" applyFill="1" applyBorder="1" applyAlignment="1">
      <alignment horizontal="center" vertical="center"/>
    </xf>
    <xf numFmtId="0" fontId="176" fillId="125" borderId="218" xfId="0" quotePrefix="1" applyFont="1" applyFill="1" applyBorder="1" applyAlignment="1">
      <alignment horizontal="center" vertical="center"/>
    </xf>
    <xf numFmtId="178" fontId="57" fillId="0" borderId="122" xfId="2" applyNumberFormat="1" applyFont="1" applyFill="1" applyBorder="1" applyAlignment="1">
      <alignment horizontal="center" vertical="center" wrapText="1"/>
    </xf>
    <xf numFmtId="183" fontId="57" fillId="0" borderId="384" xfId="0" applyNumberFormat="1" applyFont="1" applyFill="1" applyBorder="1" applyAlignment="1">
      <alignment horizontal="center" vertical="center"/>
    </xf>
    <xf numFmtId="183" fontId="57" fillId="0" borderId="349" xfId="0" applyNumberFormat="1" applyFont="1" applyFill="1" applyBorder="1" applyAlignment="1">
      <alignment horizontal="center" vertical="center"/>
    </xf>
    <xf numFmtId="183" fontId="57" fillId="0" borderId="350" xfId="0" applyNumberFormat="1" applyFont="1" applyFill="1" applyBorder="1" applyAlignment="1">
      <alignment horizontal="center" vertical="center"/>
    </xf>
    <xf numFmtId="187" fontId="57" fillId="0" borderId="351" xfId="2" applyNumberFormat="1" applyFont="1" applyFill="1" applyBorder="1" applyAlignment="1">
      <alignment horizontal="center" vertical="center"/>
    </xf>
    <xf numFmtId="0" fontId="177" fillId="126" borderId="409" xfId="0" applyFont="1" applyFill="1" applyBorder="1" applyAlignment="1">
      <alignment horizontal="center" vertical="center"/>
    </xf>
    <xf numFmtId="183" fontId="57" fillId="0" borderId="410" xfId="0" applyNumberFormat="1" applyFont="1" applyFill="1" applyBorder="1" applyAlignment="1">
      <alignment horizontal="center" vertical="center"/>
    </xf>
    <xf numFmtId="183" fontId="57" fillId="0" borderId="400" xfId="0" applyNumberFormat="1" applyFont="1" applyFill="1" applyBorder="1" applyAlignment="1">
      <alignment horizontal="center" vertical="center"/>
    </xf>
    <xf numFmtId="183" fontId="57" fillId="0" borderId="218" xfId="2" applyNumberFormat="1" applyFont="1" applyFill="1" applyBorder="1" applyAlignment="1">
      <alignment horizontal="center" vertical="center" wrapText="1"/>
    </xf>
    <xf numFmtId="176" fontId="57" fillId="0" borderId="379" xfId="0" applyNumberFormat="1" applyFont="1" applyFill="1" applyBorder="1" applyAlignment="1">
      <alignment horizontal="center" vertical="center"/>
    </xf>
    <xf numFmtId="0" fontId="176" fillId="125" borderId="293" xfId="0" quotePrefix="1" applyFont="1" applyFill="1" applyBorder="1" applyAlignment="1">
      <alignment horizontal="center" vertical="center"/>
    </xf>
    <xf numFmtId="178" fontId="57" fillId="0" borderId="49" xfId="2" applyNumberFormat="1" applyFont="1" applyFill="1" applyBorder="1" applyAlignment="1">
      <alignment horizontal="center" vertical="center" wrapText="1"/>
    </xf>
    <xf numFmtId="185" fontId="57" fillId="0" borderId="49" xfId="0" applyNumberFormat="1" applyFont="1" applyFill="1" applyBorder="1" applyAlignment="1">
      <alignment horizontal="center" vertical="center"/>
    </xf>
    <xf numFmtId="176" fontId="57" fillId="0" borderId="293" xfId="0" applyNumberFormat="1" applyFont="1" applyFill="1" applyBorder="1" applyAlignment="1">
      <alignment horizontal="center" vertical="center"/>
    </xf>
    <xf numFmtId="176" fontId="57" fillId="0" borderId="218" xfId="0" applyNumberFormat="1" applyFont="1" applyFill="1" applyBorder="1" applyAlignment="1">
      <alignment horizontal="center" vertical="center"/>
    </xf>
    <xf numFmtId="178" fontId="57" fillId="0" borderId="379" xfId="0" applyNumberFormat="1" applyFont="1" applyFill="1" applyBorder="1" applyAlignment="1">
      <alignment horizontal="center" vertical="center"/>
    </xf>
    <xf numFmtId="178" fontId="57" fillId="0" borderId="122" xfId="0" applyNumberFormat="1" applyFont="1" applyFill="1" applyBorder="1" applyAlignment="1">
      <alignment horizontal="center" vertical="center"/>
    </xf>
    <xf numFmtId="183" fontId="57" fillId="0" borderId="218" xfId="0" applyNumberFormat="1" applyFont="1" applyFill="1" applyBorder="1" applyAlignment="1">
      <alignment horizontal="center" vertical="center"/>
    </xf>
    <xf numFmtId="187" fontId="45" fillId="15" borderId="47" xfId="0" applyNumberFormat="1" applyFont="1" applyFill="1" applyBorder="1" applyAlignment="1">
      <alignment horizontal="center" vertical="center"/>
    </xf>
    <xf numFmtId="187" fontId="45" fillId="15" borderId="23" xfId="0" applyNumberFormat="1" applyFont="1" applyFill="1" applyBorder="1" applyAlignment="1">
      <alignment horizontal="center" vertical="center"/>
    </xf>
    <xf numFmtId="187" fontId="45" fillId="15" borderId="6" xfId="0" applyNumberFormat="1" applyFont="1" applyFill="1" applyBorder="1" applyAlignment="1">
      <alignment horizontal="center" vertical="center"/>
    </xf>
    <xf numFmtId="187" fontId="45" fillId="15" borderId="379" xfId="0" applyNumberFormat="1" applyFont="1" applyFill="1" applyBorder="1" applyAlignment="1">
      <alignment horizontal="center" vertical="center"/>
    </xf>
    <xf numFmtId="187" fontId="45" fillId="15" borderId="374" xfId="0" applyNumberFormat="1" applyFont="1" applyFill="1" applyBorder="1" applyAlignment="1">
      <alignment horizontal="center" vertical="center"/>
    </xf>
    <xf numFmtId="187" fontId="208" fillId="3" borderId="122" xfId="0" applyNumberFormat="1" applyFont="1" applyFill="1" applyBorder="1" applyAlignment="1">
      <alignment horizontal="center" vertical="center"/>
    </xf>
    <xf numFmtId="187" fontId="208" fillId="3" borderId="47" xfId="0" applyNumberFormat="1" applyFont="1" applyFill="1" applyBorder="1" applyAlignment="1">
      <alignment horizontal="center" vertical="center"/>
    </xf>
    <xf numFmtId="187" fontId="208" fillId="3" borderId="123" xfId="0" applyNumberFormat="1" applyFont="1" applyFill="1" applyBorder="1" applyAlignment="1">
      <alignment horizontal="center" vertical="center"/>
    </xf>
    <xf numFmtId="187" fontId="208" fillId="3" borderId="49" xfId="0" applyNumberFormat="1" applyFont="1" applyFill="1" applyBorder="1" applyAlignment="1">
      <alignment horizontal="center" vertical="center"/>
    </xf>
    <xf numFmtId="0" fontId="176" fillId="125" borderId="0" xfId="0" quotePrefix="1" applyFont="1" applyFill="1" applyBorder="1" applyAlignment="1">
      <alignment horizontal="center" vertical="center"/>
    </xf>
    <xf numFmtId="178" fontId="57" fillId="0" borderId="47" xfId="2" applyNumberFormat="1" applyFont="1" applyFill="1" applyBorder="1" applyAlignment="1">
      <alignment horizontal="center" vertical="center" wrapText="1"/>
    </xf>
    <xf numFmtId="183" fontId="57" fillId="0" borderId="374" xfId="2" applyNumberFormat="1" applyFont="1" applyFill="1" applyBorder="1" applyAlignment="1">
      <alignment horizontal="center" vertical="center" wrapText="1"/>
    </xf>
    <xf numFmtId="178" fontId="57" fillId="0" borderId="374" xfId="2" applyNumberFormat="1" applyFont="1" applyFill="1" applyBorder="1" applyAlignment="1">
      <alignment horizontal="center" vertical="center" wrapText="1"/>
    </xf>
    <xf numFmtId="176" fontId="57" fillId="0" borderId="366" xfId="0" applyNumberFormat="1" applyFont="1" applyFill="1" applyBorder="1" applyAlignment="1">
      <alignment horizontal="center" vertical="center"/>
    </xf>
    <xf numFmtId="176" fontId="57" fillId="0" borderId="294" xfId="0" applyNumberFormat="1" applyFont="1" applyFill="1" applyBorder="1" applyAlignment="1">
      <alignment horizontal="center" vertical="center"/>
    </xf>
    <xf numFmtId="178" fontId="57" fillId="0" borderId="47" xfId="0" applyNumberFormat="1" applyFont="1" applyFill="1" applyBorder="1" applyAlignment="1">
      <alignment horizontal="center" vertical="center"/>
    </xf>
    <xf numFmtId="183" fontId="57" fillId="0" borderId="374" xfId="0" applyNumberFormat="1" applyFont="1" applyFill="1" applyBorder="1" applyAlignment="1">
      <alignment horizontal="center" vertical="center"/>
    </xf>
    <xf numFmtId="178" fontId="57" fillId="0" borderId="374" xfId="0" applyNumberFormat="1" applyFont="1" applyFill="1" applyBorder="1" applyAlignment="1">
      <alignment horizontal="center" vertical="center"/>
    </xf>
    <xf numFmtId="183" fontId="57" fillId="0" borderId="294" xfId="0" applyNumberFormat="1" applyFont="1" applyFill="1" applyBorder="1" applyAlignment="1">
      <alignment horizontal="center" vertical="center"/>
    </xf>
    <xf numFmtId="183" fontId="57" fillId="0" borderId="383" xfId="0" applyNumberFormat="1" applyFont="1" applyFill="1" applyBorder="1" applyAlignment="1">
      <alignment horizontal="center" vertical="center"/>
    </xf>
    <xf numFmtId="187" fontId="45" fillId="15" borderId="40" xfId="0" applyNumberFormat="1" applyFont="1" applyFill="1" applyBorder="1" applyAlignment="1">
      <alignment horizontal="center" vertical="center"/>
    </xf>
    <xf numFmtId="178" fontId="45" fillId="15" borderId="378" xfId="0" applyNumberFormat="1" applyFont="1" applyFill="1" applyBorder="1" applyAlignment="1">
      <alignment horizontal="center" vertical="center"/>
    </xf>
    <xf numFmtId="178" fontId="45" fillId="15" borderId="124" xfId="0" applyNumberFormat="1" applyFont="1" applyFill="1" applyBorder="1" applyAlignment="1">
      <alignment horizontal="center" vertical="center"/>
    </xf>
    <xf numFmtId="178" fontId="208" fillId="3" borderId="308" xfId="0" applyNumberFormat="1" applyFont="1" applyFill="1" applyBorder="1" applyAlignment="1">
      <alignment horizontal="center" vertical="center"/>
    </xf>
    <xf numFmtId="183" fontId="45" fillId="15" borderId="378" xfId="0" applyNumberFormat="1" applyFont="1" applyFill="1" applyBorder="1" applyAlignment="1">
      <alignment horizontal="center" vertical="center"/>
    </xf>
    <xf numFmtId="183" fontId="45" fillId="15" borderId="369" xfId="0" applyNumberFormat="1" applyFont="1" applyFill="1" applyBorder="1" applyAlignment="1">
      <alignment horizontal="center" vertical="center"/>
    </xf>
    <xf numFmtId="183" fontId="45" fillId="15" borderId="409" xfId="0" applyNumberFormat="1" applyFont="1" applyFill="1" applyBorder="1" applyAlignment="1">
      <alignment horizontal="center" vertical="center"/>
    </xf>
    <xf numFmtId="183" fontId="45" fillId="15" borderId="379" xfId="0" applyNumberFormat="1" applyFont="1" applyFill="1" applyBorder="1" applyAlignment="1">
      <alignment horizontal="center" vertical="center"/>
    </xf>
    <xf numFmtId="183" fontId="45" fillId="15" borderId="374" xfId="0" applyNumberFormat="1" applyFont="1" applyFill="1" applyBorder="1" applyAlignment="1">
      <alignment horizontal="center" vertical="center"/>
    </xf>
    <xf numFmtId="183" fontId="45" fillId="15" borderId="293" xfId="0" applyNumberFormat="1" applyFont="1" applyFill="1" applyBorder="1" applyAlignment="1">
      <alignment horizontal="center" vertical="center"/>
    </xf>
    <xf numFmtId="183" fontId="45" fillId="15" borderId="218" xfId="0" applyNumberFormat="1" applyFont="1" applyFill="1" applyBorder="1" applyAlignment="1">
      <alignment horizontal="center" vertical="center"/>
    </xf>
    <xf numFmtId="183" fontId="45" fillId="15" borderId="294" xfId="0" applyNumberFormat="1" applyFont="1" applyFill="1" applyBorder="1" applyAlignment="1">
      <alignment horizontal="center" vertical="center"/>
    </xf>
    <xf numFmtId="183" fontId="208" fillId="3" borderId="384" xfId="0" applyNumberFormat="1" applyFont="1" applyFill="1" applyBorder="1" applyAlignment="1">
      <alignment horizontal="center" vertical="center"/>
    </xf>
    <xf numFmtId="183" fontId="208" fillId="3" borderId="383" xfId="0" applyNumberFormat="1" applyFont="1" applyFill="1" applyBorder="1" applyAlignment="1">
      <alignment horizontal="center" vertical="center"/>
    </xf>
    <xf numFmtId="183" fontId="208" fillId="3" borderId="409" xfId="0" applyNumberFormat="1" applyFont="1" applyFill="1" applyBorder="1" applyAlignment="1">
      <alignment horizontal="center" vertical="center"/>
    </xf>
    <xf numFmtId="176" fontId="27" fillId="7" borderId="0" xfId="0" applyNumberFormat="1" applyFont="1" applyFill="1" applyAlignment="1">
      <alignment horizontal="center" vertical="center"/>
    </xf>
    <xf numFmtId="183" fontId="57" fillId="0" borderId="0" xfId="0" applyNumberFormat="1" applyFont="1" applyFill="1" applyBorder="1" applyAlignment="1">
      <alignment horizontal="center" vertical="center"/>
    </xf>
    <xf numFmtId="4" fontId="169" fillId="0" borderId="271" xfId="2" applyNumberFormat="1" applyFont="1" applyFill="1" applyBorder="1" applyAlignment="1">
      <alignment horizontal="center" vertical="center"/>
    </xf>
    <xf numFmtId="0" fontId="169" fillId="0" borderId="271" xfId="0" applyFont="1" applyFill="1" applyBorder="1" applyAlignment="1">
      <alignment horizontal="center" vertical="center"/>
    </xf>
    <xf numFmtId="3" fontId="169" fillId="0" borderId="271" xfId="2" applyNumberFormat="1" applyFont="1" applyFill="1" applyBorder="1" applyAlignment="1">
      <alignment horizontal="center" vertical="center"/>
    </xf>
    <xf numFmtId="227" fontId="169" fillId="0" borderId="271" xfId="2" applyNumberFormat="1" applyFont="1" applyFill="1" applyBorder="1" applyAlignment="1">
      <alignment horizontal="center" vertical="center"/>
    </xf>
    <xf numFmtId="0" fontId="169" fillId="93" borderId="271" xfId="0" applyFont="1" applyFill="1" applyBorder="1" applyAlignment="1">
      <alignment horizontal="center" vertical="center"/>
    </xf>
    <xf numFmtId="3" fontId="169" fillId="93" borderId="271" xfId="2" applyNumberFormat="1" applyFont="1" applyFill="1" applyBorder="1" applyAlignment="1">
      <alignment horizontal="center" vertical="center"/>
    </xf>
    <xf numFmtId="227" fontId="169" fillId="93" borderId="271" xfId="2" applyNumberFormat="1" applyFont="1" applyFill="1" applyBorder="1" applyAlignment="1">
      <alignment horizontal="center" vertical="center"/>
    </xf>
    <xf numFmtId="4" fontId="169" fillId="93" borderId="271" xfId="2" applyNumberFormat="1" applyFont="1" applyFill="1" applyBorder="1" applyAlignment="1">
      <alignment horizontal="center" vertical="center"/>
    </xf>
    <xf numFmtId="0" fontId="176" fillId="125" borderId="86" xfId="0" applyFont="1" applyFill="1" applyBorder="1" applyAlignment="1">
      <alignment horizontal="center" vertical="center"/>
    </xf>
    <xf numFmtId="38" fontId="28" fillId="7" borderId="49" xfId="2" applyNumberFormat="1" applyFont="1" applyFill="1" applyBorder="1" applyAlignment="1">
      <alignment horizontal="center" vertical="center"/>
    </xf>
    <xf numFmtId="2" fontId="34" fillId="8" borderId="49" xfId="0" applyNumberFormat="1" applyFont="1" applyFill="1" applyBorder="1" applyAlignment="1">
      <alignment horizontal="center" vertical="center"/>
    </xf>
    <xf numFmtId="178" fontId="176" fillId="125" borderId="388" xfId="2" applyNumberFormat="1" applyFont="1" applyFill="1" applyBorder="1" applyAlignment="1">
      <alignment horizontal="center" vertical="center"/>
    </xf>
    <xf numFmtId="38" fontId="28" fillId="7" borderId="49" xfId="2" applyNumberFormat="1" applyFont="1" applyFill="1" applyBorder="1" applyAlignment="1">
      <alignment horizontal="center" vertical="center" wrapText="1"/>
    </xf>
    <xf numFmtId="38" fontId="57" fillId="7" borderId="134" xfId="2" applyNumberFormat="1" applyFont="1" applyFill="1" applyBorder="1" applyAlignment="1">
      <alignment horizontal="center" vertical="center"/>
    </xf>
    <xf numFmtId="223" fontId="57" fillId="0" borderId="288" xfId="2" applyNumberFormat="1" applyFont="1" applyBorder="1" applyAlignment="1">
      <alignment horizontal="center" vertical="center"/>
    </xf>
    <xf numFmtId="226" fontId="57" fillId="0" borderId="411" xfId="2" applyNumberFormat="1" applyFont="1" applyBorder="1" applyAlignment="1">
      <alignment horizontal="center" vertical="center"/>
    </xf>
    <xf numFmtId="3" fontId="176" fillId="125" borderId="376" xfId="0" applyNumberFormat="1" applyFont="1" applyFill="1" applyBorder="1" applyAlignment="1">
      <alignment horizontal="center" vertical="center"/>
    </xf>
    <xf numFmtId="3" fontId="165" fillId="0" borderId="376" xfId="0" applyNumberFormat="1" applyFont="1" applyBorder="1" applyAlignment="1">
      <alignment horizontal="center" vertical="center" wrapText="1"/>
    </xf>
    <xf numFmtId="38" fontId="176" fillId="125" borderId="376" xfId="0" applyNumberFormat="1" applyFont="1" applyFill="1" applyBorder="1" applyAlignment="1">
      <alignment horizontal="center" vertical="center"/>
    </xf>
    <xf numFmtId="0" fontId="28" fillId="5" borderId="413" xfId="0" applyFont="1" applyFill="1" applyBorder="1" applyAlignment="1">
      <alignment horizontal="center" vertical="center" wrapText="1"/>
    </xf>
    <xf numFmtId="1" fontId="0" fillId="0" borderId="413" xfId="0" applyNumberFormat="1" applyBorder="1" applyAlignment="1">
      <alignment horizontal="center" vertical="center"/>
    </xf>
    <xf numFmtId="232" fontId="27" fillId="5" borderId="216" xfId="0" applyNumberFormat="1" applyFont="1" applyFill="1" applyBorder="1" applyAlignment="1">
      <alignment horizontal="center" vertical="center"/>
    </xf>
    <xf numFmtId="10" fontId="28" fillId="0" borderId="0" xfId="0" applyNumberFormat="1" applyFont="1">
      <alignment vertical="center"/>
    </xf>
    <xf numFmtId="187" fontId="57" fillId="0" borderId="0" xfId="2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177" fontId="30" fillId="7" borderId="216" xfId="2" applyNumberFormat="1" applyFont="1" applyFill="1" applyBorder="1" applyAlignment="1">
      <alignment horizontal="center" vertical="center"/>
    </xf>
    <xf numFmtId="177" fontId="27" fillId="7" borderId="216" xfId="0" applyNumberFormat="1" applyFont="1" applyFill="1" applyBorder="1" applyAlignment="1">
      <alignment horizontal="center" vertical="center"/>
    </xf>
    <xf numFmtId="41" fontId="27" fillId="0" borderId="216" xfId="2" applyFont="1" applyFill="1" applyBorder="1" applyAlignment="1">
      <alignment horizontal="center" vertical="center"/>
    </xf>
    <xf numFmtId="176" fontId="30" fillId="6" borderId="216" xfId="0" applyNumberFormat="1" applyFont="1" applyFill="1" applyBorder="1" applyAlignment="1">
      <alignment horizontal="center" vertical="center"/>
    </xf>
    <xf numFmtId="179" fontId="30" fillId="6" borderId="216" xfId="2" applyNumberFormat="1" applyFont="1" applyFill="1" applyBorder="1" applyAlignment="1">
      <alignment horizontal="center" vertical="center"/>
    </xf>
    <xf numFmtId="187" fontId="27" fillId="6" borderId="216" xfId="2" quotePrefix="1" applyNumberFormat="1" applyFont="1" applyFill="1" applyBorder="1" applyAlignment="1">
      <alignment horizontal="center" vertical="center"/>
    </xf>
    <xf numFmtId="183" fontId="47" fillId="3" borderId="330" xfId="0" applyNumberFormat="1" applyFont="1" applyFill="1" applyBorder="1" applyAlignment="1">
      <alignment horizontal="center" vertical="center"/>
    </xf>
    <xf numFmtId="183" fontId="47" fillId="3" borderId="329" xfId="0" applyNumberFormat="1" applyFont="1" applyFill="1" applyBorder="1" applyAlignment="1">
      <alignment horizontal="center" vertical="center"/>
    </xf>
    <xf numFmtId="0" fontId="34" fillId="3" borderId="0" xfId="0" applyFont="1" applyFill="1" applyBorder="1" applyAlignment="1">
      <alignment horizontal="center" vertical="center"/>
    </xf>
    <xf numFmtId="187" fontId="171" fillId="0" borderId="226" xfId="0" applyNumberFormat="1" applyFont="1" applyBorder="1" applyAlignment="1">
      <alignment horizontal="center" vertical="center"/>
    </xf>
    <xf numFmtId="0" fontId="176" fillId="125" borderId="414" xfId="0" applyFont="1" applyFill="1" applyBorder="1" applyAlignment="1">
      <alignment horizontal="center" vertical="center"/>
    </xf>
    <xf numFmtId="187" fontId="57" fillId="0" borderId="449" xfId="2" applyNumberFormat="1" applyFont="1" applyFill="1" applyBorder="1" applyAlignment="1">
      <alignment horizontal="center" vertical="center"/>
    </xf>
    <xf numFmtId="226" fontId="57" fillId="0" borderId="450" xfId="2" applyNumberFormat="1" applyFont="1" applyFill="1" applyBorder="1" applyAlignment="1">
      <alignment horizontal="center" vertical="center"/>
    </xf>
    <xf numFmtId="187" fontId="57" fillId="0" borderId="451" xfId="2" applyNumberFormat="1" applyFont="1" applyBorder="1" applyAlignment="1">
      <alignment horizontal="center" vertical="center"/>
    </xf>
    <xf numFmtId="226" fontId="57" fillId="0" borderId="333" xfId="2" applyNumberFormat="1" applyFont="1" applyBorder="1" applyAlignment="1">
      <alignment horizontal="center" vertical="center"/>
    </xf>
    <xf numFmtId="178" fontId="57" fillId="0" borderId="449" xfId="2" applyNumberFormat="1" applyFont="1" applyFill="1" applyBorder="1" applyAlignment="1">
      <alignment horizontal="center" vertical="center"/>
    </xf>
    <xf numFmtId="226" fontId="57" fillId="0" borderId="449" xfId="2" applyNumberFormat="1" applyFont="1" applyFill="1" applyBorder="1" applyAlignment="1">
      <alignment horizontal="center" vertical="center"/>
    </xf>
    <xf numFmtId="187" fontId="57" fillId="0" borderId="447" xfId="2" applyNumberFormat="1" applyFont="1" applyFill="1" applyBorder="1" applyAlignment="1">
      <alignment horizontal="center" vertical="center"/>
    </xf>
    <xf numFmtId="0" fontId="0" fillId="0" borderId="296" xfId="0" applyNumberFormat="1" applyBorder="1" applyAlignment="1" applyProtection="1">
      <alignment horizontal="center" vertical="center"/>
      <protection locked="0"/>
    </xf>
    <xf numFmtId="226" fontId="57" fillId="0" borderId="448" xfId="2" applyNumberFormat="1" applyFont="1" applyBorder="1" applyAlignment="1">
      <alignment horizontal="center" vertical="center"/>
    </xf>
    <xf numFmtId="187" fontId="57" fillId="0" borderId="446" xfId="2" applyNumberFormat="1" applyFont="1" applyBorder="1" applyAlignment="1">
      <alignment horizontal="center" vertical="center"/>
    </xf>
    <xf numFmtId="226" fontId="57" fillId="0" borderId="449" xfId="2" applyNumberFormat="1" applyFont="1" applyBorder="1" applyAlignment="1">
      <alignment horizontal="center" vertical="center"/>
    </xf>
    <xf numFmtId="187" fontId="57" fillId="0" borderId="448" xfId="2" applyNumberFormat="1" applyFont="1" applyFill="1" applyBorder="1" applyAlignment="1">
      <alignment horizontal="center" vertical="center"/>
    </xf>
    <xf numFmtId="187" fontId="57" fillId="0" borderId="450" xfId="2" applyNumberFormat="1" applyFont="1" applyBorder="1" applyAlignment="1">
      <alignment horizontal="center" vertical="center"/>
    </xf>
    <xf numFmtId="226" fontId="57" fillId="0" borderId="324" xfId="2" applyNumberFormat="1" applyFont="1" applyBorder="1" applyAlignment="1">
      <alignment horizontal="center" vertical="center"/>
    </xf>
    <xf numFmtId="187" fontId="57" fillId="0" borderId="0" xfId="2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57" fillId="0" borderId="0" xfId="0" applyFont="1" applyAlignment="1">
      <alignment horizontal="center" vertical="center"/>
    </xf>
    <xf numFmtId="0" fontId="57" fillId="0" borderId="0" xfId="0" applyFont="1">
      <alignment vertical="center"/>
    </xf>
    <xf numFmtId="2" fontId="57" fillId="0" borderId="0" xfId="0" applyNumberFormat="1" applyFont="1">
      <alignment vertical="center"/>
    </xf>
    <xf numFmtId="1" fontId="28" fillId="0" borderId="0" xfId="0" applyNumberFormat="1" applyFont="1" applyAlignment="1">
      <alignment horizontal="center" vertical="center"/>
    </xf>
    <xf numFmtId="1" fontId="57" fillId="0" borderId="0" xfId="0" applyNumberFormat="1" applyFont="1">
      <alignment vertical="center"/>
    </xf>
    <xf numFmtId="4" fontId="57" fillId="7" borderId="122" xfId="2" applyNumberFormat="1" applyFont="1" applyFill="1" applyBorder="1" applyAlignment="1">
      <alignment horizontal="center" vertical="center"/>
    </xf>
    <xf numFmtId="187" fontId="57" fillId="0" borderId="26" xfId="2" applyNumberFormat="1" applyFont="1" applyFill="1" applyBorder="1" applyAlignment="1">
      <alignment horizontal="center" vertical="center"/>
    </xf>
    <xf numFmtId="187" fontId="57" fillId="0" borderId="296" xfId="2" applyNumberFormat="1" applyFont="1" applyBorder="1" applyAlignment="1">
      <alignment horizontal="center" vertical="center"/>
    </xf>
    <xf numFmtId="183" fontId="57" fillId="0" borderId="437" xfId="2" applyNumberFormat="1" applyFont="1" applyBorder="1" applyAlignment="1">
      <alignment horizontal="center" vertical="center"/>
    </xf>
    <xf numFmtId="183" fontId="57" fillId="0" borderId="123" xfId="2" applyNumberFormat="1" applyFont="1" applyBorder="1" applyAlignment="1">
      <alignment horizontal="center" vertical="center"/>
    </xf>
    <xf numFmtId="2" fontId="57" fillId="0" borderId="437" xfId="0" applyNumberFormat="1" applyFont="1" applyBorder="1" applyAlignment="1">
      <alignment horizontal="center" vertical="center"/>
    </xf>
    <xf numFmtId="2" fontId="57" fillId="0" borderId="202" xfId="0" applyNumberFormat="1" applyFont="1" applyBorder="1" applyAlignment="1">
      <alignment horizontal="center" vertical="center"/>
    </xf>
    <xf numFmtId="1" fontId="57" fillId="0" borderId="123" xfId="0" applyNumberFormat="1" applyFont="1" applyFill="1" applyBorder="1" applyAlignment="1">
      <alignment horizontal="center" vertical="center"/>
    </xf>
    <xf numFmtId="2" fontId="57" fillId="0" borderId="123" xfId="0" applyNumberFormat="1" applyFont="1" applyBorder="1" applyAlignment="1">
      <alignment horizontal="center" vertical="center"/>
    </xf>
    <xf numFmtId="187" fontId="57" fillId="0" borderId="437" xfId="2" applyNumberFormat="1" applyFont="1" applyFill="1" applyBorder="1" applyAlignment="1">
      <alignment horizontal="center" vertical="center"/>
    </xf>
    <xf numFmtId="187" fontId="171" fillId="15" borderId="229" xfId="0" applyNumberFormat="1" applyFont="1" applyFill="1" applyBorder="1" applyAlignment="1">
      <alignment horizontal="center" vertical="center"/>
    </xf>
    <xf numFmtId="187" fontId="57" fillId="0" borderId="270" xfId="0" applyNumberFormat="1" applyFont="1" applyBorder="1" applyAlignment="1">
      <alignment horizontal="center" vertical="center"/>
    </xf>
    <xf numFmtId="3" fontId="57" fillId="0" borderId="6" xfId="2" applyNumberFormat="1" applyFont="1" applyFill="1" applyBorder="1" applyAlignment="1">
      <alignment horizontal="center" vertical="center"/>
    </xf>
    <xf numFmtId="178" fontId="57" fillId="0" borderId="296" xfId="2" applyNumberFormat="1" applyFont="1" applyFill="1" applyBorder="1" applyAlignment="1">
      <alignment horizontal="center" vertical="center"/>
    </xf>
    <xf numFmtId="0" fontId="177" fillId="126" borderId="453" xfId="0" applyFont="1" applyFill="1" applyBorder="1" applyAlignment="1">
      <alignment horizontal="center" vertical="center"/>
    </xf>
    <xf numFmtId="0" fontId="177" fillId="126" borderId="454" xfId="0" applyFont="1" applyFill="1" applyBorder="1" applyAlignment="1">
      <alignment horizontal="center" vertical="center"/>
    </xf>
    <xf numFmtId="0" fontId="177" fillId="126" borderId="455" xfId="0" applyFont="1" applyFill="1" applyBorder="1" applyAlignment="1">
      <alignment horizontal="center" vertical="center"/>
    </xf>
    <xf numFmtId="0" fontId="177" fillId="126" borderId="407" xfId="0" applyFont="1" applyFill="1" applyBorder="1" applyAlignment="1">
      <alignment horizontal="center" vertical="center"/>
    </xf>
    <xf numFmtId="0" fontId="177" fillId="126" borderId="406" xfId="0" applyFont="1" applyFill="1" applyBorder="1" applyAlignment="1">
      <alignment horizontal="center" vertical="center"/>
    </xf>
    <xf numFmtId="38" fontId="176" fillId="126" borderId="287" xfId="0" applyNumberFormat="1" applyFont="1" applyFill="1" applyBorder="1" applyAlignment="1">
      <alignment horizontal="center" vertical="center"/>
    </xf>
    <xf numFmtId="226" fontId="57" fillId="0" borderId="456" xfId="0" applyNumberFormat="1" applyFont="1" applyBorder="1" applyAlignment="1">
      <alignment horizontal="center" vertical="center"/>
    </xf>
    <xf numFmtId="226" fontId="57" fillId="0" borderId="457" xfId="0" applyNumberFormat="1" applyFont="1" applyBorder="1" applyAlignment="1">
      <alignment horizontal="center" vertical="center"/>
    </xf>
    <xf numFmtId="226" fontId="57" fillId="0" borderId="457" xfId="2" applyNumberFormat="1" applyFont="1" applyBorder="1" applyAlignment="1">
      <alignment horizontal="center" vertical="center"/>
    </xf>
    <xf numFmtId="176" fontId="57" fillId="0" borderId="457" xfId="0" applyNumberFormat="1" applyFont="1" applyBorder="1" applyAlignment="1">
      <alignment horizontal="center" vertical="center"/>
    </xf>
    <xf numFmtId="176" fontId="57" fillId="0" borderId="448" xfId="0" applyNumberFormat="1" applyFont="1" applyBorder="1" applyAlignment="1">
      <alignment horizontal="center" vertical="center"/>
    </xf>
    <xf numFmtId="226" fontId="57" fillId="0" borderId="458" xfId="2" applyNumberFormat="1" applyFont="1" applyFill="1" applyBorder="1" applyAlignment="1">
      <alignment horizontal="center" vertical="center"/>
    </xf>
    <xf numFmtId="226" fontId="57" fillId="0" borderId="459" xfId="2" applyNumberFormat="1" applyFont="1" applyFill="1" applyBorder="1" applyAlignment="1">
      <alignment horizontal="center" vertical="center"/>
    </xf>
    <xf numFmtId="178" fontId="57" fillId="0" borderId="459" xfId="2" applyNumberFormat="1" applyFont="1" applyFill="1" applyBorder="1" applyAlignment="1">
      <alignment horizontal="center" vertical="center"/>
    </xf>
    <xf numFmtId="226" fontId="57" fillId="7" borderId="460" xfId="2" applyNumberFormat="1" applyFont="1" applyFill="1" applyBorder="1" applyAlignment="1">
      <alignment horizontal="center" vertical="center"/>
    </xf>
    <xf numFmtId="226" fontId="57" fillId="7" borderId="461" xfId="2" applyNumberFormat="1" applyFont="1" applyFill="1" applyBorder="1" applyAlignment="1">
      <alignment horizontal="center" vertical="center"/>
    </xf>
    <xf numFmtId="226" fontId="57" fillId="7" borderId="462" xfId="2" applyNumberFormat="1" applyFont="1" applyFill="1" applyBorder="1" applyAlignment="1">
      <alignment horizontal="center" vertical="center"/>
    </xf>
    <xf numFmtId="187" fontId="57" fillId="0" borderId="457" xfId="2" applyNumberFormat="1" applyFont="1" applyFill="1" applyBorder="1" applyAlignment="1">
      <alignment horizontal="center" vertical="center"/>
    </xf>
    <xf numFmtId="187" fontId="57" fillId="0" borderId="458" xfId="2" applyNumberFormat="1" applyFont="1" applyBorder="1" applyAlignment="1">
      <alignment horizontal="center" vertical="center"/>
    </xf>
    <xf numFmtId="187" fontId="57" fillId="0" borderId="459" xfId="2" applyNumberFormat="1" applyFont="1" applyBorder="1" applyAlignment="1">
      <alignment horizontal="center" vertical="center"/>
    </xf>
    <xf numFmtId="187" fontId="57" fillId="0" borderId="449" xfId="2" applyNumberFormat="1" applyFont="1" applyBorder="1" applyAlignment="1">
      <alignment horizontal="center" vertical="center"/>
    </xf>
    <xf numFmtId="0" fontId="176" fillId="125" borderId="463" xfId="0" applyFont="1" applyFill="1" applyBorder="1" applyAlignment="1">
      <alignment horizontal="center" vertical="center"/>
    </xf>
    <xf numFmtId="183" fontId="57" fillId="0" borderId="449" xfId="2" applyNumberFormat="1" applyFont="1" applyBorder="1" applyAlignment="1">
      <alignment horizontal="center" vertical="center"/>
    </xf>
    <xf numFmtId="178" fontId="57" fillId="0" borderId="450" xfId="2" applyNumberFormat="1" applyFont="1" applyBorder="1" applyAlignment="1">
      <alignment horizontal="center" vertical="center"/>
    </xf>
    <xf numFmtId="187" fontId="57" fillId="7" borderId="450" xfId="2" applyNumberFormat="1" applyFont="1" applyFill="1" applyBorder="1" applyAlignment="1">
      <alignment horizontal="center" vertical="center"/>
    </xf>
    <xf numFmtId="178" fontId="57" fillId="7" borderId="449" xfId="2" applyNumberFormat="1" applyFont="1" applyFill="1" applyBorder="1" applyAlignment="1">
      <alignment horizontal="center" vertical="center"/>
    </xf>
    <xf numFmtId="38" fontId="57" fillId="7" borderId="5" xfId="2" applyNumberFormat="1" applyFont="1" applyFill="1" applyBorder="1" applyAlignment="1">
      <alignment horizontal="center" vertical="center"/>
    </xf>
    <xf numFmtId="0" fontId="28" fillId="0" borderId="271" xfId="0" applyFont="1" applyBorder="1" applyAlignment="1">
      <alignment horizontal="center" vertical="center"/>
    </xf>
    <xf numFmtId="38" fontId="57" fillId="7" borderId="466" xfId="2" applyNumberFormat="1" applyFont="1" applyFill="1" applyBorder="1" applyAlignment="1">
      <alignment horizontal="center" vertical="center"/>
    </xf>
    <xf numFmtId="38" fontId="57" fillId="7" borderId="465" xfId="2" applyNumberFormat="1" applyFont="1" applyFill="1" applyBorder="1" applyAlignment="1">
      <alignment horizontal="center" vertical="center"/>
    </xf>
    <xf numFmtId="9" fontId="57" fillId="7" borderId="465" xfId="1" applyFont="1" applyFill="1" applyBorder="1" applyAlignment="1">
      <alignment horizontal="center" vertical="center"/>
    </xf>
    <xf numFmtId="38" fontId="57" fillId="15" borderId="330" xfId="0" applyNumberFormat="1" applyFont="1" applyFill="1" applyBorder="1" applyAlignment="1">
      <alignment horizontal="center" vertical="center"/>
    </xf>
    <xf numFmtId="38" fontId="57" fillId="7" borderId="47" xfId="2" applyNumberFormat="1" applyFont="1" applyFill="1" applyBorder="1" applyAlignment="1">
      <alignment horizontal="center" vertical="center"/>
    </xf>
    <xf numFmtId="38" fontId="57" fillId="15" borderId="438" xfId="2" applyNumberFormat="1" applyFont="1" applyFill="1" applyBorder="1" applyAlignment="1">
      <alignment horizontal="center" vertical="center"/>
    </xf>
    <xf numFmtId="38" fontId="57" fillId="15" borderId="412" xfId="2" applyNumberFormat="1" applyFont="1" applyFill="1" applyBorder="1" applyAlignment="1">
      <alignment horizontal="center" vertical="center"/>
    </xf>
    <xf numFmtId="9" fontId="57" fillId="15" borderId="412" xfId="1" applyFont="1" applyFill="1" applyBorder="1" applyAlignment="1">
      <alignment horizontal="center" vertical="center"/>
    </xf>
    <xf numFmtId="2" fontId="57" fillId="0" borderId="465" xfId="0" applyNumberFormat="1" applyFont="1" applyBorder="1" applyAlignment="1">
      <alignment horizontal="center" vertical="center"/>
    </xf>
    <xf numFmtId="0" fontId="57" fillId="0" borderId="437" xfId="0" applyFont="1" applyBorder="1" applyAlignment="1">
      <alignment horizontal="center" vertical="center"/>
    </xf>
    <xf numFmtId="2" fontId="57" fillId="0" borderId="465" xfId="0" applyNumberFormat="1" applyFont="1" applyFill="1" applyBorder="1" applyAlignment="1">
      <alignment horizontal="center" vertical="center"/>
    </xf>
    <xf numFmtId="38" fontId="57" fillId="15" borderId="466" xfId="2" applyNumberFormat="1" applyFont="1" applyFill="1" applyBorder="1" applyAlignment="1">
      <alignment horizontal="center" vertical="center"/>
    </xf>
    <xf numFmtId="38" fontId="57" fillId="15" borderId="465" xfId="0" applyNumberFormat="1" applyFont="1" applyFill="1" applyBorder="1" applyAlignment="1">
      <alignment horizontal="center" vertical="center"/>
    </xf>
    <xf numFmtId="38" fontId="57" fillId="15" borderId="465" xfId="2" applyNumberFormat="1" applyFont="1" applyFill="1" applyBorder="1" applyAlignment="1">
      <alignment horizontal="center" vertical="center"/>
    </xf>
    <xf numFmtId="9" fontId="57" fillId="15" borderId="465" xfId="1" applyFont="1" applyFill="1" applyBorder="1" applyAlignment="1">
      <alignment horizontal="center" vertical="center"/>
    </xf>
    <xf numFmtId="0" fontId="57" fillId="15" borderId="437" xfId="0" applyFont="1" applyFill="1" applyBorder="1" applyAlignment="1">
      <alignment horizontal="center" vertical="center"/>
    </xf>
    <xf numFmtId="38" fontId="57" fillId="0" borderId="466" xfId="2" applyNumberFormat="1" applyFont="1" applyFill="1" applyBorder="1" applyAlignment="1">
      <alignment horizontal="center" vertical="center"/>
    </xf>
    <xf numFmtId="38" fontId="57" fillId="0" borderId="465" xfId="0" applyNumberFormat="1" applyFont="1" applyFill="1" applyBorder="1" applyAlignment="1">
      <alignment horizontal="center" vertical="center"/>
    </xf>
    <xf numFmtId="38" fontId="57" fillId="7" borderId="467" xfId="2" applyNumberFormat="1" applyFont="1" applyFill="1" applyBorder="1" applyAlignment="1">
      <alignment horizontal="center" vertical="center"/>
    </xf>
    <xf numFmtId="9" fontId="57" fillId="7" borderId="463" xfId="1" applyFont="1" applyFill="1" applyBorder="1" applyAlignment="1">
      <alignment horizontal="center" vertical="center"/>
    </xf>
    <xf numFmtId="38" fontId="57" fillId="0" borderId="438" xfId="2" applyNumberFormat="1" applyFont="1" applyFill="1" applyBorder="1" applyAlignment="1">
      <alignment horizontal="center" vertical="center"/>
    </xf>
    <xf numFmtId="38" fontId="57" fillId="0" borderId="412" xfId="0" applyNumberFormat="1" applyFont="1" applyFill="1" applyBorder="1" applyAlignment="1">
      <alignment horizontal="center" vertical="center"/>
    </xf>
    <xf numFmtId="38" fontId="57" fillId="7" borderId="438" xfId="2" applyNumberFormat="1" applyFont="1" applyFill="1" applyBorder="1" applyAlignment="1">
      <alignment horizontal="center" vertical="center"/>
    </xf>
    <xf numFmtId="9" fontId="57" fillId="7" borderId="412" xfId="1" applyFont="1" applyFill="1" applyBorder="1" applyAlignment="1">
      <alignment horizontal="center" vertical="center"/>
    </xf>
    <xf numFmtId="226" fontId="57" fillId="7" borderId="411" xfId="2" applyNumberFormat="1" applyFont="1" applyFill="1" applyBorder="1" applyAlignment="1">
      <alignment horizontal="center" vertical="center"/>
    </xf>
    <xf numFmtId="38" fontId="57" fillId="0" borderId="463" xfId="2" applyNumberFormat="1" applyFont="1" applyFill="1" applyBorder="1" applyAlignment="1">
      <alignment horizontal="center" vertical="center"/>
    </xf>
    <xf numFmtId="9" fontId="57" fillId="0" borderId="463" xfId="1" applyFont="1" applyFill="1" applyBorder="1" applyAlignment="1">
      <alignment horizontal="center" vertical="center"/>
    </xf>
    <xf numFmtId="226" fontId="57" fillId="0" borderId="465" xfId="2" applyNumberFormat="1" applyFont="1" applyFill="1" applyBorder="1" applyAlignment="1">
      <alignment horizontal="center" vertical="center"/>
    </xf>
    <xf numFmtId="0" fontId="57" fillId="0" borderId="437" xfId="0" applyFont="1" applyFill="1" applyBorder="1" applyAlignment="1">
      <alignment horizontal="center" vertical="center"/>
    </xf>
    <xf numFmtId="38" fontId="57" fillId="15" borderId="463" xfId="2" applyNumberFormat="1" applyFont="1" applyFill="1" applyBorder="1" applyAlignment="1">
      <alignment horizontal="center" vertical="center"/>
    </xf>
    <xf numFmtId="38" fontId="57" fillId="0" borderId="412" xfId="2" applyNumberFormat="1" applyFont="1" applyFill="1" applyBorder="1" applyAlignment="1">
      <alignment horizontal="center" vertical="center"/>
    </xf>
    <xf numFmtId="9" fontId="57" fillId="0" borderId="412" xfId="1" applyFont="1" applyFill="1" applyBorder="1" applyAlignment="1">
      <alignment horizontal="center" vertical="center"/>
    </xf>
    <xf numFmtId="0" fontId="57" fillId="0" borderId="446" xfId="0" applyFont="1" applyFill="1" applyBorder="1" applyAlignment="1">
      <alignment horizontal="center" vertical="center" wrapText="1"/>
    </xf>
    <xf numFmtId="223" fontId="171" fillId="7" borderId="226" xfId="0" applyNumberFormat="1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 wrapText="1"/>
    </xf>
    <xf numFmtId="0" fontId="177" fillId="126" borderId="468" xfId="0" applyFont="1" applyFill="1" applyBorder="1" applyAlignment="1">
      <alignment horizontal="center" vertical="center"/>
    </xf>
    <xf numFmtId="183" fontId="57" fillId="0" borderId="458" xfId="2" applyNumberFormat="1" applyFont="1" applyBorder="1" applyAlignment="1">
      <alignment horizontal="center" vertical="center"/>
    </xf>
    <xf numFmtId="183" fontId="57" fillId="0" borderId="459" xfId="2" applyNumberFormat="1" applyFont="1" applyBorder="1" applyAlignment="1">
      <alignment horizontal="center" vertical="center"/>
    </xf>
    <xf numFmtId="178" fontId="57" fillId="15" borderId="459" xfId="2" applyNumberFormat="1" applyFont="1" applyFill="1" applyBorder="1" applyAlignment="1">
      <alignment horizontal="center" vertical="center"/>
    </xf>
    <xf numFmtId="183" fontId="57" fillId="0" borderId="465" xfId="2" applyNumberFormat="1" applyFont="1" applyBorder="1" applyAlignment="1">
      <alignment horizontal="center" vertical="center"/>
    </xf>
    <xf numFmtId="187" fontId="57" fillId="15" borderId="465" xfId="2" applyNumberFormat="1" applyFont="1" applyFill="1" applyBorder="1" applyAlignment="1">
      <alignment horizontal="center" vertical="center"/>
    </xf>
    <xf numFmtId="223" fontId="57" fillId="15" borderId="465" xfId="2" applyNumberFormat="1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177" fillId="127" borderId="447" xfId="0" applyFont="1" applyFill="1" applyBorder="1" applyAlignment="1">
      <alignment horizontal="center" vertical="center"/>
    </xf>
    <xf numFmtId="0" fontId="177" fillId="126" borderId="470" xfId="0" applyFont="1" applyFill="1" applyBorder="1" applyAlignment="1">
      <alignment horizontal="center" vertical="center"/>
    </xf>
    <xf numFmtId="2" fontId="57" fillId="0" borderId="464" xfId="0" applyNumberFormat="1" applyFont="1" applyBorder="1" applyAlignment="1">
      <alignment horizontal="center" vertical="center"/>
    </xf>
    <xf numFmtId="2" fontId="57" fillId="0" borderId="467" xfId="0" applyNumberFormat="1" applyFont="1" applyBorder="1" applyAlignment="1">
      <alignment horizontal="center" vertical="center"/>
    </xf>
    <xf numFmtId="187" fontId="57" fillId="0" borderId="467" xfId="0" applyNumberFormat="1" applyFont="1" applyBorder="1" applyAlignment="1">
      <alignment horizontal="center" vertical="center"/>
    </xf>
    <xf numFmtId="187" fontId="57" fillId="15" borderId="467" xfId="0" applyNumberFormat="1" applyFont="1" applyFill="1" applyBorder="1" applyAlignment="1">
      <alignment horizontal="center" vertical="center"/>
    </xf>
    <xf numFmtId="187" fontId="57" fillId="0" borderId="463" xfId="0" applyNumberFormat="1" applyFont="1" applyBorder="1" applyAlignment="1">
      <alignment horizontal="center" vertical="center"/>
    </xf>
    <xf numFmtId="2" fontId="28" fillId="0" borderId="463" xfId="0" applyNumberFormat="1" applyFont="1" applyFill="1" applyBorder="1" applyAlignment="1">
      <alignment horizontal="center" vertical="center"/>
    </xf>
    <xf numFmtId="9" fontId="57" fillId="15" borderId="467" xfId="1" applyFont="1" applyFill="1" applyBorder="1" applyAlignment="1">
      <alignment horizontal="center" vertical="center"/>
    </xf>
    <xf numFmtId="38" fontId="57" fillId="0" borderId="467" xfId="0" applyNumberFormat="1" applyFont="1" applyBorder="1" applyAlignment="1">
      <alignment horizontal="center" vertical="center"/>
    </xf>
    <xf numFmtId="0" fontId="57" fillId="0" borderId="447" xfId="0" applyFont="1" applyBorder="1" applyAlignment="1">
      <alignment horizontal="center" vertical="center"/>
    </xf>
    <xf numFmtId="183" fontId="57" fillId="0" borderId="456" xfId="0" applyNumberFormat="1" applyFont="1" applyBorder="1" applyAlignment="1">
      <alignment horizontal="center" vertical="center"/>
    </xf>
    <xf numFmtId="9" fontId="57" fillId="0" borderId="465" xfId="1" applyFont="1" applyBorder="1" applyAlignment="1">
      <alignment horizontal="center" vertical="center"/>
    </xf>
    <xf numFmtId="2" fontId="57" fillId="0" borderId="463" xfId="0" applyNumberFormat="1" applyFont="1" applyBorder="1" applyAlignment="1">
      <alignment horizontal="center" vertical="center"/>
    </xf>
    <xf numFmtId="38" fontId="57" fillId="0" borderId="465" xfId="2" applyNumberFormat="1" applyFont="1" applyBorder="1" applyAlignment="1">
      <alignment horizontal="center" vertical="center"/>
    </xf>
    <xf numFmtId="223" fontId="57" fillId="0" borderId="465" xfId="2" applyNumberFormat="1" applyFont="1" applyBorder="1" applyAlignment="1">
      <alignment horizontal="center" vertical="center"/>
    </xf>
    <xf numFmtId="176" fontId="57" fillId="0" borderId="473" xfId="0" applyNumberFormat="1" applyFont="1" applyBorder="1" applyAlignment="1">
      <alignment horizontal="center" vertical="center"/>
    </xf>
    <xf numFmtId="226" fontId="57" fillId="7" borderId="463" xfId="2" applyNumberFormat="1" applyFont="1" applyFill="1" applyBorder="1" applyAlignment="1">
      <alignment horizontal="center" vertical="center"/>
    </xf>
    <xf numFmtId="183" fontId="57" fillId="0" borderId="474" xfId="0" applyNumberFormat="1" applyFont="1" applyBorder="1" applyAlignment="1">
      <alignment horizontal="center" vertical="center"/>
    </xf>
    <xf numFmtId="38" fontId="57" fillId="0" borderId="465" xfId="2" applyNumberFormat="1" applyFont="1" applyFill="1" applyBorder="1" applyAlignment="1">
      <alignment horizontal="center" vertical="center"/>
    </xf>
    <xf numFmtId="0" fontId="166" fillId="119" borderId="313" xfId="0" applyFont="1" applyFill="1" applyBorder="1" applyAlignment="1">
      <alignment horizontal="center" vertical="center" wrapText="1"/>
    </xf>
    <xf numFmtId="0" fontId="26" fillId="0" borderId="57" xfId="0" applyFont="1" applyBorder="1" applyAlignment="1">
      <alignment horizontal="center" vertical="center" wrapText="1"/>
    </xf>
    <xf numFmtId="0" fontId="26" fillId="16" borderId="57" xfId="0" applyFont="1" applyFill="1" applyBorder="1" applyAlignment="1">
      <alignment horizontal="center" vertical="center" wrapText="1"/>
    </xf>
    <xf numFmtId="0" fontId="179" fillId="119" borderId="392" xfId="0" applyFont="1" applyFill="1" applyBorder="1" applyAlignment="1">
      <alignment horizontal="center" vertical="center" wrapText="1"/>
    </xf>
    <xf numFmtId="2" fontId="26" fillId="16" borderId="207" xfId="0" applyNumberFormat="1" applyFont="1" applyFill="1" applyBorder="1" applyAlignment="1">
      <alignment horizontal="center" vertical="center" wrapText="1"/>
    </xf>
    <xf numFmtId="0" fontId="28" fillId="15" borderId="467" xfId="0" applyFont="1" applyFill="1" applyBorder="1" applyAlignment="1">
      <alignment horizontal="center" vertical="center"/>
    </xf>
    <xf numFmtId="183" fontId="57" fillId="0" borderId="465" xfId="2" applyNumberFormat="1" applyFont="1" applyFill="1" applyBorder="1" applyAlignment="1">
      <alignment horizontal="center" vertical="center"/>
    </xf>
    <xf numFmtId="187" fontId="57" fillId="0" borderId="463" xfId="2" applyNumberFormat="1" applyFont="1" applyFill="1" applyBorder="1" applyAlignment="1">
      <alignment horizontal="center" vertical="center"/>
    </xf>
    <xf numFmtId="183" fontId="57" fillId="0" borderId="122" xfId="2" applyNumberFormat="1" applyFont="1" applyBorder="1" applyAlignment="1">
      <alignment horizontal="center" vertical="center"/>
    </xf>
    <xf numFmtId="183" fontId="57" fillId="7" borderId="467" xfId="2" applyNumberFormat="1" applyFont="1" applyFill="1" applyBorder="1" applyAlignment="1">
      <alignment horizontal="center" vertical="center"/>
    </xf>
    <xf numFmtId="183" fontId="57" fillId="7" borderId="6" xfId="2" applyNumberFormat="1" applyFont="1" applyFill="1" applyBorder="1" applyAlignment="1">
      <alignment horizontal="center" vertical="center"/>
    </xf>
    <xf numFmtId="187" fontId="57" fillId="7" borderId="463" xfId="2" applyNumberFormat="1" applyFont="1" applyFill="1" applyBorder="1" applyAlignment="1">
      <alignment horizontal="center" vertical="center"/>
    </xf>
    <xf numFmtId="183" fontId="57" fillId="7" borderId="411" xfId="2" applyNumberFormat="1" applyFont="1" applyFill="1" applyBorder="1" applyAlignment="1">
      <alignment horizontal="center" vertical="center"/>
    </xf>
    <xf numFmtId="187" fontId="57" fillId="7" borderId="467" xfId="2" applyNumberFormat="1" applyFont="1" applyFill="1" applyBorder="1" applyAlignment="1">
      <alignment horizontal="center" vertical="center"/>
    </xf>
    <xf numFmtId="2" fontId="57" fillId="0" borderId="452" xfId="0" applyNumberFormat="1" applyFont="1" applyFill="1" applyBorder="1" applyAlignment="1">
      <alignment horizontal="center" vertical="center"/>
    </xf>
    <xf numFmtId="2" fontId="57" fillId="0" borderId="463" xfId="0" applyNumberFormat="1" applyFont="1" applyFill="1" applyBorder="1" applyAlignment="1">
      <alignment horizontal="center" vertical="center"/>
    </xf>
    <xf numFmtId="1" fontId="57" fillId="0" borderId="463" xfId="0" applyNumberFormat="1" applyFont="1" applyFill="1" applyBorder="1" applyAlignment="1">
      <alignment horizontal="center" vertical="center"/>
    </xf>
    <xf numFmtId="3" fontId="57" fillId="0" borderId="465" xfId="0" applyNumberFormat="1" applyFont="1" applyBorder="1" applyAlignment="1">
      <alignment horizontal="center" vertical="center"/>
    </xf>
    <xf numFmtId="2" fontId="57" fillId="0" borderId="452" xfId="0" applyNumberFormat="1" applyFont="1" applyBorder="1" applyAlignment="1">
      <alignment horizontal="center" vertical="center"/>
    </xf>
    <xf numFmtId="2" fontId="28" fillId="0" borderId="467" xfId="0" applyNumberFormat="1" applyFont="1" applyBorder="1" applyAlignment="1">
      <alignment horizontal="center" vertical="center"/>
    </xf>
    <xf numFmtId="226" fontId="57" fillId="0" borderId="463" xfId="2" applyNumberFormat="1" applyFont="1" applyBorder="1" applyAlignment="1">
      <alignment horizontal="center" vertical="center"/>
    </xf>
    <xf numFmtId="2" fontId="57" fillId="0" borderId="37" xfId="0" applyNumberFormat="1" applyFont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226" fontId="57" fillId="0" borderId="465" xfId="2" applyNumberFormat="1" applyFont="1" applyBorder="1" applyAlignment="1">
      <alignment horizontal="center" vertical="center"/>
    </xf>
    <xf numFmtId="178" fontId="57" fillId="0" borderId="465" xfId="0" applyNumberFormat="1" applyFont="1" applyFill="1" applyBorder="1" applyAlignment="1">
      <alignment horizontal="center" vertical="center"/>
    </xf>
    <xf numFmtId="187" fontId="57" fillId="0" borderId="465" xfId="2" applyNumberFormat="1" applyFont="1" applyFill="1" applyBorder="1" applyAlignment="1">
      <alignment horizontal="center" vertical="center"/>
    </xf>
    <xf numFmtId="187" fontId="57" fillId="0" borderId="466" xfId="2" applyNumberFormat="1" applyFont="1" applyFill="1" applyBorder="1" applyAlignment="1">
      <alignment horizontal="center" vertical="center"/>
    </xf>
    <xf numFmtId="226" fontId="57" fillId="0" borderId="48" xfId="2" applyNumberFormat="1" applyFont="1" applyBorder="1" applyAlignment="1">
      <alignment horizontal="center" vertical="center"/>
    </xf>
    <xf numFmtId="178" fontId="57" fillId="0" borderId="452" xfId="0" applyNumberFormat="1" applyFont="1" applyFill="1" applyBorder="1" applyAlignment="1">
      <alignment horizontal="center" vertical="center"/>
    </xf>
    <xf numFmtId="187" fontId="57" fillId="0" borderId="37" xfId="2" applyNumberFormat="1" applyFont="1" applyFill="1" applyBorder="1" applyAlignment="1">
      <alignment horizontal="center" vertical="center"/>
    </xf>
    <xf numFmtId="187" fontId="57" fillId="0" borderId="452" xfId="2" applyNumberFormat="1" applyFont="1" applyFill="1" applyBorder="1" applyAlignment="1">
      <alignment horizontal="center" vertical="center"/>
    </xf>
    <xf numFmtId="226" fontId="57" fillId="0" borderId="389" xfId="2" applyNumberFormat="1" applyFont="1" applyBorder="1" applyAlignment="1">
      <alignment horizontal="center" vertical="center"/>
    </xf>
    <xf numFmtId="187" fontId="57" fillId="0" borderId="390" xfId="2" applyNumberFormat="1" applyFont="1" applyBorder="1" applyAlignment="1">
      <alignment horizontal="center" vertical="center"/>
    </xf>
    <xf numFmtId="226" fontId="57" fillId="0" borderId="475" xfId="2" applyNumberFormat="1" applyFont="1" applyBorder="1" applyAlignment="1">
      <alignment horizontal="center" vertical="center"/>
    </xf>
    <xf numFmtId="187" fontId="57" fillId="0" borderId="476" xfId="2" applyNumberFormat="1" applyFont="1" applyBorder="1" applyAlignment="1">
      <alignment horizontal="center" vertical="center"/>
    </xf>
    <xf numFmtId="38" fontId="57" fillId="0" borderId="472" xfId="2" applyNumberFormat="1" applyFont="1" applyFill="1" applyBorder="1" applyAlignment="1">
      <alignment horizontal="center" vertical="center"/>
    </xf>
    <xf numFmtId="185" fontId="57" fillId="0" borderId="463" xfId="0" applyNumberFormat="1" applyFont="1" applyFill="1" applyBorder="1" applyAlignment="1">
      <alignment horizontal="center" vertical="center"/>
    </xf>
    <xf numFmtId="187" fontId="57" fillId="0" borderId="465" xfId="2" applyNumberFormat="1" applyFont="1" applyBorder="1" applyAlignment="1">
      <alignment horizontal="center" vertical="center"/>
    </xf>
    <xf numFmtId="183" fontId="57" fillId="0" borderId="469" xfId="2" applyNumberFormat="1" applyFont="1" applyBorder="1" applyAlignment="1">
      <alignment horizontal="center" vertical="center"/>
    </xf>
    <xf numFmtId="187" fontId="57" fillId="0" borderId="469" xfId="2" applyNumberFormat="1" applyFont="1" applyFill="1" applyBorder="1" applyAlignment="1">
      <alignment horizontal="center" vertical="center"/>
    </xf>
    <xf numFmtId="223" fontId="57" fillId="0" borderId="465" xfId="2" applyNumberFormat="1" applyFont="1" applyFill="1" applyBorder="1" applyAlignment="1">
      <alignment horizontal="center" vertical="center"/>
    </xf>
    <xf numFmtId="223" fontId="57" fillId="0" borderId="463" xfId="2" applyNumberFormat="1" applyFont="1" applyBorder="1" applyAlignment="1">
      <alignment horizontal="center" vertical="center"/>
    </xf>
    <xf numFmtId="187" fontId="57" fillId="15" borderId="438" xfId="2" applyNumberFormat="1" applyFont="1" applyFill="1" applyBorder="1" applyAlignment="1">
      <alignment horizontal="center" vertical="center"/>
    </xf>
    <xf numFmtId="183" fontId="28" fillId="0" borderId="121" xfId="2" applyNumberFormat="1" applyFont="1" applyFill="1" applyBorder="1" applyAlignment="1">
      <alignment horizontal="center" vertical="center"/>
    </xf>
    <xf numFmtId="187" fontId="57" fillId="0" borderId="450" xfId="2" applyNumberFormat="1" applyFont="1" applyFill="1" applyBorder="1" applyAlignment="1">
      <alignment horizontal="center" vertical="center"/>
    </xf>
    <xf numFmtId="0" fontId="165" fillId="0" borderId="463" xfId="0" applyFont="1" applyBorder="1" applyAlignment="1">
      <alignment horizontal="center" vertical="center" wrapText="1"/>
    </xf>
    <xf numFmtId="183" fontId="176" fillId="125" borderId="463" xfId="0" applyNumberFormat="1" applyFont="1" applyFill="1" applyBorder="1" applyAlignment="1">
      <alignment horizontal="center" vertical="center"/>
    </xf>
    <xf numFmtId="0" fontId="176" fillId="125" borderId="465" xfId="0" quotePrefix="1" applyFont="1" applyFill="1" applyBorder="1" applyAlignment="1">
      <alignment horizontal="center" vertical="center"/>
    </xf>
    <xf numFmtId="4" fontId="28" fillId="7" borderId="463" xfId="2" applyNumberFormat="1" applyFont="1" applyFill="1" applyBorder="1" applyAlignment="1">
      <alignment horizontal="center" vertical="center"/>
    </xf>
    <xf numFmtId="183" fontId="28" fillId="7" borderId="463" xfId="2" applyNumberFormat="1" applyFont="1" applyFill="1" applyBorder="1" applyAlignment="1">
      <alignment horizontal="center" vertical="center"/>
    </xf>
    <xf numFmtId="4" fontId="28" fillId="7" borderId="122" xfId="2" applyNumberFormat="1" applyFont="1" applyFill="1" applyBorder="1" applyAlignment="1">
      <alignment horizontal="center" vertical="center"/>
    </xf>
    <xf numFmtId="4" fontId="28" fillId="7" borderId="467" xfId="2" applyNumberFormat="1" applyFont="1" applyFill="1" applyBorder="1" applyAlignment="1">
      <alignment horizontal="center" vertical="center"/>
    </xf>
    <xf numFmtId="183" fontId="28" fillId="7" borderId="467" xfId="2" applyNumberFormat="1" applyFont="1" applyFill="1" applyBorder="1" applyAlignment="1">
      <alignment horizontal="center" vertical="center"/>
    </xf>
    <xf numFmtId="183" fontId="176" fillId="125" borderId="438" xfId="2" applyNumberFormat="1" applyFont="1" applyFill="1" applyBorder="1" applyAlignment="1">
      <alignment horizontal="center" vertical="center"/>
    </xf>
    <xf numFmtId="38" fontId="28" fillId="7" borderId="467" xfId="2" applyNumberFormat="1" applyFont="1" applyFill="1" applyBorder="1" applyAlignment="1">
      <alignment horizontal="center" vertical="center"/>
    </xf>
    <xf numFmtId="4" fontId="28" fillId="7" borderId="48" xfId="2" applyNumberFormat="1" applyFont="1" applyFill="1" applyBorder="1" applyAlignment="1">
      <alignment horizontal="center" vertical="center"/>
    </xf>
    <xf numFmtId="38" fontId="57" fillId="0" borderId="463" xfId="2" applyNumberFormat="1" applyFont="1" applyBorder="1" applyAlignment="1">
      <alignment horizontal="center" vertical="center"/>
    </xf>
    <xf numFmtId="38" fontId="57" fillId="15" borderId="467" xfId="2" applyNumberFormat="1" applyFont="1" applyFill="1" applyBorder="1" applyAlignment="1">
      <alignment horizontal="center" vertical="center"/>
    </xf>
    <xf numFmtId="183" fontId="57" fillId="0" borderId="449" xfId="2" applyNumberFormat="1" applyFont="1" applyFill="1" applyBorder="1" applyAlignment="1">
      <alignment horizontal="center" vertical="center"/>
    </xf>
    <xf numFmtId="232" fontId="28" fillId="7" borderId="0" xfId="0" applyNumberFormat="1" applyFont="1" applyFill="1">
      <alignment vertical="center"/>
    </xf>
    <xf numFmtId="0" fontId="57" fillId="0" borderId="0" xfId="0" applyFont="1" applyFill="1">
      <alignment vertical="center"/>
    </xf>
    <xf numFmtId="177" fontId="57" fillId="0" borderId="0" xfId="0" applyNumberFormat="1" applyFont="1" applyFill="1">
      <alignment vertical="center"/>
    </xf>
    <xf numFmtId="0" fontId="0" fillId="0" borderId="0" xfId="0" applyFill="1">
      <alignment vertical="center"/>
    </xf>
    <xf numFmtId="176" fontId="57" fillId="0" borderId="0" xfId="0" applyNumberFormat="1" applyFont="1" applyFill="1">
      <alignment vertical="center"/>
    </xf>
    <xf numFmtId="188" fontId="57" fillId="0" borderId="0" xfId="0" applyNumberFormat="1" applyFont="1" applyFill="1">
      <alignment vertical="center"/>
    </xf>
    <xf numFmtId="189" fontId="0" fillId="0" borderId="0" xfId="0" applyNumberFormat="1" applyFont="1" applyFill="1" applyBorder="1">
      <alignment vertical="center"/>
    </xf>
    <xf numFmtId="0" fontId="57" fillId="0" borderId="0" xfId="0" applyFont="1" applyFill="1" applyBorder="1">
      <alignment vertical="center"/>
    </xf>
    <xf numFmtId="0" fontId="0" fillId="0" borderId="0" xfId="0" applyFont="1" applyFill="1" applyBorder="1">
      <alignment vertical="center"/>
    </xf>
    <xf numFmtId="226" fontId="57" fillId="0" borderId="0" xfId="0" applyNumberFormat="1" applyFont="1" applyFill="1" applyBorder="1">
      <alignment vertical="center"/>
    </xf>
    <xf numFmtId="179" fontId="43" fillId="0" borderId="0" xfId="24242" applyNumberFormat="1" applyFont="1" applyFill="1" applyBorder="1">
      <alignment vertical="center"/>
    </xf>
    <xf numFmtId="41" fontId="43" fillId="0" borderId="0" xfId="2" quotePrefix="1" applyFont="1" applyFill="1" applyBorder="1" applyAlignment="1">
      <alignment horizontal="center" vertical="center"/>
    </xf>
    <xf numFmtId="41" fontId="57" fillId="0" borderId="0" xfId="2" applyFont="1" applyFill="1" applyBorder="1" applyAlignment="1">
      <alignment horizontal="center" vertical="center"/>
    </xf>
    <xf numFmtId="41" fontId="43" fillId="0" borderId="0" xfId="2" applyFont="1" applyFill="1" applyBorder="1">
      <alignment vertical="center"/>
    </xf>
    <xf numFmtId="41" fontId="57" fillId="0" borderId="0" xfId="2" applyFont="1" applyFill="1" applyBorder="1">
      <alignment vertical="center"/>
    </xf>
    <xf numFmtId="41" fontId="57" fillId="0" borderId="0" xfId="0" applyNumberFormat="1" applyFont="1" applyFill="1" applyBorder="1">
      <alignment vertical="center"/>
    </xf>
    <xf numFmtId="0" fontId="176" fillId="0" borderId="0" xfId="0" quotePrefix="1" applyFont="1" applyFill="1" applyBorder="1" applyAlignment="1">
      <alignment horizontal="center" vertical="center"/>
    </xf>
    <xf numFmtId="0" fontId="57" fillId="0" borderId="0" xfId="0" applyFont="1" applyBorder="1">
      <alignment vertical="center"/>
    </xf>
    <xf numFmtId="0" fontId="188" fillId="0" borderId="0" xfId="0" applyFont="1" applyBorder="1">
      <alignment vertical="center"/>
    </xf>
    <xf numFmtId="43" fontId="57" fillId="0" borderId="0" xfId="0" applyNumberFormat="1" applyFont="1" applyFill="1">
      <alignment vertical="center"/>
    </xf>
    <xf numFmtId="41" fontId="43" fillId="0" borderId="122" xfId="2" applyFont="1" applyFill="1" applyBorder="1">
      <alignment vertical="center"/>
    </xf>
    <xf numFmtId="41" fontId="43" fillId="0" borderId="6" xfId="2" applyFont="1" applyFill="1" applyBorder="1">
      <alignment vertical="center"/>
    </xf>
    <xf numFmtId="0" fontId="50" fillId="0" borderId="0" xfId="0" applyFont="1" applyFill="1">
      <alignment vertical="center"/>
    </xf>
    <xf numFmtId="0" fontId="191" fillId="0" borderId="0" xfId="0" applyFont="1" applyFill="1" applyBorder="1" applyAlignment="1">
      <alignment horizontal="center" vertical="center"/>
    </xf>
    <xf numFmtId="177" fontId="191" fillId="0" borderId="0" xfId="0" applyNumberFormat="1" applyFont="1" applyFill="1" applyBorder="1" applyAlignment="1">
      <alignment horizontal="center" vertical="center"/>
    </xf>
    <xf numFmtId="0" fontId="191" fillId="0" borderId="0" xfId="0" applyFont="1" applyFill="1" applyAlignment="1">
      <alignment horizontal="center" vertical="center"/>
    </xf>
    <xf numFmtId="226" fontId="191" fillId="0" borderId="0" xfId="0" applyNumberFormat="1" applyFont="1" applyFill="1" applyAlignment="1">
      <alignment horizontal="center" vertical="center"/>
    </xf>
    <xf numFmtId="0" fontId="171" fillId="0" borderId="0" xfId="0" applyFont="1" applyFill="1" applyAlignment="1">
      <alignment horizontal="center" vertical="center"/>
    </xf>
    <xf numFmtId="226" fontId="202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Fill="1" applyBorder="1" applyAlignment="1">
      <alignment horizontal="center" vertical="center"/>
    </xf>
    <xf numFmtId="187" fontId="171" fillId="0" borderId="0" xfId="0" applyNumberFormat="1" applyFont="1" applyFill="1" applyBorder="1">
      <alignment vertical="center"/>
    </xf>
    <xf numFmtId="41" fontId="43" fillId="0" borderId="0" xfId="2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109" fillId="0" borderId="0" xfId="0" applyNumberFormat="1" applyFont="1" applyFill="1" applyBorder="1" applyAlignment="1" applyProtection="1">
      <alignment vertical="center"/>
    </xf>
    <xf numFmtId="178" fontId="57" fillId="0" borderId="0" xfId="0" applyNumberFormat="1" applyFont="1" applyFill="1" applyBorder="1" applyAlignment="1">
      <alignment horizontal="center" vertical="center"/>
    </xf>
    <xf numFmtId="0" fontId="37" fillId="0" borderId="0" xfId="0" applyFont="1" applyFill="1" applyBorder="1" applyAlignment="1" applyProtection="1">
      <alignment horizontal="center" vertical="center"/>
      <protection locked="0"/>
    </xf>
    <xf numFmtId="187" fontId="57" fillId="0" borderId="0" xfId="0" applyNumberFormat="1" applyFont="1" applyFill="1" applyBorder="1" applyAlignment="1">
      <alignment horizontal="center" vertical="center"/>
    </xf>
    <xf numFmtId="226" fontId="57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 applyProtection="1">
      <alignment horizontal="center" vertical="center"/>
      <protection locked="0"/>
    </xf>
    <xf numFmtId="176" fontId="57" fillId="0" borderId="0" xfId="0" applyNumberFormat="1" applyFont="1" applyFill="1" applyBorder="1" applyAlignment="1">
      <alignment horizontal="center" vertical="center"/>
    </xf>
    <xf numFmtId="234" fontId="57" fillId="0" borderId="0" xfId="0" applyNumberFormat="1" applyFont="1" applyFill="1" applyBorder="1" applyAlignment="1">
      <alignment horizontal="center" vertical="center"/>
    </xf>
    <xf numFmtId="187" fontId="57" fillId="0" borderId="0" xfId="0" applyNumberFormat="1" applyFont="1" applyFill="1" applyBorder="1">
      <alignment vertical="center"/>
    </xf>
    <xf numFmtId="0" fontId="37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protection locked="0"/>
    </xf>
    <xf numFmtId="189" fontId="109" fillId="0" borderId="0" xfId="0" applyNumberFormat="1" applyFont="1" applyFill="1" applyBorder="1" applyAlignment="1" applyProtection="1">
      <alignment vertical="center"/>
    </xf>
    <xf numFmtId="1" fontId="28" fillId="0" borderId="467" xfId="0" applyNumberFormat="1" applyFont="1" applyBorder="1" applyAlignment="1">
      <alignment horizontal="center" vertical="center"/>
    </xf>
    <xf numFmtId="0" fontId="57" fillId="5" borderId="467" xfId="0" applyFont="1" applyFill="1" applyBorder="1" applyAlignment="1">
      <alignment horizontal="center" vertical="center" wrapText="1"/>
    </xf>
    <xf numFmtId="185" fontId="57" fillId="7" borderId="467" xfId="0" applyNumberFormat="1" applyFont="1" applyFill="1" applyBorder="1" applyAlignment="1">
      <alignment horizontal="center" vertical="center"/>
    </xf>
    <xf numFmtId="176" fontId="28" fillId="0" borderId="271" xfId="0" applyNumberFormat="1" applyFont="1" applyBorder="1" applyAlignment="1">
      <alignment horizontal="center" vertical="center"/>
    </xf>
    <xf numFmtId="183" fontId="57" fillId="0" borderId="437" xfId="0" applyNumberFormat="1" applyFont="1" applyFill="1" applyBorder="1" applyAlignment="1">
      <alignment horizontal="center" vertical="center"/>
    </xf>
    <xf numFmtId="176" fontId="57" fillId="0" borderId="457" xfId="0" applyNumberFormat="1" applyFont="1" applyFill="1" applyBorder="1" applyAlignment="1">
      <alignment horizontal="center" vertical="center"/>
    </xf>
    <xf numFmtId="176" fontId="57" fillId="0" borderId="448" xfId="0" applyNumberFormat="1" applyFont="1" applyFill="1" applyBorder="1" applyAlignment="1">
      <alignment horizontal="center" vertical="center"/>
    </xf>
    <xf numFmtId="187" fontId="57" fillId="3" borderId="287" xfId="0" applyNumberFormat="1" applyFont="1" applyFill="1" applyBorder="1" applyAlignment="1">
      <alignment horizontal="center" vertical="center"/>
    </xf>
    <xf numFmtId="10" fontId="28" fillId="0" borderId="464" xfId="0" applyNumberFormat="1" applyFont="1" applyBorder="1" applyAlignment="1">
      <alignment horizontal="center" vertical="center" wrapText="1"/>
    </xf>
    <xf numFmtId="183" fontId="176" fillId="125" borderId="408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183" fontId="0" fillId="0" borderId="413" xfId="0" applyNumberFormat="1" applyBorder="1" applyAlignment="1">
      <alignment horizontal="center" vertical="center"/>
    </xf>
    <xf numFmtId="2" fontId="171" fillId="8" borderId="47" xfId="0" applyNumberFormat="1" applyFont="1" applyFill="1" applyBorder="1" applyAlignment="1">
      <alignment horizontal="center" vertical="center" wrapText="1"/>
    </xf>
    <xf numFmtId="3" fontId="57" fillId="7" borderId="47" xfId="2" applyNumberFormat="1" applyFont="1" applyFill="1" applyBorder="1" applyAlignment="1">
      <alignment horizontal="center" vertical="center"/>
    </xf>
    <xf numFmtId="3" fontId="57" fillId="7" borderId="463" xfId="2" applyNumberFormat="1" applyFont="1" applyFill="1" applyBorder="1" applyAlignment="1">
      <alignment horizontal="center" vertical="center"/>
    </xf>
    <xf numFmtId="3" fontId="176" fillId="125" borderId="463" xfId="2" applyNumberFormat="1" applyFont="1" applyFill="1" applyBorder="1" applyAlignment="1">
      <alignment horizontal="center" vertical="center" wrapText="1"/>
    </xf>
    <xf numFmtId="3" fontId="176" fillId="125" borderId="477" xfId="2" applyNumberFormat="1" applyFont="1" applyFill="1" applyBorder="1" applyAlignment="1">
      <alignment horizontal="center" vertical="center" wrapText="1"/>
    </xf>
    <xf numFmtId="2" fontId="34" fillId="8" borderId="49" xfId="0" quotePrefix="1" applyNumberFormat="1" applyFont="1" applyFill="1" applyBorder="1" applyAlignment="1">
      <alignment horizontal="center" vertical="center"/>
    </xf>
    <xf numFmtId="177" fontId="28" fillId="15" borderId="271" xfId="0" applyNumberFormat="1" applyFont="1" applyFill="1" applyBorder="1" applyAlignment="1">
      <alignment horizontal="center" vertical="center"/>
    </xf>
    <xf numFmtId="177" fontId="28" fillId="15" borderId="271" xfId="0" applyNumberFormat="1" applyFont="1" applyFill="1" applyBorder="1">
      <alignment vertical="center"/>
    </xf>
    <xf numFmtId="41" fontId="177" fillId="127" borderId="466" xfId="2" applyFont="1" applyFill="1" applyBorder="1" applyAlignment="1">
      <alignment horizontal="center" vertical="center"/>
    </xf>
    <xf numFmtId="0" fontId="176" fillId="127" borderId="463" xfId="0" applyFont="1" applyFill="1" applyBorder="1" applyAlignment="1">
      <alignment horizontal="center" vertical="center"/>
    </xf>
    <xf numFmtId="0" fontId="176" fillId="127" borderId="330" xfId="0" applyFont="1" applyFill="1" applyBorder="1" applyAlignment="1">
      <alignment horizontal="center" vertical="center"/>
    </xf>
    <xf numFmtId="0" fontId="177" fillId="127" borderId="329" xfId="0" applyFont="1" applyFill="1" applyBorder="1" applyAlignment="1">
      <alignment horizontal="center" vertical="center"/>
    </xf>
    <xf numFmtId="0" fontId="50" fillId="0" borderId="0" xfId="0" applyFont="1" applyFill="1" applyBorder="1">
      <alignment vertical="center"/>
    </xf>
    <xf numFmtId="0" fontId="177" fillId="127" borderId="479" xfId="0" applyFont="1" applyFill="1" applyBorder="1" applyAlignment="1">
      <alignment horizontal="center" vertical="center" wrapText="1"/>
    </xf>
    <xf numFmtId="0" fontId="165" fillId="16" borderId="479" xfId="0" applyFont="1" applyFill="1" applyBorder="1" applyAlignment="1">
      <alignment horizontal="center" vertical="center" wrapText="1"/>
    </xf>
    <xf numFmtId="0" fontId="165" fillId="0" borderId="479" xfId="0" applyFont="1" applyBorder="1" applyAlignment="1">
      <alignment horizontal="center" vertical="center" wrapText="1"/>
    </xf>
    <xf numFmtId="185" fontId="165" fillId="0" borderId="479" xfId="0" applyNumberFormat="1" applyFont="1" applyBorder="1" applyAlignment="1">
      <alignment horizontal="center" vertical="center" wrapText="1"/>
    </xf>
    <xf numFmtId="3" fontId="165" fillId="16" borderId="480" xfId="0" applyNumberFormat="1" applyFont="1" applyFill="1" applyBorder="1" applyAlignment="1">
      <alignment horizontal="center" vertical="center" wrapText="1"/>
    </xf>
    <xf numFmtId="38" fontId="28" fillId="0" borderId="479" xfId="0" applyNumberFormat="1" applyFont="1" applyBorder="1" applyAlignment="1">
      <alignment horizontal="center" vertical="center"/>
    </xf>
    <xf numFmtId="0" fontId="28" fillId="0" borderId="479" xfId="0" applyFont="1" applyBorder="1" applyAlignment="1">
      <alignment horizontal="center" vertical="center"/>
    </xf>
    <xf numFmtId="0" fontId="28" fillId="0" borderId="479" xfId="0" applyFont="1" applyBorder="1" applyAlignment="1">
      <alignment horizontal="left" vertical="center" wrapText="1"/>
    </xf>
    <xf numFmtId="0" fontId="176" fillId="127" borderId="202" xfId="0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183" fontId="28" fillId="0" borderId="464" xfId="0" applyNumberFormat="1" applyFont="1" applyBorder="1" applyAlignment="1">
      <alignment horizontal="center" vertical="center" wrapText="1"/>
    </xf>
    <xf numFmtId="185" fontId="165" fillId="0" borderId="481" xfId="0" applyNumberFormat="1" applyFont="1" applyBorder="1" applyAlignment="1">
      <alignment horizontal="center" vertical="center" wrapText="1"/>
    </xf>
    <xf numFmtId="187" fontId="28" fillId="0" borderId="221" xfId="2" applyNumberFormat="1" applyFont="1" applyFill="1" applyBorder="1" applyAlignment="1">
      <alignment horizontal="center" vertical="center"/>
    </xf>
    <xf numFmtId="1" fontId="28" fillId="0" borderId="121" xfId="0" applyNumberFormat="1" applyFont="1" applyFill="1" applyBorder="1" applyAlignment="1">
      <alignment horizontal="center" vertical="center"/>
    </xf>
    <xf numFmtId="226" fontId="57" fillId="0" borderId="458" xfId="2" applyNumberFormat="1" applyFont="1" applyBorder="1" applyAlignment="1">
      <alignment horizontal="center" vertical="center"/>
    </xf>
    <xf numFmtId="226" fontId="57" fillId="0" borderId="459" xfId="2" applyNumberFormat="1" applyFont="1" applyBorder="1" applyAlignment="1">
      <alignment horizontal="center" vertical="center"/>
    </xf>
    <xf numFmtId="226" fontId="57" fillId="0" borderId="452" xfId="2" applyNumberFormat="1" applyFont="1" applyBorder="1" applyAlignment="1">
      <alignment horizontal="center" vertical="center"/>
    </xf>
    <xf numFmtId="0" fontId="177" fillId="126" borderId="368" xfId="0" applyFont="1" applyFill="1" applyBorder="1" applyAlignment="1">
      <alignment horizontal="center" vertical="center"/>
    </xf>
    <xf numFmtId="223" fontId="57" fillId="15" borderId="334" xfId="2" quotePrefix="1" applyNumberFormat="1" applyFont="1" applyFill="1" applyBorder="1" applyAlignment="1">
      <alignment horizontal="center" vertical="center"/>
    </xf>
    <xf numFmtId="223" fontId="57" fillId="15" borderId="47" xfId="2" applyNumberFormat="1" applyFont="1" applyFill="1" applyBorder="1" applyAlignment="1">
      <alignment horizontal="center" vertical="center"/>
    </xf>
    <xf numFmtId="9" fontId="57" fillId="15" borderId="47" xfId="1" applyFont="1" applyFill="1" applyBorder="1" applyAlignment="1">
      <alignment horizontal="center" vertical="center"/>
    </xf>
    <xf numFmtId="9" fontId="57" fillId="0" borderId="463" xfId="1" applyFont="1" applyBorder="1" applyAlignment="1">
      <alignment horizontal="center" vertical="center"/>
    </xf>
    <xf numFmtId="223" fontId="57" fillId="15" borderId="465" xfId="2" quotePrefix="1" applyNumberFormat="1" applyFont="1" applyFill="1" applyBorder="1" applyAlignment="1">
      <alignment horizontal="center" vertical="center"/>
    </xf>
    <xf numFmtId="223" fontId="57" fillId="15" borderId="463" xfId="2" applyNumberFormat="1" applyFont="1" applyFill="1" applyBorder="1" applyAlignment="1">
      <alignment horizontal="center" vertical="center"/>
    </xf>
    <xf numFmtId="9" fontId="57" fillId="15" borderId="463" xfId="1" applyFont="1" applyFill="1" applyBorder="1" applyAlignment="1">
      <alignment horizontal="center" vertical="center"/>
    </xf>
    <xf numFmtId="0" fontId="176" fillId="127" borderId="446" xfId="0" applyFont="1" applyFill="1" applyBorder="1" applyAlignment="1">
      <alignment horizontal="center" vertical="center"/>
    </xf>
    <xf numFmtId="0" fontId="177" fillId="126" borderId="482" xfId="0" applyFont="1" applyFill="1" applyBorder="1" applyAlignment="1">
      <alignment horizontal="center" vertical="center"/>
    </xf>
    <xf numFmtId="223" fontId="57" fillId="0" borderId="477" xfId="2" applyNumberFormat="1" applyFont="1" applyBorder="1" applyAlignment="1">
      <alignment horizontal="center" vertical="center"/>
    </xf>
    <xf numFmtId="9" fontId="57" fillId="0" borderId="477" xfId="1" applyFont="1" applyBorder="1" applyAlignment="1">
      <alignment horizontal="center" vertical="center"/>
    </xf>
    <xf numFmtId="0" fontId="176" fillId="125" borderId="458" xfId="0" applyFont="1" applyFill="1" applyBorder="1" applyAlignment="1">
      <alignment horizontal="center" vertical="center"/>
    </xf>
    <xf numFmtId="0" fontId="176" fillId="125" borderId="459" xfId="0" applyFont="1" applyFill="1" applyBorder="1" applyAlignment="1">
      <alignment horizontal="center" vertical="center"/>
    </xf>
    <xf numFmtId="0" fontId="176" fillId="125" borderId="449" xfId="0" applyFont="1" applyFill="1" applyBorder="1" applyAlignment="1">
      <alignment horizontal="center" vertical="center"/>
    </xf>
    <xf numFmtId="226" fontId="57" fillId="0" borderId="310" xfId="2" applyNumberFormat="1" applyFont="1" applyBorder="1" applyAlignment="1">
      <alignment horizontal="center" vertical="center"/>
    </xf>
    <xf numFmtId="226" fontId="57" fillId="0" borderId="25" xfId="2" applyNumberFormat="1" applyFont="1" applyBorder="1" applyAlignment="1">
      <alignment horizontal="center" vertical="center"/>
    </xf>
    <xf numFmtId="226" fontId="57" fillId="0" borderId="26" xfId="2" applyNumberFormat="1" applyFont="1" applyBorder="1" applyAlignment="1">
      <alignment horizontal="center" vertical="center"/>
    </xf>
    <xf numFmtId="226" fontId="57" fillId="0" borderId="221" xfId="2" applyNumberFormat="1" applyFont="1" applyBorder="1" applyAlignment="1">
      <alignment horizontal="center" vertical="center"/>
    </xf>
    <xf numFmtId="226" fontId="57" fillId="0" borderId="40" xfId="2" applyNumberFormat="1" applyFont="1" applyBorder="1" applyAlignment="1">
      <alignment horizontal="center" vertical="center"/>
    </xf>
    <xf numFmtId="226" fontId="57" fillId="0" borderId="37" xfId="2" applyNumberFormat="1" applyFont="1" applyBorder="1" applyAlignment="1">
      <alignment horizontal="center" vertical="center"/>
    </xf>
    <xf numFmtId="38" fontId="57" fillId="0" borderId="40" xfId="2" applyNumberFormat="1" applyFont="1" applyBorder="1" applyAlignment="1">
      <alignment horizontal="center" vertical="center"/>
    </xf>
    <xf numFmtId="9" fontId="57" fillId="0" borderId="40" xfId="1" applyFont="1" applyBorder="1" applyAlignment="1">
      <alignment horizontal="center" vertical="center"/>
    </xf>
    <xf numFmtId="41" fontId="177" fillId="126" borderId="64" xfId="2" applyFont="1" applyFill="1" applyBorder="1" applyAlignment="1">
      <alignment horizontal="center" vertical="center"/>
    </xf>
    <xf numFmtId="187" fontId="57" fillId="0" borderId="322" xfId="2" applyNumberFormat="1" applyFont="1" applyBorder="1" applyAlignment="1">
      <alignment horizontal="center" vertical="center"/>
    </xf>
    <xf numFmtId="187" fontId="57" fillId="0" borderId="323" xfId="2" applyNumberFormat="1" applyFont="1" applyBorder="1" applyAlignment="1">
      <alignment horizontal="center" vertical="center"/>
    </xf>
    <xf numFmtId="187" fontId="57" fillId="0" borderId="324" xfId="2" applyNumberFormat="1" applyFont="1" applyBorder="1" applyAlignment="1">
      <alignment horizontal="center" vertical="center"/>
    </xf>
    <xf numFmtId="187" fontId="57" fillId="0" borderId="48" xfId="2" applyNumberFormat="1" applyFont="1" applyBorder="1" applyAlignment="1">
      <alignment horizontal="center" vertical="center"/>
    </xf>
    <xf numFmtId="38" fontId="57" fillId="15" borderId="47" xfId="2" applyNumberFormat="1" applyFont="1" applyFill="1" applyBorder="1" applyAlignment="1">
      <alignment horizontal="center" vertical="center"/>
    </xf>
    <xf numFmtId="0" fontId="57" fillId="15" borderId="123" xfId="0" applyFont="1" applyFill="1" applyBorder="1" applyAlignment="1">
      <alignment horizontal="center" vertical="center"/>
    </xf>
    <xf numFmtId="0" fontId="176" fillId="127" borderId="447" xfId="0" applyFont="1" applyFill="1" applyBorder="1" applyAlignment="1">
      <alignment horizontal="center" vertical="center"/>
    </xf>
    <xf numFmtId="226" fontId="57" fillId="0" borderId="484" xfId="0" applyNumberFormat="1" applyFont="1" applyBorder="1" applyAlignment="1">
      <alignment horizontal="center" vertical="center"/>
    </xf>
    <xf numFmtId="226" fontId="57" fillId="0" borderId="474" xfId="0" applyNumberFormat="1" applyFont="1" applyBorder="1" applyAlignment="1">
      <alignment horizontal="center" vertical="center"/>
    </xf>
    <xf numFmtId="226" fontId="57" fillId="0" borderId="474" xfId="2" applyNumberFormat="1" applyFont="1" applyBorder="1" applyAlignment="1">
      <alignment horizontal="center" vertical="center"/>
    </xf>
    <xf numFmtId="0" fontId="0" fillId="0" borderId="474" xfId="0" applyNumberFormat="1" applyBorder="1" applyAlignment="1" applyProtection="1">
      <alignment horizontal="center" vertical="center"/>
      <protection locked="0"/>
    </xf>
    <xf numFmtId="226" fontId="57" fillId="0" borderId="477" xfId="2" applyNumberFormat="1" applyFont="1" applyBorder="1" applyAlignment="1">
      <alignment horizontal="center" vertical="center"/>
    </xf>
    <xf numFmtId="183" fontId="28" fillId="0" borderId="465" xfId="2" applyNumberFormat="1" applyFont="1" applyFill="1" applyBorder="1" applyAlignment="1">
      <alignment horizontal="center" vertical="center"/>
    </xf>
    <xf numFmtId="187" fontId="57" fillId="0" borderId="221" xfId="2" applyNumberFormat="1" applyFont="1" applyFill="1" applyBorder="1" applyAlignment="1">
      <alignment horizontal="center" vertical="center"/>
    </xf>
    <xf numFmtId="9" fontId="57" fillId="15" borderId="6" xfId="1" applyFont="1" applyFill="1" applyBorder="1" applyAlignment="1">
      <alignment horizontal="center" vertical="center"/>
    </xf>
    <xf numFmtId="0" fontId="57" fillId="0" borderId="202" xfId="0" applyFont="1" applyFill="1" applyBorder="1" applyAlignment="1">
      <alignment horizontal="center" vertical="center" wrapText="1"/>
    </xf>
    <xf numFmtId="0" fontId="177" fillId="126" borderId="485" xfId="0" applyFont="1" applyFill="1" applyBorder="1" applyAlignment="1">
      <alignment horizontal="center" vertical="center"/>
    </xf>
    <xf numFmtId="226" fontId="57" fillId="7" borderId="331" xfId="2" applyNumberFormat="1" applyFont="1" applyFill="1" applyBorder="1" applyAlignment="1">
      <alignment horizontal="center" vertical="center"/>
    </xf>
    <xf numFmtId="226" fontId="57" fillId="7" borderId="332" xfId="2" applyNumberFormat="1" applyFont="1" applyFill="1" applyBorder="1" applyAlignment="1">
      <alignment horizontal="center" vertical="center"/>
    </xf>
    <xf numFmtId="226" fontId="57" fillId="7" borderId="333" xfId="2" applyNumberFormat="1" applyFont="1" applyFill="1" applyBorder="1" applyAlignment="1">
      <alignment horizontal="center" vertical="center"/>
    </xf>
    <xf numFmtId="226" fontId="57" fillId="7" borderId="121" xfId="2" applyNumberFormat="1" applyFont="1" applyFill="1" applyBorder="1" applyAlignment="1">
      <alignment horizontal="center" vertical="center"/>
    </xf>
    <xf numFmtId="226" fontId="57" fillId="7" borderId="47" xfId="2" applyNumberFormat="1" applyFont="1" applyFill="1" applyBorder="1" applyAlignment="1">
      <alignment horizontal="center" vertical="center"/>
    </xf>
    <xf numFmtId="226" fontId="57" fillId="7" borderId="48" xfId="2" applyNumberFormat="1" applyFont="1" applyFill="1" applyBorder="1" applyAlignment="1">
      <alignment horizontal="center" vertical="center"/>
    </xf>
    <xf numFmtId="0" fontId="57" fillId="7" borderId="123" xfId="0" applyFont="1" applyFill="1" applyBorder="1" applyAlignment="1">
      <alignment horizontal="center" vertical="center"/>
    </xf>
    <xf numFmtId="0" fontId="177" fillId="126" borderId="486" xfId="0" applyFont="1" applyFill="1" applyBorder="1" applyAlignment="1">
      <alignment horizontal="center" vertical="center"/>
    </xf>
    <xf numFmtId="187" fontId="57" fillId="7" borderId="355" xfId="2" applyNumberFormat="1" applyFont="1" applyFill="1" applyBorder="1" applyAlignment="1">
      <alignment horizontal="center" vertical="center"/>
    </xf>
    <xf numFmtId="187" fontId="57" fillId="7" borderId="356" xfId="2" applyNumberFormat="1" applyFont="1" applyFill="1" applyBorder="1" applyAlignment="1">
      <alignment horizontal="center" vertical="center"/>
    </xf>
    <xf numFmtId="187" fontId="57" fillId="7" borderId="451" xfId="2" applyNumberFormat="1" applyFont="1" applyFill="1" applyBorder="1" applyAlignment="1">
      <alignment horizontal="center" vertical="center"/>
    </xf>
    <xf numFmtId="187" fontId="57" fillId="7" borderId="483" xfId="2" applyNumberFormat="1" applyFont="1" applyFill="1" applyBorder="1" applyAlignment="1">
      <alignment horizontal="center" vertical="center"/>
    </xf>
    <xf numFmtId="187" fontId="57" fillId="7" borderId="477" xfId="2" applyNumberFormat="1" applyFont="1" applyFill="1" applyBorder="1" applyAlignment="1">
      <alignment horizontal="center" vertical="center"/>
    </xf>
    <xf numFmtId="0" fontId="57" fillId="7" borderId="357" xfId="0" applyFont="1" applyFill="1" applyBorder="1" applyAlignment="1">
      <alignment horizontal="center" vertical="center"/>
    </xf>
    <xf numFmtId="187" fontId="57" fillId="0" borderId="459" xfId="2" applyNumberFormat="1" applyFont="1" applyFill="1" applyBorder="1" applyAlignment="1">
      <alignment horizontal="center" vertical="center"/>
    </xf>
    <xf numFmtId="3" fontId="57" fillId="15" borderId="466" xfId="2" quotePrefix="1" applyNumberFormat="1" applyFont="1" applyFill="1" applyBorder="1" applyAlignment="1">
      <alignment horizontal="center" vertical="center"/>
    </xf>
    <xf numFmtId="3" fontId="57" fillId="15" borderId="466" xfId="0" applyNumberFormat="1" applyFont="1" applyFill="1" applyBorder="1" applyAlignment="1">
      <alignment horizontal="center" vertical="center"/>
    </xf>
    <xf numFmtId="9" fontId="57" fillId="15" borderId="466" xfId="1" applyFont="1" applyFill="1" applyBorder="1" applyAlignment="1">
      <alignment horizontal="center" vertical="center"/>
    </xf>
    <xf numFmtId="187" fontId="57" fillId="0" borderId="349" xfId="2" applyNumberFormat="1" applyFont="1" applyBorder="1" applyAlignment="1">
      <alignment horizontal="center" vertical="center"/>
    </xf>
    <xf numFmtId="187" fontId="57" fillId="0" borderId="350" xfId="2" applyNumberFormat="1" applyFont="1" applyBorder="1" applyAlignment="1">
      <alignment horizontal="center" vertical="center"/>
    </xf>
    <xf numFmtId="187" fontId="57" fillId="0" borderId="351" xfId="2" applyNumberFormat="1" applyFont="1" applyBorder="1" applyAlignment="1">
      <alignment horizontal="center" vertical="center"/>
    </xf>
    <xf numFmtId="183" fontId="28" fillId="0" borderId="47" xfId="2" applyNumberFormat="1" applyFont="1" applyFill="1" applyBorder="1" applyAlignment="1">
      <alignment horizontal="center" vertical="center"/>
    </xf>
    <xf numFmtId="187" fontId="57" fillId="15" borderId="122" xfId="2" applyNumberFormat="1" applyFont="1" applyFill="1" applyBorder="1" applyAlignment="1">
      <alignment horizontal="center" vertical="center"/>
    </xf>
    <xf numFmtId="0" fontId="57" fillId="0" borderId="137" xfId="0" applyFont="1" applyBorder="1" applyAlignment="1">
      <alignment horizontal="center" vertical="center"/>
    </xf>
    <xf numFmtId="187" fontId="57" fillId="0" borderId="484" xfId="2" applyNumberFormat="1" applyFont="1" applyBorder="1" applyAlignment="1">
      <alignment horizontal="center" vertical="center"/>
    </xf>
    <xf numFmtId="187" fontId="57" fillId="0" borderId="474" xfId="2" applyNumberFormat="1" applyFont="1" applyBorder="1" applyAlignment="1">
      <alignment horizontal="center" vertical="center"/>
    </xf>
    <xf numFmtId="187" fontId="57" fillId="0" borderId="477" xfId="2" applyNumberFormat="1" applyFont="1" applyBorder="1" applyAlignment="1">
      <alignment horizontal="center" vertical="center"/>
    </xf>
    <xf numFmtId="9" fontId="57" fillId="15" borderId="438" xfId="1" applyFont="1" applyFill="1" applyBorder="1" applyAlignment="1">
      <alignment horizontal="center" vertical="center"/>
    </xf>
    <xf numFmtId="187" fontId="57" fillId="0" borderId="487" xfId="2" applyNumberFormat="1" applyFont="1" applyFill="1" applyBorder="1" applyAlignment="1">
      <alignment horizontal="center" vertical="center"/>
    </xf>
    <xf numFmtId="187" fontId="57" fillId="0" borderId="488" xfId="2" applyNumberFormat="1" applyFont="1" applyFill="1" applyBorder="1" applyAlignment="1">
      <alignment horizontal="center" vertical="center"/>
    </xf>
    <xf numFmtId="187" fontId="57" fillId="15" borderId="31" xfId="2" applyNumberFormat="1" applyFont="1" applyFill="1" applyBorder="1" applyAlignment="1">
      <alignment horizontal="center" vertical="center"/>
    </xf>
    <xf numFmtId="187" fontId="57" fillId="15" borderId="489" xfId="2" applyNumberFormat="1" applyFont="1" applyFill="1" applyBorder="1" applyAlignment="1">
      <alignment horizontal="center" vertical="center"/>
    </xf>
    <xf numFmtId="3" fontId="57" fillId="15" borderId="467" xfId="2" quotePrefix="1" applyNumberFormat="1" applyFont="1" applyFill="1" applyBorder="1" applyAlignment="1">
      <alignment horizontal="center" vertical="center"/>
    </xf>
    <xf numFmtId="3" fontId="57" fillId="15" borderId="467" xfId="0" applyNumberFormat="1" applyFont="1" applyFill="1" applyBorder="1" applyAlignment="1">
      <alignment horizontal="center" vertical="center"/>
    </xf>
    <xf numFmtId="187" fontId="57" fillId="0" borderId="41" xfId="2" applyNumberFormat="1" applyFont="1" applyFill="1" applyBorder="1" applyAlignment="1">
      <alignment horizontal="center" vertical="center"/>
    </xf>
    <xf numFmtId="187" fontId="57" fillId="0" borderId="473" xfId="2" applyNumberFormat="1" applyFont="1" applyFill="1" applyBorder="1" applyAlignment="1">
      <alignment horizontal="center" vertical="center"/>
    </xf>
    <xf numFmtId="187" fontId="57" fillId="0" borderId="490" xfId="2" applyNumberFormat="1" applyFont="1" applyFill="1" applyBorder="1" applyAlignment="1">
      <alignment horizontal="center" vertical="center"/>
    </xf>
    <xf numFmtId="187" fontId="57" fillId="0" borderId="491" xfId="2" applyNumberFormat="1" applyFont="1" applyFill="1" applyBorder="1" applyAlignment="1">
      <alignment horizontal="center" vertical="center"/>
    </xf>
    <xf numFmtId="0" fontId="177" fillId="126" borderId="121" xfId="0" applyFont="1" applyFill="1" applyBorder="1" applyAlignment="1">
      <alignment horizontal="center" vertical="center"/>
    </xf>
    <xf numFmtId="0" fontId="177" fillId="126" borderId="464" xfId="0" applyFont="1" applyFill="1" applyBorder="1" applyAlignment="1">
      <alignment horizontal="center" vertical="center"/>
    </xf>
    <xf numFmtId="0" fontId="177" fillId="126" borderId="97" xfId="0" applyFont="1" applyFill="1" applyBorder="1" applyAlignment="1">
      <alignment horizontal="center" vertical="center"/>
    </xf>
    <xf numFmtId="0" fontId="177" fillId="126" borderId="483" xfId="0" applyFont="1" applyFill="1" applyBorder="1" applyAlignment="1">
      <alignment horizontal="center" vertical="center"/>
    </xf>
    <xf numFmtId="230" fontId="28" fillId="7" borderId="467" xfId="0" applyNumberFormat="1" applyFont="1" applyFill="1" applyBorder="1">
      <alignment vertical="center"/>
    </xf>
    <xf numFmtId="0" fontId="44" fillId="0" borderId="6" xfId="0" applyFont="1" applyBorder="1" applyAlignment="1">
      <alignment vertical="center" wrapText="1"/>
    </xf>
    <xf numFmtId="183" fontId="176" fillId="125" borderId="477" xfId="2" applyNumberFormat="1" applyFont="1" applyFill="1" applyBorder="1" applyAlignment="1">
      <alignment horizontal="center" vertical="center"/>
    </xf>
    <xf numFmtId="2" fontId="57" fillId="0" borderId="330" xfId="0" applyNumberFormat="1" applyFont="1" applyBorder="1" applyAlignment="1">
      <alignment horizontal="center" vertical="center"/>
    </xf>
    <xf numFmtId="2" fontId="57" fillId="0" borderId="334" xfId="0" applyNumberFormat="1" applyFont="1" applyBorder="1" applyAlignment="1">
      <alignment horizontal="center" vertical="center"/>
    </xf>
    <xf numFmtId="177" fontId="57" fillId="0" borderId="228" xfId="0" applyNumberFormat="1" applyFont="1" applyBorder="1" applyAlignment="1">
      <alignment horizontal="center" vertical="center"/>
    </xf>
    <xf numFmtId="177" fontId="57" fillId="0" borderId="330" xfId="0" applyNumberFormat="1" applyFont="1" applyBorder="1" applyAlignment="1">
      <alignment horizontal="center" vertical="center"/>
    </xf>
    <xf numFmtId="0" fontId="179" fillId="119" borderId="313" xfId="0" applyFont="1" applyFill="1" applyBorder="1" applyAlignment="1">
      <alignment horizontal="center" vertical="center" wrapText="1"/>
    </xf>
    <xf numFmtId="0" fontId="28" fillId="93" borderId="467" xfId="0" applyFont="1" applyFill="1" applyBorder="1" applyAlignment="1">
      <alignment horizontal="center" vertical="center"/>
    </xf>
    <xf numFmtId="2" fontId="26" fillId="16" borderId="57" xfId="0" applyNumberFormat="1" applyFont="1" applyFill="1" applyBorder="1" applyAlignment="1">
      <alignment horizontal="center" vertical="center" wrapText="1"/>
    </xf>
    <xf numFmtId="2" fontId="28" fillId="7" borderId="467" xfId="0" applyNumberFormat="1" applyFont="1" applyFill="1" applyBorder="1" applyAlignment="1">
      <alignment horizontal="center" vertical="center"/>
    </xf>
    <xf numFmtId="0" fontId="176" fillId="125" borderId="452" xfId="0" applyFont="1" applyFill="1" applyBorder="1" applyAlignment="1">
      <alignment horizontal="center" vertical="center"/>
    </xf>
    <xf numFmtId="0" fontId="176" fillId="125" borderId="469" xfId="0" applyFont="1" applyFill="1" applyBorder="1" applyAlignment="1">
      <alignment horizontal="center" vertical="center"/>
    </xf>
    <xf numFmtId="0" fontId="176" fillId="125" borderId="437" xfId="0" applyFont="1" applyFill="1" applyBorder="1" applyAlignment="1">
      <alignment horizontal="center" vertical="center"/>
    </xf>
    <xf numFmtId="0" fontId="171" fillId="7" borderId="467" xfId="0" applyFont="1" applyFill="1" applyBorder="1" applyAlignment="1">
      <alignment horizontal="center" vertical="center"/>
    </xf>
    <xf numFmtId="187" fontId="45" fillId="15" borderId="463" xfId="0" applyNumberFormat="1" applyFont="1" applyFill="1" applyBorder="1" applyAlignment="1">
      <alignment horizontal="center" vertical="center"/>
    </xf>
    <xf numFmtId="183" fontId="57" fillId="0" borderId="450" xfId="2" applyNumberFormat="1" applyFont="1" applyFill="1" applyBorder="1" applyAlignment="1">
      <alignment horizontal="center" vertical="center"/>
    </xf>
    <xf numFmtId="1" fontId="57" fillId="0" borderId="324" xfId="0" applyNumberFormat="1" applyFont="1" applyFill="1" applyBorder="1" applyAlignment="1">
      <alignment horizontal="center" vertical="center"/>
    </xf>
    <xf numFmtId="1" fontId="57" fillId="0" borderId="448" xfId="0" applyNumberFormat="1" applyFont="1" applyFill="1" applyBorder="1" applyAlignment="1">
      <alignment horizontal="center" vertical="center"/>
    </xf>
    <xf numFmtId="187" fontId="45" fillId="15" borderId="324" xfId="0" applyNumberFormat="1" applyFont="1" applyFill="1" applyBorder="1" applyAlignment="1">
      <alignment horizontal="center" vertical="center"/>
    </xf>
    <xf numFmtId="187" fontId="45" fillId="15" borderId="448" xfId="0" applyNumberFormat="1" applyFont="1" applyFill="1" applyBorder="1" applyAlignment="1">
      <alignment horizontal="center" vertical="center"/>
    </xf>
    <xf numFmtId="187" fontId="208" fillId="3" borderId="324" xfId="0" applyNumberFormat="1" applyFont="1" applyFill="1" applyBorder="1" applyAlignment="1">
      <alignment horizontal="center" vertical="center"/>
    </xf>
    <xf numFmtId="0" fontId="177" fillId="126" borderId="329" xfId="0" applyFont="1" applyFill="1" applyBorder="1" applyAlignment="1">
      <alignment horizontal="center" vertical="center"/>
    </xf>
    <xf numFmtId="183" fontId="57" fillId="0" borderId="472" xfId="2" applyNumberFormat="1" applyFont="1" applyFill="1" applyBorder="1" applyAlignment="1">
      <alignment horizontal="center" vertical="center" wrapText="1"/>
    </xf>
    <xf numFmtId="178" fontId="57" fillId="0" borderId="472" xfId="2" applyNumberFormat="1" applyFont="1" applyFill="1" applyBorder="1" applyAlignment="1">
      <alignment horizontal="center" vertical="center" wrapText="1"/>
    </xf>
    <xf numFmtId="176" fontId="57" fillId="0" borderId="472" xfId="0" applyNumberFormat="1" applyFont="1" applyFill="1" applyBorder="1" applyAlignment="1">
      <alignment horizontal="center" vertical="center"/>
    </xf>
    <xf numFmtId="185" fontId="57" fillId="0" borderId="472" xfId="0" applyNumberFormat="1" applyFont="1" applyFill="1" applyBorder="1" applyAlignment="1">
      <alignment horizontal="center" vertical="center"/>
    </xf>
    <xf numFmtId="1" fontId="57" fillId="0" borderId="49" xfId="0" applyNumberFormat="1" applyFont="1" applyFill="1" applyBorder="1" applyAlignment="1">
      <alignment horizontal="center" vertical="center"/>
    </xf>
    <xf numFmtId="1" fontId="57" fillId="0" borderId="472" xfId="0" applyNumberFormat="1" applyFont="1" applyFill="1" applyBorder="1" applyAlignment="1">
      <alignment horizontal="center" vertical="center"/>
    </xf>
    <xf numFmtId="178" fontId="57" fillId="0" borderId="49" xfId="0" applyNumberFormat="1" applyFont="1" applyFill="1" applyBorder="1" applyAlignment="1">
      <alignment horizontal="center" vertical="center"/>
    </xf>
    <xf numFmtId="183" fontId="57" fillId="0" borderId="472" xfId="0" applyNumberFormat="1" applyFont="1" applyFill="1" applyBorder="1" applyAlignment="1">
      <alignment horizontal="center" vertical="center"/>
    </xf>
    <xf numFmtId="178" fontId="57" fillId="0" borderId="472" xfId="0" applyNumberFormat="1" applyFont="1" applyFill="1" applyBorder="1" applyAlignment="1">
      <alignment horizontal="center" vertical="center"/>
    </xf>
    <xf numFmtId="183" fontId="57" fillId="0" borderId="293" xfId="0" applyNumberFormat="1" applyFont="1" applyFill="1" applyBorder="1" applyAlignment="1">
      <alignment horizontal="center" vertical="center"/>
    </xf>
    <xf numFmtId="183" fontId="57" fillId="0" borderId="478" xfId="0" applyNumberFormat="1" applyFont="1" applyFill="1" applyBorder="1" applyAlignment="1">
      <alignment horizontal="center" vertical="center"/>
    </xf>
    <xf numFmtId="183" fontId="45" fillId="15" borderId="472" xfId="0" applyNumberFormat="1" applyFont="1" applyFill="1" applyBorder="1" applyAlignment="1">
      <alignment horizontal="center" vertical="center"/>
    </xf>
    <xf numFmtId="187" fontId="45" fillId="15" borderId="472" xfId="0" applyNumberFormat="1" applyFont="1" applyFill="1" applyBorder="1" applyAlignment="1">
      <alignment horizontal="center" vertical="center"/>
    </xf>
    <xf numFmtId="183" fontId="208" fillId="3" borderId="478" xfId="0" applyNumberFormat="1" applyFont="1" applyFill="1" applyBorder="1" applyAlignment="1">
      <alignment horizontal="center" vertical="center"/>
    </xf>
    <xf numFmtId="178" fontId="57" fillId="0" borderId="121" xfId="2" applyNumberFormat="1" applyFont="1" applyFill="1" applyBorder="1" applyAlignment="1">
      <alignment horizontal="center" vertical="center" wrapText="1"/>
    </xf>
    <xf numFmtId="183" fontId="57" fillId="0" borderId="464" xfId="2" applyNumberFormat="1" applyFont="1" applyFill="1" applyBorder="1" applyAlignment="1">
      <alignment horizontal="center" vertical="center" wrapText="1"/>
    </xf>
    <xf numFmtId="183" fontId="57" fillId="0" borderId="492" xfId="2" applyNumberFormat="1" applyFont="1" applyFill="1" applyBorder="1" applyAlignment="1">
      <alignment horizontal="center" vertical="center" wrapText="1"/>
    </xf>
    <xf numFmtId="178" fontId="57" fillId="0" borderId="464" xfId="2" applyNumberFormat="1" applyFont="1" applyFill="1" applyBorder="1" applyAlignment="1">
      <alignment horizontal="center" vertical="center" wrapText="1"/>
    </xf>
    <xf numFmtId="183" fontId="57" fillId="0" borderId="469" xfId="2" applyNumberFormat="1" applyFont="1" applyFill="1" applyBorder="1" applyAlignment="1">
      <alignment horizontal="center" vertical="center" wrapText="1"/>
    </xf>
    <xf numFmtId="183" fontId="57" fillId="0" borderId="265" xfId="2" applyNumberFormat="1" applyFont="1" applyFill="1" applyBorder="1" applyAlignment="1">
      <alignment horizontal="center" vertical="center" wrapText="1"/>
    </xf>
    <xf numFmtId="183" fontId="45" fillId="15" borderId="447" xfId="0" applyNumberFormat="1" applyFont="1" applyFill="1" applyBorder="1" applyAlignment="1">
      <alignment horizontal="center" vertical="center"/>
    </xf>
    <xf numFmtId="183" fontId="45" fillId="15" borderId="437" xfId="0" applyNumberFormat="1" applyFont="1" applyFill="1" applyBorder="1" applyAlignment="1">
      <alignment horizontal="center" vertical="center"/>
    </xf>
    <xf numFmtId="183" fontId="208" fillId="3" borderId="446" xfId="0" applyNumberFormat="1" applyFont="1" applyFill="1" applyBorder="1" applyAlignment="1">
      <alignment horizontal="center" vertical="center"/>
    </xf>
    <xf numFmtId="185" fontId="57" fillId="0" borderId="64" xfId="0" applyNumberFormat="1" applyFont="1" applyFill="1" applyBorder="1" applyAlignment="1">
      <alignment horizontal="center" vertical="center"/>
    </xf>
    <xf numFmtId="176" fontId="57" fillId="0" borderId="453" xfId="0" applyNumberFormat="1" applyFont="1" applyFill="1" applyBorder="1" applyAlignment="1">
      <alignment horizontal="center" vertical="center"/>
    </xf>
    <xf numFmtId="185" fontId="57" fillId="0" borderId="453" xfId="0" applyNumberFormat="1" applyFont="1" applyFill="1" applyBorder="1" applyAlignment="1">
      <alignment horizontal="center" vertical="center"/>
    </xf>
    <xf numFmtId="176" fontId="57" fillId="0" borderId="454" xfId="0" applyNumberFormat="1" applyFont="1" applyFill="1" applyBorder="1" applyAlignment="1">
      <alignment horizontal="center" vertical="center"/>
    </xf>
    <xf numFmtId="1" fontId="57" fillId="0" borderId="64" xfId="0" applyNumberFormat="1" applyFont="1" applyFill="1" applyBorder="1" applyAlignment="1">
      <alignment horizontal="center" vertical="center"/>
    </xf>
    <xf numFmtId="1" fontId="57" fillId="0" borderId="453" xfId="0" applyNumberFormat="1" applyFont="1" applyFill="1" applyBorder="1" applyAlignment="1">
      <alignment horizontal="center" vertical="center"/>
    </xf>
    <xf numFmtId="178" fontId="57" fillId="0" borderId="64" xfId="0" applyNumberFormat="1" applyFont="1" applyFill="1" applyBorder="1" applyAlignment="1">
      <alignment horizontal="center" vertical="center"/>
    </xf>
    <xf numFmtId="183" fontId="57" fillId="0" borderId="453" xfId="0" applyNumberFormat="1" applyFont="1" applyFill="1" applyBorder="1" applyAlignment="1">
      <alignment horizontal="center" vertical="center"/>
    </xf>
    <xf numFmtId="178" fontId="57" fillId="0" borderId="453" xfId="0" applyNumberFormat="1" applyFont="1" applyFill="1" applyBorder="1" applyAlignment="1">
      <alignment horizontal="center" vertical="center"/>
    </xf>
    <xf numFmtId="183" fontId="57" fillId="0" borderId="454" xfId="0" applyNumberFormat="1" applyFont="1" applyFill="1" applyBorder="1" applyAlignment="1">
      <alignment horizontal="center" vertical="center"/>
    </xf>
    <xf numFmtId="183" fontId="57" fillId="0" borderId="482" xfId="0" applyNumberFormat="1" applyFont="1" applyFill="1" applyBorder="1" applyAlignment="1">
      <alignment horizontal="center" vertical="center"/>
    </xf>
    <xf numFmtId="187" fontId="45" fillId="15" borderId="64" xfId="0" applyNumberFormat="1" applyFont="1" applyFill="1" applyBorder="1" applyAlignment="1">
      <alignment horizontal="center" vertical="center"/>
    </xf>
    <xf numFmtId="183" fontId="45" fillId="15" borderId="453" xfId="0" applyNumberFormat="1" applyFont="1" applyFill="1" applyBorder="1" applyAlignment="1">
      <alignment horizontal="center" vertical="center"/>
    </xf>
    <xf numFmtId="187" fontId="45" fillId="15" borderId="453" xfId="0" applyNumberFormat="1" applyFont="1" applyFill="1" applyBorder="1" applyAlignment="1">
      <alignment horizontal="center" vertical="center"/>
    </xf>
    <xf numFmtId="183" fontId="45" fillId="15" borderId="454" xfId="0" applyNumberFormat="1" applyFont="1" applyFill="1" applyBorder="1" applyAlignment="1">
      <alignment horizontal="center" vertical="center"/>
    </xf>
    <xf numFmtId="187" fontId="208" fillId="3" borderId="64" xfId="0" applyNumberFormat="1" applyFont="1" applyFill="1" applyBorder="1" applyAlignment="1">
      <alignment horizontal="center" vertical="center"/>
    </xf>
    <xf numFmtId="183" fontId="208" fillId="3" borderId="482" xfId="0" applyNumberFormat="1" applyFont="1" applyFill="1" applyBorder="1" applyAlignment="1">
      <alignment horizontal="center" vertical="center"/>
    </xf>
    <xf numFmtId="176" fontId="57" fillId="0" borderId="447" xfId="0" applyNumberFormat="1" applyFont="1" applyFill="1" applyBorder="1" applyAlignment="1">
      <alignment horizontal="center" vertical="center"/>
    </xf>
    <xf numFmtId="176" fontId="57" fillId="0" borderId="437" xfId="0" applyNumberFormat="1" applyFont="1" applyFill="1" applyBorder="1" applyAlignment="1">
      <alignment horizontal="center" vertical="center"/>
    </xf>
    <xf numFmtId="183" fontId="57" fillId="0" borderId="447" xfId="0" applyNumberFormat="1" applyFont="1" applyFill="1" applyBorder="1" applyAlignment="1">
      <alignment horizontal="center" vertical="center"/>
    </xf>
    <xf numFmtId="183" fontId="57" fillId="0" borderId="446" xfId="0" applyNumberFormat="1" applyFont="1" applyFill="1" applyBorder="1" applyAlignment="1">
      <alignment horizontal="center" vertical="center"/>
    </xf>
    <xf numFmtId="187" fontId="35" fillId="0" borderId="0" xfId="0" applyNumberFormat="1" applyFont="1" applyBorder="1">
      <alignment vertical="center"/>
    </xf>
    <xf numFmtId="177" fontId="36" fillId="3" borderId="0" xfId="0" applyNumberFormat="1" applyFont="1" applyFill="1" applyAlignment="1">
      <alignment horizontal="center" vertical="center"/>
    </xf>
    <xf numFmtId="0" fontId="28" fillId="7" borderId="467" xfId="0" applyFont="1" applyFill="1" applyBorder="1" applyAlignment="1">
      <alignment horizontal="center" vertical="center"/>
    </xf>
    <xf numFmtId="4" fontId="57" fillId="7" borderId="467" xfId="2" applyNumberFormat="1" applyFont="1" applyFill="1" applyBorder="1" applyAlignment="1">
      <alignment horizontal="center" vertical="center"/>
    </xf>
    <xf numFmtId="3" fontId="57" fillId="7" borderId="467" xfId="2" applyNumberFormat="1" applyFont="1" applyFill="1" applyBorder="1" applyAlignment="1">
      <alignment horizontal="center" vertical="center"/>
    </xf>
    <xf numFmtId="3" fontId="176" fillId="125" borderId="467" xfId="2" applyNumberFormat="1" applyFont="1" applyFill="1" applyBorder="1" applyAlignment="1">
      <alignment horizontal="center" vertical="center" wrapText="1"/>
    </xf>
    <xf numFmtId="3" fontId="176" fillId="125" borderId="438" xfId="2" applyNumberFormat="1" applyFont="1" applyFill="1" applyBorder="1" applyAlignment="1">
      <alignment horizontal="center" vertical="center" wrapText="1"/>
    </xf>
    <xf numFmtId="183" fontId="57" fillId="7" borderId="467" xfId="2" applyNumberFormat="1" applyFont="1" applyFill="1" applyBorder="1" applyAlignment="1">
      <alignment horizontal="center" vertical="center" wrapText="1"/>
    </xf>
    <xf numFmtId="0" fontId="176" fillId="127" borderId="6" xfId="0" applyFont="1" applyFill="1" applyBorder="1" applyAlignment="1">
      <alignment horizontal="center" vertical="center"/>
    </xf>
    <xf numFmtId="0" fontId="176" fillId="125" borderId="466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57" fillId="3" borderId="0" xfId="0" applyFont="1" applyFill="1" applyAlignment="1">
      <alignment horizontal="left" vertical="center"/>
    </xf>
    <xf numFmtId="2" fontId="171" fillId="8" borderId="121" xfId="0" applyNumberFormat="1" applyFont="1" applyFill="1" applyBorder="1" applyAlignment="1">
      <alignment horizontal="center" vertical="center"/>
    </xf>
    <xf numFmtId="3" fontId="57" fillId="7" borderId="121" xfId="2" applyNumberFormat="1" applyFont="1" applyFill="1" applyBorder="1" applyAlignment="1">
      <alignment horizontal="center" vertical="center"/>
    </xf>
    <xf numFmtId="3" fontId="176" fillId="125" borderId="483" xfId="2" applyNumberFormat="1" applyFont="1" applyFill="1" applyBorder="1" applyAlignment="1">
      <alignment horizontal="center" vertical="center" wrapText="1"/>
    </xf>
    <xf numFmtId="183" fontId="57" fillId="7" borderId="121" xfId="2" applyNumberFormat="1" applyFont="1" applyFill="1" applyBorder="1" applyAlignment="1">
      <alignment horizontal="center" vertical="center" wrapText="1"/>
    </xf>
    <xf numFmtId="4" fontId="28" fillId="7" borderId="121" xfId="2" applyNumberFormat="1" applyFont="1" applyFill="1" applyBorder="1" applyAlignment="1">
      <alignment horizontal="center" vertical="center"/>
    </xf>
    <xf numFmtId="183" fontId="176" fillId="125" borderId="483" xfId="2" applyNumberFormat="1" applyFont="1" applyFill="1" applyBorder="1" applyAlignment="1">
      <alignment horizontal="center" vertical="center"/>
    </xf>
    <xf numFmtId="4" fontId="57" fillId="7" borderId="121" xfId="2" applyNumberFormat="1" applyFont="1" applyFill="1" applyBorder="1" applyAlignment="1">
      <alignment horizontal="center" vertical="center"/>
    </xf>
    <xf numFmtId="3" fontId="57" fillId="0" borderId="221" xfId="2" applyNumberFormat="1" applyFont="1" applyFill="1" applyBorder="1" applyAlignment="1">
      <alignment horizontal="center" vertical="center"/>
    </xf>
    <xf numFmtId="4" fontId="57" fillId="7" borderId="221" xfId="2" applyNumberFormat="1" applyFont="1" applyFill="1" applyBorder="1" applyAlignment="1">
      <alignment horizontal="center" vertical="center"/>
    </xf>
    <xf numFmtId="38" fontId="28" fillId="7" borderId="23" xfId="2" applyNumberFormat="1" applyFont="1" applyFill="1" applyBorder="1" applyAlignment="1">
      <alignment horizontal="center" vertical="center"/>
    </xf>
    <xf numFmtId="38" fontId="28" fillId="7" borderId="6" xfId="2" applyNumberFormat="1" applyFont="1" applyFill="1" applyBorder="1" applyAlignment="1">
      <alignment horizontal="center" vertical="center"/>
    </xf>
    <xf numFmtId="9" fontId="28" fillId="7" borderId="6" xfId="1" applyFont="1" applyFill="1" applyBorder="1" applyAlignment="1">
      <alignment horizontal="center" vertical="center"/>
    </xf>
    <xf numFmtId="0" fontId="176" fillId="125" borderId="211" xfId="0" applyFont="1" applyFill="1" applyBorder="1" applyAlignment="1">
      <alignment horizontal="center" vertical="center"/>
    </xf>
    <xf numFmtId="0" fontId="176" fillId="127" borderId="465" xfId="0" applyFont="1" applyFill="1" applyBorder="1" applyAlignment="1">
      <alignment horizontal="center" vertical="center"/>
    </xf>
    <xf numFmtId="0" fontId="177" fillId="127" borderId="437" xfId="0" applyFont="1" applyFill="1" applyBorder="1" applyAlignment="1">
      <alignment horizontal="center" vertical="center"/>
    </xf>
    <xf numFmtId="187" fontId="28" fillId="7" borderId="466" xfId="0" applyNumberFormat="1" applyFont="1" applyFill="1" applyBorder="1" applyAlignment="1">
      <alignment vertical="center"/>
    </xf>
    <xf numFmtId="177" fontId="28" fillId="15" borderId="466" xfId="0" applyNumberFormat="1" applyFont="1" applyFill="1" applyBorder="1">
      <alignment vertical="center"/>
    </xf>
    <xf numFmtId="0" fontId="28" fillId="7" borderId="466" xfId="0" applyFont="1" applyFill="1" applyBorder="1">
      <alignment vertical="center"/>
    </xf>
    <xf numFmtId="41" fontId="176" fillId="125" borderId="226" xfId="2" applyFont="1" applyFill="1" applyBorder="1" applyAlignment="1">
      <alignment horizontal="center" vertical="center"/>
    </xf>
    <xf numFmtId="187" fontId="176" fillId="125" borderId="226" xfId="2" applyNumberFormat="1" applyFont="1" applyFill="1" applyBorder="1" applyAlignment="1">
      <alignment horizontal="center" vertical="center"/>
    </xf>
    <xf numFmtId="183" fontId="176" fillId="125" borderId="226" xfId="2" applyNumberFormat="1" applyFont="1" applyFill="1" applyBorder="1" applyAlignment="1">
      <alignment horizontal="center" vertical="center"/>
    </xf>
    <xf numFmtId="183" fontId="176" fillId="125" borderId="228" xfId="2" applyNumberFormat="1" applyFont="1" applyFill="1" applyBorder="1" applyAlignment="1">
      <alignment horizontal="center" vertical="center"/>
    </xf>
    <xf numFmtId="183" fontId="176" fillId="125" borderId="225" xfId="2" applyNumberFormat="1" applyFont="1" applyFill="1" applyBorder="1" applyAlignment="1">
      <alignment horizontal="center" vertical="center"/>
    </xf>
    <xf numFmtId="183" fontId="176" fillId="125" borderId="288" xfId="2" applyNumberFormat="1" applyFont="1" applyFill="1" applyBorder="1" applyAlignment="1">
      <alignment horizontal="center" vertical="center"/>
    </xf>
    <xf numFmtId="38" fontId="176" fillId="125" borderId="226" xfId="2" applyNumberFormat="1" applyFont="1" applyFill="1" applyBorder="1" applyAlignment="1">
      <alignment horizontal="center" vertical="center"/>
    </xf>
    <xf numFmtId="9" fontId="176" fillId="125" borderId="229" xfId="1" applyFont="1" applyFill="1" applyBorder="1" applyAlignment="1">
      <alignment horizontal="center" vertical="center"/>
    </xf>
    <xf numFmtId="0" fontId="176" fillId="127" borderId="467" xfId="0" applyFont="1" applyFill="1" applyBorder="1" applyAlignment="1">
      <alignment horizontal="center" vertical="center"/>
    </xf>
    <xf numFmtId="41" fontId="177" fillId="127" borderId="467" xfId="2" applyFont="1" applyFill="1" applyBorder="1" applyAlignment="1">
      <alignment horizontal="center" vertical="center"/>
    </xf>
    <xf numFmtId="38" fontId="28" fillId="7" borderId="472" xfId="2" applyNumberFormat="1" applyFont="1" applyFill="1" applyBorder="1" applyAlignment="1">
      <alignment horizontal="center" vertical="center"/>
    </xf>
    <xf numFmtId="9" fontId="28" fillId="7" borderId="467" xfId="1" applyFont="1" applyFill="1" applyBorder="1" applyAlignment="1">
      <alignment horizontal="center" vertical="center"/>
    </xf>
    <xf numFmtId="9" fontId="28" fillId="0" borderId="447" xfId="1" applyFont="1" applyFill="1" applyBorder="1" applyAlignment="1">
      <alignment horizontal="center" vertical="center"/>
    </xf>
    <xf numFmtId="9" fontId="28" fillId="7" borderId="447" xfId="1" applyFont="1" applyFill="1" applyBorder="1" applyAlignment="1">
      <alignment horizontal="center" vertical="center"/>
    </xf>
    <xf numFmtId="0" fontId="176" fillId="125" borderId="438" xfId="0" applyFont="1" applyFill="1" applyBorder="1" applyAlignment="1">
      <alignment horizontal="center" vertical="center"/>
    </xf>
    <xf numFmtId="41" fontId="176" fillId="125" borderId="438" xfId="2" applyFont="1" applyFill="1" applyBorder="1" applyAlignment="1">
      <alignment horizontal="center" vertical="center"/>
    </xf>
    <xf numFmtId="226" fontId="171" fillId="6" borderId="438" xfId="2" applyNumberFormat="1" applyFont="1" applyFill="1" applyBorder="1" applyAlignment="1">
      <alignment horizontal="center" vertical="center"/>
    </xf>
    <xf numFmtId="38" fontId="176" fillId="125" borderId="478" xfId="2" applyNumberFormat="1" applyFont="1" applyFill="1" applyBorder="1" applyAlignment="1">
      <alignment horizontal="center" vertical="center"/>
    </xf>
    <xf numFmtId="38" fontId="176" fillId="125" borderId="438" xfId="2" applyNumberFormat="1" applyFont="1" applyFill="1" applyBorder="1" applyAlignment="1">
      <alignment horizontal="center" vertical="center"/>
    </xf>
    <xf numFmtId="9" fontId="176" fillId="125" borderId="438" xfId="1" applyFont="1" applyFill="1" applyBorder="1" applyAlignment="1">
      <alignment horizontal="center" vertical="center"/>
    </xf>
    <xf numFmtId="9" fontId="176" fillId="125" borderId="446" xfId="1" applyFont="1" applyFill="1" applyBorder="1" applyAlignment="1">
      <alignment horizontal="center" vertical="center"/>
    </xf>
    <xf numFmtId="38" fontId="28" fillId="0" borderId="467" xfId="2" applyNumberFormat="1" applyFont="1" applyFill="1" applyBorder="1" applyAlignment="1">
      <alignment horizontal="center" vertical="center"/>
    </xf>
    <xf numFmtId="41" fontId="176" fillId="125" borderId="467" xfId="2" applyFont="1" applyFill="1" applyBorder="1" applyAlignment="1">
      <alignment horizontal="center" vertical="center"/>
    </xf>
    <xf numFmtId="187" fontId="171" fillId="6" borderId="467" xfId="2" applyNumberFormat="1" applyFont="1" applyFill="1" applyBorder="1" applyAlignment="1">
      <alignment horizontal="center" vertical="center" wrapText="1"/>
    </xf>
    <xf numFmtId="177" fontId="176" fillId="125" borderId="467" xfId="2" applyNumberFormat="1" applyFont="1" applyFill="1" applyBorder="1" applyAlignment="1">
      <alignment horizontal="center" vertical="center" wrapText="1"/>
    </xf>
    <xf numFmtId="9" fontId="176" fillId="125" borderId="467" xfId="1" applyFont="1" applyFill="1" applyBorder="1" applyAlignment="1">
      <alignment horizontal="center" vertical="center"/>
    </xf>
    <xf numFmtId="9" fontId="176" fillId="125" borderId="447" xfId="1" applyFont="1" applyFill="1" applyBorder="1" applyAlignment="1">
      <alignment horizontal="center" vertical="center"/>
    </xf>
    <xf numFmtId="187" fontId="171" fillId="6" borderId="438" xfId="2" applyNumberFormat="1" applyFont="1" applyFill="1" applyBorder="1" applyAlignment="1">
      <alignment horizontal="center" vertical="center"/>
    </xf>
    <xf numFmtId="178" fontId="176" fillId="125" borderId="438" xfId="2" applyNumberFormat="1" applyFont="1" applyFill="1" applyBorder="1" applyAlignment="1">
      <alignment horizontal="center" vertical="center"/>
    </xf>
    <xf numFmtId="38" fontId="28" fillId="7" borderId="472" xfId="2" applyNumberFormat="1" applyFont="1" applyFill="1" applyBorder="1" applyAlignment="1">
      <alignment horizontal="center" vertical="center" wrapText="1"/>
    </xf>
    <xf numFmtId="38" fontId="28" fillId="7" borderId="467" xfId="2" applyNumberFormat="1" applyFont="1" applyFill="1" applyBorder="1" applyAlignment="1">
      <alignment horizontal="center" vertical="center" wrapText="1"/>
    </xf>
    <xf numFmtId="41" fontId="176" fillId="125" borderId="466" xfId="2" applyFont="1" applyFill="1" applyBorder="1" applyAlignment="1">
      <alignment horizontal="center" vertical="center"/>
    </xf>
    <xf numFmtId="179" fontId="171" fillId="6" borderId="466" xfId="2" applyNumberFormat="1" applyFont="1" applyFill="1" applyBorder="1" applyAlignment="1">
      <alignment horizontal="center" vertical="center"/>
    </xf>
    <xf numFmtId="38" fontId="176" fillId="125" borderId="493" xfId="2" applyNumberFormat="1" applyFont="1" applyFill="1" applyBorder="1" applyAlignment="1">
      <alignment horizontal="center" vertical="center"/>
    </xf>
    <xf numFmtId="38" fontId="176" fillId="125" borderId="466" xfId="2" applyNumberFormat="1" applyFont="1" applyFill="1" applyBorder="1" applyAlignment="1">
      <alignment horizontal="center" vertical="center"/>
    </xf>
    <xf numFmtId="9" fontId="176" fillId="125" borderId="466" xfId="1" applyFont="1" applyFill="1" applyBorder="1" applyAlignment="1">
      <alignment horizontal="center" vertical="center"/>
    </xf>
    <xf numFmtId="9" fontId="176" fillId="125" borderId="437" xfId="1" applyFont="1" applyFill="1" applyBorder="1" applyAlignment="1">
      <alignment horizontal="center" vertical="center"/>
    </xf>
    <xf numFmtId="176" fontId="28" fillId="0" borderId="447" xfId="1" applyNumberFormat="1" applyFont="1" applyFill="1" applyBorder="1" applyAlignment="1">
      <alignment horizontal="center" vertical="center"/>
    </xf>
    <xf numFmtId="181" fontId="176" fillId="125" borderId="438" xfId="2" applyNumberFormat="1" applyFont="1" applyFill="1" applyBorder="1" applyAlignment="1">
      <alignment horizontal="center" vertical="center"/>
    </xf>
    <xf numFmtId="38" fontId="176" fillId="125" borderId="477" xfId="2" applyNumberFormat="1" applyFont="1" applyFill="1" applyBorder="1" applyAlignment="1">
      <alignment horizontal="center" vertical="center"/>
    </xf>
    <xf numFmtId="38" fontId="176" fillId="125" borderId="465" xfId="2" applyNumberFormat="1" applyFont="1" applyFill="1" applyBorder="1" applyAlignment="1">
      <alignment horizontal="center" vertical="center"/>
    </xf>
    <xf numFmtId="179" fontId="176" fillId="125" borderId="438" xfId="2" applyNumberFormat="1" applyFont="1" applyFill="1" applyBorder="1" applyAlignment="1">
      <alignment horizontal="center" vertical="center"/>
    </xf>
    <xf numFmtId="3" fontId="57" fillId="0" borderId="467" xfId="2" applyNumberFormat="1" applyFont="1" applyFill="1" applyBorder="1" applyAlignment="1">
      <alignment horizontal="center" vertical="center"/>
    </xf>
    <xf numFmtId="187" fontId="28" fillId="0" borderId="447" xfId="2" applyNumberFormat="1" applyFont="1" applyFill="1" applyBorder="1" applyAlignment="1">
      <alignment horizontal="center" vertical="center"/>
    </xf>
    <xf numFmtId="9" fontId="28" fillId="0" borderId="447" xfId="1" applyFont="1" applyFill="1" applyBorder="1" applyAlignment="1">
      <alignment horizontal="right" vertical="center"/>
    </xf>
    <xf numFmtId="41" fontId="176" fillId="125" borderId="466" xfId="2" applyFont="1" applyFill="1" applyBorder="1" applyAlignment="1">
      <alignment horizontal="center" vertical="center" wrapText="1"/>
    </xf>
    <xf numFmtId="187" fontId="176" fillId="125" borderId="466" xfId="2" applyNumberFormat="1" applyFont="1" applyFill="1" applyBorder="1" applyAlignment="1">
      <alignment horizontal="center" vertical="center" wrapText="1"/>
    </xf>
    <xf numFmtId="0" fontId="26" fillId="16" borderId="313" xfId="0" applyFont="1" applyFill="1" applyBorder="1" applyAlignment="1">
      <alignment horizontal="center" vertical="center" wrapText="1"/>
    </xf>
    <xf numFmtId="2" fontId="26" fillId="16" borderId="392" xfId="0" applyNumberFormat="1" applyFont="1" applyFill="1" applyBorder="1" applyAlignment="1">
      <alignment horizontal="center" vertical="center" wrapText="1"/>
    </xf>
    <xf numFmtId="2" fontId="28" fillId="7" borderId="466" xfId="0" applyNumberFormat="1" applyFont="1" applyFill="1" applyBorder="1" applyAlignment="1">
      <alignment horizontal="center" vertical="center"/>
    </xf>
    <xf numFmtId="2" fontId="169" fillId="7" borderId="6" xfId="0" applyNumberFormat="1" applyFont="1" applyFill="1" applyBorder="1" applyAlignment="1" applyProtection="1">
      <alignment vertical="center"/>
      <protection locked="0"/>
    </xf>
    <xf numFmtId="0" fontId="169" fillId="7" borderId="6" xfId="0" applyFont="1" applyFill="1" applyBorder="1" applyAlignment="1" applyProtection="1">
      <alignment vertical="center"/>
      <protection locked="0"/>
    </xf>
    <xf numFmtId="0" fontId="28" fillId="5" borderId="467" xfId="0" applyFont="1" applyFill="1" applyBorder="1" applyAlignment="1">
      <alignment horizontal="center" vertical="center"/>
    </xf>
    <xf numFmtId="2" fontId="28" fillId="5" borderId="467" xfId="0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8" fillId="3" borderId="466" xfId="0" applyFont="1" applyFill="1" applyBorder="1" applyAlignment="1">
      <alignment horizontal="center" vertical="center"/>
    </xf>
    <xf numFmtId="0" fontId="28" fillId="7" borderId="6" xfId="0" applyFont="1" applyFill="1" applyBorder="1" applyAlignment="1">
      <alignment horizontal="center" vertical="center"/>
    </xf>
    <xf numFmtId="9" fontId="57" fillId="0" borderId="467" xfId="1" applyFont="1" applyBorder="1" applyAlignment="1">
      <alignment horizontal="center" vertical="center"/>
    </xf>
    <xf numFmtId="0" fontId="25" fillId="0" borderId="467" xfId="0" applyFont="1" applyBorder="1" applyAlignment="1">
      <alignment horizontal="center" vertical="center"/>
    </xf>
    <xf numFmtId="185" fontId="25" fillId="0" borderId="467" xfId="0" applyNumberFormat="1" applyFont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44" fillId="0" borderId="282" xfId="0" applyFont="1" applyBorder="1" applyAlignment="1">
      <alignment vertical="center" wrapText="1"/>
    </xf>
    <xf numFmtId="0" fontId="44" fillId="0" borderId="282" xfId="0" applyFont="1" applyBorder="1">
      <alignment vertical="center"/>
    </xf>
    <xf numFmtId="0" fontId="28" fillId="6" borderId="271" xfId="0" applyFont="1" applyFill="1" applyBorder="1" applyAlignment="1">
      <alignment horizontal="center" vertical="center"/>
    </xf>
    <xf numFmtId="1" fontId="0" fillId="0" borderId="472" xfId="0" applyNumberFormat="1" applyBorder="1" applyAlignment="1">
      <alignment horizontal="center" vertical="center"/>
    </xf>
    <xf numFmtId="0" fontId="28" fillId="5" borderId="0" xfId="0" applyFont="1" applyFill="1" applyBorder="1" applyAlignment="1">
      <alignment horizontal="center" vertical="center"/>
    </xf>
    <xf numFmtId="2" fontId="28" fillId="5" borderId="0" xfId="0" applyNumberFormat="1" applyFont="1" applyFill="1" applyBorder="1" applyAlignment="1">
      <alignment horizontal="center" vertical="center"/>
    </xf>
    <xf numFmtId="2" fontId="28" fillId="5" borderId="6" xfId="0" applyNumberFormat="1" applyFont="1" applyFill="1" applyBorder="1" applyAlignment="1">
      <alignment horizontal="center" vertical="center"/>
    </xf>
    <xf numFmtId="2" fontId="28" fillId="5" borderId="5" xfId="0" applyNumberFormat="1" applyFont="1" applyFill="1" applyBorder="1" applyAlignment="1">
      <alignment horizontal="center" vertical="center"/>
    </xf>
    <xf numFmtId="2" fontId="169" fillId="7" borderId="0" xfId="0" applyNumberFormat="1" applyFont="1" applyFill="1" applyBorder="1" applyAlignment="1" applyProtection="1">
      <alignment vertical="center"/>
      <protection locked="0"/>
    </xf>
    <xf numFmtId="0" fontId="169" fillId="7" borderId="0" xfId="0" applyFont="1" applyFill="1" applyBorder="1" applyAlignment="1" applyProtection="1">
      <alignment vertical="center"/>
      <protection locked="0"/>
    </xf>
    <xf numFmtId="187" fontId="171" fillId="6" borderId="466" xfId="2" applyNumberFormat="1" applyFont="1" applyFill="1" applyBorder="1" applyAlignment="1">
      <alignment horizontal="center" vertical="center"/>
    </xf>
    <xf numFmtId="3" fontId="176" fillId="125" borderId="466" xfId="2" applyNumberFormat="1" applyFont="1" applyFill="1" applyBorder="1" applyAlignment="1">
      <alignment horizontal="center" vertical="center" wrapText="1"/>
    </xf>
    <xf numFmtId="3" fontId="176" fillId="125" borderId="465" xfId="2" applyNumberFormat="1" applyFont="1" applyFill="1" applyBorder="1" applyAlignment="1">
      <alignment horizontal="center" vertical="center" wrapText="1"/>
    </xf>
    <xf numFmtId="178" fontId="176" fillId="125" borderId="466" xfId="2" applyNumberFormat="1" applyFont="1" applyFill="1" applyBorder="1" applyAlignment="1">
      <alignment horizontal="center" vertical="center"/>
    </xf>
    <xf numFmtId="187" fontId="171" fillId="6" borderId="467" xfId="2" applyNumberFormat="1" applyFont="1" applyFill="1" applyBorder="1" applyAlignment="1">
      <alignment horizontal="center" vertical="center"/>
    </xf>
    <xf numFmtId="187" fontId="171" fillId="6" borderId="122" xfId="2" applyNumberFormat="1" applyFont="1" applyFill="1" applyBorder="1" applyAlignment="1">
      <alignment horizontal="center" vertical="center"/>
    </xf>
    <xf numFmtId="3" fontId="176" fillId="125" borderId="122" xfId="2" applyNumberFormat="1" applyFont="1" applyFill="1" applyBorder="1" applyAlignment="1">
      <alignment horizontal="center" vertical="center" wrapText="1"/>
    </xf>
    <xf numFmtId="183" fontId="28" fillId="0" borderId="122" xfId="2" applyNumberFormat="1" applyFont="1" applyFill="1" applyBorder="1" applyAlignment="1">
      <alignment horizontal="center" vertical="center"/>
    </xf>
    <xf numFmtId="183" fontId="28" fillId="0" borderId="467" xfId="2" applyNumberFormat="1" applyFont="1" applyFill="1" applyBorder="1" applyAlignment="1">
      <alignment horizontal="center" vertical="center"/>
    </xf>
    <xf numFmtId="230" fontId="0" fillId="0" borderId="472" xfId="0" applyNumberFormat="1" applyBorder="1" applyAlignment="1">
      <alignment horizontal="center" vertical="center"/>
    </xf>
    <xf numFmtId="38" fontId="57" fillId="0" borderId="493" xfId="2" applyNumberFormat="1" applyFont="1" applyBorder="1" applyAlignment="1">
      <alignment horizontal="center" vertical="center"/>
    </xf>
    <xf numFmtId="187" fontId="57" fillId="0" borderId="483" xfId="2" applyNumberFormat="1" applyFont="1" applyFill="1" applyBorder="1" applyAlignment="1">
      <alignment horizontal="center" vertical="center"/>
    </xf>
    <xf numFmtId="0" fontId="176" fillId="125" borderId="438" xfId="0" applyFont="1" applyFill="1" applyBorder="1" applyAlignment="1">
      <alignment horizontal="center" vertical="center"/>
    </xf>
    <xf numFmtId="0" fontId="28" fillId="7" borderId="243" xfId="0" applyFont="1" applyFill="1" applyBorder="1" applyAlignment="1">
      <alignment horizontal="center" vertical="center" wrapText="1"/>
    </xf>
    <xf numFmtId="0" fontId="28" fillId="7" borderId="5" xfId="0" applyFont="1" applyFill="1" applyBorder="1" applyAlignment="1">
      <alignment horizontal="center" vertical="center"/>
    </xf>
    <xf numFmtId="0" fontId="176" fillId="125" borderId="483" xfId="0" applyFont="1" applyFill="1" applyBorder="1" applyAlignment="1">
      <alignment horizontal="center" vertical="center"/>
    </xf>
    <xf numFmtId="0" fontId="176" fillId="125" borderId="379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176" fillId="127" borderId="379" xfId="0" applyFont="1" applyFill="1" applyBorder="1" applyAlignment="1">
      <alignment horizontal="center" vertical="center"/>
    </xf>
    <xf numFmtId="0" fontId="171" fillId="7" borderId="0" xfId="0" applyFont="1" applyFill="1" applyBorder="1" applyAlignment="1">
      <alignment horizontal="center" vertical="center"/>
    </xf>
    <xf numFmtId="187" fontId="171" fillId="6" borderId="6" xfId="2" applyNumberFormat="1" applyFont="1" applyFill="1" applyBorder="1" applyAlignment="1">
      <alignment horizontal="center" vertical="center"/>
    </xf>
    <xf numFmtId="3" fontId="176" fillId="125" borderId="6" xfId="2" applyNumberFormat="1" applyFont="1" applyFill="1" applyBorder="1" applyAlignment="1">
      <alignment horizontal="center" vertical="center" wrapText="1"/>
    </xf>
    <xf numFmtId="187" fontId="171" fillId="0" borderId="466" xfId="2" applyNumberFormat="1" applyFont="1" applyFill="1" applyBorder="1" applyAlignment="1">
      <alignment horizontal="center" vertical="center"/>
    </xf>
    <xf numFmtId="3" fontId="176" fillId="0" borderId="466" xfId="2" applyNumberFormat="1" applyFont="1" applyFill="1" applyBorder="1" applyAlignment="1">
      <alignment horizontal="center" vertical="center" wrapText="1"/>
    </xf>
    <xf numFmtId="187" fontId="171" fillId="0" borderId="467" xfId="2" applyNumberFormat="1" applyFont="1" applyFill="1" applyBorder="1" applyAlignment="1">
      <alignment horizontal="center" vertical="center"/>
    </xf>
    <xf numFmtId="3" fontId="176" fillId="0" borderId="467" xfId="2" applyNumberFormat="1" applyFont="1" applyFill="1" applyBorder="1" applyAlignment="1">
      <alignment horizontal="center" vertical="center" wrapText="1"/>
    </xf>
    <xf numFmtId="0" fontId="176" fillId="125" borderId="452" xfId="0" quotePrefix="1" applyFont="1" applyFill="1" applyBorder="1" applyAlignment="1">
      <alignment horizontal="center" vertical="center"/>
    </xf>
    <xf numFmtId="2" fontId="34" fillId="8" borderId="48" xfId="0" quotePrefix="1" applyNumberFormat="1" applyFont="1" applyFill="1" applyBorder="1" applyAlignment="1">
      <alignment horizontal="center" vertical="center"/>
    </xf>
    <xf numFmtId="183" fontId="28" fillId="0" borderId="40" xfId="2" applyNumberFormat="1" applyFont="1" applyFill="1" applyBorder="1" applyAlignment="1">
      <alignment horizontal="center" vertical="center"/>
    </xf>
    <xf numFmtId="183" fontId="176" fillId="125" borderId="472" xfId="2" applyNumberFormat="1" applyFont="1" applyFill="1" applyBorder="1" applyAlignment="1">
      <alignment horizontal="center" vertical="center"/>
    </xf>
    <xf numFmtId="183" fontId="28" fillId="0" borderId="466" xfId="2" applyNumberFormat="1" applyFont="1" applyFill="1" applyBorder="1" applyAlignment="1">
      <alignment horizontal="center" vertical="center"/>
    </xf>
    <xf numFmtId="178" fontId="28" fillId="0" borderId="466" xfId="2" applyNumberFormat="1" applyFont="1" applyFill="1" applyBorder="1" applyAlignment="1">
      <alignment horizontal="center" vertical="center"/>
    </xf>
    <xf numFmtId="187" fontId="171" fillId="0" borderId="230" xfId="2" applyNumberFormat="1" applyFont="1" applyFill="1" applyBorder="1" applyAlignment="1">
      <alignment horizontal="center" vertical="center"/>
    </xf>
    <xf numFmtId="183" fontId="28" fillId="0" borderId="64" xfId="2" applyNumberFormat="1" applyFont="1" applyFill="1" applyBorder="1" applyAlignment="1">
      <alignment horizontal="center" vertical="center"/>
    </xf>
    <xf numFmtId="4" fontId="57" fillId="7" borderId="0" xfId="2" applyNumberFormat="1" applyFont="1" applyFill="1" applyBorder="1" applyAlignment="1">
      <alignment horizontal="center" vertical="center"/>
    </xf>
    <xf numFmtId="2" fontId="28" fillId="7" borderId="0" xfId="0" applyNumberFormat="1" applyFont="1" applyFill="1" applyBorder="1" applyAlignment="1">
      <alignment horizontal="center" vertical="center"/>
    </xf>
    <xf numFmtId="0" fontId="25" fillId="0" borderId="84" xfId="0" applyFont="1" applyBorder="1" applyAlignment="1">
      <alignment horizontal="left" vertical="center" wrapText="1"/>
    </xf>
    <xf numFmtId="183" fontId="28" fillId="0" borderId="48" xfId="2" applyNumberFormat="1" applyFont="1" applyFill="1" applyBorder="1" applyAlignment="1">
      <alignment horizontal="center" vertical="center"/>
    </xf>
    <xf numFmtId="0" fontId="25" fillId="0" borderId="255" xfId="0" applyFont="1" applyBorder="1" applyAlignment="1">
      <alignment horizontal="left" vertical="center" wrapText="1"/>
    </xf>
    <xf numFmtId="185" fontId="25" fillId="0" borderId="326" xfId="0" applyNumberFormat="1" applyFont="1" applyBorder="1" applyAlignment="1">
      <alignment horizontal="center" vertical="center"/>
    </xf>
    <xf numFmtId="9" fontId="167" fillId="128" borderId="56" xfId="1" applyNumberFormat="1" applyFont="1" applyFill="1" applyBorder="1" applyAlignment="1">
      <alignment horizontal="center" vertical="center"/>
    </xf>
    <xf numFmtId="9" fontId="28" fillId="0" borderId="260" xfId="1" applyFont="1" applyBorder="1" applyAlignment="1">
      <alignment horizontal="center" vertical="center" wrapText="1"/>
    </xf>
    <xf numFmtId="2" fontId="57" fillId="0" borderId="477" xfId="0" applyNumberFormat="1" applyFont="1" applyFill="1" applyBorder="1" applyAlignment="1">
      <alignment horizontal="center" vertical="center"/>
    </xf>
    <xf numFmtId="38" fontId="171" fillId="0" borderId="110" xfId="2" applyNumberFormat="1" applyFont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2" fontId="57" fillId="0" borderId="469" xfId="0" applyNumberFormat="1" applyFont="1" applyBorder="1" applyAlignment="1">
      <alignment horizontal="center" vertical="center"/>
    </xf>
    <xf numFmtId="0" fontId="177" fillId="127" borderId="446" xfId="0" applyFont="1" applyFill="1" applyBorder="1" applyAlignment="1">
      <alignment horizontal="center" vertical="center" wrapText="1"/>
    </xf>
    <xf numFmtId="183" fontId="28" fillId="0" borderId="483" xfId="2" applyNumberFormat="1" applyFont="1" applyFill="1" applyBorder="1" applyAlignment="1">
      <alignment horizontal="center" vertical="center"/>
    </xf>
    <xf numFmtId="183" fontId="57" fillId="0" borderId="459" xfId="0" applyNumberFormat="1" applyFont="1" applyBorder="1" applyAlignment="1">
      <alignment horizontal="center" vertical="center"/>
    </xf>
    <xf numFmtId="183" fontId="57" fillId="0" borderId="449" xfId="0" applyNumberFormat="1" applyFont="1" applyBorder="1" applyAlignment="1">
      <alignment horizontal="center" vertical="center"/>
    </xf>
    <xf numFmtId="3" fontId="57" fillId="0" borderId="465" xfId="2" applyNumberFormat="1" applyFont="1" applyBorder="1" applyAlignment="1">
      <alignment horizontal="center" vertical="center"/>
    </xf>
    <xf numFmtId="3" fontId="57" fillId="15" borderId="330" xfId="2" applyNumberFormat="1" applyFont="1" applyFill="1" applyBorder="1" applyAlignment="1">
      <alignment horizontal="center" vertical="center"/>
    </xf>
    <xf numFmtId="183" fontId="57" fillId="0" borderId="346" xfId="0" applyNumberFormat="1" applyFont="1" applyBorder="1" applyAlignment="1">
      <alignment horizontal="center" vertical="center"/>
    </xf>
    <xf numFmtId="183" fontId="57" fillId="0" borderId="494" xfId="0" applyNumberFormat="1" applyFont="1" applyBorder="1" applyAlignment="1">
      <alignment horizontal="center" vertical="center"/>
    </xf>
    <xf numFmtId="183" fontId="28" fillId="0" borderId="37" xfId="2" applyNumberFormat="1" applyFont="1" applyFill="1" applyBorder="1" applyAlignment="1">
      <alignment horizontal="center" vertical="center"/>
    </xf>
    <xf numFmtId="226" fontId="57" fillId="0" borderId="349" xfId="2" applyNumberFormat="1" applyFont="1" applyFill="1" applyBorder="1" applyAlignment="1">
      <alignment horizontal="center" vertical="center"/>
    </xf>
    <xf numFmtId="226" fontId="57" fillId="0" borderId="350" xfId="2" applyNumberFormat="1" applyFont="1" applyFill="1" applyBorder="1" applyAlignment="1">
      <alignment horizontal="center" vertical="center"/>
    </xf>
    <xf numFmtId="178" fontId="57" fillId="0" borderId="350" xfId="2" applyNumberFormat="1" applyFont="1" applyFill="1" applyBorder="1" applyAlignment="1">
      <alignment horizontal="center" vertical="center"/>
    </xf>
    <xf numFmtId="185" fontId="57" fillId="0" borderId="47" xfId="0" applyNumberFormat="1" applyFont="1" applyFill="1" applyBorder="1" applyAlignment="1">
      <alignment horizontal="center" vertical="center"/>
    </xf>
    <xf numFmtId="223" fontId="57" fillId="15" borderId="334" xfId="2" applyNumberFormat="1" applyFont="1" applyFill="1" applyBorder="1" applyAlignment="1">
      <alignment horizontal="center" vertical="center"/>
    </xf>
    <xf numFmtId="226" fontId="57" fillId="0" borderId="484" xfId="2" applyNumberFormat="1" applyFont="1" applyFill="1" applyBorder="1" applyAlignment="1">
      <alignment horizontal="center" vertical="center"/>
    </xf>
    <xf numFmtId="226" fontId="57" fillId="0" borderId="474" xfId="2" applyNumberFormat="1" applyFont="1" applyFill="1" applyBorder="1" applyAlignment="1">
      <alignment horizontal="center" vertical="center"/>
    </xf>
    <xf numFmtId="226" fontId="28" fillId="0" borderId="483" xfId="2" applyNumberFormat="1" applyFont="1" applyFill="1" applyBorder="1" applyAlignment="1">
      <alignment horizontal="center" vertical="center"/>
    </xf>
    <xf numFmtId="38" fontId="57" fillId="0" borderId="477" xfId="2" applyNumberFormat="1" applyFont="1" applyFill="1" applyBorder="1" applyAlignment="1">
      <alignment horizontal="center" vertical="center"/>
    </xf>
    <xf numFmtId="223" fontId="57" fillId="0" borderId="477" xfId="2" applyNumberFormat="1" applyFont="1" applyFill="1" applyBorder="1" applyAlignment="1">
      <alignment horizontal="center" vertical="center"/>
    </xf>
    <xf numFmtId="228" fontId="57" fillId="0" borderId="202" xfId="2" applyNumberFormat="1" applyFont="1" applyFill="1" applyBorder="1" applyAlignment="1">
      <alignment horizontal="center" vertical="center"/>
    </xf>
    <xf numFmtId="183" fontId="28" fillId="0" borderId="123" xfId="2" applyNumberFormat="1" applyFont="1" applyFill="1" applyBorder="1" applyAlignment="1">
      <alignment horizontal="center" vertical="center"/>
    </xf>
    <xf numFmtId="183" fontId="28" fillId="0" borderId="447" xfId="2" applyNumberFormat="1" applyFont="1" applyFill="1" applyBorder="1" applyAlignment="1">
      <alignment horizontal="center" vertical="center"/>
    </xf>
    <xf numFmtId="3" fontId="57" fillId="7" borderId="123" xfId="2" applyNumberFormat="1" applyFont="1" applyFill="1" applyBorder="1" applyAlignment="1">
      <alignment horizontal="center" vertical="center"/>
    </xf>
    <xf numFmtId="183" fontId="176" fillId="125" borderId="437" xfId="2" applyNumberFormat="1" applyFont="1" applyFill="1" applyBorder="1" applyAlignment="1">
      <alignment horizontal="center" vertical="center"/>
    </xf>
    <xf numFmtId="183" fontId="57" fillId="7" borderId="447" xfId="2" applyNumberFormat="1" applyFont="1" applyFill="1" applyBorder="1" applyAlignment="1">
      <alignment horizontal="center" vertical="center"/>
    </xf>
    <xf numFmtId="226" fontId="57" fillId="0" borderId="123" xfId="2" applyNumberFormat="1" applyFont="1" applyBorder="1" applyAlignment="1">
      <alignment horizontal="center" vertical="center"/>
    </xf>
    <xf numFmtId="0" fontId="57" fillId="0" borderId="469" xfId="0" applyFont="1" applyBorder="1" applyAlignment="1">
      <alignment horizontal="center" vertical="center"/>
    </xf>
    <xf numFmtId="0" fontId="57" fillId="0" borderId="329" xfId="0" applyFont="1" applyBorder="1" applyAlignment="1">
      <alignment horizontal="center" vertical="center"/>
    </xf>
    <xf numFmtId="3" fontId="57" fillId="0" borderId="469" xfId="0" applyNumberFormat="1" applyFont="1" applyBorder="1" applyAlignment="1">
      <alignment horizontal="center" vertical="center"/>
    </xf>
    <xf numFmtId="226" fontId="57" fillId="7" borderId="244" xfId="2" applyNumberFormat="1" applyFont="1" applyFill="1" applyBorder="1" applyAlignment="1">
      <alignment horizontal="center" vertical="center"/>
    </xf>
    <xf numFmtId="226" fontId="57" fillId="7" borderId="296" xfId="2" applyNumberFormat="1" applyFont="1" applyFill="1" applyBorder="1" applyAlignment="1">
      <alignment horizontal="center" vertical="center"/>
    </xf>
    <xf numFmtId="226" fontId="57" fillId="0" borderId="25" xfId="2" applyNumberFormat="1" applyFont="1" applyFill="1" applyBorder="1" applyAlignment="1">
      <alignment horizontal="center" vertical="center"/>
    </xf>
    <xf numFmtId="226" fontId="57" fillId="0" borderId="26" xfId="2" applyNumberFormat="1" applyFont="1" applyFill="1" applyBorder="1" applyAlignment="1">
      <alignment horizontal="center" vertical="center"/>
    </xf>
    <xf numFmtId="187" fontId="57" fillId="7" borderId="457" xfId="2" applyNumberFormat="1" applyFont="1" applyFill="1" applyBorder="1" applyAlignment="1">
      <alignment horizontal="center" vertical="center"/>
    </xf>
    <xf numFmtId="187" fontId="57" fillId="7" borderId="495" xfId="2" applyNumberFormat="1" applyFont="1" applyFill="1" applyBorder="1" applyAlignment="1">
      <alignment horizontal="center" vertical="center"/>
    </xf>
    <xf numFmtId="187" fontId="57" fillId="7" borderId="496" xfId="2" applyNumberFormat="1" applyFont="1" applyFill="1" applyBorder="1" applyAlignment="1">
      <alignment horizontal="center" vertical="center"/>
    </xf>
    <xf numFmtId="187" fontId="57" fillId="7" borderId="497" xfId="2" applyNumberFormat="1" applyFont="1" applyFill="1" applyBorder="1" applyAlignment="1">
      <alignment horizontal="center" vertical="center"/>
    </xf>
    <xf numFmtId="187" fontId="57" fillId="7" borderId="498" xfId="2" applyNumberFormat="1" applyFont="1" applyFill="1" applyBorder="1" applyAlignment="1">
      <alignment horizontal="center" vertical="center"/>
    </xf>
    <xf numFmtId="187" fontId="57" fillId="7" borderId="499" xfId="2" applyNumberFormat="1" applyFont="1" applyFill="1" applyBorder="1" applyAlignment="1">
      <alignment horizontal="center" vertical="center"/>
    </xf>
    <xf numFmtId="178" fontId="57" fillId="0" borderId="504" xfId="2" applyNumberFormat="1" applyFont="1" applyFill="1" applyBorder="1" applyAlignment="1">
      <alignment horizontal="center" vertical="center"/>
    </xf>
    <xf numFmtId="187" fontId="57" fillId="7" borderId="501" xfId="2" applyNumberFormat="1" applyFont="1" applyFill="1" applyBorder="1" applyAlignment="1">
      <alignment horizontal="center" vertical="center"/>
    </xf>
    <xf numFmtId="187" fontId="57" fillId="0" borderId="500" xfId="2" applyNumberFormat="1" applyFont="1" applyFill="1" applyBorder="1" applyAlignment="1">
      <alignment horizontal="center" vertical="center"/>
    </xf>
    <xf numFmtId="38" fontId="176" fillId="128" borderId="56" xfId="0" applyNumberFormat="1" applyFont="1" applyFill="1" applyBorder="1" applyAlignment="1">
      <alignment horizontal="center" vertical="center" wrapText="1"/>
    </xf>
    <xf numFmtId="223" fontId="165" fillId="0" borderId="84" xfId="0" applyNumberFormat="1" applyFont="1" applyBorder="1" applyAlignment="1">
      <alignment horizontal="center" vertical="center" wrapText="1"/>
    </xf>
    <xf numFmtId="223" fontId="165" fillId="0" borderId="255" xfId="0" applyNumberFormat="1" applyFont="1" applyBorder="1" applyAlignment="1">
      <alignment horizontal="center" vertical="center" wrapText="1"/>
    </xf>
    <xf numFmtId="223" fontId="28" fillId="0" borderId="255" xfId="0" applyNumberFormat="1" applyFont="1" applyBorder="1" applyAlignment="1">
      <alignment horizontal="center" vertical="center"/>
    </xf>
    <xf numFmtId="223" fontId="28" fillId="0" borderId="479" xfId="0" applyNumberFormat="1" applyFont="1" applyBorder="1" applyAlignment="1">
      <alignment horizontal="center" vertical="center"/>
    </xf>
    <xf numFmtId="226" fontId="57" fillId="0" borderId="495" xfId="2" applyNumberFormat="1" applyFont="1" applyBorder="1" applyAlignment="1">
      <alignment horizontal="center" vertical="center"/>
    </xf>
    <xf numFmtId="0" fontId="57" fillId="0" borderId="0" xfId="0" applyFont="1" applyAlignment="1">
      <alignment horizontal="left" vertical="center"/>
    </xf>
    <xf numFmtId="187" fontId="57" fillId="0" borderId="499" xfId="0" applyNumberFormat="1" applyFont="1" applyBorder="1" applyAlignment="1">
      <alignment horizontal="center" vertical="center"/>
    </xf>
    <xf numFmtId="187" fontId="57" fillId="15" borderId="497" xfId="0" applyNumberFormat="1" applyFont="1" applyFill="1" applyBorder="1" applyAlignment="1">
      <alignment horizontal="center" vertical="center"/>
    </xf>
    <xf numFmtId="183" fontId="57" fillId="7" borderId="457" xfId="2" applyNumberFormat="1" applyFont="1" applyFill="1" applyBorder="1" applyAlignment="1">
      <alignment horizontal="center" vertical="center"/>
    </xf>
    <xf numFmtId="183" fontId="57" fillId="7" borderId="501" xfId="2" applyNumberFormat="1" applyFont="1" applyFill="1" applyBorder="1" applyAlignment="1">
      <alignment horizontal="center" vertical="center"/>
    </xf>
    <xf numFmtId="187" fontId="57" fillId="7" borderId="459" xfId="2" applyNumberFormat="1" applyFont="1" applyFill="1" applyBorder="1" applyAlignment="1">
      <alignment horizontal="center" vertical="center"/>
    </xf>
    <xf numFmtId="187" fontId="57" fillId="7" borderId="504" xfId="2" applyNumberFormat="1" applyFont="1" applyFill="1" applyBorder="1" applyAlignment="1">
      <alignment horizontal="center" vertical="center"/>
    </xf>
    <xf numFmtId="183" fontId="57" fillId="7" borderId="503" xfId="2" applyNumberFormat="1" applyFont="1" applyFill="1" applyBorder="1" applyAlignment="1">
      <alignment horizontal="center" vertical="center"/>
    </xf>
    <xf numFmtId="178" fontId="57" fillId="7" borderId="474" xfId="2" applyNumberFormat="1" applyFont="1" applyFill="1" applyBorder="1" applyAlignment="1">
      <alignment horizontal="center" vertical="center"/>
    </xf>
    <xf numFmtId="178" fontId="57" fillId="7" borderId="500" xfId="2" applyNumberFormat="1" applyFont="1" applyFill="1" applyBorder="1" applyAlignment="1">
      <alignment horizontal="center" vertical="center"/>
    </xf>
    <xf numFmtId="187" fontId="57" fillId="7" borderId="350" xfId="2" applyNumberFormat="1" applyFont="1" applyFill="1" applyBorder="1" applyAlignment="1">
      <alignment horizontal="center" vertical="center" wrapText="1"/>
    </xf>
    <xf numFmtId="187" fontId="57" fillId="7" borderId="505" xfId="2" applyNumberFormat="1" applyFont="1" applyFill="1" applyBorder="1" applyAlignment="1">
      <alignment horizontal="center" vertical="center" wrapText="1"/>
    </xf>
    <xf numFmtId="183" fontId="57" fillId="0" borderId="459" xfId="2" applyNumberFormat="1" applyFont="1" applyFill="1" applyBorder="1" applyAlignment="1">
      <alignment horizontal="center" vertical="center"/>
    </xf>
    <xf numFmtId="183" fontId="57" fillId="0" borderId="504" xfId="2" applyNumberFormat="1" applyFont="1" applyFill="1" applyBorder="1" applyAlignment="1">
      <alignment horizontal="center" vertical="center"/>
    </xf>
    <xf numFmtId="183" fontId="57" fillId="0" borderId="474" xfId="2" applyNumberFormat="1" applyFont="1" applyFill="1" applyBorder="1" applyAlignment="1">
      <alignment horizontal="center" vertical="center"/>
    </xf>
    <xf numFmtId="183" fontId="57" fillId="0" borderId="500" xfId="2" applyNumberFormat="1" applyFont="1" applyFill="1" applyBorder="1" applyAlignment="1">
      <alignment horizontal="center" vertical="center"/>
    </xf>
    <xf numFmtId="183" fontId="57" fillId="7" borderId="502" xfId="2" applyNumberFormat="1" applyFont="1" applyFill="1" applyBorder="1" applyAlignment="1">
      <alignment horizontal="center" vertical="center"/>
    </xf>
    <xf numFmtId="187" fontId="57" fillId="7" borderId="507" xfId="2" applyNumberFormat="1" applyFont="1" applyFill="1" applyBorder="1" applyAlignment="1">
      <alignment horizontal="center" vertical="center"/>
    </xf>
    <xf numFmtId="183" fontId="57" fillId="7" borderId="461" xfId="0" applyNumberFormat="1" applyFont="1" applyFill="1" applyBorder="1" applyAlignment="1">
      <alignment horizontal="center" vertical="center"/>
    </xf>
    <xf numFmtId="183" fontId="57" fillId="7" borderId="504" xfId="0" applyNumberFormat="1" applyFont="1" applyFill="1" applyBorder="1" applyAlignment="1">
      <alignment horizontal="center" vertical="center"/>
    </xf>
    <xf numFmtId="178" fontId="57" fillId="7" borderId="508" xfId="0" applyNumberFormat="1" applyFont="1" applyFill="1" applyBorder="1" applyAlignment="1">
      <alignment horizontal="center" vertical="center"/>
    </xf>
    <xf numFmtId="187" fontId="57" fillId="7" borderId="350" xfId="0" applyNumberFormat="1" applyFont="1" applyFill="1" applyBorder="1" applyAlignment="1">
      <alignment horizontal="center" vertical="center"/>
    </xf>
    <xf numFmtId="187" fontId="57" fillId="7" borderId="505" xfId="0" applyNumberFormat="1" applyFont="1" applyFill="1" applyBorder="1" applyAlignment="1">
      <alignment horizontal="center" vertical="center"/>
    </xf>
    <xf numFmtId="226" fontId="28" fillId="7" borderId="461" xfId="2" applyNumberFormat="1" applyFont="1" applyFill="1" applyBorder="1" applyAlignment="1">
      <alignment horizontal="center" vertical="center"/>
    </xf>
    <xf numFmtId="226" fontId="28" fillId="7" borderId="504" xfId="2" applyNumberFormat="1" applyFont="1" applyFill="1" applyBorder="1" applyAlignment="1">
      <alignment horizontal="center" vertical="center"/>
    </xf>
    <xf numFmtId="226" fontId="28" fillId="0" borderId="459" xfId="2" applyNumberFormat="1" applyFont="1" applyFill="1" applyBorder="1" applyAlignment="1">
      <alignment horizontal="center" vertical="center"/>
    </xf>
    <xf numFmtId="226" fontId="28" fillId="0" borderId="504" xfId="2" applyNumberFormat="1" applyFont="1" applyFill="1" applyBorder="1" applyAlignment="1">
      <alignment horizontal="center" vertical="center"/>
    </xf>
    <xf numFmtId="187" fontId="57" fillId="0" borderId="474" xfId="2" applyNumberFormat="1" applyFont="1" applyFill="1" applyBorder="1" applyAlignment="1">
      <alignment horizontal="center" vertical="center"/>
    </xf>
    <xf numFmtId="187" fontId="57" fillId="7" borderId="502" xfId="2" applyNumberFormat="1" applyFont="1" applyFill="1" applyBorder="1" applyAlignment="1">
      <alignment horizontal="center" vertical="center"/>
    </xf>
    <xf numFmtId="187" fontId="57" fillId="7" borderId="505" xfId="2" applyNumberFormat="1" applyFont="1" applyFill="1" applyBorder="1" applyAlignment="1">
      <alignment horizontal="center" vertical="center"/>
    </xf>
    <xf numFmtId="187" fontId="57" fillId="7" borderId="474" xfId="2" applyNumberFormat="1" applyFont="1" applyFill="1" applyBorder="1" applyAlignment="1">
      <alignment horizontal="center" vertical="center"/>
    </xf>
    <xf numFmtId="187" fontId="57" fillId="7" borderId="500" xfId="2" applyNumberFormat="1" applyFont="1" applyFill="1" applyBorder="1" applyAlignment="1">
      <alignment horizontal="center" vertical="center"/>
    </xf>
    <xf numFmtId="187" fontId="171" fillId="7" borderId="302" xfId="0" applyNumberFormat="1" applyFont="1" applyFill="1" applyBorder="1" applyAlignment="1">
      <alignment horizontal="center" vertical="center"/>
    </xf>
    <xf numFmtId="187" fontId="171" fillId="7" borderId="227" xfId="0" applyNumberFormat="1" applyFont="1" applyFill="1" applyBorder="1" applyAlignment="1">
      <alignment horizontal="center" vertical="center"/>
    </xf>
    <xf numFmtId="187" fontId="171" fillId="7" borderId="506" xfId="0" applyNumberFormat="1" applyFont="1" applyFill="1" applyBorder="1" applyAlignment="1">
      <alignment horizontal="center" vertical="center"/>
    </xf>
    <xf numFmtId="1" fontId="57" fillId="0" borderId="40" xfId="0" applyNumberFormat="1" applyFont="1" applyFill="1" applyBorder="1" applyAlignment="1">
      <alignment horizontal="center" vertical="center"/>
    </xf>
    <xf numFmtId="0" fontId="176" fillId="125" borderId="497" xfId="0" quotePrefix="1" applyFont="1" applyFill="1" applyBorder="1" applyAlignment="1">
      <alignment horizontal="center" vertical="center"/>
    </xf>
    <xf numFmtId="3" fontId="57" fillId="0" borderId="497" xfId="0" applyNumberFormat="1" applyFont="1" applyBorder="1" applyAlignment="1">
      <alignment horizontal="center" vertical="center"/>
    </xf>
    <xf numFmtId="2" fontId="57" fillId="0" borderId="497" xfId="0" applyNumberFormat="1" applyFont="1" applyBorder="1" applyAlignment="1">
      <alignment horizontal="center" vertical="center"/>
    </xf>
    <xf numFmtId="2" fontId="28" fillId="0" borderId="497" xfId="0" applyNumberFormat="1" applyFont="1" applyBorder="1" applyAlignment="1">
      <alignment horizontal="center" vertical="center"/>
    </xf>
    <xf numFmtId="2" fontId="57" fillId="0" borderId="497" xfId="0" applyNumberFormat="1" applyFont="1" applyFill="1" applyBorder="1" applyAlignment="1">
      <alignment horizontal="center" vertical="center"/>
    </xf>
    <xf numFmtId="1" fontId="57" fillId="0" borderId="497" xfId="0" applyNumberFormat="1" applyFont="1" applyFill="1" applyBorder="1" applyAlignment="1">
      <alignment horizontal="center" vertical="center"/>
    </xf>
    <xf numFmtId="177" fontId="57" fillId="0" borderId="497" xfId="0" applyNumberFormat="1" applyFont="1" applyBorder="1" applyAlignment="1">
      <alignment horizontal="center" vertical="center"/>
    </xf>
    <xf numFmtId="177" fontId="57" fillId="0" borderId="509" xfId="0" applyNumberFormat="1" applyFont="1" applyBorder="1" applyAlignment="1">
      <alignment horizontal="center" vertical="center"/>
    </xf>
    <xf numFmtId="2" fontId="165" fillId="0" borderId="510" xfId="0" applyNumberFormat="1" applyFont="1" applyBorder="1" applyAlignment="1">
      <alignment horizontal="center" vertical="center" wrapText="1" readingOrder="1"/>
    </xf>
    <xf numFmtId="0" fontId="176" fillId="125" borderId="498" xfId="0" quotePrefix="1" applyFont="1" applyFill="1" applyBorder="1" applyAlignment="1">
      <alignment horizontal="center" vertical="center"/>
    </xf>
    <xf numFmtId="2" fontId="57" fillId="0" borderId="498" xfId="0" applyNumberFormat="1" applyFont="1" applyBorder="1" applyAlignment="1">
      <alignment horizontal="center" vertical="center"/>
    </xf>
    <xf numFmtId="2" fontId="57" fillId="0" borderId="498" xfId="0" applyNumberFormat="1" applyFont="1" applyFill="1" applyBorder="1" applyAlignment="1">
      <alignment horizontal="center" vertical="center"/>
    </xf>
    <xf numFmtId="187" fontId="57" fillId="0" borderId="497" xfId="2" applyNumberFormat="1" applyFont="1" applyBorder="1" applyAlignment="1">
      <alignment horizontal="center" vertical="center"/>
    </xf>
    <xf numFmtId="183" fontId="57" fillId="0" borderId="497" xfId="2" applyNumberFormat="1" applyFont="1" applyBorder="1" applyAlignment="1">
      <alignment horizontal="center" vertical="center"/>
    </xf>
    <xf numFmtId="226" fontId="57" fillId="0" borderId="497" xfId="2" applyNumberFormat="1" applyFont="1" applyBorder="1" applyAlignment="1">
      <alignment horizontal="center" vertical="center"/>
    </xf>
    <xf numFmtId="226" fontId="57" fillId="7" borderId="497" xfId="2" applyNumberFormat="1" applyFont="1" applyFill="1" applyBorder="1" applyAlignment="1">
      <alignment horizontal="center" vertical="center"/>
    </xf>
    <xf numFmtId="187" fontId="57" fillId="0" borderId="497" xfId="2" applyNumberFormat="1" applyFont="1" applyFill="1" applyBorder="1" applyAlignment="1">
      <alignment horizontal="center" vertical="center"/>
    </xf>
    <xf numFmtId="187" fontId="57" fillId="0" borderId="498" xfId="2" applyNumberFormat="1" applyFont="1" applyBorder="1" applyAlignment="1">
      <alignment horizontal="center" vertical="center"/>
    </xf>
    <xf numFmtId="183" fontId="57" fillId="0" borderId="498" xfId="2" applyNumberFormat="1" applyFont="1" applyBorder="1" applyAlignment="1">
      <alignment horizontal="center" vertical="center"/>
    </xf>
    <xf numFmtId="226" fontId="57" fillId="0" borderId="498" xfId="2" applyNumberFormat="1" applyFont="1" applyBorder="1" applyAlignment="1">
      <alignment horizontal="center" vertical="center"/>
    </xf>
    <xf numFmtId="187" fontId="57" fillId="0" borderId="498" xfId="2" applyNumberFormat="1" applyFont="1" applyFill="1" applyBorder="1" applyAlignment="1">
      <alignment horizontal="center" vertical="center"/>
    </xf>
    <xf numFmtId="3" fontId="57" fillId="0" borderId="465" xfId="2" applyNumberFormat="1" applyFont="1" applyFill="1" applyBorder="1" applyAlignment="1">
      <alignment horizontal="center" vertical="center"/>
    </xf>
    <xf numFmtId="226" fontId="57" fillId="7" borderId="263" xfId="2" applyNumberFormat="1" applyFont="1" applyFill="1" applyBorder="1" applyAlignment="1">
      <alignment horizontal="center" vertical="center"/>
    </xf>
    <xf numFmtId="226" fontId="57" fillId="7" borderId="334" xfId="2" applyNumberFormat="1" applyFont="1" applyFill="1" applyBorder="1" applyAlignment="1">
      <alignment horizontal="center" vertical="center"/>
    </xf>
    <xf numFmtId="226" fontId="57" fillId="7" borderId="268" xfId="2" applyNumberFormat="1" applyFont="1" applyFill="1" applyBorder="1" applyAlignment="1">
      <alignment horizontal="center" vertical="center"/>
    </xf>
    <xf numFmtId="187" fontId="57" fillId="0" borderId="496" xfId="2" applyNumberFormat="1" applyFont="1" applyFill="1" applyBorder="1" applyAlignment="1">
      <alignment horizontal="center" vertical="center"/>
    </xf>
    <xf numFmtId="187" fontId="28" fillId="0" borderId="483" xfId="2" applyNumberFormat="1" applyFont="1" applyFill="1" applyBorder="1" applyAlignment="1">
      <alignment horizontal="center" vertical="center"/>
    </xf>
    <xf numFmtId="226" fontId="57" fillId="7" borderId="350" xfId="2" applyNumberFormat="1" applyFont="1" applyFill="1" applyBorder="1" applyAlignment="1">
      <alignment horizontal="center" vertical="center"/>
    </xf>
    <xf numFmtId="187" fontId="57" fillId="7" borderId="511" xfId="2" applyNumberFormat="1" applyFont="1" applyFill="1" applyBorder="1" applyAlignment="1">
      <alignment horizontal="center" vertical="center"/>
    </xf>
    <xf numFmtId="3" fontId="57" fillId="7" borderId="499" xfId="2" applyNumberFormat="1" applyFont="1" applyFill="1" applyBorder="1" applyAlignment="1">
      <alignment horizontal="center" vertical="center"/>
    </xf>
    <xf numFmtId="183" fontId="176" fillId="125" borderId="499" xfId="2" applyNumberFormat="1" applyFont="1" applyFill="1" applyBorder="1" applyAlignment="1">
      <alignment horizontal="center" vertical="center"/>
    </xf>
    <xf numFmtId="0" fontId="28" fillId="7" borderId="499" xfId="0" applyFont="1" applyFill="1" applyBorder="1" applyAlignment="1">
      <alignment horizontal="center" vertical="center"/>
    </xf>
    <xf numFmtId="38" fontId="28" fillId="117" borderId="467" xfId="2" applyNumberFormat="1" applyFont="1" applyFill="1" applyBorder="1" applyAlignment="1">
      <alignment horizontal="center" vertical="center"/>
    </xf>
    <xf numFmtId="9" fontId="28" fillId="117" borderId="467" xfId="1" applyFont="1" applyFill="1" applyBorder="1" applyAlignment="1">
      <alignment horizontal="center" vertical="center"/>
    </xf>
    <xf numFmtId="40" fontId="28" fillId="117" borderId="467" xfId="2" applyNumberFormat="1" applyFont="1" applyFill="1" applyBorder="1" applyAlignment="1">
      <alignment horizontal="center" vertical="center"/>
    </xf>
    <xf numFmtId="38" fontId="28" fillId="117" borderId="472" xfId="2" applyNumberFormat="1" applyFont="1" applyFill="1" applyBorder="1" applyAlignment="1">
      <alignment horizontal="center" vertical="center"/>
    </xf>
    <xf numFmtId="40" fontId="28" fillId="117" borderId="472" xfId="2" applyNumberFormat="1" applyFont="1" applyFill="1" applyBorder="1" applyAlignment="1">
      <alignment horizontal="center" vertical="center"/>
    </xf>
    <xf numFmtId="178" fontId="28" fillId="117" borderId="122" xfId="2" applyNumberFormat="1" applyFont="1" applyFill="1" applyBorder="1" applyAlignment="1">
      <alignment horizontal="center" vertical="center"/>
    </xf>
    <xf numFmtId="38" fontId="28" fillId="117" borderId="122" xfId="2" applyNumberFormat="1" applyFont="1" applyFill="1" applyBorder="1" applyAlignment="1">
      <alignment horizontal="center" vertical="center"/>
    </xf>
    <xf numFmtId="9" fontId="28" fillId="117" borderId="122" xfId="1" applyFont="1" applyFill="1" applyBorder="1" applyAlignment="1">
      <alignment horizontal="center" vertical="center"/>
    </xf>
    <xf numFmtId="178" fontId="28" fillId="117" borderId="467" xfId="2" applyNumberFormat="1" applyFont="1" applyFill="1" applyBorder="1" applyAlignment="1">
      <alignment horizontal="center" vertical="center"/>
    </xf>
    <xf numFmtId="178" fontId="28" fillId="117" borderId="466" xfId="2" applyNumberFormat="1" applyFont="1" applyFill="1" applyBorder="1" applyAlignment="1">
      <alignment horizontal="center" vertical="center"/>
    </xf>
    <xf numFmtId="38" fontId="28" fillId="117" borderId="466" xfId="2" applyNumberFormat="1" applyFont="1" applyFill="1" applyBorder="1" applyAlignment="1">
      <alignment horizontal="center" vertical="center"/>
    </xf>
    <xf numFmtId="9" fontId="28" fillId="117" borderId="466" xfId="1" applyFont="1" applyFill="1" applyBorder="1" applyAlignment="1">
      <alignment horizontal="center" vertical="center"/>
    </xf>
    <xf numFmtId="178" fontId="28" fillId="117" borderId="6" xfId="2" applyNumberFormat="1" applyFont="1" applyFill="1" applyBorder="1" applyAlignment="1">
      <alignment horizontal="center" vertical="center"/>
    </xf>
    <xf numFmtId="38" fontId="28" fillId="117" borderId="6" xfId="2" applyNumberFormat="1" applyFont="1" applyFill="1" applyBorder="1" applyAlignment="1">
      <alignment horizontal="center" vertical="center"/>
    </xf>
    <xf numFmtId="9" fontId="28" fillId="117" borderId="6" xfId="1" applyFont="1" applyFill="1" applyBorder="1" applyAlignment="1">
      <alignment horizontal="center" vertical="center"/>
    </xf>
    <xf numFmtId="187" fontId="57" fillId="7" borderId="512" xfId="2" applyNumberFormat="1" applyFont="1" applyFill="1" applyBorder="1" applyAlignment="1">
      <alignment horizontal="center" vertical="center"/>
    </xf>
    <xf numFmtId="187" fontId="171" fillId="0" borderId="110" xfId="0" applyNumberFormat="1" applyFont="1" applyBorder="1" applyAlignment="1">
      <alignment horizontal="center" vertical="center"/>
    </xf>
    <xf numFmtId="3" fontId="57" fillId="0" borderId="497" xfId="2" applyNumberFormat="1" applyFont="1" applyBorder="1" applyAlignment="1">
      <alignment horizontal="center" vertical="center"/>
    </xf>
    <xf numFmtId="183" fontId="57" fillId="7" borderId="497" xfId="2" applyNumberFormat="1" applyFont="1" applyFill="1" applyBorder="1" applyAlignment="1">
      <alignment horizontal="center" vertical="center"/>
    </xf>
    <xf numFmtId="187" fontId="57" fillId="0" borderId="512" xfId="2" applyNumberFormat="1" applyFont="1" applyFill="1" applyBorder="1" applyAlignment="1">
      <alignment horizontal="center" vertical="center"/>
    </xf>
    <xf numFmtId="226" fontId="57" fillId="0" borderId="512" xfId="2" applyNumberFormat="1" applyFont="1" applyBorder="1" applyAlignment="1">
      <alignment horizontal="center" vertical="center"/>
    </xf>
    <xf numFmtId="187" fontId="57" fillId="0" borderId="512" xfId="2" applyNumberFormat="1" applyFont="1" applyBorder="1" applyAlignment="1">
      <alignment horizontal="center" vertical="center"/>
    </xf>
    <xf numFmtId="2" fontId="57" fillId="0" borderId="512" xfId="0" applyNumberFormat="1" applyFont="1" applyFill="1" applyBorder="1" applyAlignment="1">
      <alignment horizontal="center" vertical="center"/>
    </xf>
    <xf numFmtId="226" fontId="57" fillId="7" borderId="498" xfId="2" applyNumberFormat="1" applyFont="1" applyFill="1" applyBorder="1" applyAlignment="1">
      <alignment horizontal="center" vertical="center"/>
    </xf>
    <xf numFmtId="183" fontId="28" fillId="0" borderId="498" xfId="0" applyNumberFormat="1" applyFont="1" applyBorder="1" applyAlignment="1">
      <alignment horizontal="center" vertical="center"/>
    </xf>
    <xf numFmtId="0" fontId="165" fillId="0" borderId="497" xfId="0" applyFont="1" applyBorder="1" applyAlignment="1">
      <alignment horizontal="center" vertical="center" wrapText="1"/>
    </xf>
    <xf numFmtId="0" fontId="176" fillId="125" borderId="497" xfId="0" applyFont="1" applyFill="1" applyBorder="1" applyAlignment="1">
      <alignment horizontal="center" vertical="center"/>
    </xf>
    <xf numFmtId="0" fontId="165" fillId="0" borderId="465" xfId="0" applyFont="1" applyBorder="1" applyAlignment="1">
      <alignment horizontal="center" vertical="center" wrapText="1"/>
    </xf>
    <xf numFmtId="183" fontId="176" fillId="125" borderId="512" xfId="2" applyNumberFormat="1" applyFont="1" applyFill="1" applyBorder="1" applyAlignment="1">
      <alignment horizontal="center" vertical="center"/>
    </xf>
    <xf numFmtId="183" fontId="28" fillId="0" borderId="497" xfId="2" applyNumberFormat="1" applyFont="1" applyFill="1" applyBorder="1" applyAlignment="1">
      <alignment horizontal="center" vertical="center"/>
    </xf>
    <xf numFmtId="3" fontId="57" fillId="7" borderId="497" xfId="2" applyNumberFormat="1" applyFont="1" applyFill="1" applyBorder="1" applyAlignment="1">
      <alignment horizontal="center" vertical="center"/>
    </xf>
    <xf numFmtId="3" fontId="176" fillId="125" borderId="497" xfId="2" applyNumberFormat="1" applyFont="1" applyFill="1" applyBorder="1" applyAlignment="1">
      <alignment horizontal="center" vertical="center" wrapText="1"/>
    </xf>
    <xf numFmtId="183" fontId="176" fillId="125" borderId="47" xfId="2" applyNumberFormat="1" applyFont="1" applyFill="1" applyBorder="1" applyAlignment="1">
      <alignment horizontal="center" vertical="center"/>
    </xf>
    <xf numFmtId="178" fontId="28" fillId="0" borderId="497" xfId="0" applyNumberFormat="1" applyFont="1" applyBorder="1" applyAlignment="1">
      <alignment horizontal="center" vertical="center"/>
    </xf>
    <xf numFmtId="178" fontId="28" fillId="0" borderId="472" xfId="0" applyNumberFormat="1" applyFont="1" applyBorder="1" applyAlignment="1">
      <alignment horizontal="center" vertical="center"/>
    </xf>
    <xf numFmtId="185" fontId="28" fillId="7" borderId="499" xfId="0" applyNumberFormat="1" applyFont="1" applyFill="1" applyBorder="1" applyAlignment="1">
      <alignment horizontal="center" vertical="center"/>
    </xf>
    <xf numFmtId="0" fontId="28" fillId="7" borderId="499" xfId="0" applyFont="1" applyFill="1" applyBorder="1">
      <alignment vertical="center"/>
    </xf>
    <xf numFmtId="0" fontId="28" fillId="3" borderId="238" xfId="0" applyFont="1" applyFill="1" applyBorder="1" applyAlignment="1">
      <alignment horizontal="center" vertical="center"/>
    </xf>
    <xf numFmtId="0" fontId="28" fillId="3" borderId="271" xfId="0" applyFont="1" applyFill="1" applyBorder="1" applyAlignment="1">
      <alignment horizontal="center" vertical="center"/>
    </xf>
    <xf numFmtId="0" fontId="57" fillId="3" borderId="238" xfId="0" applyFont="1" applyFill="1" applyBorder="1" applyAlignment="1">
      <alignment horizontal="center" vertical="center"/>
    </xf>
    <xf numFmtId="0" fontId="57" fillId="3" borderId="415" xfId="0" applyFont="1" applyFill="1" applyBorder="1" applyAlignment="1">
      <alignment horizontal="center" vertical="center"/>
    </xf>
    <xf numFmtId="38" fontId="28" fillId="3" borderId="271" xfId="2" applyNumberFormat="1" applyFont="1" applyFill="1" applyBorder="1" applyAlignment="1">
      <alignment horizontal="center" vertical="center"/>
    </xf>
    <xf numFmtId="0" fontId="171" fillId="7" borderId="0" xfId="0" applyFont="1" applyFill="1" applyBorder="1" applyAlignment="1">
      <alignment horizontal="center" vertical="center"/>
    </xf>
    <xf numFmtId="0" fontId="176" fillId="125" borderId="212" xfId="0" applyFont="1" applyFill="1" applyBorder="1" applyAlignment="1">
      <alignment horizontal="center" vertical="center"/>
    </xf>
    <xf numFmtId="3" fontId="28" fillId="117" borderId="6" xfId="2" applyNumberFormat="1" applyFont="1" applyFill="1" applyBorder="1" applyAlignment="1">
      <alignment horizontal="center" vertical="center" wrapText="1"/>
    </xf>
    <xf numFmtId="3" fontId="28" fillId="117" borderId="40" xfId="2" applyNumberFormat="1" applyFont="1" applyFill="1" applyBorder="1" applyAlignment="1">
      <alignment horizontal="center" vertical="center" wrapText="1"/>
    </xf>
    <xf numFmtId="3" fontId="28" fillId="117" borderId="467" xfId="2" applyNumberFormat="1" applyFont="1" applyFill="1" applyBorder="1" applyAlignment="1">
      <alignment horizontal="center" vertical="center" wrapText="1"/>
    </xf>
    <xf numFmtId="3" fontId="28" fillId="117" borderId="122" xfId="2" applyNumberFormat="1" applyFont="1" applyFill="1" applyBorder="1" applyAlignment="1">
      <alignment horizontal="center" vertical="center" wrapText="1"/>
    </xf>
    <xf numFmtId="3" fontId="28" fillId="117" borderId="47" xfId="2" applyNumberFormat="1" applyFont="1" applyFill="1" applyBorder="1" applyAlignment="1">
      <alignment horizontal="center" vertical="center" wrapText="1"/>
    </xf>
    <xf numFmtId="0" fontId="176" fillId="127" borderId="6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09" fillId="7" borderId="0" xfId="0" applyFont="1" applyFill="1" applyAlignment="1" applyProtection="1">
      <alignment horizontal="center" vertical="center" wrapText="1"/>
      <protection locked="0"/>
    </xf>
    <xf numFmtId="0" fontId="109" fillId="7" borderId="0" xfId="0" applyFont="1" applyFill="1" applyAlignment="1" applyProtection="1">
      <alignment horizontal="right" vertical="center"/>
    </xf>
    <xf numFmtId="0" fontId="109" fillId="7" borderId="0" xfId="0" applyFont="1" applyFill="1" applyAlignment="1" applyProtection="1">
      <alignment horizontal="center" vertical="center"/>
    </xf>
    <xf numFmtId="189" fontId="109" fillId="7" borderId="0" xfId="0" applyNumberFormat="1" applyFont="1" applyFill="1" applyAlignment="1" applyProtection="1">
      <alignment horizontal="right" vertical="center"/>
    </xf>
    <xf numFmtId="189" fontId="109" fillId="7" borderId="0" xfId="0" applyNumberFormat="1" applyFont="1" applyFill="1" applyAlignment="1" applyProtection="1">
      <alignment vertical="center"/>
    </xf>
    <xf numFmtId="0" fontId="37" fillId="7" borderId="0" xfId="0" applyFont="1" applyFill="1" applyBorder="1" applyAlignment="1" applyProtection="1">
      <alignment horizontal="right" vertical="center"/>
    </xf>
    <xf numFmtId="0" fontId="37" fillId="7" borderId="0" xfId="0" applyFont="1" applyFill="1" applyBorder="1" applyAlignment="1" applyProtection="1">
      <alignment horizontal="center" vertical="center"/>
    </xf>
    <xf numFmtId="184" fontId="37" fillId="7" borderId="0" xfId="0" applyNumberFormat="1" applyFont="1" applyFill="1" applyBorder="1" applyAlignment="1" applyProtection="1">
      <alignment horizontal="right" vertical="center"/>
    </xf>
    <xf numFmtId="184" fontId="37" fillId="7" borderId="0" xfId="0" applyNumberFormat="1" applyFont="1" applyFill="1" applyBorder="1" applyAlignment="1" applyProtection="1">
      <alignment vertical="center"/>
    </xf>
    <xf numFmtId="184" fontId="37" fillId="7" borderId="118" xfId="0" applyNumberFormat="1" applyFont="1" applyFill="1" applyBorder="1" applyAlignment="1" applyProtection="1">
      <alignment horizontal="right" vertical="center"/>
    </xf>
    <xf numFmtId="41" fontId="37" fillId="7" borderId="118" xfId="2" applyFont="1" applyFill="1" applyBorder="1" applyAlignment="1" applyProtection="1">
      <alignment horizontal="right" vertical="center"/>
    </xf>
    <xf numFmtId="0" fontId="37" fillId="7" borderId="118" xfId="0" applyFont="1" applyFill="1" applyBorder="1" applyAlignment="1" applyProtection="1">
      <alignment horizontal="right" vertical="center"/>
    </xf>
    <xf numFmtId="183" fontId="57" fillId="0" borderId="330" xfId="2" applyNumberFormat="1" applyFont="1" applyFill="1" applyBorder="1" applyAlignment="1">
      <alignment horizontal="center" vertical="center"/>
    </xf>
    <xf numFmtId="187" fontId="57" fillId="0" borderId="312" xfId="2" applyNumberFormat="1" applyFont="1" applyFill="1" applyBorder="1" applyAlignment="1">
      <alignment horizontal="center" vertical="center"/>
    </xf>
    <xf numFmtId="183" fontId="57" fillId="0" borderId="411" xfId="2" applyNumberFormat="1" applyFont="1" applyFill="1" applyBorder="1" applyAlignment="1">
      <alignment horizontal="center" vertical="center"/>
    </xf>
    <xf numFmtId="178" fontId="57" fillId="0" borderId="342" xfId="0" applyNumberFormat="1" applyFont="1" applyFill="1" applyBorder="1" applyAlignment="1">
      <alignment horizontal="center" vertical="center"/>
    </xf>
    <xf numFmtId="185" fontId="57" fillId="0" borderId="497" xfId="0" applyNumberFormat="1" applyFont="1" applyFill="1" applyBorder="1" applyAlignment="1">
      <alignment horizontal="center" vertical="center"/>
    </xf>
    <xf numFmtId="4" fontId="57" fillId="7" borderId="497" xfId="2" applyNumberFormat="1" applyFont="1" applyFill="1" applyBorder="1" applyAlignment="1">
      <alignment horizontal="center" vertical="center"/>
    </xf>
    <xf numFmtId="179" fontId="57" fillId="7" borderId="40" xfId="2" applyNumberFormat="1" applyFont="1" applyFill="1" applyBorder="1" applyAlignment="1">
      <alignment horizontal="center" vertical="center"/>
    </xf>
    <xf numFmtId="226" fontId="57" fillId="0" borderId="37" xfId="2" applyNumberFormat="1" applyFont="1" applyFill="1" applyBorder="1" applyAlignment="1">
      <alignment horizontal="center" vertical="center"/>
    </xf>
    <xf numFmtId="226" fontId="28" fillId="0" borderId="496" xfId="2" applyNumberFormat="1" applyFont="1" applyFill="1" applyBorder="1" applyAlignment="1">
      <alignment horizontal="center" vertical="center"/>
    </xf>
    <xf numFmtId="226" fontId="57" fillId="7" borderId="329" xfId="2" applyNumberFormat="1" applyFont="1" applyFill="1" applyBorder="1" applyAlignment="1">
      <alignment horizontal="center" vertical="center" wrapText="1"/>
    </xf>
    <xf numFmtId="228" fontId="28" fillId="0" borderId="202" xfId="2" applyNumberFormat="1" applyFont="1" applyFill="1" applyBorder="1" applyAlignment="1">
      <alignment horizontal="center" vertical="center"/>
    </xf>
    <xf numFmtId="178" fontId="28" fillId="0" borderId="496" xfId="2" applyNumberFormat="1" applyFont="1" applyFill="1" applyBorder="1" applyAlignment="1">
      <alignment horizontal="center" vertical="center"/>
    </xf>
    <xf numFmtId="226" fontId="57" fillId="7" borderId="137" xfId="2" applyNumberFormat="1" applyFont="1" applyFill="1" applyBorder="1" applyAlignment="1">
      <alignment horizontal="center" vertical="center"/>
    </xf>
    <xf numFmtId="187" fontId="57" fillId="7" borderId="447" xfId="2" applyNumberFormat="1" applyFont="1" applyFill="1" applyBorder="1" applyAlignment="1">
      <alignment horizontal="center" vertical="center"/>
    </xf>
    <xf numFmtId="187" fontId="57" fillId="0" borderId="202" xfId="2" applyNumberFormat="1" applyFont="1" applyFill="1" applyBorder="1" applyAlignment="1">
      <alignment horizontal="center" vertical="center"/>
    </xf>
    <xf numFmtId="187" fontId="57" fillId="0" borderId="229" xfId="0" applyNumberFormat="1" applyFont="1" applyBorder="1" applyAlignment="1">
      <alignment horizontal="center" vertical="center"/>
    </xf>
    <xf numFmtId="178" fontId="57" fillId="0" borderId="48" xfId="0" applyNumberFormat="1" applyFont="1" applyFill="1" applyBorder="1" applyAlignment="1">
      <alignment horizontal="center" vertical="center"/>
    </xf>
    <xf numFmtId="178" fontId="57" fillId="0" borderId="498" xfId="0" applyNumberFormat="1" applyFont="1" applyFill="1" applyBorder="1" applyAlignment="1">
      <alignment horizontal="center" vertical="center"/>
    </xf>
    <xf numFmtId="187" fontId="57" fillId="0" borderId="268" xfId="2" applyNumberFormat="1" applyFont="1" applyBorder="1" applyAlignment="1">
      <alignment horizontal="center" vertical="center"/>
    </xf>
    <xf numFmtId="187" fontId="57" fillId="0" borderId="123" xfId="2" applyNumberFormat="1" applyFont="1" applyBorder="1" applyAlignment="1">
      <alignment horizontal="center" vertical="center"/>
    </xf>
    <xf numFmtId="226" fontId="57" fillId="0" borderId="202" xfId="2" applyNumberFormat="1" applyFont="1" applyBorder="1" applyAlignment="1">
      <alignment horizontal="center" vertical="center"/>
    </xf>
    <xf numFmtId="178" fontId="28" fillId="0" borderId="447" xfId="2" applyNumberFormat="1" applyFont="1" applyFill="1" applyBorder="1" applyAlignment="1">
      <alignment horizontal="center" vertical="center"/>
    </xf>
    <xf numFmtId="183" fontId="28" fillId="0" borderId="446" xfId="2" applyNumberFormat="1" applyFont="1" applyFill="1" applyBorder="1" applyAlignment="1">
      <alignment horizontal="center" vertical="center"/>
    </xf>
    <xf numFmtId="226" fontId="57" fillId="7" borderId="123" xfId="2" applyNumberFormat="1" applyFont="1" applyFill="1" applyBorder="1" applyAlignment="1">
      <alignment horizontal="center" vertical="center"/>
    </xf>
    <xf numFmtId="226" fontId="57" fillId="7" borderId="496" xfId="2" applyNumberFormat="1" applyFont="1" applyFill="1" applyBorder="1" applyAlignment="1">
      <alignment horizontal="center" vertical="center"/>
    </xf>
    <xf numFmtId="226" fontId="57" fillId="7" borderId="447" xfId="2" applyNumberFormat="1" applyFont="1" applyFill="1" applyBorder="1" applyAlignment="1">
      <alignment horizontal="center" vertical="center"/>
    </xf>
    <xf numFmtId="187" fontId="57" fillId="7" borderId="446" xfId="2" applyNumberFormat="1" applyFont="1" applyFill="1" applyBorder="1" applyAlignment="1">
      <alignment horizontal="center" vertical="center"/>
    </xf>
    <xf numFmtId="187" fontId="57" fillId="7" borderId="202" xfId="2" applyNumberFormat="1" applyFont="1" applyFill="1" applyBorder="1" applyAlignment="1">
      <alignment horizontal="center" vertical="center"/>
    </xf>
    <xf numFmtId="38" fontId="171" fillId="0" borderId="229" xfId="2" applyNumberFormat="1" applyFont="1" applyBorder="1" applyAlignment="1">
      <alignment horizontal="center" vertical="center"/>
    </xf>
    <xf numFmtId="38" fontId="165" fillId="0" borderId="513" xfId="1" applyNumberFormat="1" applyFont="1" applyBorder="1" applyAlignment="1">
      <alignment horizontal="center" vertical="center" wrapText="1"/>
    </xf>
    <xf numFmtId="38" fontId="165" fillId="0" borderId="514" xfId="1" applyNumberFormat="1" applyFont="1" applyBorder="1" applyAlignment="1">
      <alignment horizontal="center" vertical="center" wrapText="1"/>
    </xf>
    <xf numFmtId="187" fontId="28" fillId="7" borderId="216" xfId="0" applyNumberFormat="1" applyFont="1" applyFill="1" applyBorder="1" applyAlignment="1">
      <alignment horizontal="center" vertical="center" readingOrder="1"/>
    </xf>
    <xf numFmtId="183" fontId="28" fillId="0" borderId="499" xfId="2" applyNumberFormat="1" applyFont="1" applyFill="1" applyBorder="1" applyAlignment="1">
      <alignment horizontal="center" vertical="center"/>
    </xf>
    <xf numFmtId="178" fontId="57" fillId="0" borderId="512" xfId="2" applyNumberFormat="1" applyFont="1" applyBorder="1" applyAlignment="1">
      <alignment horizontal="center" vertical="center"/>
    </xf>
    <xf numFmtId="183" fontId="57" fillId="7" borderId="110" xfId="2" applyNumberFormat="1" applyFont="1" applyFill="1" applyBorder="1" applyAlignment="1">
      <alignment horizontal="center" vertical="center" wrapText="1"/>
    </xf>
    <xf numFmtId="178" fontId="57" fillId="0" borderId="0" xfId="2" applyNumberFormat="1" applyFont="1" applyFill="1" applyBorder="1" applyAlignment="1">
      <alignment horizontal="center" vertical="center" wrapText="1"/>
    </xf>
    <xf numFmtId="183" fontId="57" fillId="7" borderId="268" xfId="2" applyNumberFormat="1" applyFont="1" applyFill="1" applyBorder="1" applyAlignment="1">
      <alignment horizontal="center" vertical="center"/>
    </xf>
    <xf numFmtId="187" fontId="57" fillId="7" borderId="37" xfId="2" applyNumberFormat="1" applyFont="1" applyFill="1" applyBorder="1" applyAlignment="1">
      <alignment horizontal="center" vertical="center"/>
    </xf>
    <xf numFmtId="183" fontId="57" fillId="0" borderId="202" xfId="2" applyNumberFormat="1" applyFont="1" applyBorder="1" applyAlignment="1">
      <alignment horizontal="center" vertical="center"/>
    </xf>
    <xf numFmtId="226" fontId="57" fillId="7" borderId="229" xfId="2" applyNumberFormat="1" applyFont="1" applyFill="1" applyBorder="1" applyAlignment="1">
      <alignment horizontal="center" vertical="center" wrapText="1"/>
    </xf>
    <xf numFmtId="226" fontId="57" fillId="0" borderId="437" xfId="2" applyNumberFormat="1" applyFont="1" applyFill="1" applyBorder="1" applyAlignment="1">
      <alignment horizontal="center" vertical="center"/>
    </xf>
    <xf numFmtId="183" fontId="57" fillId="7" borderId="123" xfId="2" applyNumberFormat="1" applyFont="1" applyFill="1" applyBorder="1" applyAlignment="1">
      <alignment horizontal="center" vertical="center"/>
    </xf>
    <xf numFmtId="178" fontId="57" fillId="7" borderId="229" xfId="2" quotePrefix="1" applyNumberFormat="1" applyFont="1" applyFill="1" applyBorder="1" applyAlignment="1">
      <alignment horizontal="center" vertical="center"/>
    </xf>
    <xf numFmtId="187" fontId="171" fillId="0" borderId="229" xfId="0" applyNumberFormat="1" applyFont="1" applyBorder="1" applyAlignment="1">
      <alignment horizontal="center" vertical="center"/>
    </xf>
    <xf numFmtId="187" fontId="28" fillId="0" borderId="469" xfId="2" applyNumberFormat="1" applyFont="1" applyFill="1" applyBorder="1" applyAlignment="1">
      <alignment horizontal="center" vertical="center"/>
    </xf>
    <xf numFmtId="187" fontId="57" fillId="7" borderId="437" xfId="2" applyNumberFormat="1" applyFont="1" applyFill="1" applyBorder="1" applyAlignment="1">
      <alignment horizontal="center" vertical="center"/>
    </xf>
    <xf numFmtId="178" fontId="57" fillId="7" borderId="446" xfId="2" applyNumberFormat="1" applyFont="1" applyFill="1" applyBorder="1" applyAlignment="1">
      <alignment horizontal="center" vertical="center"/>
    </xf>
    <xf numFmtId="183" fontId="28" fillId="0" borderId="496" xfId="2" applyNumberFormat="1" applyFont="1" applyFill="1" applyBorder="1" applyAlignment="1">
      <alignment horizontal="center" vertical="center"/>
    </xf>
    <xf numFmtId="226" fontId="57" fillId="0" borderId="496" xfId="2" applyNumberFormat="1" applyFont="1" applyFill="1" applyBorder="1" applyAlignment="1">
      <alignment horizontal="center" vertical="center"/>
    </xf>
    <xf numFmtId="178" fontId="57" fillId="7" borderId="329" xfId="2" applyNumberFormat="1" applyFont="1" applyFill="1" applyBorder="1" applyAlignment="1">
      <alignment horizontal="center" vertical="center"/>
    </xf>
    <xf numFmtId="187" fontId="171" fillId="7" borderId="229" xfId="0" applyNumberFormat="1" applyFont="1" applyFill="1" applyBorder="1" applyAlignment="1">
      <alignment horizontal="center" vertical="center"/>
    </xf>
    <xf numFmtId="0" fontId="176" fillId="127" borderId="499" xfId="0" applyFont="1" applyFill="1" applyBorder="1" applyAlignment="1">
      <alignment horizontal="center" vertical="center"/>
    </xf>
    <xf numFmtId="41" fontId="177" fillId="127" borderId="499" xfId="2" applyFont="1" applyFill="1" applyBorder="1" applyAlignment="1">
      <alignment horizontal="center" vertical="center"/>
    </xf>
    <xf numFmtId="187" fontId="171" fillId="6" borderId="499" xfId="2" applyNumberFormat="1" applyFont="1" applyFill="1" applyBorder="1" applyAlignment="1">
      <alignment horizontal="center" vertical="center"/>
    </xf>
    <xf numFmtId="3" fontId="176" fillId="125" borderId="499" xfId="2" applyNumberFormat="1" applyFont="1" applyFill="1" applyBorder="1" applyAlignment="1">
      <alignment horizontal="center" vertical="center" wrapText="1"/>
    </xf>
    <xf numFmtId="3" fontId="28" fillId="117" borderId="499" xfId="2" applyNumberFormat="1" applyFont="1" applyFill="1" applyBorder="1" applyAlignment="1">
      <alignment horizontal="center" vertical="center" wrapText="1"/>
    </xf>
    <xf numFmtId="3" fontId="28" fillId="117" borderId="497" xfId="2" applyNumberFormat="1" applyFont="1" applyFill="1" applyBorder="1" applyAlignment="1">
      <alignment horizontal="center" vertical="center" wrapText="1"/>
    </xf>
    <xf numFmtId="178" fontId="28" fillId="117" borderId="499" xfId="2" applyNumberFormat="1" applyFont="1" applyFill="1" applyBorder="1" applyAlignment="1">
      <alignment horizontal="center" vertical="center"/>
    </xf>
    <xf numFmtId="38" fontId="28" fillId="117" borderId="499" xfId="2" applyNumberFormat="1" applyFont="1" applyFill="1" applyBorder="1" applyAlignment="1">
      <alignment horizontal="center" vertical="center"/>
    </xf>
    <xf numFmtId="9" fontId="28" fillId="117" borderId="499" xfId="1" applyFont="1" applyFill="1" applyBorder="1" applyAlignment="1">
      <alignment horizontal="center" vertical="center"/>
    </xf>
    <xf numFmtId="4" fontId="28" fillId="7" borderId="499" xfId="0" applyNumberFormat="1" applyFont="1" applyFill="1" applyBorder="1">
      <alignment vertical="center"/>
    </xf>
    <xf numFmtId="183" fontId="28" fillId="0" borderId="47" xfId="2" applyNumberFormat="1" applyFont="1" applyBorder="1" applyAlignment="1">
      <alignment horizontal="center" vertical="center"/>
    </xf>
    <xf numFmtId="0" fontId="28" fillId="0" borderId="497" xfId="0" applyFont="1" applyBorder="1" applyAlignment="1">
      <alignment horizontal="center" vertical="center"/>
    </xf>
    <xf numFmtId="183" fontId="28" fillId="7" borderId="228" xfId="2" applyNumberFormat="1" applyFont="1" applyFill="1" applyBorder="1" applyAlignment="1">
      <alignment horizontal="center" vertical="center"/>
    </xf>
    <xf numFmtId="0" fontId="176" fillId="125" borderId="477" xfId="0" applyFont="1" applyFill="1" applyBorder="1" applyAlignment="1">
      <alignment horizontal="center" vertical="center"/>
    </xf>
    <xf numFmtId="183" fontId="176" fillId="125" borderId="477" xfId="0" applyNumberFormat="1" applyFont="1" applyFill="1" applyBorder="1" applyAlignment="1">
      <alignment horizontal="center" vertical="center"/>
    </xf>
    <xf numFmtId="183" fontId="188" fillId="7" borderId="47" xfId="2" applyNumberFormat="1" applyFont="1" applyFill="1" applyBorder="1" applyAlignment="1">
      <alignment horizontal="center" vertical="center" wrapText="1"/>
    </xf>
    <xf numFmtId="0" fontId="57" fillId="116" borderId="0" xfId="0" applyFont="1" applyFill="1">
      <alignment vertical="center"/>
    </xf>
    <xf numFmtId="2" fontId="57" fillId="0" borderId="517" xfId="0" applyNumberFormat="1" applyFont="1" applyBorder="1" applyAlignment="1">
      <alignment horizontal="center" vertical="center"/>
    </xf>
    <xf numFmtId="226" fontId="57" fillId="0" borderId="517" xfId="2" applyNumberFormat="1" applyFont="1" applyBorder="1" applyAlignment="1">
      <alignment horizontal="center" vertical="center"/>
    </xf>
    <xf numFmtId="187" fontId="57" fillId="0" borderId="517" xfId="2" applyNumberFormat="1" applyFont="1" applyFill="1" applyBorder="1" applyAlignment="1">
      <alignment horizontal="center" vertical="center"/>
    </xf>
    <xf numFmtId="187" fontId="57" fillId="0" borderId="517" xfId="2" applyNumberFormat="1" applyFont="1" applyBorder="1" applyAlignment="1">
      <alignment horizontal="center" vertical="center"/>
    </xf>
    <xf numFmtId="223" fontId="57" fillId="0" borderId="40" xfId="0" applyNumberFormat="1" applyFont="1" applyBorder="1" applyAlignment="1">
      <alignment horizontal="center" vertical="center"/>
    </xf>
    <xf numFmtId="223" fontId="57" fillId="0" borderId="465" xfId="0" applyNumberFormat="1" applyFont="1" applyBorder="1" applyAlignment="1">
      <alignment horizontal="center" vertical="center"/>
    </xf>
    <xf numFmtId="223" fontId="57" fillId="15" borderId="330" xfId="0" applyNumberFormat="1" applyFont="1" applyFill="1" applyBorder="1" applyAlignment="1">
      <alignment horizontal="center" vertical="center"/>
    </xf>
    <xf numFmtId="223" fontId="57" fillId="0" borderId="465" xfId="0" applyNumberFormat="1" applyFont="1" applyFill="1" applyBorder="1" applyAlignment="1">
      <alignment horizontal="center" vertical="center"/>
    </xf>
    <xf numFmtId="223" fontId="57" fillId="15" borderId="5" xfId="0" applyNumberFormat="1" applyFont="1" applyFill="1" applyBorder="1" applyAlignment="1">
      <alignment horizontal="center" vertical="center"/>
    </xf>
    <xf numFmtId="223" fontId="176" fillId="125" borderId="255" xfId="0" applyNumberFormat="1" applyFont="1" applyFill="1" applyBorder="1" applyAlignment="1">
      <alignment horizontal="center" vertical="center" wrapText="1"/>
    </xf>
    <xf numFmtId="223" fontId="176" fillId="128" borderId="56" xfId="0" applyNumberFormat="1" applyFont="1" applyFill="1" applyBorder="1" applyAlignment="1">
      <alignment horizontal="center" vertical="center" wrapText="1"/>
    </xf>
    <xf numFmtId="226" fontId="57" fillId="7" borderId="499" xfId="2" applyNumberFormat="1" applyFont="1" applyFill="1" applyBorder="1" applyAlignment="1">
      <alignment horizontal="center" vertical="center"/>
    </xf>
    <xf numFmtId="4" fontId="57" fillId="7" borderId="499" xfId="2" applyNumberFormat="1" applyFont="1" applyFill="1" applyBorder="1" applyAlignment="1">
      <alignment horizontal="center" vertical="center"/>
    </xf>
    <xf numFmtId="38" fontId="28" fillId="7" borderId="499" xfId="2" applyNumberFormat="1" applyFont="1" applyFill="1" applyBorder="1" applyAlignment="1">
      <alignment horizontal="center" vertical="center"/>
    </xf>
    <xf numFmtId="9" fontId="28" fillId="7" borderId="499" xfId="1" applyFont="1" applyFill="1" applyBorder="1" applyAlignment="1">
      <alignment horizontal="center" vertical="center"/>
    </xf>
    <xf numFmtId="0" fontId="28" fillId="7" borderId="120" xfId="0" applyFont="1" applyFill="1" applyBorder="1">
      <alignment vertical="center"/>
    </xf>
    <xf numFmtId="183" fontId="57" fillId="7" borderId="499" xfId="2" applyNumberFormat="1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41" fontId="176" fillId="125" borderId="516" xfId="2" applyFont="1" applyFill="1" applyBorder="1" applyAlignment="1">
      <alignment horizontal="center" vertical="center"/>
    </xf>
    <xf numFmtId="226" fontId="176" fillId="125" borderId="516" xfId="2" applyNumberFormat="1" applyFont="1" applyFill="1" applyBorder="1" applyAlignment="1">
      <alignment horizontal="center" vertical="center"/>
    </xf>
    <xf numFmtId="183" fontId="176" fillId="125" borderId="516" xfId="2" applyNumberFormat="1" applyFont="1" applyFill="1" applyBorder="1" applyAlignment="1">
      <alignment horizontal="center" vertical="center"/>
    </xf>
    <xf numFmtId="183" fontId="176" fillId="125" borderId="517" xfId="2" applyNumberFormat="1" applyFont="1" applyFill="1" applyBorder="1" applyAlignment="1">
      <alignment horizontal="center" vertical="center"/>
    </xf>
    <xf numFmtId="183" fontId="176" fillId="125" borderId="518" xfId="2" applyNumberFormat="1" applyFont="1" applyFill="1" applyBorder="1" applyAlignment="1">
      <alignment horizontal="center" vertical="center"/>
    </xf>
    <xf numFmtId="38" fontId="176" fillId="125" borderId="519" xfId="2" applyNumberFormat="1" applyFont="1" applyFill="1" applyBorder="1" applyAlignment="1">
      <alignment horizontal="center" vertical="center"/>
    </xf>
    <xf numFmtId="38" fontId="176" fillId="125" borderId="516" xfId="2" applyNumberFormat="1" applyFont="1" applyFill="1" applyBorder="1" applyAlignment="1">
      <alignment horizontal="center" vertical="center"/>
    </xf>
    <xf numFmtId="38" fontId="176" fillId="125" borderId="517" xfId="2" applyNumberFormat="1" applyFont="1" applyFill="1" applyBorder="1" applyAlignment="1">
      <alignment horizontal="center" vertical="center"/>
    </xf>
    <xf numFmtId="9" fontId="176" fillId="125" borderId="518" xfId="1" applyFont="1" applyFill="1" applyBorder="1" applyAlignment="1">
      <alignment horizontal="center" vertical="center"/>
    </xf>
    <xf numFmtId="176" fontId="28" fillId="7" borderId="499" xfId="0" applyNumberFormat="1" applyFont="1" applyFill="1" applyBorder="1" applyAlignment="1">
      <alignment horizontal="center" vertical="center"/>
    </xf>
    <xf numFmtId="176" fontId="28" fillId="7" borderId="516" xfId="0" applyNumberFormat="1" applyFont="1" applyFill="1" applyBorder="1" applyAlignment="1">
      <alignment horizontal="center" vertical="center"/>
    </xf>
    <xf numFmtId="0" fontId="28" fillId="7" borderId="516" xfId="0" applyFont="1" applyFill="1" applyBorder="1" applyAlignment="1">
      <alignment horizontal="center" vertical="center"/>
    </xf>
    <xf numFmtId="183" fontId="28" fillId="7" borderId="516" xfId="0" applyNumberFormat="1" applyFont="1" applyFill="1" applyBorder="1" applyAlignment="1">
      <alignment horizontal="center" vertical="center"/>
    </xf>
    <xf numFmtId="0" fontId="28" fillId="7" borderId="515" xfId="0" applyFont="1" applyFill="1" applyBorder="1" applyAlignment="1">
      <alignment horizontal="center" vertical="center"/>
    </xf>
    <xf numFmtId="0" fontId="28" fillId="7" borderId="221" xfId="0" applyFont="1" applyFill="1" applyBorder="1" applyAlignment="1">
      <alignment horizontal="center" vertical="center"/>
    </xf>
    <xf numFmtId="176" fontId="28" fillId="7" borderId="6" xfId="0" applyNumberFormat="1" applyFont="1" applyFill="1" applyBorder="1" applyAlignment="1">
      <alignment horizontal="center" vertical="center"/>
    </xf>
    <xf numFmtId="183" fontId="28" fillId="7" borderId="6" xfId="0" applyNumberFormat="1" applyFont="1" applyFill="1" applyBorder="1" applyAlignment="1">
      <alignment horizontal="center" vertical="center"/>
    </xf>
    <xf numFmtId="0" fontId="34" fillId="7" borderId="225" xfId="0" applyFont="1" applyFill="1" applyBorder="1" applyAlignment="1">
      <alignment horizontal="center" vertical="center"/>
    </xf>
    <xf numFmtId="0" fontId="34" fillId="7" borderId="226" xfId="0" applyFont="1" applyFill="1" applyBorder="1" applyAlignment="1">
      <alignment horizontal="center" vertical="center"/>
    </xf>
    <xf numFmtId="0" fontId="171" fillId="7" borderId="499" xfId="0" applyFont="1" applyFill="1" applyBorder="1" applyAlignment="1">
      <alignment horizontal="center" vertical="center"/>
    </xf>
    <xf numFmtId="0" fontId="176" fillId="125" borderId="499" xfId="0" applyFont="1" applyFill="1" applyBorder="1" applyAlignment="1">
      <alignment horizontal="center" vertical="center"/>
    </xf>
    <xf numFmtId="41" fontId="176" fillId="125" borderId="499" xfId="2" applyFont="1" applyFill="1" applyBorder="1" applyAlignment="1">
      <alignment horizontal="center" vertical="center"/>
    </xf>
    <xf numFmtId="177" fontId="28" fillId="7" borderId="499" xfId="0" applyNumberFormat="1" applyFont="1" applyFill="1" applyBorder="1" applyAlignment="1">
      <alignment horizontal="center" vertical="center"/>
    </xf>
    <xf numFmtId="38" fontId="28" fillId="0" borderId="40" xfId="2" applyNumberFormat="1" applyFont="1" applyFill="1" applyBorder="1" applyAlignment="1">
      <alignment horizontal="center" vertical="center"/>
    </xf>
    <xf numFmtId="41" fontId="177" fillId="125" borderId="438" xfId="2" applyFont="1" applyFill="1" applyBorder="1" applyAlignment="1">
      <alignment horizontal="center" vertical="center"/>
    </xf>
    <xf numFmtId="0" fontId="176" fillId="0" borderId="0" xfId="0" applyFont="1" applyFill="1" applyBorder="1" applyAlignment="1">
      <alignment vertical="center"/>
    </xf>
    <xf numFmtId="0" fontId="176" fillId="0" borderId="0" xfId="0" applyFont="1" applyFill="1" applyBorder="1" applyAlignment="1">
      <alignment horizontal="center" vertical="center"/>
    </xf>
    <xf numFmtId="41" fontId="176" fillId="0" borderId="0" xfId="2" applyFont="1" applyFill="1" applyBorder="1" applyAlignment="1">
      <alignment horizontal="center" vertical="center"/>
    </xf>
    <xf numFmtId="0" fontId="28" fillId="0" borderId="0" xfId="0" applyFont="1" applyFill="1" applyBorder="1">
      <alignment vertical="center"/>
    </xf>
    <xf numFmtId="38" fontId="27" fillId="7" borderId="499" xfId="3" applyNumberFormat="1" applyFont="1" applyFill="1" applyBorder="1" applyAlignment="1">
      <alignment horizontal="center" vertical="center"/>
    </xf>
    <xf numFmtId="38" fontId="27" fillId="7" borderId="499" xfId="2" quotePrefix="1" applyNumberFormat="1" applyFont="1" applyFill="1" applyBorder="1" applyAlignment="1">
      <alignment horizontal="center" vertical="center"/>
    </xf>
    <xf numFmtId="38" fontId="28" fillId="0" borderId="472" xfId="2" applyNumberFormat="1" applyFont="1" applyFill="1" applyBorder="1" applyAlignment="1">
      <alignment horizontal="center" vertical="center"/>
    </xf>
    <xf numFmtId="38" fontId="28" fillId="0" borderId="463" xfId="2" applyNumberFormat="1" applyFont="1" applyFill="1" applyBorder="1" applyAlignment="1">
      <alignment horizontal="center" vertical="center"/>
    </xf>
    <xf numFmtId="38" fontId="27" fillId="7" borderId="499" xfId="3" quotePrefix="1" applyNumberFormat="1" applyFont="1" applyFill="1" applyBorder="1" applyAlignment="1">
      <alignment horizontal="center" vertical="center"/>
    </xf>
    <xf numFmtId="10" fontId="27" fillId="6" borderId="499" xfId="1" applyNumberFormat="1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7" borderId="45" xfId="0" applyFont="1" applyFill="1" applyBorder="1" applyAlignment="1">
      <alignment horizontal="center" vertical="center"/>
    </xf>
    <xf numFmtId="3" fontId="39" fillId="0" borderId="341" xfId="0" applyNumberFormat="1" applyFont="1" applyBorder="1" applyAlignment="1">
      <alignment horizontal="center" vertical="center" wrapText="1"/>
    </xf>
    <xf numFmtId="10" fontId="27" fillId="0" borderId="499" xfId="1" applyNumberFormat="1" applyFont="1" applyFill="1" applyBorder="1" applyAlignment="1">
      <alignment horizontal="center" vertical="center"/>
    </xf>
    <xf numFmtId="9" fontId="28" fillId="0" borderId="499" xfId="2" applyNumberFormat="1" applyFont="1" applyFill="1" applyBorder="1" applyAlignment="1">
      <alignment horizontal="center" vertical="center"/>
    </xf>
    <xf numFmtId="38" fontId="28" fillId="0" borderId="6" xfId="2" applyNumberFormat="1" applyFont="1" applyFill="1" applyBorder="1" applyAlignment="1">
      <alignment horizontal="center" vertical="center"/>
    </xf>
    <xf numFmtId="223" fontId="28" fillId="0" borderId="23" xfId="2" applyNumberFormat="1" applyFont="1" applyFill="1" applyBorder="1" applyAlignment="1">
      <alignment horizontal="center" vertical="center"/>
    </xf>
    <xf numFmtId="223" fontId="176" fillId="125" borderId="466" xfId="2" applyNumberFormat="1" applyFont="1" applyFill="1" applyBorder="1" applyAlignment="1">
      <alignment horizontal="center" vertical="center"/>
    </xf>
    <xf numFmtId="0" fontId="214" fillId="0" borderId="0" xfId="0" applyFont="1" applyAlignment="1">
      <alignment horizontal="center" vertical="center"/>
    </xf>
    <xf numFmtId="0" fontId="36" fillId="7" borderId="499" xfId="0" applyFont="1" applyFill="1" applyBorder="1" applyAlignment="1">
      <alignment horizontal="center" vertical="center"/>
    </xf>
    <xf numFmtId="0" fontId="27" fillId="7" borderId="499" xfId="0" applyFont="1" applyFill="1" applyBorder="1" applyAlignment="1">
      <alignment horizontal="center" vertical="center"/>
    </xf>
    <xf numFmtId="177" fontId="36" fillId="7" borderId="499" xfId="0" applyNumberFormat="1" applyFont="1" applyFill="1" applyBorder="1" applyAlignment="1">
      <alignment horizontal="center" vertical="center"/>
    </xf>
    <xf numFmtId="179" fontId="36" fillId="117" borderId="0" xfId="0" applyNumberFormat="1" applyFont="1" applyFill="1" applyAlignment="1">
      <alignment horizontal="center" vertical="center"/>
    </xf>
    <xf numFmtId="0" fontId="36" fillId="117" borderId="0" xfId="0" applyFont="1" applyFill="1" applyAlignment="1">
      <alignment horizontal="center" vertical="center"/>
    </xf>
    <xf numFmtId="3" fontId="57" fillId="15" borderId="122" xfId="2" applyNumberFormat="1" applyFont="1" applyFill="1" applyBorder="1" applyAlignment="1">
      <alignment horizontal="center" vertical="center"/>
    </xf>
    <xf numFmtId="3" fontId="57" fillId="15" borderId="499" xfId="2" applyNumberFormat="1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43" fontId="0" fillId="0" borderId="0" xfId="0" applyNumberFormat="1">
      <alignment vertical="center"/>
    </xf>
    <xf numFmtId="0" fontId="215" fillId="3" borderId="0" xfId="0" applyFont="1" applyFill="1">
      <alignment vertical="center"/>
    </xf>
    <xf numFmtId="43" fontId="215" fillId="3" borderId="0" xfId="0" applyNumberFormat="1" applyFont="1" applyFill="1">
      <alignment vertical="center"/>
    </xf>
    <xf numFmtId="41" fontId="45" fillId="3" borderId="0" xfId="0" applyNumberFormat="1" applyFont="1" applyFill="1" applyAlignment="1">
      <alignment horizontal="center" vertical="center"/>
    </xf>
    <xf numFmtId="181" fontId="45" fillId="3" borderId="0" xfId="0" applyNumberFormat="1" applyFont="1" applyFill="1" applyAlignment="1">
      <alignment horizontal="center" vertical="center"/>
    </xf>
    <xf numFmtId="43" fontId="45" fillId="3" borderId="0" xfId="0" applyNumberFormat="1" applyFont="1" applyFill="1" applyAlignment="1">
      <alignment horizontal="center" vertical="center"/>
    </xf>
    <xf numFmtId="176" fontId="45" fillId="3" borderId="0" xfId="0" applyNumberFormat="1" applyFont="1" applyFill="1" applyAlignment="1">
      <alignment horizontal="center" vertical="center"/>
    </xf>
    <xf numFmtId="179" fontId="0" fillId="0" borderId="0" xfId="0" applyNumberFormat="1">
      <alignment vertical="center"/>
    </xf>
    <xf numFmtId="1" fontId="0" fillId="0" borderId="0" xfId="0" applyNumberFormat="1" applyFill="1" applyBorder="1" applyAlignment="1">
      <alignment horizontal="center" vertical="center"/>
    </xf>
    <xf numFmtId="178" fontId="0" fillId="0" borderId="0" xfId="0" applyNumberFormat="1">
      <alignment vertical="center"/>
    </xf>
    <xf numFmtId="1" fontId="0" fillId="0" borderId="0" xfId="0" applyNumberFormat="1">
      <alignment vertical="center"/>
    </xf>
    <xf numFmtId="9" fontId="167" fillId="125" borderId="466" xfId="1" applyFont="1" applyFill="1" applyBorder="1" applyAlignment="1">
      <alignment horizontal="center" vertical="center"/>
    </xf>
    <xf numFmtId="38" fontId="28" fillId="117" borderId="379" xfId="2" applyNumberFormat="1" applyFont="1" applyFill="1" applyBorder="1" applyAlignment="1">
      <alignment horizontal="center" vertical="center"/>
    </xf>
    <xf numFmtId="40" fontId="28" fillId="117" borderId="379" xfId="2" applyNumberFormat="1" applyFont="1" applyFill="1" applyBorder="1" applyAlignment="1">
      <alignment horizontal="center" vertical="center"/>
    </xf>
    <xf numFmtId="40" fontId="28" fillId="117" borderId="379" xfId="2" quotePrefix="1" applyNumberFormat="1" applyFont="1" applyFill="1" applyBorder="1" applyAlignment="1">
      <alignment horizontal="center" vertical="center"/>
    </xf>
    <xf numFmtId="38" fontId="28" fillId="117" borderId="379" xfId="2" quotePrefix="1" applyNumberFormat="1" applyFont="1" applyFill="1" applyBorder="1" applyAlignment="1">
      <alignment horizontal="center" vertical="center"/>
    </xf>
    <xf numFmtId="9" fontId="28" fillId="117" borderId="379" xfId="1" applyFont="1" applyFill="1" applyBorder="1" applyAlignment="1">
      <alignment horizontal="center" vertical="center"/>
    </xf>
    <xf numFmtId="38" fontId="28" fillId="117" borderId="40" xfId="2" applyNumberFormat="1" applyFont="1" applyFill="1" applyBorder="1" applyAlignment="1">
      <alignment horizontal="center" vertical="center"/>
    </xf>
    <xf numFmtId="2" fontId="26" fillId="16" borderId="105" xfId="0" applyNumberFormat="1" applyFont="1" applyFill="1" applyBorder="1" applyAlignment="1">
      <alignment horizontal="center" vertical="center" wrapText="1"/>
    </xf>
    <xf numFmtId="230" fontId="57" fillId="0" borderId="0" xfId="0" applyNumberFormat="1" applyFont="1" applyAlignment="1">
      <alignment horizontal="center" vertical="center"/>
    </xf>
    <xf numFmtId="183" fontId="57" fillId="0" borderId="517" xfId="2" applyNumberFormat="1" applyFont="1" applyBorder="1" applyAlignment="1">
      <alignment horizontal="center" vertical="center"/>
    </xf>
    <xf numFmtId="187" fontId="57" fillId="7" borderId="517" xfId="2" applyNumberFormat="1" applyFont="1" applyFill="1" applyBorder="1" applyAlignment="1">
      <alignment horizontal="center" vertical="center"/>
    </xf>
    <xf numFmtId="183" fontId="57" fillId="7" borderId="517" xfId="2" applyNumberFormat="1" applyFont="1" applyFill="1" applyBorder="1" applyAlignment="1">
      <alignment horizontal="center" vertical="center"/>
    </xf>
    <xf numFmtId="2" fontId="28" fillId="0" borderId="517" xfId="0" applyNumberFormat="1" applyFont="1" applyFill="1" applyBorder="1" applyAlignment="1">
      <alignment horizontal="center" vertical="center"/>
    </xf>
    <xf numFmtId="4" fontId="57" fillId="0" borderId="517" xfId="0" applyNumberFormat="1" applyFont="1" applyBorder="1" applyAlignment="1">
      <alignment horizontal="center" vertical="center"/>
    </xf>
    <xf numFmtId="176" fontId="57" fillId="0" borderId="517" xfId="0" applyNumberFormat="1" applyFont="1" applyFill="1" applyBorder="1" applyAlignment="1">
      <alignment horizontal="center" vertical="center"/>
    </xf>
    <xf numFmtId="3" fontId="57" fillId="0" borderId="517" xfId="0" applyNumberFormat="1" applyFont="1" applyBorder="1" applyAlignment="1">
      <alignment horizontal="center" vertical="center"/>
    </xf>
    <xf numFmtId="2" fontId="57" fillId="0" borderId="517" xfId="0" applyNumberFormat="1" applyFont="1" applyFill="1" applyBorder="1" applyAlignment="1">
      <alignment horizontal="center" vertical="center"/>
    </xf>
    <xf numFmtId="0" fontId="176" fillId="125" borderId="517" xfId="0" quotePrefix="1" applyFont="1" applyFill="1" applyBorder="1" applyAlignment="1">
      <alignment horizontal="center" vertical="center"/>
    </xf>
    <xf numFmtId="3" fontId="176" fillId="125" borderId="517" xfId="2" applyNumberFormat="1" applyFont="1" applyFill="1" applyBorder="1" applyAlignment="1">
      <alignment horizontal="center" vertical="center" wrapText="1"/>
    </xf>
    <xf numFmtId="178" fontId="28" fillId="0" borderId="499" xfId="0" applyNumberFormat="1" applyFont="1" applyBorder="1" applyAlignment="1">
      <alignment horizontal="center" vertical="center"/>
    </xf>
    <xf numFmtId="2" fontId="28" fillId="0" borderId="499" xfId="0" applyNumberFormat="1" applyFont="1" applyBorder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3" fontId="57" fillId="15" borderId="465" xfId="2" applyNumberFormat="1" applyFont="1" applyFill="1" applyBorder="1" applyAlignment="1">
      <alignment horizontal="center" vertical="center"/>
    </xf>
    <xf numFmtId="223" fontId="57" fillId="15" borderId="465" xfId="0" applyNumberFormat="1" applyFont="1" applyFill="1" applyBorder="1" applyAlignment="1">
      <alignment horizontal="center" vertical="center"/>
    </xf>
    <xf numFmtId="0" fontId="28" fillId="5" borderId="498" xfId="0" applyFont="1" applyFill="1" applyBorder="1" applyAlignment="1">
      <alignment horizontal="center" vertical="center" wrapText="1"/>
    </xf>
    <xf numFmtId="178" fontId="28" fillId="0" borderId="498" xfId="0" applyNumberFormat="1" applyFont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03" fillId="0" borderId="499" xfId="0" applyFont="1" applyBorder="1" applyAlignment="1">
      <alignment horizontal="center" vertical="center" wrapText="1" readingOrder="1"/>
    </xf>
    <xf numFmtId="177" fontId="27" fillId="7" borderId="0" xfId="0" applyNumberFormat="1" applyFont="1" applyFill="1" applyAlignment="1">
      <alignment horizontal="center" vertical="center"/>
    </xf>
    <xf numFmtId="0" fontId="34" fillId="7" borderId="228" xfId="0" applyFont="1" applyFill="1" applyBorder="1" applyAlignment="1">
      <alignment horizontal="center" vertical="center"/>
    </xf>
    <xf numFmtId="0" fontId="28" fillId="7" borderId="40" xfId="0" applyFont="1" applyFill="1" applyBorder="1" applyAlignment="1">
      <alignment horizontal="center" vertical="center"/>
    </xf>
    <xf numFmtId="183" fontId="28" fillId="7" borderId="517" xfId="0" applyNumberFormat="1" applyFont="1" applyFill="1" applyBorder="1" applyAlignment="1">
      <alignment horizontal="center" vertical="center"/>
    </xf>
    <xf numFmtId="223" fontId="171" fillId="15" borderId="226" xfId="0" applyNumberFormat="1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223" fontId="176" fillId="125" borderId="85" xfId="0" applyNumberFormat="1" applyFont="1" applyFill="1" applyBorder="1" applyAlignment="1">
      <alignment horizontal="center" vertical="center" wrapText="1" readingOrder="1"/>
    </xf>
    <xf numFmtId="9" fontId="28" fillId="0" borderId="6" xfId="2" applyNumberFormat="1" applyFont="1" applyFill="1" applyBorder="1" applyAlignment="1">
      <alignment horizontal="center" vertical="center"/>
    </xf>
    <xf numFmtId="0" fontId="177" fillId="126" borderId="447" xfId="0" applyFont="1" applyFill="1" applyBorder="1" applyAlignment="1">
      <alignment horizontal="center" vertical="center"/>
    </xf>
    <xf numFmtId="187" fontId="45" fillId="15" borderId="497" xfId="0" applyNumberFormat="1" applyFont="1" applyFill="1" applyBorder="1" applyAlignment="1">
      <alignment horizontal="center" vertical="center"/>
    </xf>
    <xf numFmtId="0" fontId="176" fillId="127" borderId="518" xfId="0" applyFont="1" applyFill="1" applyBorder="1" applyAlignment="1">
      <alignment horizontal="center" vertical="center"/>
    </xf>
    <xf numFmtId="3" fontId="176" fillId="125" borderId="516" xfId="2" applyNumberFormat="1" applyFont="1" applyFill="1" applyBorder="1" applyAlignment="1">
      <alignment horizontal="center" vertical="center" wrapText="1"/>
    </xf>
    <xf numFmtId="223" fontId="176" fillId="125" borderId="493" xfId="2" applyNumberFormat="1" applyFont="1" applyFill="1" applyBorder="1" applyAlignment="1">
      <alignment horizontal="center" vertical="center"/>
    </xf>
    <xf numFmtId="0" fontId="176" fillId="125" borderId="515" xfId="0" applyFont="1" applyFill="1" applyBorder="1" applyAlignment="1">
      <alignment horizontal="center" vertical="center"/>
    </xf>
    <xf numFmtId="183" fontId="57" fillId="7" borderId="497" xfId="2" applyNumberFormat="1" applyFont="1" applyFill="1" applyBorder="1" applyAlignment="1">
      <alignment horizontal="center" vertical="center" wrapText="1"/>
    </xf>
    <xf numFmtId="179" fontId="171" fillId="6" borderId="516" xfId="2" applyNumberFormat="1" applyFont="1" applyFill="1" applyBorder="1" applyAlignment="1">
      <alignment horizontal="center" vertical="center"/>
    </xf>
    <xf numFmtId="0" fontId="176" fillId="125" borderId="225" xfId="0" applyFont="1" applyFill="1" applyBorder="1" applyAlignment="1">
      <alignment horizontal="center" vertical="center"/>
    </xf>
    <xf numFmtId="0" fontId="176" fillId="125" borderId="226" xfId="0" applyFont="1" applyFill="1" applyBorder="1" applyAlignment="1">
      <alignment horizontal="center" vertical="center"/>
    </xf>
    <xf numFmtId="3" fontId="57" fillId="15" borderId="497" xfId="2" applyNumberFormat="1" applyFont="1" applyFill="1" applyBorder="1" applyAlignment="1">
      <alignment horizontal="center" vertical="center"/>
    </xf>
    <xf numFmtId="3" fontId="176" fillId="0" borderId="0" xfId="2" applyNumberFormat="1" applyFont="1" applyFill="1" applyBorder="1" applyAlignment="1">
      <alignment horizontal="center" vertical="center" wrapText="1"/>
    </xf>
    <xf numFmtId="4" fontId="28" fillId="15" borderId="447" xfId="2" applyNumberFormat="1" applyFont="1" applyFill="1" applyBorder="1" applyAlignment="1">
      <alignment horizontal="center" vertical="center"/>
    </xf>
    <xf numFmtId="1" fontId="57" fillId="0" borderId="517" xfId="0" applyNumberFormat="1" applyFont="1" applyFill="1" applyBorder="1" applyAlignment="1">
      <alignment horizontal="center" vertical="center"/>
    </xf>
    <xf numFmtId="3" fontId="57" fillId="0" borderId="122" xfId="2" applyNumberFormat="1" applyFont="1" applyFill="1" applyBorder="1" applyAlignment="1">
      <alignment horizontal="center" vertical="center"/>
    </xf>
    <xf numFmtId="3" fontId="57" fillId="0" borderId="47" xfId="2" applyNumberFormat="1" applyFont="1" applyFill="1" applyBorder="1" applyAlignment="1">
      <alignment horizontal="center" vertical="center"/>
    </xf>
    <xf numFmtId="3" fontId="57" fillId="0" borderId="121" xfId="2" applyNumberFormat="1" applyFont="1" applyFill="1" applyBorder="1" applyAlignment="1">
      <alignment horizontal="center" vertical="center"/>
    </xf>
    <xf numFmtId="228" fontId="57" fillId="0" borderId="123" xfId="2" applyNumberFormat="1" applyFont="1" applyFill="1" applyBorder="1" applyAlignment="1">
      <alignment horizontal="center" vertical="center"/>
    </xf>
    <xf numFmtId="38" fontId="176" fillId="125" borderId="85" xfId="0" applyNumberFormat="1" applyFont="1" applyFill="1" applyBorder="1" applyAlignment="1">
      <alignment horizontal="center" vertical="center" wrapText="1" readingOrder="1"/>
    </xf>
    <xf numFmtId="183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77" fontId="28" fillId="7" borderId="40" xfId="0" applyNumberFormat="1" applyFont="1" applyFill="1" applyBorder="1" applyAlignment="1">
      <alignment horizontal="center" vertical="center"/>
    </xf>
    <xf numFmtId="41" fontId="0" fillId="6" borderId="0" xfId="0" applyNumberFormat="1" applyFill="1" applyAlignment="1">
      <alignment horizontal="center" vertical="center"/>
    </xf>
    <xf numFmtId="0" fontId="28" fillId="7" borderId="226" xfId="0" applyFont="1" applyFill="1" applyBorder="1" applyAlignment="1">
      <alignment horizontal="center" vertical="center"/>
    </xf>
    <xf numFmtId="0" fontId="28" fillId="7" borderId="229" xfId="0" applyFont="1" applyFill="1" applyBorder="1" applyAlignment="1">
      <alignment horizontal="center" vertical="center"/>
    </xf>
    <xf numFmtId="4" fontId="28" fillId="7" borderId="499" xfId="0" applyNumberFormat="1" applyFont="1" applyFill="1" applyBorder="1" applyAlignment="1">
      <alignment horizontal="center" vertical="center"/>
    </xf>
    <xf numFmtId="0" fontId="167" fillId="7" borderId="0" xfId="0" applyFont="1" applyFill="1" applyAlignment="1">
      <alignment horizontal="center" vertical="center"/>
    </xf>
    <xf numFmtId="177" fontId="169" fillId="7" borderId="0" xfId="0" applyNumberFormat="1" applyFont="1" applyFill="1" applyAlignment="1">
      <alignment horizontal="center" vertical="center"/>
    </xf>
    <xf numFmtId="0" fontId="25" fillId="0" borderId="255" xfId="0" quotePrefix="1" applyFont="1" applyBorder="1" applyAlignment="1">
      <alignment vertical="center" wrapText="1"/>
    </xf>
    <xf numFmtId="0" fontId="25" fillId="0" borderId="255" xfId="0" quotePrefix="1" applyFont="1" applyBorder="1" applyAlignment="1">
      <alignment horizontal="left" vertical="center" wrapText="1"/>
    </xf>
    <xf numFmtId="0" fontId="40" fillId="0" borderId="255" xfId="0" applyFont="1" applyBorder="1" applyAlignment="1">
      <alignment vertical="center" wrapText="1"/>
    </xf>
    <xf numFmtId="185" fontId="220" fillId="3" borderId="379" xfId="0" applyNumberFormat="1" applyFont="1" applyFill="1" applyBorder="1" applyAlignment="1">
      <alignment horizontal="center" vertical="center"/>
    </xf>
    <xf numFmtId="0" fontId="34" fillId="0" borderId="238" xfId="0" applyFont="1" applyFill="1" applyBorder="1" applyAlignment="1">
      <alignment horizontal="center" vertical="center"/>
    </xf>
    <xf numFmtId="0" fontId="28" fillId="7" borderId="202" xfId="0" applyFont="1" applyFill="1" applyBorder="1" applyAlignment="1">
      <alignment horizontal="center" vertical="center"/>
    </xf>
    <xf numFmtId="38" fontId="165" fillId="0" borderId="84" xfId="0" applyNumberFormat="1" applyFont="1" applyBorder="1" applyAlignment="1">
      <alignment horizontal="center" vertical="center" wrapText="1"/>
    </xf>
    <xf numFmtId="38" fontId="165" fillId="0" borderId="255" xfId="0" applyNumberFormat="1" applyFont="1" applyBorder="1" applyAlignment="1">
      <alignment horizontal="center" vertical="center" wrapText="1"/>
    </xf>
    <xf numFmtId="3" fontId="167" fillId="125" borderId="255" xfId="0" applyNumberFormat="1" applyFont="1" applyFill="1" applyBorder="1" applyAlignment="1">
      <alignment horizontal="center" vertical="center" wrapText="1"/>
    </xf>
    <xf numFmtId="226" fontId="57" fillId="3" borderId="47" xfId="2" applyNumberFormat="1" applyFont="1" applyFill="1" applyBorder="1" applyAlignment="1">
      <alignment horizontal="center" vertical="center"/>
    </xf>
    <xf numFmtId="187" fontId="57" fillId="3" borderId="517" xfId="2" applyNumberFormat="1" applyFont="1" applyFill="1" applyBorder="1" applyAlignment="1">
      <alignment horizontal="center" vertical="center"/>
    </xf>
    <xf numFmtId="187" fontId="57" fillId="3" borderId="330" xfId="2" applyNumberFormat="1" applyFont="1" applyFill="1" applyBorder="1" applyAlignment="1">
      <alignment horizontal="center" vertical="center"/>
    </xf>
    <xf numFmtId="3" fontId="28" fillId="7" borderId="47" xfId="2" applyNumberFormat="1" applyFont="1" applyFill="1" applyBorder="1" applyAlignment="1">
      <alignment horizontal="center" vertical="center"/>
    </xf>
    <xf numFmtId="183" fontId="187" fillId="7" borderId="47" xfId="2" applyNumberFormat="1" applyFont="1" applyFill="1" applyBorder="1" applyAlignment="1">
      <alignment horizontal="center" vertical="center" wrapText="1"/>
    </xf>
    <xf numFmtId="228" fontId="57" fillId="0" borderId="59" xfId="2" applyNumberFormat="1" applyFont="1" applyFill="1" applyBorder="1" applyAlignment="1">
      <alignment horizontal="center" vertical="center" wrapText="1"/>
    </xf>
    <xf numFmtId="228" fontId="57" fillId="0" borderId="492" xfId="2" applyNumberFormat="1" applyFont="1" applyFill="1" applyBorder="1" applyAlignment="1">
      <alignment horizontal="center" vertical="center" wrapText="1"/>
    </xf>
    <xf numFmtId="228" fontId="57" fillId="0" borderId="123" xfId="0" applyNumberFormat="1" applyFont="1" applyFill="1" applyBorder="1" applyAlignment="1">
      <alignment horizontal="center" vertical="center"/>
    </xf>
    <xf numFmtId="228" fontId="57" fillId="0" borderId="447" xfId="0" applyNumberFormat="1" applyFont="1" applyFill="1" applyBorder="1" applyAlignment="1">
      <alignment horizontal="center" vertical="center"/>
    </xf>
    <xf numFmtId="231" fontId="45" fillId="15" borderId="123" xfId="0" applyNumberFormat="1" applyFont="1" applyFill="1" applyBorder="1" applyAlignment="1">
      <alignment horizontal="center" vertical="center"/>
    </xf>
    <xf numFmtId="231" fontId="45" fillId="15" borderId="447" xfId="0" applyNumberFormat="1" applyFont="1" applyFill="1" applyBorder="1" applyAlignment="1">
      <alignment horizontal="center" vertical="center"/>
    </xf>
    <xf numFmtId="0" fontId="0" fillId="3" borderId="0" xfId="0" applyFill="1" applyAlignment="1" applyProtection="1">
      <protection locked="0"/>
    </xf>
    <xf numFmtId="183" fontId="57" fillId="0" borderId="37" xfId="0" applyNumberFormat="1" applyFont="1" applyBorder="1" applyAlignment="1">
      <alignment horizontal="center" vertical="center"/>
    </xf>
    <xf numFmtId="183" fontId="57" fillId="0" borderId="40" xfId="0" applyNumberFormat="1" applyFont="1" applyBorder="1" applyAlignment="1">
      <alignment horizontal="center" vertical="center"/>
    </xf>
    <xf numFmtId="0" fontId="176" fillId="125" borderId="137" xfId="0" applyFont="1" applyFill="1" applyBorder="1" applyAlignment="1">
      <alignment horizontal="center" vertical="center"/>
    </xf>
    <xf numFmtId="0" fontId="176" fillId="127" borderId="466" xfId="0" applyFont="1" applyFill="1" applyBorder="1" applyAlignment="1">
      <alignment horizontal="center" vertical="center"/>
    </xf>
    <xf numFmtId="0" fontId="176" fillId="127" borderId="230" xfId="0" applyFont="1" applyFill="1" applyBorder="1" applyAlignment="1">
      <alignment horizontal="center" vertical="center"/>
    </xf>
    <xf numFmtId="0" fontId="176" fillId="125" borderId="230" xfId="0" applyFont="1" applyFill="1" applyBorder="1" applyAlignment="1">
      <alignment horizontal="center" vertical="center"/>
    </xf>
    <xf numFmtId="0" fontId="176" fillId="125" borderId="263" xfId="0" applyFont="1" applyFill="1" applyBorder="1" applyAlignment="1">
      <alignment horizontal="center" vertical="center"/>
    </xf>
    <xf numFmtId="0" fontId="176" fillId="125" borderId="466" xfId="0" applyFont="1" applyFill="1" applyBorder="1" applyAlignment="1">
      <alignment horizontal="center" vertical="center"/>
    </xf>
    <xf numFmtId="0" fontId="176" fillId="127" borderId="496" xfId="0" applyFont="1" applyFill="1" applyBorder="1" applyAlignment="1">
      <alignment horizontal="center" vertical="center"/>
    </xf>
    <xf numFmtId="0" fontId="176" fillId="127" borderId="225" xfId="0" applyFont="1" applyFill="1" applyBorder="1" applyAlignment="1">
      <alignment horizontal="center" vertical="center"/>
    </xf>
    <xf numFmtId="0" fontId="176" fillId="125" borderId="379" xfId="0" applyFont="1" applyFill="1" applyBorder="1" applyAlignment="1">
      <alignment horizontal="center" vertical="center"/>
    </xf>
    <xf numFmtId="187" fontId="176" fillId="125" borderId="499" xfId="2" applyNumberFormat="1" applyFont="1" applyFill="1" applyBorder="1" applyAlignment="1">
      <alignment horizontal="center" vertical="center" wrapText="1"/>
    </xf>
    <xf numFmtId="0" fontId="177" fillId="126" borderId="521" xfId="0" applyFont="1" applyFill="1" applyBorder="1" applyAlignment="1">
      <alignment horizontal="center" vertical="center"/>
    </xf>
    <xf numFmtId="0" fontId="177" fillId="126" borderId="309" xfId="0" applyFont="1" applyFill="1" applyBorder="1" applyAlignment="1">
      <alignment horizontal="center" vertical="center"/>
    </xf>
    <xf numFmtId="0" fontId="177" fillId="126" borderId="437" xfId="0" applyFont="1" applyFill="1" applyBorder="1" applyAlignment="1">
      <alignment horizontal="center" vertical="center"/>
    </xf>
    <xf numFmtId="0" fontId="177" fillId="126" borderId="518" xfId="0" applyFont="1" applyFill="1" applyBorder="1" applyAlignment="1">
      <alignment horizontal="center" vertical="center"/>
    </xf>
    <xf numFmtId="177" fontId="167" fillId="3" borderId="499" xfId="0" applyNumberFormat="1" applyFont="1" applyFill="1" applyBorder="1" applyAlignment="1">
      <alignment horizontal="center" vertical="center"/>
    </xf>
    <xf numFmtId="177" fontId="34" fillId="3" borderId="499" xfId="0" applyNumberFormat="1" applyFont="1" applyFill="1" applyBorder="1" applyAlignment="1">
      <alignment horizontal="center" vertical="center"/>
    </xf>
    <xf numFmtId="227" fontId="28" fillId="15" borderId="123" xfId="2" applyNumberFormat="1" applyFont="1" applyFill="1" applyBorder="1" applyAlignment="1">
      <alignment horizontal="center" vertical="center"/>
    </xf>
    <xf numFmtId="4" fontId="57" fillId="15" borderId="447" xfId="2" applyNumberFormat="1" applyFont="1" applyFill="1" applyBorder="1" applyAlignment="1">
      <alignment horizontal="center" vertical="center"/>
    </xf>
    <xf numFmtId="227" fontId="28" fillId="15" borderId="447" xfId="2" applyNumberFormat="1" applyFont="1" applyFill="1" applyBorder="1" applyAlignment="1">
      <alignment horizontal="center" vertical="center"/>
    </xf>
    <xf numFmtId="183" fontId="28" fillId="15" borderId="123" xfId="2" applyNumberFormat="1" applyFont="1" applyFill="1" applyBorder="1" applyAlignment="1">
      <alignment horizontal="center" vertical="center"/>
    </xf>
    <xf numFmtId="183" fontId="28" fillId="15" borderId="447" xfId="2" applyNumberFormat="1" applyFont="1" applyFill="1" applyBorder="1" applyAlignment="1">
      <alignment horizontal="center" vertical="center"/>
    </xf>
    <xf numFmtId="183" fontId="28" fillId="15" borderId="437" xfId="2" applyNumberFormat="1" applyFont="1" applyFill="1" applyBorder="1" applyAlignment="1">
      <alignment horizontal="center" vertical="center"/>
    </xf>
    <xf numFmtId="0" fontId="221" fillId="125" borderId="122" xfId="0" applyFont="1" applyFill="1" applyBorder="1" applyAlignment="1">
      <alignment horizontal="center" vertical="center"/>
    </xf>
    <xf numFmtId="3" fontId="221" fillId="125" borderId="122" xfId="0" applyNumberFormat="1" applyFont="1" applyFill="1" applyBorder="1" applyAlignment="1">
      <alignment horizontal="center" vertical="center"/>
    </xf>
    <xf numFmtId="3" fontId="221" fillId="125" borderId="123" xfId="0" applyNumberFormat="1" applyFont="1" applyFill="1" applyBorder="1" applyAlignment="1">
      <alignment horizontal="center" vertical="center"/>
    </xf>
    <xf numFmtId="0" fontId="221" fillId="125" borderId="516" xfId="0" applyFont="1" applyFill="1" applyBorder="1" applyAlignment="1">
      <alignment horizontal="center" vertical="center"/>
    </xf>
    <xf numFmtId="3" fontId="221" fillId="125" borderId="516" xfId="0" applyNumberFormat="1" applyFont="1" applyFill="1" applyBorder="1" applyAlignment="1">
      <alignment horizontal="center" vertical="center"/>
    </xf>
    <xf numFmtId="3" fontId="221" fillId="125" borderId="518" xfId="0" applyNumberFormat="1" applyFont="1" applyFill="1" applyBorder="1" applyAlignment="1">
      <alignment horizontal="center" vertical="center"/>
    </xf>
    <xf numFmtId="0" fontId="0" fillId="93" borderId="499" xfId="0" applyFill="1" applyBorder="1" applyAlignment="1">
      <alignment horizontal="center" vertical="center"/>
    </xf>
    <xf numFmtId="41" fontId="176" fillId="125" borderId="122" xfId="2" applyFont="1" applyFill="1" applyBorder="1" applyAlignment="1">
      <alignment horizontal="center" vertical="center"/>
    </xf>
    <xf numFmtId="176" fontId="0" fillId="93" borderId="499" xfId="0" applyNumberFormat="1" applyFill="1" applyBorder="1" applyAlignment="1">
      <alignment horizontal="center" vertical="center"/>
    </xf>
    <xf numFmtId="185" fontId="0" fillId="93" borderId="499" xfId="0" applyNumberFormat="1" applyFill="1" applyBorder="1" applyAlignment="1">
      <alignment horizontal="center" vertical="center"/>
    </xf>
    <xf numFmtId="176" fontId="0" fillId="93" borderId="447" xfId="0" applyNumberFormat="1" applyFill="1" applyBorder="1" applyAlignment="1">
      <alignment horizontal="center" vertical="center"/>
    </xf>
    <xf numFmtId="185" fontId="0" fillId="93" borderId="447" xfId="0" applyNumberFormat="1" applyFill="1" applyBorder="1" applyAlignment="1">
      <alignment horizontal="center" vertical="center"/>
    </xf>
    <xf numFmtId="0" fontId="0" fillId="93" borderId="447" xfId="0" applyFill="1" applyBorder="1" applyAlignment="1">
      <alignment horizontal="center" vertical="center"/>
    </xf>
    <xf numFmtId="176" fontId="0" fillId="93" borderId="516" xfId="0" applyNumberFormat="1" applyFill="1" applyBorder="1" applyAlignment="1">
      <alignment horizontal="center" vertical="center"/>
    </xf>
    <xf numFmtId="176" fontId="0" fillId="93" borderId="518" xfId="0" applyNumberFormat="1" applyFill="1" applyBorder="1" applyAlignment="1">
      <alignment horizontal="center" vertical="center"/>
    </xf>
    <xf numFmtId="228" fontId="57" fillId="0" borderId="499" xfId="2" applyNumberFormat="1" applyFont="1" applyFill="1" applyBorder="1" applyAlignment="1">
      <alignment horizontal="center" vertical="center"/>
    </xf>
    <xf numFmtId="228" fontId="28" fillId="15" borderId="499" xfId="2" applyNumberFormat="1" applyFont="1" applyFill="1" applyBorder="1" applyAlignment="1">
      <alignment horizontal="center" vertical="center"/>
    </xf>
    <xf numFmtId="228" fontId="57" fillId="0" borderId="121" xfId="2" applyNumberFormat="1" applyFont="1" applyFill="1" applyBorder="1" applyAlignment="1">
      <alignment horizontal="center" vertical="center"/>
    </xf>
    <xf numFmtId="228" fontId="57" fillId="0" borderId="122" xfId="2" applyNumberFormat="1" applyFont="1" applyFill="1" applyBorder="1" applyAlignment="1">
      <alignment horizontal="center" vertical="center"/>
    </xf>
    <xf numFmtId="228" fontId="57" fillId="0" borderId="496" xfId="2" applyNumberFormat="1" applyFont="1" applyFill="1" applyBorder="1" applyAlignment="1">
      <alignment horizontal="center" vertical="center"/>
    </xf>
    <xf numFmtId="228" fontId="57" fillId="0" borderId="437" xfId="2" applyNumberFormat="1" applyFont="1" applyFill="1" applyBorder="1" applyAlignment="1">
      <alignment horizontal="center" vertical="center"/>
    </xf>
    <xf numFmtId="228" fontId="57" fillId="0" borderId="447" xfId="2" applyNumberFormat="1" applyFont="1" applyFill="1" applyBorder="1" applyAlignment="1">
      <alignment horizontal="center" vertical="center"/>
    </xf>
    <xf numFmtId="228" fontId="57" fillId="0" borderId="515" xfId="2" applyNumberFormat="1" applyFont="1" applyFill="1" applyBorder="1" applyAlignment="1">
      <alignment horizontal="center" vertical="center"/>
    </xf>
    <xf numFmtId="228" fontId="57" fillId="0" borderId="516" xfId="2" applyNumberFormat="1" applyFont="1" applyFill="1" applyBorder="1" applyAlignment="1">
      <alignment horizontal="center" vertical="center"/>
    </xf>
    <xf numFmtId="228" fontId="57" fillId="0" borderId="518" xfId="2" applyNumberFormat="1" applyFont="1" applyFill="1" applyBorder="1" applyAlignment="1">
      <alignment horizontal="center" vertical="center"/>
    </xf>
    <xf numFmtId="228" fontId="57" fillId="0" borderId="221" xfId="2" applyNumberFormat="1" applyFont="1" applyFill="1" applyBorder="1" applyAlignment="1">
      <alignment horizontal="center" vertical="center"/>
    </xf>
    <xf numFmtId="228" fontId="57" fillId="0" borderId="6" xfId="2" applyNumberFormat="1" applyFont="1" applyFill="1" applyBorder="1" applyAlignment="1">
      <alignment horizontal="center" vertical="center"/>
    </xf>
    <xf numFmtId="228" fontId="57" fillId="0" borderId="469" xfId="2" applyNumberFormat="1" applyFont="1" applyFill="1" applyBorder="1" applyAlignment="1">
      <alignment horizontal="center" vertical="center"/>
    </xf>
    <xf numFmtId="228" fontId="57" fillId="0" borderId="466" xfId="2" applyNumberFormat="1" applyFont="1" applyFill="1" applyBorder="1" applyAlignment="1">
      <alignment horizontal="center" vertical="center"/>
    </xf>
    <xf numFmtId="228" fontId="45" fillId="15" borderId="324" xfId="0" applyNumberFormat="1" applyFont="1" applyFill="1" applyBorder="1" applyAlignment="1">
      <alignment horizontal="center" vertical="center"/>
    </xf>
    <xf numFmtId="228" fontId="45" fillId="15" borderId="503" xfId="0" applyNumberFormat="1" applyFont="1" applyFill="1" applyBorder="1" applyAlignment="1">
      <alignment horizontal="center" vertical="center"/>
    </xf>
    <xf numFmtId="228" fontId="45" fillId="15" borderId="495" xfId="0" applyNumberFormat="1" applyFont="1" applyFill="1" applyBorder="1" applyAlignment="1">
      <alignment horizontal="center" vertical="center"/>
    </xf>
    <xf numFmtId="228" fontId="45" fillId="15" borderId="501" xfId="0" applyNumberFormat="1" applyFont="1" applyFill="1" applyBorder="1" applyAlignment="1">
      <alignment horizontal="center" vertical="center"/>
    </xf>
    <xf numFmtId="228" fontId="45" fillId="15" borderId="449" xfId="0" applyNumberFormat="1" applyFont="1" applyFill="1" applyBorder="1" applyAlignment="1">
      <alignment horizontal="center" vertical="center"/>
    </xf>
    <xf numFmtId="228" fontId="45" fillId="15" borderId="504" xfId="0" applyNumberFormat="1" applyFont="1" applyFill="1" applyBorder="1" applyAlignment="1">
      <alignment horizontal="center" vertical="center"/>
    </xf>
    <xf numFmtId="228" fontId="208" fillId="3" borderId="324" xfId="0" applyNumberFormat="1" applyFont="1" applyFill="1" applyBorder="1" applyAlignment="1">
      <alignment horizontal="center" vertical="center"/>
    </xf>
    <xf numFmtId="228" fontId="208" fillId="3" borderId="503" xfId="0" applyNumberFormat="1" applyFont="1" applyFill="1" applyBorder="1" applyAlignment="1">
      <alignment horizontal="center" vertical="center"/>
    </xf>
    <xf numFmtId="228" fontId="208" fillId="3" borderId="450" xfId="0" applyNumberFormat="1" applyFont="1" applyFill="1" applyBorder="1" applyAlignment="1">
      <alignment horizontal="center" vertical="center"/>
    </xf>
    <xf numFmtId="228" fontId="208" fillId="3" borderId="500" xfId="0" applyNumberFormat="1" applyFont="1" applyFill="1" applyBorder="1" applyAlignment="1">
      <alignment horizontal="center" vertical="center"/>
    </xf>
    <xf numFmtId="0" fontId="176" fillId="0" borderId="0" xfId="0" applyFont="1" applyFill="1" applyBorder="1" applyAlignment="1">
      <alignment vertical="center" wrapText="1"/>
    </xf>
    <xf numFmtId="41" fontId="177" fillId="127" borderId="47" xfId="2" applyFont="1" applyFill="1" applyBorder="1" applyAlignment="1">
      <alignment horizontal="center" vertical="center"/>
    </xf>
    <xf numFmtId="41" fontId="177" fillId="127" borderId="497" xfId="2" applyFont="1" applyFill="1" applyBorder="1" applyAlignment="1">
      <alignment horizontal="center" vertical="center"/>
    </xf>
    <xf numFmtId="41" fontId="177" fillId="127" borderId="465" xfId="2" applyFont="1" applyFill="1" applyBorder="1" applyAlignment="1">
      <alignment horizontal="center" vertical="center"/>
    </xf>
    <xf numFmtId="3" fontId="176" fillId="125" borderId="226" xfId="2" applyNumberFormat="1" applyFont="1" applyFill="1" applyBorder="1" applyAlignment="1">
      <alignment horizontal="center" vertical="center" wrapText="1"/>
    </xf>
    <xf numFmtId="228" fontId="28" fillId="0" borderId="122" xfId="2" applyNumberFormat="1" applyFont="1" applyFill="1" applyBorder="1" applyAlignment="1">
      <alignment horizontal="center" vertical="center"/>
    </xf>
    <xf numFmtId="228" fontId="28" fillId="0" borderId="499" xfId="2" applyNumberFormat="1" applyFont="1" applyFill="1" applyBorder="1" applyAlignment="1">
      <alignment horizontal="center" vertical="center"/>
    </xf>
    <xf numFmtId="228" fontId="28" fillId="0" borderId="466" xfId="2" applyNumberFormat="1" applyFont="1" applyFill="1" applyBorder="1" applyAlignment="1">
      <alignment horizontal="center" vertical="center"/>
    </xf>
    <xf numFmtId="0" fontId="0" fillId="0" borderId="122" xfId="0" applyFill="1" applyBorder="1" applyAlignment="1">
      <alignment horizontal="center" vertical="center"/>
    </xf>
    <xf numFmtId="0" fontId="0" fillId="0" borderId="123" xfId="0" applyFill="1" applyBorder="1" applyAlignment="1">
      <alignment horizontal="center" vertical="center"/>
    </xf>
    <xf numFmtId="0" fontId="0" fillId="0" borderId="466" xfId="0" applyFill="1" applyBorder="1" applyAlignment="1">
      <alignment horizontal="center" vertical="center"/>
    </xf>
    <xf numFmtId="0" fontId="0" fillId="0" borderId="437" xfId="0" applyFill="1" applyBorder="1" applyAlignment="1">
      <alignment horizontal="center" vertical="center"/>
    </xf>
    <xf numFmtId="177" fontId="0" fillId="15" borderId="122" xfId="0" applyNumberFormat="1" applyFill="1" applyBorder="1" applyAlignment="1">
      <alignment horizontal="center" vertical="center"/>
    </xf>
    <xf numFmtId="177" fontId="0" fillId="15" borderId="123" xfId="0" applyNumberFormat="1" applyFill="1" applyBorder="1" applyAlignment="1">
      <alignment horizontal="center" vertical="center"/>
    </xf>
    <xf numFmtId="179" fontId="0" fillId="15" borderId="516" xfId="0" applyNumberFormat="1" applyFill="1" applyBorder="1" applyAlignment="1">
      <alignment horizontal="center" vertical="center"/>
    </xf>
    <xf numFmtId="41" fontId="177" fillId="127" borderId="226" xfId="2" applyFont="1" applyFill="1" applyBorder="1" applyAlignment="1">
      <alignment horizontal="center" vertical="center"/>
    </xf>
    <xf numFmtId="176" fontId="28" fillId="7" borderId="467" xfId="0" applyNumberFormat="1" applyFont="1" applyFill="1" applyBorder="1" applyAlignment="1">
      <alignment horizontal="center" vertical="center"/>
    </xf>
    <xf numFmtId="176" fontId="28" fillId="7" borderId="379" xfId="0" applyNumberFormat="1" applyFont="1" applyFill="1" applyBorder="1">
      <alignment vertical="center"/>
    </xf>
    <xf numFmtId="230" fontId="0" fillId="0" borderId="122" xfId="0" applyNumberFormat="1" applyBorder="1" applyAlignment="1">
      <alignment horizontal="center" vertical="center"/>
    </xf>
    <xf numFmtId="230" fontId="0" fillId="0" borderId="123" xfId="0" applyNumberFormat="1" applyBorder="1" applyAlignment="1">
      <alignment horizontal="center" vertical="center"/>
    </xf>
    <xf numFmtId="230" fontId="0" fillId="0" borderId="499" xfId="0" applyNumberFormat="1" applyBorder="1" applyAlignment="1">
      <alignment horizontal="center" vertical="center"/>
    </xf>
    <xf numFmtId="230" fontId="0" fillId="0" borderId="447" xfId="0" applyNumberFormat="1" applyBorder="1" applyAlignment="1">
      <alignment horizontal="center" vertical="center"/>
    </xf>
    <xf numFmtId="230" fontId="0" fillId="0" borderId="466" xfId="0" applyNumberFormat="1" applyBorder="1" applyAlignment="1">
      <alignment horizontal="center" vertical="center"/>
    </xf>
    <xf numFmtId="230" fontId="0" fillId="0" borderId="437" xfId="0" applyNumberFormat="1" applyBorder="1" applyAlignment="1">
      <alignment horizontal="center" vertical="center"/>
    </xf>
    <xf numFmtId="230" fontId="0" fillId="0" borderId="226" xfId="0" applyNumberFormat="1" applyBorder="1" applyAlignment="1">
      <alignment horizontal="center" vertical="center"/>
    </xf>
    <xf numFmtId="230" fontId="0" fillId="0" borderId="229" xfId="0" applyNumberFormat="1" applyBorder="1" applyAlignment="1">
      <alignment horizontal="center" vertical="center"/>
    </xf>
    <xf numFmtId="228" fontId="0" fillId="0" borderId="122" xfId="0" applyNumberFormat="1" applyBorder="1" applyAlignment="1">
      <alignment horizontal="center" vertical="center"/>
    </xf>
    <xf numFmtId="228" fontId="0" fillId="0" borderId="123" xfId="0" applyNumberFormat="1" applyBorder="1" applyAlignment="1">
      <alignment horizontal="center" vertical="center"/>
    </xf>
    <xf numFmtId="228" fontId="0" fillId="0" borderId="499" xfId="0" applyNumberFormat="1" applyBorder="1" applyAlignment="1">
      <alignment horizontal="center" vertical="center"/>
    </xf>
    <xf numFmtId="228" fontId="0" fillId="0" borderId="447" xfId="0" applyNumberFormat="1" applyBorder="1" applyAlignment="1">
      <alignment horizontal="center" vertical="center"/>
    </xf>
    <xf numFmtId="228" fontId="0" fillId="0" borderId="466" xfId="0" applyNumberFormat="1" applyBorder="1" applyAlignment="1">
      <alignment horizontal="center" vertical="center"/>
    </xf>
    <xf numFmtId="228" fontId="0" fillId="0" borderId="437" xfId="0" applyNumberFormat="1" applyBorder="1" applyAlignment="1">
      <alignment horizontal="center" vertical="center"/>
    </xf>
    <xf numFmtId="228" fontId="0" fillId="0" borderId="226" xfId="0" applyNumberFormat="1" applyBorder="1" applyAlignment="1">
      <alignment horizontal="center" vertical="center"/>
    </xf>
    <xf numFmtId="38" fontId="176" fillId="128" borderId="382" xfId="0" applyNumberFormat="1" applyFont="1" applyFill="1" applyBorder="1" applyAlignment="1">
      <alignment horizontal="center" vertical="center" wrapText="1"/>
    </xf>
    <xf numFmtId="187" fontId="174" fillId="0" borderId="523" xfId="0" applyNumberFormat="1" applyFont="1" applyBorder="1" applyAlignment="1">
      <alignment horizontal="center" vertical="center" wrapText="1" readingOrder="1"/>
    </xf>
    <xf numFmtId="187" fontId="174" fillId="0" borderId="525" xfId="0" applyNumberFormat="1" applyFont="1" applyBorder="1" applyAlignment="1">
      <alignment horizontal="center" vertical="center" wrapText="1" readingOrder="1"/>
    </xf>
    <xf numFmtId="231" fontId="174" fillId="0" borderId="525" xfId="0" applyNumberFormat="1" applyFont="1" applyBorder="1" applyAlignment="1">
      <alignment horizontal="center" vertical="center" wrapText="1" readingOrder="1"/>
    </xf>
    <xf numFmtId="228" fontId="174" fillId="0" borderId="523" xfId="0" applyNumberFormat="1" applyFont="1" applyBorder="1" applyAlignment="1">
      <alignment horizontal="center" vertical="center" wrapText="1" readingOrder="1"/>
    </xf>
    <xf numFmtId="228" fontId="174" fillId="0" borderId="525" xfId="0" applyNumberFormat="1" applyFont="1" applyBorder="1" applyAlignment="1">
      <alignment horizontal="center" vertical="center" wrapText="1" readingOrder="1"/>
    </xf>
    <xf numFmtId="178" fontId="174" fillId="0" borderId="525" xfId="0" applyNumberFormat="1" applyFont="1" applyBorder="1" applyAlignment="1">
      <alignment horizontal="center" vertical="center" wrapText="1" readingOrder="1"/>
    </xf>
    <xf numFmtId="0" fontId="204" fillId="132" borderId="522" xfId="0" applyFont="1" applyFill="1" applyBorder="1" applyAlignment="1">
      <alignment horizontal="center" vertical="center" wrapText="1" readingOrder="1"/>
    </xf>
    <xf numFmtId="0" fontId="176" fillId="127" borderId="520" xfId="0" applyFont="1" applyFill="1" applyBorder="1" applyAlignment="1">
      <alignment horizontal="center" vertical="center" wrapText="1"/>
    </xf>
    <xf numFmtId="0" fontId="176" fillId="125" borderId="121" xfId="0" applyFont="1" applyFill="1" applyBorder="1" applyAlignment="1">
      <alignment horizontal="center" vertical="center"/>
    </xf>
    <xf numFmtId="0" fontId="176" fillId="127" borderId="466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5" borderId="230" xfId="0" applyFont="1" applyFill="1" applyBorder="1" applyAlignment="1">
      <alignment horizontal="center" vertical="center" wrapText="1"/>
    </xf>
    <xf numFmtId="0" fontId="176" fillId="125" borderId="334" xfId="0" applyFont="1" applyFill="1" applyBorder="1" applyAlignment="1">
      <alignment horizontal="center" vertical="center" wrapText="1"/>
    </xf>
    <xf numFmtId="0" fontId="176" fillId="125" borderId="49" xfId="0" applyFont="1" applyFill="1" applyBorder="1" applyAlignment="1">
      <alignment horizontal="center" vertical="center"/>
    </xf>
    <xf numFmtId="0" fontId="176" fillId="125" borderId="472" xfId="0" applyFont="1" applyFill="1" applyBorder="1" applyAlignment="1">
      <alignment horizontal="center" vertical="center"/>
    </xf>
    <xf numFmtId="0" fontId="34" fillId="116" borderId="528" xfId="0" applyFont="1" applyFill="1" applyBorder="1" applyAlignment="1">
      <alignment horizontal="center" vertical="center"/>
    </xf>
    <xf numFmtId="187" fontId="174" fillId="0" borderId="531" xfId="0" applyNumberFormat="1" applyFont="1" applyBorder="1" applyAlignment="1">
      <alignment horizontal="center" vertical="center" wrapText="1" readingOrder="1"/>
    </xf>
    <xf numFmtId="0" fontId="176" fillId="127" borderId="472" xfId="0" applyFont="1" applyFill="1" applyBorder="1" applyAlignment="1">
      <alignment horizontal="center" vertical="center"/>
    </xf>
    <xf numFmtId="0" fontId="176" fillId="127" borderId="519" xfId="0" applyFont="1" applyFill="1" applyBorder="1" applyAlignment="1">
      <alignment horizontal="center" vertical="center"/>
    </xf>
    <xf numFmtId="0" fontId="176" fillId="127" borderId="352" xfId="0" applyFont="1" applyFill="1" applyBorder="1" applyAlignment="1">
      <alignment horizontal="center" vertical="center" wrapText="1"/>
    </xf>
    <xf numFmtId="0" fontId="176" fillId="127" borderId="86" xfId="0" applyFont="1" applyFill="1" applyBorder="1" applyAlignment="1">
      <alignment horizontal="center" vertical="center" wrapText="1"/>
    </xf>
    <xf numFmtId="231" fontId="28" fillId="0" borderId="352" xfId="0" applyNumberFormat="1" applyFont="1" applyBorder="1" applyAlignment="1">
      <alignment horizontal="center" vertical="center"/>
    </xf>
    <xf numFmtId="0" fontId="222" fillId="131" borderId="536" xfId="0" applyFont="1" applyFill="1" applyBorder="1" applyAlignment="1">
      <alignment horizontal="center" vertical="center" wrapText="1" readingOrder="1"/>
    </xf>
    <xf numFmtId="0" fontId="204" fillId="132" borderId="538" xfId="0" applyFont="1" applyFill="1" applyBorder="1" applyAlignment="1">
      <alignment horizontal="center" vertical="center" wrapText="1" readingOrder="1"/>
    </xf>
    <xf numFmtId="187" fontId="174" fillId="0" borderId="548" xfId="0" applyNumberFormat="1" applyFont="1" applyBorder="1" applyAlignment="1">
      <alignment horizontal="center" vertical="center" wrapText="1" readingOrder="1"/>
    </xf>
    <xf numFmtId="0" fontId="204" fillId="132" borderId="544" xfId="0" applyFont="1" applyFill="1" applyBorder="1" applyAlignment="1">
      <alignment horizontal="center" vertical="center" wrapText="1" readingOrder="1"/>
    </xf>
    <xf numFmtId="187" fontId="174" fillId="0" borderId="549" xfId="0" applyNumberFormat="1" applyFont="1" applyBorder="1" applyAlignment="1">
      <alignment horizontal="center" vertical="center" wrapText="1" readingOrder="1"/>
    </xf>
    <xf numFmtId="187" fontId="34" fillId="0" borderId="552" xfId="0" applyNumberFormat="1" applyFont="1" applyFill="1" applyBorder="1" applyAlignment="1">
      <alignment horizontal="center" vertical="center"/>
    </xf>
    <xf numFmtId="186" fontId="28" fillId="117" borderId="49" xfId="0" applyNumberFormat="1" applyFont="1" applyFill="1" applyBorder="1" applyAlignment="1">
      <alignment horizontal="center" vertical="center"/>
    </xf>
    <xf numFmtId="186" fontId="28" fillId="117" borderId="472" xfId="0" applyNumberFormat="1" applyFont="1" applyFill="1" applyBorder="1" applyAlignment="1">
      <alignment horizontal="center" vertical="center"/>
    </xf>
    <xf numFmtId="187" fontId="28" fillId="0" borderId="23" xfId="0" applyNumberFormat="1" applyFont="1" applyFill="1" applyBorder="1" applyAlignment="1">
      <alignment horizontal="center" vertical="center"/>
    </xf>
    <xf numFmtId="0" fontId="222" fillId="131" borderId="553" xfId="0" applyFont="1" applyFill="1" applyBorder="1" applyAlignment="1">
      <alignment horizontal="center" vertical="center" wrapText="1" readingOrder="1"/>
    </xf>
    <xf numFmtId="187" fontId="226" fillId="0" borderId="555" xfId="0" applyNumberFormat="1" applyFont="1" applyBorder="1" applyAlignment="1">
      <alignment horizontal="center" vertical="center" wrapText="1" readingOrder="1"/>
    </xf>
    <xf numFmtId="228" fontId="223" fillId="0" borderId="555" xfId="0" applyNumberFormat="1" applyFont="1" applyBorder="1" applyAlignment="1">
      <alignment horizontal="center" vertical="center" wrapText="1" readingOrder="1"/>
    </xf>
    <xf numFmtId="231" fontId="213" fillId="0" borderId="541" xfId="0" applyNumberFormat="1" applyFont="1" applyBorder="1" applyAlignment="1">
      <alignment horizontal="center" vertical="center"/>
    </xf>
    <xf numFmtId="186" fontId="34" fillId="0" borderId="551" xfId="0" applyNumberFormat="1" applyFont="1" applyBorder="1" applyAlignment="1">
      <alignment horizontal="center" vertical="center"/>
    </xf>
    <xf numFmtId="186" fontId="34" fillId="0" borderId="542" xfId="0" applyNumberFormat="1" applyFont="1" applyBorder="1" applyAlignment="1">
      <alignment horizontal="center" vertical="center"/>
    </xf>
    <xf numFmtId="187" fontId="223" fillId="0" borderId="557" xfId="0" applyNumberFormat="1" applyFont="1" applyBorder="1" applyAlignment="1">
      <alignment horizontal="center" vertical="center" wrapText="1" readingOrder="1"/>
    </xf>
    <xf numFmtId="228" fontId="223" fillId="0" borderId="557" xfId="0" applyNumberFormat="1" applyFont="1" applyBorder="1" applyAlignment="1">
      <alignment horizontal="center" vertical="center" wrapText="1" readingOrder="1"/>
    </xf>
    <xf numFmtId="187" fontId="224" fillId="0" borderId="557" xfId="0" applyNumberFormat="1" applyFont="1" applyBorder="1" applyAlignment="1">
      <alignment horizontal="center" vertical="center" wrapText="1" readingOrder="1"/>
    </xf>
    <xf numFmtId="228" fontId="224" fillId="0" borderId="557" xfId="0" applyNumberFormat="1" applyFont="1" applyBorder="1" applyAlignment="1">
      <alignment horizontal="center" vertical="center" wrapText="1" readingOrder="1"/>
    </xf>
    <xf numFmtId="187" fontId="224" fillId="0" borderId="558" xfId="0" applyNumberFormat="1" applyFont="1" applyBorder="1" applyAlignment="1">
      <alignment horizontal="center" vertical="center" wrapText="1" readingOrder="1"/>
    </xf>
    <xf numFmtId="0" fontId="222" fillId="131" borderId="559" xfId="0" applyFont="1" applyFill="1" applyBorder="1" applyAlignment="1">
      <alignment horizontal="center" vertical="center" wrapText="1" readingOrder="1"/>
    </xf>
    <xf numFmtId="187" fontId="223" fillId="3" borderId="543" xfId="0" applyNumberFormat="1" applyFont="1" applyFill="1" applyBorder="1" applyAlignment="1">
      <alignment horizontal="center" vertical="center" wrapText="1" readingOrder="1"/>
    </xf>
    <xf numFmtId="187" fontId="224" fillId="3" borderId="560" xfId="0" applyNumberFormat="1" applyFont="1" applyFill="1" applyBorder="1" applyAlignment="1">
      <alignment horizontal="center" vertical="center" wrapText="1" readingOrder="1"/>
    </xf>
    <xf numFmtId="228" fontId="223" fillId="3" borderId="561" xfId="0" applyNumberFormat="1" applyFont="1" applyFill="1" applyBorder="1" applyAlignment="1">
      <alignment horizontal="center" vertical="center" wrapText="1" readingOrder="1"/>
    </xf>
    <xf numFmtId="228" fontId="223" fillId="3" borderId="560" xfId="0" applyNumberFormat="1" applyFont="1" applyFill="1" applyBorder="1" applyAlignment="1">
      <alignment horizontal="center" vertical="center" wrapText="1" readingOrder="1"/>
    </xf>
    <xf numFmtId="228" fontId="224" fillId="3" borderId="560" xfId="0" applyNumberFormat="1" applyFont="1" applyFill="1" applyBorder="1" applyAlignment="1">
      <alignment horizontal="center" vertical="center" wrapText="1" readingOrder="1"/>
    </xf>
    <xf numFmtId="231" fontId="167" fillId="0" borderId="562" xfId="0" applyNumberFormat="1" applyFont="1" applyBorder="1" applyAlignment="1">
      <alignment horizontal="center" vertical="center"/>
    </xf>
    <xf numFmtId="186" fontId="167" fillId="0" borderId="563" xfId="0" applyNumberFormat="1" applyFont="1" applyBorder="1" applyAlignment="1">
      <alignment horizontal="center" vertical="center"/>
    </xf>
    <xf numFmtId="186" fontId="167" fillId="0" borderId="564" xfId="0" applyNumberFormat="1" applyFont="1" applyBorder="1" applyAlignment="1">
      <alignment horizontal="center" vertical="center"/>
    </xf>
    <xf numFmtId="186" fontId="34" fillId="0" borderId="565" xfId="0" applyNumberFormat="1" applyFont="1" applyBorder="1" applyAlignment="1">
      <alignment horizontal="center" vertical="center"/>
    </xf>
    <xf numFmtId="187" fontId="34" fillId="0" borderId="566" xfId="0" applyNumberFormat="1" applyFont="1" applyFill="1" applyBorder="1" applyAlignment="1">
      <alignment horizontal="center" vertical="center"/>
    </xf>
    <xf numFmtId="187" fontId="223" fillId="3" borderId="567" xfId="0" applyNumberFormat="1" applyFont="1" applyFill="1" applyBorder="1" applyAlignment="1">
      <alignment horizontal="center" vertical="center" wrapText="1" readingOrder="1"/>
    </xf>
    <xf numFmtId="228" fontId="224" fillId="3" borderId="567" xfId="0" applyNumberFormat="1" applyFont="1" applyFill="1" applyBorder="1" applyAlignment="1">
      <alignment horizontal="center" vertical="center" wrapText="1" readingOrder="1"/>
    </xf>
    <xf numFmtId="187" fontId="224" fillId="3" borderId="567" xfId="0" applyNumberFormat="1" applyFont="1" applyFill="1" applyBorder="1" applyAlignment="1">
      <alignment horizontal="center" vertical="center" wrapText="1" readingOrder="1"/>
    </xf>
    <xf numFmtId="187" fontId="224" fillId="3" borderId="568" xfId="0" applyNumberFormat="1" applyFont="1" applyFill="1" applyBorder="1" applyAlignment="1">
      <alignment horizontal="center" vertical="center" wrapText="1" readingOrder="1"/>
    </xf>
    <xf numFmtId="187" fontId="225" fillId="0" borderId="554" xfId="0" applyNumberFormat="1" applyFont="1" applyBorder="1" applyAlignment="1">
      <alignment horizontal="center" vertical="center" wrapText="1"/>
    </xf>
    <xf numFmtId="228" fontId="224" fillId="0" borderId="556" xfId="0" applyNumberFormat="1" applyFont="1" applyBorder="1" applyAlignment="1">
      <alignment horizontal="center" vertical="center" wrapText="1" readingOrder="1"/>
    </xf>
    <xf numFmtId="186" fontId="34" fillId="0" borderId="569" xfId="0" applyNumberFormat="1" applyFont="1" applyBorder="1" applyAlignment="1">
      <alignment horizontal="center" vertical="center"/>
    </xf>
    <xf numFmtId="186" fontId="28" fillId="117" borderId="478" xfId="0" applyNumberFormat="1" applyFont="1" applyFill="1" applyBorder="1">
      <alignment vertical="center"/>
    </xf>
    <xf numFmtId="0" fontId="222" fillId="131" borderId="571" xfId="0" applyFont="1" applyFill="1" applyBorder="1" applyAlignment="1">
      <alignment horizontal="center" vertical="center" wrapText="1" readingOrder="1"/>
    </xf>
    <xf numFmtId="0" fontId="222" fillId="131" borderId="572" xfId="0" applyFont="1" applyFill="1" applyBorder="1" applyAlignment="1">
      <alignment horizontal="center" vertical="center" wrapText="1" readingOrder="1"/>
    </xf>
    <xf numFmtId="0" fontId="222" fillId="131" borderId="573" xfId="0" applyFont="1" applyFill="1" applyBorder="1" applyAlignment="1">
      <alignment horizontal="center" vertical="center" wrapText="1" readingOrder="1"/>
    </xf>
    <xf numFmtId="0" fontId="174" fillId="0" borderId="574" xfId="0" applyFont="1" applyFill="1" applyBorder="1" applyAlignment="1">
      <alignment horizontal="center" vertical="center" wrapText="1" readingOrder="1"/>
    </xf>
    <xf numFmtId="0" fontId="174" fillId="0" borderId="289" xfId="0" applyFont="1" applyFill="1" applyBorder="1" applyAlignment="1">
      <alignment horizontal="center" vertical="center" wrapText="1" readingOrder="1"/>
    </xf>
    <xf numFmtId="187" fontId="174" fillId="0" borderId="289" xfId="0" applyNumberFormat="1" applyFont="1" applyBorder="1" applyAlignment="1">
      <alignment horizontal="center" vertical="center" wrapText="1" readingOrder="1"/>
    </xf>
    <xf numFmtId="187" fontId="224" fillId="0" borderId="575" xfId="0" applyNumberFormat="1" applyFont="1" applyBorder="1" applyAlignment="1">
      <alignment horizontal="center" vertical="center" wrapText="1" readingOrder="1"/>
    </xf>
    <xf numFmtId="187" fontId="226" fillId="0" borderId="575" xfId="0" applyNumberFormat="1" applyFont="1" applyBorder="1" applyAlignment="1">
      <alignment horizontal="center" vertical="center" wrapText="1" readingOrder="1"/>
    </xf>
    <xf numFmtId="187" fontId="28" fillId="0" borderId="574" xfId="2" applyNumberFormat="1" applyFont="1" applyFill="1" applyBorder="1" applyAlignment="1">
      <alignment horizontal="center" vertical="center" wrapText="1"/>
    </xf>
    <xf numFmtId="187" fontId="28" fillId="0" borderId="289" xfId="2" applyNumberFormat="1" applyFont="1" applyFill="1" applyBorder="1" applyAlignment="1">
      <alignment horizontal="center" vertical="center" wrapText="1"/>
    </xf>
    <xf numFmtId="186" fontId="174" fillId="0" borderId="574" xfId="0" applyNumberFormat="1" applyFont="1" applyFill="1" applyBorder="1" applyAlignment="1">
      <alignment horizontal="center" vertical="center" wrapText="1" readingOrder="1"/>
    </xf>
    <xf numFmtId="186" fontId="174" fillId="0" borderId="289" xfId="0" applyNumberFormat="1" applyFont="1" applyFill="1" applyBorder="1" applyAlignment="1">
      <alignment horizontal="center" vertical="center" wrapText="1" readingOrder="1"/>
    </xf>
    <xf numFmtId="228" fontId="223" fillId="0" borderId="575" xfId="0" applyNumberFormat="1" applyFont="1" applyBorder="1" applyAlignment="1">
      <alignment horizontal="center" vertical="center" wrapText="1" readingOrder="1"/>
    </xf>
    <xf numFmtId="231" fontId="223" fillId="0" borderId="575" xfId="0" applyNumberFormat="1" applyFont="1" applyBorder="1" applyAlignment="1">
      <alignment horizontal="center" vertical="center" wrapText="1" readingOrder="1"/>
    </xf>
    <xf numFmtId="186" fontId="28" fillId="0" borderId="574" xfId="0" applyNumberFormat="1" applyFont="1" applyFill="1" applyBorder="1" applyAlignment="1">
      <alignment horizontal="center" vertical="center"/>
    </xf>
    <xf numFmtId="186" fontId="28" fillId="0" borderId="289" xfId="0" applyNumberFormat="1" applyFont="1" applyFill="1" applyBorder="1" applyAlignment="1">
      <alignment horizontal="center" vertical="center"/>
    </xf>
    <xf numFmtId="231" fontId="28" fillId="0" borderId="289" xfId="0" applyNumberFormat="1" applyFont="1" applyBorder="1" applyAlignment="1">
      <alignment horizontal="center" vertical="center"/>
    </xf>
    <xf numFmtId="231" fontId="213" fillId="0" borderId="575" xfId="0" applyNumberFormat="1" applyFont="1" applyBorder="1" applyAlignment="1">
      <alignment horizontal="center" vertical="center"/>
    </xf>
    <xf numFmtId="0" fontId="28" fillId="117" borderId="574" xfId="0" applyFont="1" applyFill="1" applyBorder="1" applyAlignment="1">
      <alignment horizontal="center" vertical="center"/>
    </xf>
    <xf numFmtId="0" fontId="28" fillId="117" borderId="289" xfId="0" applyFont="1" applyFill="1" applyBorder="1" applyAlignment="1">
      <alignment horizontal="center" vertical="center"/>
    </xf>
    <xf numFmtId="0" fontId="28" fillId="117" borderId="289" xfId="0" applyFont="1" applyFill="1" applyBorder="1">
      <alignment vertical="center"/>
    </xf>
    <xf numFmtId="186" fontId="34" fillId="0" borderId="575" xfId="0" applyNumberFormat="1" applyFont="1" applyBorder="1" applyAlignment="1">
      <alignment horizontal="center" vertical="center"/>
    </xf>
    <xf numFmtId="0" fontId="0" fillId="117" borderId="574" xfId="0" applyFill="1" applyBorder="1">
      <alignment vertical="center"/>
    </xf>
    <xf numFmtId="0" fontId="0" fillId="117" borderId="289" xfId="0" applyFill="1" applyBorder="1">
      <alignment vertical="center"/>
    </xf>
    <xf numFmtId="187" fontId="28" fillId="0" borderId="574" xfId="0" applyNumberFormat="1" applyFont="1" applyFill="1" applyBorder="1" applyAlignment="1">
      <alignment horizontal="center" vertical="center"/>
    </xf>
    <xf numFmtId="187" fontId="28" fillId="0" borderId="289" xfId="0" applyNumberFormat="1" applyFont="1" applyFill="1" applyBorder="1" applyAlignment="1">
      <alignment horizontal="center" vertical="center"/>
    </xf>
    <xf numFmtId="187" fontId="34" fillId="0" borderId="575" xfId="0" applyNumberFormat="1" applyFont="1" applyFill="1" applyBorder="1" applyAlignment="1">
      <alignment horizontal="center" vertical="center"/>
    </xf>
    <xf numFmtId="187" fontId="174" fillId="0" borderId="574" xfId="0" applyNumberFormat="1" applyFont="1" applyFill="1" applyBorder="1" applyAlignment="1">
      <alignment horizontal="center" vertical="center" wrapText="1" readingOrder="1"/>
    </xf>
    <xf numFmtId="187" fontId="174" fillId="0" borderId="289" xfId="0" applyNumberFormat="1" applyFont="1" applyFill="1" applyBorder="1" applyAlignment="1">
      <alignment horizontal="center" vertical="center" wrapText="1" readingOrder="1"/>
    </xf>
    <xf numFmtId="187" fontId="223" fillId="0" borderId="575" xfId="0" applyNumberFormat="1" applyFont="1" applyBorder="1" applyAlignment="1">
      <alignment horizontal="center" vertical="center" wrapText="1" readingOrder="1"/>
    </xf>
    <xf numFmtId="228" fontId="174" fillId="0" borderId="289" xfId="0" applyNumberFormat="1" applyFont="1" applyBorder="1" applyAlignment="1">
      <alignment horizontal="center" vertical="center" wrapText="1" readingOrder="1"/>
    </xf>
    <xf numFmtId="177" fontId="174" fillId="0" borderId="289" xfId="0" applyNumberFormat="1" applyFont="1" applyFill="1" applyBorder="1" applyAlignment="1">
      <alignment horizontal="center" vertical="center" wrapText="1" readingOrder="1"/>
    </xf>
    <xf numFmtId="228" fontId="224" fillId="0" borderId="575" xfId="0" applyNumberFormat="1" applyFont="1" applyBorder="1" applyAlignment="1">
      <alignment horizontal="center" vertical="center" wrapText="1" readingOrder="1"/>
    </xf>
    <xf numFmtId="187" fontId="174" fillId="0" borderId="577" xfId="0" applyNumberFormat="1" applyFont="1" applyBorder="1" applyAlignment="1">
      <alignment horizontal="center" vertical="center" wrapText="1" readingOrder="1"/>
    </xf>
    <xf numFmtId="187" fontId="224" fillId="0" borderId="578" xfId="0" applyNumberFormat="1" applyFont="1" applyBorder="1" applyAlignment="1">
      <alignment horizontal="center" vertical="center" wrapText="1" readingOrder="1"/>
    </xf>
    <xf numFmtId="0" fontId="174" fillId="117" borderId="574" xfId="0" applyFont="1" applyFill="1" applyBorder="1" applyAlignment="1">
      <alignment horizontal="center" vertical="center" wrapText="1" readingOrder="1"/>
    </xf>
    <xf numFmtId="0" fontId="174" fillId="117" borderId="289" xfId="0" applyFont="1" applyFill="1" applyBorder="1" applyAlignment="1">
      <alignment horizontal="center" vertical="center" wrapText="1" readingOrder="1"/>
    </xf>
    <xf numFmtId="0" fontId="174" fillId="117" borderId="576" xfId="0" applyFont="1" applyFill="1" applyBorder="1" applyAlignment="1">
      <alignment horizontal="center" vertical="center" wrapText="1" readingOrder="1"/>
    </xf>
    <xf numFmtId="0" fontId="174" fillId="117" borderId="577" xfId="0" applyFont="1" applyFill="1" applyBorder="1" applyAlignment="1">
      <alignment horizontal="center" vertical="center" wrapText="1" readingOrder="1"/>
    </xf>
    <xf numFmtId="0" fontId="34" fillId="116" borderId="575" xfId="0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/>
    </xf>
    <xf numFmtId="41" fontId="177" fillId="127" borderId="570" xfId="2" applyFont="1" applyFill="1" applyBorder="1" applyAlignment="1">
      <alignment horizontal="center" vertical="center"/>
    </xf>
    <xf numFmtId="187" fontId="28" fillId="0" borderId="570" xfId="2" applyNumberFormat="1" applyFont="1" applyFill="1" applyBorder="1" applyAlignment="1">
      <alignment horizontal="center" vertical="center"/>
    </xf>
    <xf numFmtId="231" fontId="28" fillId="0" borderId="570" xfId="2" applyNumberFormat="1" applyFont="1" applyFill="1" applyBorder="1" applyAlignment="1">
      <alignment horizontal="center" vertical="center"/>
    </xf>
    <xf numFmtId="3" fontId="176" fillId="125" borderId="570" xfId="2" applyNumberFormat="1" applyFont="1" applyFill="1" applyBorder="1" applyAlignment="1">
      <alignment horizontal="center" vertical="center" wrapText="1"/>
    </xf>
    <xf numFmtId="3" fontId="57" fillId="0" borderId="570" xfId="2" applyNumberFormat="1" applyFont="1" applyFill="1" applyBorder="1" applyAlignment="1">
      <alignment horizontal="center" vertical="center"/>
    </xf>
    <xf numFmtId="3" fontId="57" fillId="7" borderId="570" xfId="2" applyNumberFormat="1" applyFont="1" applyFill="1" applyBorder="1" applyAlignment="1">
      <alignment horizontal="center" vertical="center"/>
    </xf>
    <xf numFmtId="3" fontId="28" fillId="117" borderId="570" xfId="2" applyNumberFormat="1" applyFont="1" applyFill="1" applyBorder="1" applyAlignment="1">
      <alignment horizontal="center" vertical="center" wrapText="1"/>
    </xf>
    <xf numFmtId="231" fontId="28" fillId="0" borderId="466" xfId="2" applyNumberFormat="1" applyFont="1" applyFill="1" applyBorder="1" applyAlignment="1">
      <alignment horizontal="center" vertical="center"/>
    </xf>
    <xf numFmtId="187" fontId="176" fillId="125" borderId="123" xfId="2" applyNumberFormat="1" applyFont="1" applyFill="1" applyBorder="1" applyAlignment="1">
      <alignment horizontal="center" vertical="center"/>
    </xf>
    <xf numFmtId="187" fontId="176" fillId="125" borderId="580" xfId="2" applyNumberFormat="1" applyFont="1" applyFill="1" applyBorder="1" applyAlignment="1">
      <alignment horizontal="center" vertical="center"/>
    </xf>
    <xf numFmtId="3" fontId="28" fillId="117" borderId="466" xfId="2" applyNumberFormat="1" applyFont="1" applyFill="1" applyBorder="1" applyAlignment="1">
      <alignment horizontal="center" vertical="center" wrapText="1"/>
    </xf>
    <xf numFmtId="3" fontId="57" fillId="7" borderId="466" xfId="2" applyNumberFormat="1" applyFont="1" applyFill="1" applyBorder="1" applyAlignment="1">
      <alignment horizontal="center" vertical="center"/>
    </xf>
    <xf numFmtId="3" fontId="57" fillId="0" borderId="466" xfId="2" applyNumberFormat="1" applyFont="1" applyFill="1" applyBorder="1" applyAlignment="1">
      <alignment horizontal="center" vertical="center"/>
    </xf>
    <xf numFmtId="187" fontId="28" fillId="0" borderId="6" xfId="2" applyNumberFormat="1" applyFont="1" applyFill="1" applyBorder="1" applyAlignment="1">
      <alignment horizontal="center" vertical="center"/>
    </xf>
    <xf numFmtId="187" fontId="176" fillId="125" borderId="122" xfId="2" applyNumberFormat="1" applyFont="1" applyFill="1" applyBorder="1" applyAlignment="1">
      <alignment horizontal="center" vertical="center" wrapText="1"/>
    </xf>
    <xf numFmtId="0" fontId="176" fillId="125" borderId="226" xfId="0" applyFont="1" applyFill="1" applyBorder="1" applyAlignment="1">
      <alignment horizontal="center" vertical="center" wrapText="1"/>
    </xf>
    <xf numFmtId="41" fontId="177" fillId="125" borderId="122" xfId="2" applyFont="1" applyFill="1" applyBorder="1" applyAlignment="1">
      <alignment horizontal="center" vertical="center"/>
    </xf>
    <xf numFmtId="41" fontId="177" fillId="125" borderId="570" xfId="2" applyFont="1" applyFill="1" applyBorder="1" applyAlignment="1">
      <alignment horizontal="center" vertical="center"/>
    </xf>
    <xf numFmtId="179" fontId="0" fillId="15" borderId="466" xfId="0" applyNumberFormat="1" applyFill="1" applyBorder="1" applyAlignment="1">
      <alignment horizontal="center" vertical="center"/>
    </xf>
    <xf numFmtId="0" fontId="176" fillId="125" borderId="263" xfId="0" applyFont="1" applyFill="1" applyBorder="1" applyAlignment="1">
      <alignment horizontal="center" vertical="center" wrapText="1"/>
    </xf>
    <xf numFmtId="2" fontId="28" fillId="0" borderId="472" xfId="0" applyNumberFormat="1" applyFont="1" applyBorder="1" applyAlignment="1">
      <alignment horizontal="center" vertical="center"/>
    </xf>
    <xf numFmtId="0" fontId="176" fillId="125" borderId="519" xfId="0" quotePrefix="1" applyFont="1" applyFill="1" applyBorder="1" applyAlignment="1">
      <alignment horizontal="center" vertical="center"/>
    </xf>
    <xf numFmtId="0" fontId="28" fillId="5" borderId="472" xfId="0" applyFont="1" applyFill="1" applyBorder="1" applyAlignment="1">
      <alignment horizontal="center" vertical="center" wrapText="1"/>
    </xf>
    <xf numFmtId="1" fontId="0" fillId="0" borderId="570" xfId="0" applyNumberFormat="1" applyBorder="1" applyAlignment="1">
      <alignment horizontal="center" vertical="center"/>
    </xf>
    <xf numFmtId="178" fontId="57" fillId="3" borderId="238" xfId="0" applyNumberFormat="1" applyFont="1" applyFill="1" applyBorder="1" applyAlignment="1">
      <alignment horizontal="center" vertical="center"/>
    </xf>
    <xf numFmtId="223" fontId="57" fillId="0" borderId="110" xfId="0" applyNumberFormat="1" applyFont="1" applyBorder="1" applyAlignment="1">
      <alignment horizontal="center" vertical="center"/>
    </xf>
    <xf numFmtId="223" fontId="57" fillId="0" borderId="228" xfId="0" applyNumberFormat="1" applyFont="1" applyBorder="1" applyAlignment="1">
      <alignment horizontal="center" vertical="center"/>
    </xf>
    <xf numFmtId="38" fontId="176" fillId="125" borderId="255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178" fillId="15" borderId="570" xfId="0" applyFont="1" applyFill="1" applyBorder="1" applyAlignment="1">
      <alignment horizontal="center" vertical="center" wrapText="1"/>
    </xf>
    <xf numFmtId="0" fontId="165" fillId="0" borderId="570" xfId="0" applyFont="1" applyBorder="1" applyAlignment="1">
      <alignment horizontal="center" vertical="center" wrapText="1"/>
    </xf>
    <xf numFmtId="0" fontId="176" fillId="125" borderId="496" xfId="0" applyFont="1" applyFill="1" applyBorder="1" applyAlignment="1">
      <alignment horizontal="center" vertical="center"/>
    </xf>
    <xf numFmtId="0" fontId="176" fillId="125" borderId="437" xfId="0" applyFont="1" applyFill="1" applyBorder="1" applyAlignment="1">
      <alignment horizontal="center" vertical="center"/>
    </xf>
    <xf numFmtId="0" fontId="27" fillId="3" borderId="216" xfId="0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horizontal="center" vertical="center"/>
    </xf>
    <xf numFmtId="0" fontId="176" fillId="125" borderId="48" xfId="0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176" fillId="125" borderId="373" xfId="0" applyFont="1" applyFill="1" applyBorder="1" applyAlignment="1">
      <alignment horizontal="center" vertical="center"/>
    </xf>
    <xf numFmtId="232" fontId="27" fillId="7" borderId="216" xfId="0" applyNumberFormat="1" applyFont="1" applyFill="1" applyBorder="1" applyAlignment="1">
      <alignment horizontal="center" vertical="center"/>
    </xf>
    <xf numFmtId="177" fontId="28" fillId="7" borderId="570" xfId="0" applyNumberFormat="1" applyFont="1" applyFill="1" applyBorder="1" applyAlignment="1">
      <alignment horizontal="center" vertical="center"/>
    </xf>
    <xf numFmtId="0" fontId="28" fillId="7" borderId="570" xfId="0" applyFont="1" applyFill="1" applyBorder="1" applyAlignment="1">
      <alignment horizontal="center" vertical="center"/>
    </xf>
    <xf numFmtId="187" fontId="57" fillId="7" borderId="580" xfId="2" applyNumberFormat="1" applyFont="1" applyFill="1" applyBorder="1" applyAlignment="1">
      <alignment horizontal="center" vertical="center"/>
    </xf>
    <xf numFmtId="183" fontId="57" fillId="7" borderId="580" xfId="2" applyNumberFormat="1" applyFont="1" applyFill="1" applyBorder="1" applyAlignment="1">
      <alignment horizontal="center" vertical="center"/>
    </xf>
    <xf numFmtId="239" fontId="37" fillId="0" borderId="118" xfId="0" applyNumberFormat="1" applyFont="1" applyBorder="1" applyAlignment="1" applyProtection="1">
      <alignment horizontal="right" vertical="center"/>
    </xf>
    <xf numFmtId="183" fontId="57" fillId="0" borderId="495" xfId="2" applyNumberFormat="1" applyFont="1" applyBorder="1" applyAlignment="1">
      <alignment horizontal="center" vertical="center"/>
    </xf>
    <xf numFmtId="187" fontId="57" fillId="0" borderId="495" xfId="2" applyNumberFormat="1" applyFont="1" applyFill="1" applyBorder="1" applyAlignment="1">
      <alignment horizontal="center" vertical="center"/>
    </xf>
    <xf numFmtId="183" fontId="57" fillId="7" borderId="495" xfId="2" applyNumberFormat="1" applyFont="1" applyFill="1" applyBorder="1" applyAlignment="1">
      <alignment horizontal="center" vertical="center"/>
    </xf>
    <xf numFmtId="187" fontId="57" fillId="7" borderId="449" xfId="2" applyNumberFormat="1" applyFont="1" applyFill="1" applyBorder="1" applyAlignment="1">
      <alignment horizontal="center" vertical="center"/>
    </xf>
    <xf numFmtId="183" fontId="57" fillId="7" borderId="324" xfId="2" applyNumberFormat="1" applyFont="1" applyFill="1" applyBorder="1" applyAlignment="1">
      <alignment horizontal="center" vertical="center"/>
    </xf>
    <xf numFmtId="178" fontId="57" fillId="7" borderId="450" xfId="2" applyNumberFormat="1" applyFont="1" applyFill="1" applyBorder="1" applyAlignment="1">
      <alignment horizontal="center" vertical="center"/>
    </xf>
    <xf numFmtId="187" fontId="57" fillId="7" borderId="351" xfId="2" applyNumberFormat="1" applyFont="1" applyFill="1" applyBorder="1" applyAlignment="1">
      <alignment horizontal="center" vertical="center" wrapText="1"/>
    </xf>
    <xf numFmtId="183" fontId="57" fillId="7" borderId="296" xfId="2" applyNumberFormat="1" applyFont="1" applyFill="1" applyBorder="1" applyAlignment="1">
      <alignment horizontal="center" vertical="center"/>
    </xf>
    <xf numFmtId="183" fontId="57" fillId="7" borderId="449" xfId="0" applyNumberFormat="1" applyFont="1" applyFill="1" applyBorder="1" applyAlignment="1">
      <alignment horizontal="center" vertical="center"/>
    </xf>
    <xf numFmtId="178" fontId="57" fillId="7" borderId="45" xfId="0" applyNumberFormat="1" applyFont="1" applyFill="1" applyBorder="1" applyAlignment="1">
      <alignment horizontal="center" vertical="center"/>
    </xf>
    <xf numFmtId="187" fontId="57" fillId="7" borderId="351" xfId="0" applyNumberFormat="1" applyFont="1" applyFill="1" applyBorder="1" applyAlignment="1">
      <alignment horizontal="center" vertical="center"/>
    </xf>
    <xf numFmtId="226" fontId="28" fillId="7" borderId="449" xfId="2" applyNumberFormat="1" applyFont="1" applyFill="1" applyBorder="1" applyAlignment="1">
      <alignment horizontal="center" vertical="center"/>
    </xf>
    <xf numFmtId="226" fontId="28" fillId="0" borderId="449" xfId="2" applyNumberFormat="1" applyFont="1" applyFill="1" applyBorder="1" applyAlignment="1">
      <alignment horizontal="center" vertical="center"/>
    </xf>
    <xf numFmtId="187" fontId="57" fillId="7" borderId="351" xfId="2" applyNumberFormat="1" applyFont="1" applyFill="1" applyBorder="1" applyAlignment="1">
      <alignment horizontal="center" vertical="center"/>
    </xf>
    <xf numFmtId="187" fontId="171" fillId="7" borderId="270" xfId="0" applyNumberFormat="1" applyFont="1" applyFill="1" applyBorder="1" applyAlignment="1">
      <alignment horizontal="center" vertical="center"/>
    </xf>
    <xf numFmtId="0" fontId="176" fillId="125" borderId="501" xfId="0" applyFont="1" applyFill="1" applyBorder="1" applyAlignment="1">
      <alignment horizontal="center" vertical="center"/>
    </xf>
    <xf numFmtId="187" fontId="57" fillId="0" borderId="495" xfId="2" applyNumberFormat="1" applyFont="1" applyBorder="1" applyAlignment="1">
      <alignment horizontal="center" vertical="center"/>
    </xf>
    <xf numFmtId="183" fontId="57" fillId="0" borderId="449" xfId="0" applyNumberFormat="1" applyFont="1" applyFill="1" applyBorder="1" applyAlignment="1">
      <alignment horizontal="center" vertical="center"/>
    </xf>
    <xf numFmtId="187" fontId="57" fillId="0" borderId="26" xfId="2" applyNumberFormat="1" applyFont="1" applyBorder="1" applyAlignment="1">
      <alignment horizontal="center" vertical="center"/>
    </xf>
    <xf numFmtId="176" fontId="57" fillId="0" borderId="495" xfId="0" applyNumberFormat="1" applyFont="1" applyBorder="1" applyAlignment="1">
      <alignment horizontal="center" vertical="center"/>
    </xf>
    <xf numFmtId="176" fontId="57" fillId="0" borderId="495" xfId="0" applyNumberFormat="1" applyFont="1" applyFill="1" applyBorder="1" applyAlignment="1">
      <alignment horizontal="center" vertical="center"/>
    </xf>
    <xf numFmtId="187" fontId="57" fillId="0" borderId="334" xfId="2" applyNumberFormat="1" applyFont="1" applyFill="1" applyBorder="1" applyAlignment="1">
      <alignment horizontal="center" vertical="center"/>
    </xf>
    <xf numFmtId="178" fontId="57" fillId="0" borderId="465" xfId="2" applyNumberFormat="1" applyFont="1" applyFill="1" applyBorder="1" applyAlignment="1">
      <alignment horizontal="center" vertical="center"/>
    </xf>
    <xf numFmtId="183" fontId="57" fillId="0" borderId="517" xfId="2" applyNumberFormat="1" applyFont="1" applyFill="1" applyBorder="1" applyAlignment="1">
      <alignment horizontal="center" vertical="center"/>
    </xf>
    <xf numFmtId="226" fontId="57" fillId="0" borderId="517" xfId="2" applyNumberFormat="1" applyFont="1" applyFill="1" applyBorder="1" applyAlignment="1">
      <alignment horizontal="center" vertical="center"/>
    </xf>
    <xf numFmtId="187" fontId="57" fillId="0" borderId="137" xfId="2" applyNumberFormat="1" applyFont="1" applyFill="1" applyBorder="1" applyAlignment="1">
      <alignment horizontal="center" vertical="center"/>
    </xf>
    <xf numFmtId="178" fontId="57" fillId="0" borderId="329" xfId="2" applyNumberFormat="1" applyFont="1" applyFill="1" applyBorder="1" applyAlignment="1">
      <alignment horizontal="center" vertical="center"/>
    </xf>
    <xf numFmtId="183" fontId="57" fillId="0" borderId="437" xfId="2" applyNumberFormat="1" applyFont="1" applyFill="1" applyBorder="1" applyAlignment="1">
      <alignment horizontal="center" vertical="center"/>
    </xf>
    <xf numFmtId="178" fontId="57" fillId="0" borderId="437" xfId="2" applyNumberFormat="1" applyFont="1" applyFill="1" applyBorder="1" applyAlignment="1">
      <alignment horizontal="center" vertical="center"/>
    </xf>
    <xf numFmtId="1" fontId="57" fillId="0" borderId="580" xfId="0" applyNumberFormat="1" applyFont="1" applyFill="1" applyBorder="1" applyAlignment="1">
      <alignment horizontal="center" vertical="center"/>
    </xf>
    <xf numFmtId="187" fontId="45" fillId="15" borderId="123" xfId="0" applyNumberFormat="1" applyFont="1" applyFill="1" applyBorder="1" applyAlignment="1">
      <alignment horizontal="center" vertical="center"/>
    </xf>
    <xf numFmtId="187" fontId="45" fillId="15" borderId="580" xfId="0" applyNumberFormat="1" applyFont="1" applyFill="1" applyBorder="1" applyAlignment="1">
      <alignment horizontal="center" vertical="center"/>
    </xf>
    <xf numFmtId="178" fontId="57" fillId="0" borderId="202" xfId="2" applyNumberFormat="1" applyFont="1" applyFill="1" applyBorder="1" applyAlignment="1">
      <alignment horizontal="center" vertical="center"/>
    </xf>
    <xf numFmtId="0" fontId="165" fillId="0" borderId="579" xfId="0" applyFont="1" applyBorder="1" applyAlignment="1">
      <alignment horizontal="center" vertical="center" wrapText="1"/>
    </xf>
    <xf numFmtId="0" fontId="34" fillId="15" borderId="472" xfId="0" applyFont="1" applyFill="1" applyBorder="1" applyAlignment="1">
      <alignment horizontal="center" vertical="center" wrapText="1"/>
    </xf>
    <xf numFmtId="226" fontId="27" fillId="5" borderId="216" xfId="0" applyNumberFormat="1" applyFont="1" applyFill="1" applyBorder="1" applyAlignment="1">
      <alignment horizontal="center" vertical="center"/>
    </xf>
    <xf numFmtId="0" fontId="30" fillId="6" borderId="216" xfId="0" applyNumberFormat="1" applyFont="1" applyFill="1" applyBorder="1" applyAlignment="1">
      <alignment horizontal="center" vertical="center"/>
    </xf>
    <xf numFmtId="0" fontId="27" fillId="7" borderId="0" xfId="0" applyFont="1" applyFill="1" applyBorder="1" applyAlignment="1">
      <alignment horizontal="left" vertical="center"/>
    </xf>
    <xf numFmtId="0" fontId="176" fillId="125" borderId="469" xfId="0" applyFont="1" applyFill="1" applyBorder="1" applyAlignment="1">
      <alignment horizontal="center" vertical="center"/>
    </xf>
    <xf numFmtId="0" fontId="176" fillId="125" borderId="437" xfId="0" applyFont="1" applyFill="1" applyBorder="1" applyAlignment="1">
      <alignment horizontal="center" vertical="center"/>
    </xf>
    <xf numFmtId="0" fontId="176" fillId="125" borderId="454" xfId="0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226" fontId="57" fillId="0" borderId="579" xfId="2" applyNumberFormat="1" applyFont="1" applyBorder="1" applyAlignment="1">
      <alignment horizontal="center" vertical="center"/>
    </xf>
    <xf numFmtId="226" fontId="57" fillId="0" borderId="580" xfId="2" applyNumberFormat="1" applyFont="1" applyBorder="1" applyAlignment="1">
      <alignment horizontal="center" vertical="center"/>
    </xf>
    <xf numFmtId="226" fontId="57" fillId="3" borderId="515" xfId="2" applyNumberFormat="1" applyFont="1" applyFill="1" applyBorder="1" applyAlignment="1">
      <alignment horizontal="center" vertical="center"/>
    </xf>
    <xf numFmtId="226" fontId="57" fillId="3" borderId="518" xfId="2" applyNumberFormat="1" applyFont="1" applyFill="1" applyBorder="1" applyAlignment="1">
      <alignment horizontal="center" vertical="center"/>
    </xf>
    <xf numFmtId="226" fontId="28" fillId="7" borderId="579" xfId="2" applyNumberFormat="1" applyFont="1" applyFill="1" applyBorder="1" applyAlignment="1">
      <alignment horizontal="center" vertical="center"/>
    </xf>
    <xf numFmtId="187" fontId="57" fillId="0" borderId="580" xfId="2" applyNumberFormat="1" applyFont="1" applyBorder="1" applyAlignment="1">
      <alignment horizontal="center" vertical="center"/>
    </xf>
    <xf numFmtId="226" fontId="28" fillId="0" borderId="579" xfId="2" applyNumberFormat="1" applyFont="1" applyFill="1" applyBorder="1" applyAlignment="1">
      <alignment horizontal="center" vertical="center"/>
    </xf>
    <xf numFmtId="2" fontId="57" fillId="0" borderId="518" xfId="0" applyNumberFormat="1" applyFont="1" applyFill="1" applyBorder="1" applyAlignment="1">
      <alignment horizontal="center" vertical="center"/>
    </xf>
    <xf numFmtId="178" fontId="28" fillId="0" borderId="202" xfId="2" applyNumberFormat="1" applyFont="1" applyFill="1" applyBorder="1" applyAlignment="1">
      <alignment horizontal="center" vertical="center"/>
    </xf>
    <xf numFmtId="38" fontId="28" fillId="117" borderId="499" xfId="0" applyNumberFormat="1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0" fontId="176" fillId="125" borderId="466" xfId="0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187" fontId="230" fillId="0" borderId="570" xfId="0" applyNumberFormat="1" applyFont="1" applyBorder="1">
      <alignment vertical="center"/>
    </xf>
    <xf numFmtId="42" fontId="231" fillId="116" borderId="570" xfId="3" quotePrefix="1" applyFont="1" applyFill="1" applyBorder="1" applyAlignment="1">
      <alignment horizontal="center" vertical="center"/>
    </xf>
    <xf numFmtId="41" fontId="230" fillId="116" borderId="570" xfId="2" applyFont="1" applyFill="1" applyBorder="1" applyAlignment="1">
      <alignment horizontal="center" vertical="center"/>
    </xf>
    <xf numFmtId="226" fontId="57" fillId="0" borderId="518" xfId="2" applyNumberFormat="1" applyFont="1" applyFill="1" applyBorder="1" applyAlignment="1">
      <alignment horizontal="center" vertical="center"/>
    </xf>
    <xf numFmtId="3" fontId="176" fillId="125" borderId="47" xfId="2" applyNumberFormat="1" applyFont="1" applyFill="1" applyBorder="1" applyAlignment="1">
      <alignment horizontal="center" vertical="center" wrapText="1"/>
    </xf>
    <xf numFmtId="0" fontId="221" fillId="125" borderId="228" xfId="0" applyFont="1" applyFill="1" applyBorder="1" applyAlignment="1">
      <alignment horizontal="center" vertical="center" wrapText="1"/>
    </xf>
    <xf numFmtId="187" fontId="176" fillId="125" borderId="47" xfId="2" applyNumberFormat="1" applyFont="1" applyFill="1" applyBorder="1" applyAlignment="1">
      <alignment horizontal="center" vertical="center"/>
    </xf>
    <xf numFmtId="187" fontId="28" fillId="0" borderId="40" xfId="2" applyNumberFormat="1" applyFont="1" applyFill="1" applyBorder="1" applyAlignment="1">
      <alignment horizontal="center" vertical="center"/>
    </xf>
    <xf numFmtId="187" fontId="28" fillId="0" borderId="497" xfId="2" applyNumberFormat="1" applyFont="1" applyFill="1" applyBorder="1" applyAlignment="1">
      <alignment horizontal="center" vertical="center"/>
    </xf>
    <xf numFmtId="187" fontId="28" fillId="0" borderId="580" xfId="2" applyNumberFormat="1" applyFont="1" applyFill="1" applyBorder="1" applyAlignment="1">
      <alignment horizontal="center" vertical="center"/>
    </xf>
    <xf numFmtId="187" fontId="28" fillId="0" borderId="47" xfId="2" applyNumberFormat="1" applyFont="1" applyFill="1" applyBorder="1" applyAlignment="1">
      <alignment horizontal="center" vertical="center"/>
    </xf>
    <xf numFmtId="3" fontId="39" fillId="7" borderId="0" xfId="3799" applyNumberFormat="1" applyFont="1" applyFill="1" applyBorder="1" applyAlignment="1">
      <alignment horizontal="center" vertical="center" wrapText="1"/>
    </xf>
    <xf numFmtId="0" fontId="36" fillId="7" borderId="570" xfId="0" applyFont="1" applyFill="1" applyBorder="1" applyAlignment="1">
      <alignment horizontal="center" vertical="center"/>
    </xf>
    <xf numFmtId="0" fontId="27" fillId="7" borderId="570" xfId="0" applyFont="1" applyFill="1" applyBorder="1" applyAlignment="1">
      <alignment horizontal="center" vertical="center"/>
    </xf>
    <xf numFmtId="187" fontId="230" fillId="3" borderId="570" xfId="0" applyNumberFormat="1" applyFont="1" applyFill="1" applyBorder="1" applyAlignment="1">
      <alignment horizontal="center" vertical="center"/>
    </xf>
    <xf numFmtId="177" fontId="36" fillId="3" borderId="499" xfId="0" applyNumberFormat="1" applyFont="1" applyFill="1" applyBorder="1" applyAlignment="1">
      <alignment horizontal="center" vertical="center"/>
    </xf>
    <xf numFmtId="0" fontId="34" fillId="6" borderId="515" xfId="0" applyFont="1" applyFill="1" applyBorder="1" applyAlignment="1">
      <alignment horizontal="center" vertical="center"/>
    </xf>
    <xf numFmtId="185" fontId="28" fillId="0" borderId="579" xfId="0" applyNumberFormat="1" applyFont="1" applyBorder="1" applyAlignment="1">
      <alignment horizontal="center" vertical="center" wrapText="1"/>
    </xf>
    <xf numFmtId="185" fontId="176" fillId="125" borderId="515" xfId="0" applyNumberFormat="1" applyFont="1" applyFill="1" applyBorder="1" applyAlignment="1">
      <alignment horizontal="center" vertical="center"/>
    </xf>
    <xf numFmtId="0" fontId="28" fillId="0" borderId="570" xfId="0" applyFont="1" applyBorder="1" applyAlignment="1">
      <alignment horizontal="center" vertical="center"/>
    </xf>
    <xf numFmtId="183" fontId="176" fillId="125" borderId="570" xfId="0" applyNumberFormat="1" applyFont="1" applyFill="1" applyBorder="1" applyAlignment="1">
      <alignment horizontal="center" vertical="center"/>
    </xf>
    <xf numFmtId="0" fontId="165" fillId="0" borderId="6" xfId="0" applyFont="1" applyBorder="1" applyAlignment="1">
      <alignment horizontal="center" vertical="center" wrapText="1"/>
    </xf>
    <xf numFmtId="0" fontId="165" fillId="0" borderId="40" xfId="0" applyFont="1" applyBorder="1" applyAlignment="1">
      <alignment horizontal="center" vertical="center" wrapText="1"/>
    </xf>
    <xf numFmtId="0" fontId="165" fillId="0" borderId="221" xfId="0" applyFont="1" applyBorder="1" applyAlignment="1">
      <alignment horizontal="center" vertical="center" wrapText="1"/>
    </xf>
    <xf numFmtId="0" fontId="165" fillId="0" borderId="466" xfId="0" applyFont="1" applyBorder="1" applyAlignment="1">
      <alignment horizontal="center" vertical="center" wrapText="1"/>
    </xf>
    <xf numFmtId="0" fontId="165" fillId="0" borderId="469" xfId="0" applyFont="1" applyBorder="1" applyAlignment="1">
      <alignment horizontal="center" vertical="center" wrapText="1"/>
    </xf>
    <xf numFmtId="0" fontId="233" fillId="0" borderId="570" xfId="0" applyFont="1" applyBorder="1" applyAlignment="1">
      <alignment horizontal="center" vertical="center"/>
    </xf>
    <xf numFmtId="177" fontId="233" fillId="134" borderId="570" xfId="0" applyNumberFormat="1" applyFont="1" applyFill="1" applyBorder="1" applyAlignment="1">
      <alignment horizontal="center" vertical="center"/>
    </xf>
    <xf numFmtId="0" fontId="197" fillId="0" borderId="570" xfId="0" applyFont="1" applyBorder="1" applyAlignment="1"/>
    <xf numFmtId="0" fontId="234" fillId="0" borderId="570" xfId="0" applyFont="1" applyBorder="1" applyAlignment="1">
      <alignment horizontal="left" vertical="center"/>
    </xf>
    <xf numFmtId="177" fontId="234" fillId="133" borderId="570" xfId="0" applyNumberFormat="1" applyFont="1" applyFill="1" applyBorder="1" applyAlignment="1">
      <alignment horizontal="center" vertical="center"/>
    </xf>
    <xf numFmtId="177" fontId="235" fillId="3" borderId="570" xfId="0" applyNumberFormat="1" applyFont="1" applyFill="1" applyBorder="1" applyAlignment="1">
      <alignment horizontal="center" vertical="center"/>
    </xf>
    <xf numFmtId="177" fontId="236" fillId="0" borderId="570" xfId="0" applyNumberFormat="1" applyFont="1" applyBorder="1" applyAlignment="1">
      <alignment horizontal="center" vertical="center"/>
    </xf>
    <xf numFmtId="177" fontId="236" fillId="0" borderId="570" xfId="0" applyNumberFormat="1" applyFont="1" applyBorder="1" applyAlignment="1">
      <alignment horizontal="center"/>
    </xf>
    <xf numFmtId="0" fontId="233" fillId="0" borderId="570" xfId="0" applyFont="1" applyFill="1" applyBorder="1" applyAlignment="1">
      <alignment horizontal="center" vertical="center"/>
    </xf>
    <xf numFmtId="177" fontId="197" fillId="0" borderId="570" xfId="0" applyNumberFormat="1" applyFont="1" applyBorder="1" applyAlignment="1">
      <alignment horizontal="center"/>
    </xf>
    <xf numFmtId="0" fontId="234" fillId="0" borderId="570" xfId="0" applyFont="1" applyFill="1" applyBorder="1" applyAlignment="1">
      <alignment horizontal="left" vertical="center"/>
    </xf>
    <xf numFmtId="0" fontId="197" fillId="0" borderId="0" xfId="0" applyFont="1" applyAlignment="1">
      <alignment horizontal="center" vertical="center"/>
    </xf>
    <xf numFmtId="0" fontId="221" fillId="125" borderId="581" xfId="0" applyFont="1" applyFill="1" applyBorder="1" applyAlignment="1">
      <alignment horizontal="center" vertical="center"/>
    </xf>
    <xf numFmtId="231" fontId="34" fillId="15" borderId="521" xfId="2" applyNumberFormat="1" applyFont="1" applyFill="1" applyBorder="1" applyAlignment="1">
      <alignment horizontal="center" vertical="center"/>
    </xf>
    <xf numFmtId="3" fontId="171" fillId="15" borderId="64" xfId="2" applyNumberFormat="1" applyFont="1" applyFill="1" applyBorder="1" applyAlignment="1">
      <alignment horizontal="center" vertical="center"/>
    </xf>
    <xf numFmtId="3" fontId="176" fillId="125" borderId="330" xfId="2" applyNumberFormat="1" applyFont="1" applyFill="1" applyBorder="1" applyAlignment="1">
      <alignment horizontal="center" vertical="center" wrapText="1"/>
    </xf>
    <xf numFmtId="0" fontId="221" fillId="125" borderId="287" xfId="0" applyFont="1" applyFill="1" applyBorder="1" applyAlignment="1">
      <alignment horizontal="center" vertical="center" wrapText="1"/>
    </xf>
    <xf numFmtId="187" fontId="176" fillId="125" borderId="517" xfId="2" applyNumberFormat="1" applyFont="1" applyFill="1" applyBorder="1" applyAlignment="1">
      <alignment horizontal="center" vertical="center"/>
    </xf>
    <xf numFmtId="179" fontId="0" fillId="15" borderId="437" xfId="0" applyNumberFormat="1" applyFill="1" applyBorder="1" applyAlignment="1">
      <alignment horizontal="center" vertical="center"/>
    </xf>
    <xf numFmtId="0" fontId="227" fillId="127" borderId="465" xfId="0" applyFont="1" applyFill="1" applyBorder="1" applyAlignment="1">
      <alignment horizontal="center" vertical="center"/>
    </xf>
    <xf numFmtId="0" fontId="227" fillId="127" borderId="517" xfId="0" applyFont="1" applyFill="1" applyBorder="1" applyAlignment="1">
      <alignment horizontal="center" vertical="center"/>
    </xf>
    <xf numFmtId="3" fontId="198" fillId="117" borderId="515" xfId="0" applyNumberFormat="1" applyFont="1" applyFill="1" applyBorder="1" applyAlignment="1">
      <alignment horizontal="center" vertical="center"/>
    </xf>
    <xf numFmtId="3" fontId="198" fillId="117" borderId="516" xfId="0" applyNumberFormat="1" applyFont="1" applyFill="1" applyBorder="1" applyAlignment="1">
      <alignment horizontal="center" vertical="center"/>
    </xf>
    <xf numFmtId="3" fontId="198" fillId="117" borderId="517" xfId="0" applyNumberFormat="1" applyFont="1" applyFill="1" applyBorder="1" applyAlignment="1">
      <alignment horizontal="center" vertical="center"/>
    </xf>
    <xf numFmtId="230" fontId="57" fillId="0" borderId="123" xfId="0" applyNumberFormat="1" applyFont="1" applyFill="1" applyBorder="1" applyAlignment="1">
      <alignment horizontal="center" vertical="center"/>
    </xf>
    <xf numFmtId="185" fontId="28" fillId="0" borderId="97" xfId="0" applyNumberFormat="1" applyFont="1" applyFill="1" applyBorder="1" applyAlignment="1">
      <alignment horizontal="center" vertical="center"/>
    </xf>
    <xf numFmtId="3" fontId="28" fillId="0" borderId="225" xfId="0" applyNumberFormat="1" applyFont="1" applyFill="1" applyBorder="1" applyAlignment="1">
      <alignment horizontal="center" vertical="center"/>
    </xf>
    <xf numFmtId="3" fontId="28" fillId="0" borderId="221" xfId="0" applyNumberFormat="1" applyFont="1" applyFill="1" applyBorder="1" applyAlignment="1">
      <alignment horizontal="center" vertical="center"/>
    </xf>
    <xf numFmtId="187" fontId="57" fillId="7" borderId="579" xfId="2" applyNumberFormat="1" applyFont="1" applyFill="1" applyBorder="1" applyAlignment="1">
      <alignment horizontal="center" vertical="center"/>
    </xf>
    <xf numFmtId="183" fontId="57" fillId="7" borderId="579" xfId="2" applyNumberFormat="1" applyFont="1" applyFill="1" applyBorder="1" applyAlignment="1">
      <alignment horizontal="center" vertical="center"/>
    </xf>
    <xf numFmtId="178" fontId="28" fillId="0" borderId="515" xfId="2" applyNumberFormat="1" applyFont="1" applyFill="1" applyBorder="1" applyAlignment="1">
      <alignment horizontal="center" vertical="center"/>
    </xf>
    <xf numFmtId="228" fontId="57" fillId="7" borderId="518" xfId="2" applyNumberFormat="1" applyFont="1" applyFill="1" applyBorder="1" applyAlignment="1">
      <alignment horizontal="center" vertical="center"/>
    </xf>
    <xf numFmtId="183" fontId="57" fillId="0" borderId="518" xfId="0" applyNumberFormat="1" applyFont="1" applyBorder="1" applyAlignment="1">
      <alignment horizontal="center" vertical="center"/>
    </xf>
    <xf numFmtId="0" fontId="176" fillId="125" borderId="47" xfId="0" quotePrefix="1" applyFont="1" applyFill="1" applyBorder="1" applyAlignment="1">
      <alignment horizontal="center" vertical="center"/>
    </xf>
    <xf numFmtId="0" fontId="176" fillId="125" borderId="49" xfId="0" quotePrefix="1" applyFont="1" applyFill="1" applyBorder="1" applyAlignment="1">
      <alignment horizontal="center" vertical="center"/>
    </xf>
    <xf numFmtId="0" fontId="174" fillId="16" borderId="0" xfId="0" applyFont="1" applyFill="1" applyBorder="1" applyAlignment="1">
      <alignment horizontal="center" vertical="center" wrapText="1"/>
    </xf>
    <xf numFmtId="230" fontId="0" fillId="0" borderId="0" xfId="0" applyNumberFormat="1" applyBorder="1" applyAlignment="1">
      <alignment horizontal="center" vertical="center"/>
    </xf>
    <xf numFmtId="3" fontId="28" fillId="7" borderId="48" xfId="2" applyNumberFormat="1" applyFont="1" applyFill="1" applyBorder="1" applyAlignment="1">
      <alignment horizontal="center" vertical="center"/>
    </xf>
    <xf numFmtId="187" fontId="237" fillId="3" borderId="570" xfId="0" applyNumberFormat="1" applyFont="1" applyFill="1" applyBorder="1" applyAlignment="1">
      <alignment horizontal="center" vertical="center"/>
    </xf>
    <xf numFmtId="0" fontId="36" fillId="15" borderId="499" xfId="0" applyFont="1" applyFill="1" applyBorder="1" applyAlignment="1">
      <alignment horizontal="center" vertical="center"/>
    </xf>
    <xf numFmtId="0" fontId="27" fillId="15" borderId="499" xfId="0" applyFont="1" applyFill="1" applyBorder="1" applyAlignment="1">
      <alignment horizontal="center" vertical="center"/>
    </xf>
    <xf numFmtId="0" fontId="36" fillId="15" borderId="570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/>
    </xf>
    <xf numFmtId="9" fontId="28" fillId="0" borderId="202" xfId="1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0" fontId="227" fillId="127" borderId="516" xfId="0" applyFont="1" applyFill="1" applyBorder="1" applyAlignment="1">
      <alignment horizontal="center" vertical="center"/>
    </xf>
    <xf numFmtId="3" fontId="176" fillId="125" borderId="228" xfId="2" applyNumberFormat="1" applyFont="1" applyFill="1" applyBorder="1" applyAlignment="1">
      <alignment horizontal="center" vertical="center" wrapText="1"/>
    </xf>
    <xf numFmtId="0" fontId="176" fillId="127" borderId="49" xfId="0" applyFont="1" applyFill="1" applyBorder="1" applyAlignment="1">
      <alignment horizontal="center" vertical="center"/>
    </xf>
    <xf numFmtId="183" fontId="57" fillId="7" borderId="570" xfId="2" applyNumberFormat="1" applyFont="1" applyFill="1" applyBorder="1" applyAlignment="1">
      <alignment horizontal="center" vertical="center"/>
    </xf>
    <xf numFmtId="183" fontId="57" fillId="7" borderId="5" xfId="2" applyNumberFormat="1" applyFont="1" applyFill="1" applyBorder="1" applyAlignment="1">
      <alignment horizontal="center" vertical="center"/>
    </xf>
    <xf numFmtId="178" fontId="57" fillId="7" borderId="97" xfId="0" applyNumberFormat="1" applyFont="1" applyFill="1" applyBorder="1" applyAlignment="1">
      <alignment horizontal="center" vertical="center"/>
    </xf>
    <xf numFmtId="183" fontId="57" fillId="7" borderId="329" xfId="2" applyNumberFormat="1" applyFont="1" applyFill="1" applyBorder="1" applyAlignment="1">
      <alignment horizontal="center" vertical="center"/>
    </xf>
    <xf numFmtId="183" fontId="57" fillId="7" borderId="583" xfId="2" applyNumberFormat="1" applyFont="1" applyFill="1" applyBorder="1" applyAlignment="1">
      <alignment horizontal="center" vertical="center"/>
    </xf>
    <xf numFmtId="183" fontId="57" fillId="7" borderId="307" xfId="2" applyNumberFormat="1" applyFont="1" applyFill="1" applyBorder="1" applyAlignment="1">
      <alignment horizontal="center" vertical="center"/>
    </xf>
    <xf numFmtId="183" fontId="57" fillId="7" borderId="584" xfId="2" applyNumberFormat="1" applyFont="1" applyFill="1" applyBorder="1" applyAlignment="1">
      <alignment horizontal="center" vertical="center"/>
    </xf>
    <xf numFmtId="183" fontId="57" fillId="7" borderId="295" xfId="2" applyNumberFormat="1" applyFont="1" applyFill="1" applyBorder="1" applyAlignment="1">
      <alignment horizontal="center" vertical="center"/>
    </xf>
    <xf numFmtId="2" fontId="28" fillId="0" borderId="570" xfId="0" applyNumberFormat="1" applyFont="1" applyBorder="1" applyAlignment="1">
      <alignment horizontal="center" vertical="center"/>
    </xf>
    <xf numFmtId="187" fontId="57" fillId="0" borderId="516" xfId="2" applyNumberFormat="1" applyFont="1" applyBorder="1" applyAlignment="1">
      <alignment horizontal="center" vertical="center"/>
    </xf>
    <xf numFmtId="2" fontId="57" fillId="0" borderId="516" xfId="0" applyNumberFormat="1" applyFont="1" applyFill="1" applyBorder="1" applyAlignment="1">
      <alignment horizontal="center" vertical="center"/>
    </xf>
    <xf numFmtId="183" fontId="57" fillId="7" borderId="334" xfId="2" applyNumberFormat="1" applyFont="1" applyFill="1" applyBorder="1" applyAlignment="1">
      <alignment horizontal="center" vertical="center"/>
    </xf>
    <xf numFmtId="177" fontId="28" fillId="7" borderId="580" xfId="0" applyNumberFormat="1" applyFont="1" applyFill="1" applyBorder="1" applyAlignment="1">
      <alignment horizontal="center" vertical="center"/>
    </xf>
    <xf numFmtId="177" fontId="28" fillId="7" borderId="518" xfId="0" applyNumberFormat="1" applyFont="1" applyFill="1" applyBorder="1" applyAlignment="1">
      <alignment horizontal="center" vertical="center"/>
    </xf>
    <xf numFmtId="0" fontId="0" fillId="11" borderId="581" xfId="0" applyFill="1" applyBorder="1" applyAlignment="1" applyProtection="1">
      <protection locked="0"/>
    </xf>
    <xf numFmtId="0" fontId="0" fillId="12" borderId="581" xfId="0" applyFill="1" applyBorder="1" applyAlignment="1" applyProtection="1">
      <protection locked="0"/>
    </xf>
    <xf numFmtId="0" fontId="28" fillId="7" borderId="521" xfId="0" applyFont="1" applyFill="1" applyBorder="1" applyAlignment="1">
      <alignment horizontal="center" vertical="center"/>
    </xf>
    <xf numFmtId="187" fontId="0" fillId="11" borderId="497" xfId="0" applyNumberFormat="1" applyFill="1" applyBorder="1" applyAlignment="1" applyProtection="1">
      <alignment horizontal="center" vertical="center"/>
      <protection locked="0"/>
    </xf>
    <xf numFmtId="187" fontId="0" fillId="12" borderId="497" xfId="0" applyNumberFormat="1" applyFill="1" applyBorder="1" applyAlignment="1" applyProtection="1">
      <alignment horizontal="center" vertical="center"/>
      <protection locked="0"/>
    </xf>
    <xf numFmtId="177" fontId="28" fillId="7" borderId="517" xfId="0" applyNumberFormat="1" applyFont="1" applyFill="1" applyBorder="1" applyAlignment="1">
      <alignment horizontal="center" vertical="center"/>
    </xf>
    <xf numFmtId="187" fontId="28" fillId="7" borderId="497" xfId="0" applyNumberFormat="1" applyFont="1" applyFill="1" applyBorder="1" applyAlignment="1">
      <alignment horizontal="center" vertical="center"/>
    </xf>
    <xf numFmtId="187" fontId="28" fillId="3" borderId="497" xfId="0" applyNumberFormat="1" applyFont="1" applyFill="1" applyBorder="1" applyAlignment="1">
      <alignment horizontal="center" vertical="center"/>
    </xf>
    <xf numFmtId="177" fontId="28" fillId="3" borderId="517" xfId="0" applyNumberFormat="1" applyFont="1" applyFill="1" applyBorder="1" applyAlignment="1">
      <alignment horizontal="center" vertical="center"/>
    </xf>
    <xf numFmtId="187" fontId="0" fillId="11" borderId="472" xfId="0" applyNumberFormat="1" applyFill="1" applyBorder="1" applyAlignment="1" applyProtection="1">
      <alignment horizontal="center" vertical="center"/>
      <protection locked="0"/>
    </xf>
    <xf numFmtId="187" fontId="0" fillId="12" borderId="472" xfId="0" applyNumberFormat="1" applyFill="1" applyBorder="1" applyAlignment="1" applyProtection="1">
      <alignment horizontal="center" vertical="center"/>
      <protection locked="0"/>
    </xf>
    <xf numFmtId="177" fontId="28" fillId="7" borderId="519" xfId="0" applyNumberFormat="1" applyFont="1" applyFill="1" applyBorder="1" applyAlignment="1">
      <alignment horizontal="center" vertical="center"/>
    </xf>
    <xf numFmtId="187" fontId="28" fillId="7" borderId="472" xfId="0" applyNumberFormat="1" applyFont="1" applyFill="1" applyBorder="1" applyAlignment="1">
      <alignment horizontal="center" vertical="center"/>
    </xf>
    <xf numFmtId="187" fontId="28" fillId="3" borderId="472" xfId="0" applyNumberFormat="1" applyFont="1" applyFill="1" applyBorder="1" applyAlignment="1">
      <alignment horizontal="center" vertical="center"/>
    </xf>
    <xf numFmtId="177" fontId="28" fillId="3" borderId="519" xfId="0" applyNumberFormat="1" applyFont="1" applyFill="1" applyBorder="1" applyAlignment="1">
      <alignment horizontal="center" vertical="center"/>
    </xf>
    <xf numFmtId="187" fontId="0" fillId="11" borderId="579" xfId="0" applyNumberFormat="1" applyFill="1" applyBorder="1" applyAlignment="1" applyProtection="1">
      <alignment horizontal="center" vertical="center"/>
      <protection locked="0"/>
    </xf>
    <xf numFmtId="187" fontId="0" fillId="11" borderId="580" xfId="0" applyNumberFormat="1" applyFill="1" applyBorder="1" applyAlignment="1" applyProtection="1">
      <alignment horizontal="center" vertical="center"/>
      <protection locked="0"/>
    </xf>
    <xf numFmtId="187" fontId="0" fillId="12" borderId="579" xfId="0" applyNumberFormat="1" applyFill="1" applyBorder="1" applyAlignment="1" applyProtection="1">
      <alignment horizontal="center" vertical="center"/>
      <protection locked="0"/>
    </xf>
    <xf numFmtId="187" fontId="0" fillId="12" borderId="580" xfId="0" applyNumberFormat="1" applyFill="1" applyBorder="1" applyAlignment="1" applyProtection="1">
      <alignment horizontal="center" vertical="center"/>
      <protection locked="0"/>
    </xf>
    <xf numFmtId="177" fontId="28" fillId="7" borderId="515" xfId="0" applyNumberFormat="1" applyFont="1" applyFill="1" applyBorder="1" applyAlignment="1">
      <alignment horizontal="center" vertical="center"/>
    </xf>
    <xf numFmtId="187" fontId="28" fillId="7" borderId="579" xfId="0" applyNumberFormat="1" applyFont="1" applyFill="1" applyBorder="1" applyAlignment="1">
      <alignment horizontal="center" vertical="center"/>
    </xf>
    <xf numFmtId="187" fontId="28" fillId="7" borderId="580" xfId="0" applyNumberFormat="1" applyFont="1" applyFill="1" applyBorder="1" applyAlignment="1">
      <alignment horizontal="center" vertical="center"/>
    </xf>
    <xf numFmtId="177" fontId="28" fillId="7" borderId="579" xfId="0" applyNumberFormat="1" applyFont="1" applyFill="1" applyBorder="1" applyAlignment="1">
      <alignment horizontal="center" vertical="center"/>
    </xf>
    <xf numFmtId="0" fontId="0" fillId="11" borderId="406" xfId="0" applyFill="1" applyBorder="1" applyAlignment="1" applyProtection="1">
      <protection locked="0"/>
    </xf>
    <xf numFmtId="187" fontId="0" fillId="11" borderId="221" xfId="0" applyNumberFormat="1" applyFill="1" applyBorder="1" applyAlignment="1" applyProtection="1">
      <alignment horizontal="center" vertical="center"/>
      <protection locked="0"/>
    </xf>
    <xf numFmtId="187" fontId="0" fillId="11" borderId="202" xfId="0" applyNumberFormat="1" applyFill="1" applyBorder="1" applyAlignment="1" applyProtection="1">
      <alignment horizontal="center" vertical="center"/>
      <protection locked="0"/>
    </xf>
    <xf numFmtId="187" fontId="0" fillId="11" borderId="23" xfId="0" applyNumberFormat="1" applyFill="1" applyBorder="1" applyAlignment="1" applyProtection="1">
      <alignment horizontal="center" vertical="center"/>
      <protection locked="0"/>
    </xf>
    <xf numFmtId="187" fontId="0" fillId="11" borderId="40" xfId="0" applyNumberFormat="1" applyFill="1" applyBorder="1" applyAlignment="1" applyProtection="1">
      <alignment horizontal="center" vertical="center"/>
      <protection locked="0"/>
    </xf>
    <xf numFmtId="187" fontId="28" fillId="7" borderId="23" xfId="0" applyNumberFormat="1" applyFont="1" applyFill="1" applyBorder="1" applyAlignment="1">
      <alignment horizontal="center" vertical="center"/>
    </xf>
    <xf numFmtId="187" fontId="28" fillId="7" borderId="40" xfId="0" applyNumberFormat="1" applyFont="1" applyFill="1" applyBorder="1" applyAlignment="1">
      <alignment horizontal="center" vertical="center"/>
    </xf>
    <xf numFmtId="187" fontId="28" fillId="7" borderId="221" xfId="0" applyNumberFormat="1" applyFont="1" applyFill="1" applyBorder="1" applyAlignment="1">
      <alignment horizontal="center" vertical="center"/>
    </xf>
    <xf numFmtId="187" fontId="28" fillId="7" borderId="202" xfId="0" applyNumberFormat="1" applyFont="1" applyFill="1" applyBorder="1" applyAlignment="1">
      <alignment horizontal="center" vertical="center"/>
    </xf>
    <xf numFmtId="187" fontId="28" fillId="3" borderId="23" xfId="0" applyNumberFormat="1" applyFont="1" applyFill="1" applyBorder="1" applyAlignment="1">
      <alignment horizontal="center" vertical="center"/>
    </xf>
    <xf numFmtId="187" fontId="28" fillId="3" borderId="40" xfId="0" applyNumberFormat="1" applyFont="1" applyFill="1" applyBorder="1" applyAlignment="1">
      <alignment horizontal="center" vertical="center"/>
    </xf>
    <xf numFmtId="177" fontId="28" fillId="7" borderId="221" xfId="0" applyNumberFormat="1" applyFont="1" applyFill="1" applyBorder="1" applyAlignment="1">
      <alignment horizontal="center" vertical="center"/>
    </xf>
    <xf numFmtId="177" fontId="28" fillId="7" borderId="202" xfId="0" applyNumberFormat="1" applyFont="1" applyFill="1" applyBorder="1" applyAlignment="1">
      <alignment horizontal="center" vertical="center"/>
    </xf>
    <xf numFmtId="0" fontId="28" fillId="7" borderId="287" xfId="0" applyFont="1" applyFill="1" applyBorder="1">
      <alignment vertical="center"/>
    </xf>
    <xf numFmtId="0" fontId="28" fillId="7" borderId="225" xfId="0" applyFont="1" applyFill="1" applyBorder="1">
      <alignment vertical="center"/>
    </xf>
    <xf numFmtId="0" fontId="28" fillId="7" borderId="229" xfId="0" applyFont="1" applyFill="1" applyBorder="1">
      <alignment vertical="center"/>
    </xf>
    <xf numFmtId="0" fontId="28" fillId="7" borderId="288" xfId="0" applyFont="1" applyFill="1" applyBorder="1">
      <alignment vertical="center"/>
    </xf>
    <xf numFmtId="0" fontId="28" fillId="7" borderId="228" xfId="0" applyFont="1" applyFill="1" applyBorder="1">
      <alignment vertical="center"/>
    </xf>
    <xf numFmtId="0" fontId="28" fillId="3" borderId="288" xfId="0" applyFont="1" applyFill="1" applyBorder="1" applyAlignment="1">
      <alignment horizontal="center" vertical="center"/>
    </xf>
    <xf numFmtId="0" fontId="28" fillId="3" borderId="228" xfId="0" applyFont="1" applyFill="1" applyBorder="1" applyAlignment="1">
      <alignment horizontal="center" vertical="center"/>
    </xf>
    <xf numFmtId="0" fontId="28" fillId="3" borderId="225" xfId="0" applyFont="1" applyFill="1" applyBorder="1" applyAlignment="1">
      <alignment horizontal="center" vertical="center"/>
    </xf>
    <xf numFmtId="0" fontId="28" fillId="3" borderId="229" xfId="0" applyFont="1" applyFill="1" applyBorder="1" applyAlignment="1">
      <alignment horizontal="center" vertical="center"/>
    </xf>
    <xf numFmtId="183" fontId="28" fillId="117" borderId="466" xfId="2" applyNumberFormat="1" applyFont="1" applyFill="1" applyBorder="1" applyAlignment="1">
      <alignment horizontal="center" vertical="center"/>
    </xf>
    <xf numFmtId="183" fontId="28" fillId="117" borderId="465" xfId="2" applyNumberFormat="1" applyFont="1" applyFill="1" applyBorder="1" applyAlignment="1">
      <alignment horizontal="center" vertical="center"/>
    </xf>
    <xf numFmtId="230" fontId="28" fillId="7" borderId="467" xfId="0" applyNumberFormat="1" applyFont="1" applyFill="1" applyBorder="1" applyAlignment="1">
      <alignment horizontal="center" vertical="center"/>
    </xf>
    <xf numFmtId="230" fontId="28" fillId="7" borderId="466" xfId="0" applyNumberFormat="1" applyFont="1" applyFill="1" applyBorder="1" applyAlignment="1">
      <alignment horizontal="center" vertical="center"/>
    </xf>
    <xf numFmtId="226" fontId="57" fillId="0" borderId="463" xfId="0" applyNumberFormat="1" applyFont="1" applyFill="1" applyBorder="1" applyAlignment="1">
      <alignment horizontal="center" vertical="center"/>
    </xf>
    <xf numFmtId="226" fontId="57" fillId="0" borderId="448" xfId="0" applyNumberFormat="1" applyFont="1" applyFill="1" applyBorder="1" applyAlignment="1">
      <alignment horizontal="center" vertical="center"/>
    </xf>
    <xf numFmtId="226" fontId="57" fillId="0" borderId="497" xfId="0" applyNumberFormat="1" applyFont="1" applyFill="1" applyBorder="1" applyAlignment="1">
      <alignment horizontal="center" vertical="center"/>
    </xf>
    <xf numFmtId="226" fontId="57" fillId="0" borderId="580" xfId="0" applyNumberFormat="1" applyFont="1" applyFill="1" applyBorder="1" applyAlignment="1">
      <alignment horizontal="center" vertical="center"/>
    </xf>
    <xf numFmtId="226" fontId="57" fillId="0" borderId="477" xfId="0" applyNumberFormat="1" applyFont="1" applyFill="1" applyBorder="1" applyAlignment="1">
      <alignment horizontal="center" vertical="center"/>
    </xf>
    <xf numFmtId="226" fontId="57" fillId="0" borderId="450" xfId="0" applyNumberFormat="1" applyFont="1" applyFill="1" applyBorder="1" applyAlignment="1">
      <alignment horizontal="center" vertical="center"/>
    </xf>
    <xf numFmtId="226" fontId="57" fillId="0" borderId="517" xfId="0" applyNumberFormat="1" applyFont="1" applyFill="1" applyBorder="1" applyAlignment="1">
      <alignment horizontal="center" vertical="center"/>
    </xf>
    <xf numFmtId="226" fontId="57" fillId="0" borderId="518" xfId="0" applyNumberFormat="1" applyFont="1" applyFill="1" applyBorder="1" applyAlignment="1">
      <alignment horizontal="center" vertical="center"/>
    </xf>
    <xf numFmtId="226" fontId="45" fillId="15" borderId="463" xfId="0" applyNumberFormat="1" applyFont="1" applyFill="1" applyBorder="1" applyAlignment="1">
      <alignment horizontal="center" vertical="center"/>
    </xf>
    <xf numFmtId="226" fontId="45" fillId="15" borderId="448" xfId="0" applyNumberFormat="1" applyFont="1" applyFill="1" applyBorder="1" applyAlignment="1">
      <alignment horizontal="center" vertical="center"/>
    </xf>
    <xf numFmtId="226" fontId="45" fillId="15" borderId="497" xfId="0" applyNumberFormat="1" applyFont="1" applyFill="1" applyBorder="1" applyAlignment="1">
      <alignment horizontal="center" vertical="center"/>
    </xf>
    <xf numFmtId="226" fontId="45" fillId="15" borderId="580" xfId="0" applyNumberFormat="1" applyFont="1" applyFill="1" applyBorder="1" applyAlignment="1">
      <alignment horizontal="center" vertical="center"/>
    </xf>
    <xf numFmtId="226" fontId="45" fillId="15" borderId="465" xfId="0" applyNumberFormat="1" applyFont="1" applyFill="1" applyBorder="1" applyAlignment="1">
      <alignment horizontal="center" vertical="center"/>
    </xf>
    <xf numFmtId="226" fontId="45" fillId="15" borderId="449" xfId="0" applyNumberFormat="1" applyFont="1" applyFill="1" applyBorder="1" applyAlignment="1">
      <alignment horizontal="center" vertical="center"/>
    </xf>
    <xf numFmtId="226" fontId="45" fillId="15" borderId="437" xfId="0" applyNumberFormat="1" applyFont="1" applyFill="1" applyBorder="1" applyAlignment="1">
      <alignment horizontal="center" vertical="center"/>
    </xf>
    <xf numFmtId="226" fontId="208" fillId="3" borderId="477" xfId="0" applyNumberFormat="1" applyFont="1" applyFill="1" applyBorder="1" applyAlignment="1">
      <alignment horizontal="center" vertical="center"/>
    </xf>
    <xf numFmtId="226" fontId="208" fillId="3" borderId="450" xfId="0" applyNumberFormat="1" applyFont="1" applyFill="1" applyBorder="1" applyAlignment="1">
      <alignment horizontal="center" vertical="center"/>
    </xf>
    <xf numFmtId="226" fontId="208" fillId="3" borderId="517" xfId="0" applyNumberFormat="1" applyFont="1" applyFill="1" applyBorder="1" applyAlignment="1">
      <alignment horizontal="center" vertical="center"/>
    </xf>
    <xf numFmtId="226" fontId="208" fillId="3" borderId="518" xfId="0" applyNumberFormat="1" applyFont="1" applyFill="1" applyBorder="1" applyAlignment="1">
      <alignment horizontal="center" vertical="center"/>
    </xf>
    <xf numFmtId="176" fontId="28" fillId="0" borderId="123" xfId="1" applyNumberFormat="1" applyFont="1" applyFill="1" applyBorder="1" applyAlignment="1">
      <alignment horizontal="center" vertical="center"/>
    </xf>
    <xf numFmtId="179" fontId="57" fillId="7" borderId="570" xfId="2" applyNumberFormat="1" applyFont="1" applyFill="1" applyBorder="1" applyAlignment="1">
      <alignment horizontal="center" vertical="center"/>
    </xf>
    <xf numFmtId="4" fontId="57" fillId="7" borderId="570" xfId="2" applyNumberFormat="1" applyFont="1" applyFill="1" applyBorder="1" applyAlignment="1">
      <alignment horizontal="center" vertical="center"/>
    </xf>
    <xf numFmtId="38" fontId="28" fillId="7" borderId="570" xfId="2" applyNumberFormat="1" applyFont="1" applyFill="1" applyBorder="1" applyAlignment="1">
      <alignment horizontal="center" vertical="center"/>
    </xf>
    <xf numFmtId="9" fontId="28" fillId="7" borderId="570" xfId="1" applyFont="1" applyFill="1" applyBorder="1" applyAlignment="1">
      <alignment horizontal="center" vertical="center"/>
    </xf>
    <xf numFmtId="176" fontId="28" fillId="0" borderId="580" xfId="1" applyNumberFormat="1" applyFont="1" applyFill="1" applyBorder="1" applyAlignment="1">
      <alignment horizontal="center" vertical="center"/>
    </xf>
    <xf numFmtId="179" fontId="176" fillId="125" borderId="516" xfId="2" applyNumberFormat="1" applyFont="1" applyFill="1" applyBorder="1" applyAlignment="1">
      <alignment horizontal="center" vertical="center"/>
    </xf>
    <xf numFmtId="187" fontId="176" fillId="125" borderId="519" xfId="2" applyNumberFormat="1" applyFont="1" applyFill="1" applyBorder="1" applyAlignment="1">
      <alignment horizontal="center" vertical="center"/>
    </xf>
    <xf numFmtId="10" fontId="171" fillId="7" borderId="0" xfId="1" applyNumberFormat="1" applyFont="1" applyFill="1" applyBorder="1" applyAlignment="1">
      <alignment horizontal="center" vertical="center"/>
    </xf>
    <xf numFmtId="10" fontId="28" fillId="7" borderId="0" xfId="1" applyNumberFormat="1" applyFont="1" applyFill="1">
      <alignment vertical="center"/>
    </xf>
    <xf numFmtId="0" fontId="176" fillId="127" borderId="466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176" fillId="127" borderId="263" xfId="0" applyFont="1" applyFill="1" applyBorder="1" applyAlignment="1">
      <alignment horizontal="center" vertical="center"/>
    </xf>
    <xf numFmtId="0" fontId="176" fillId="127" borderId="499" xfId="0" applyFont="1" applyFill="1" applyBorder="1" applyAlignment="1">
      <alignment horizontal="center" vertical="center"/>
    </xf>
    <xf numFmtId="0" fontId="176" fillId="125" borderId="467" xfId="0" applyFont="1" applyFill="1" applyBorder="1" applyAlignment="1">
      <alignment horizontal="center" vertical="center"/>
    </xf>
    <xf numFmtId="0" fontId="176" fillId="127" borderId="230" xfId="0" applyFont="1" applyFill="1" applyBorder="1" applyAlignment="1">
      <alignment horizontal="center" vertical="center"/>
    </xf>
    <xf numFmtId="0" fontId="176" fillId="125" borderId="466" xfId="0" applyFont="1" applyFill="1" applyBorder="1" applyAlignment="1">
      <alignment horizontal="center" vertical="center"/>
    </xf>
    <xf numFmtId="0" fontId="171" fillId="7" borderId="0" xfId="0" applyFont="1" applyFill="1" applyBorder="1" applyAlignment="1">
      <alignment horizontal="center" vertical="center"/>
    </xf>
    <xf numFmtId="0" fontId="176" fillId="125" borderId="48" xfId="0" applyFont="1" applyFill="1" applyBorder="1" applyAlignment="1">
      <alignment horizontal="center" vertical="center"/>
    </xf>
    <xf numFmtId="0" fontId="176" fillId="125" borderId="49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176" fillId="125" borderId="515" xfId="0" applyFont="1" applyFill="1" applyBorder="1" applyAlignment="1">
      <alignment horizontal="center" vertical="center"/>
    </xf>
    <xf numFmtId="0" fontId="176" fillId="125" borderId="5" xfId="0" applyFont="1" applyFill="1" applyBorder="1" applyAlignment="1">
      <alignment horizontal="center" vertical="center"/>
    </xf>
    <xf numFmtId="0" fontId="176" fillId="127" borderId="579" xfId="0" applyFont="1" applyFill="1" applyBorder="1" applyAlignment="1">
      <alignment horizontal="center" vertical="center"/>
    </xf>
    <xf numFmtId="0" fontId="176" fillId="125" borderId="230" xfId="0" applyFont="1" applyFill="1" applyBorder="1" applyAlignment="1">
      <alignment horizontal="center" vertical="center"/>
    </xf>
    <xf numFmtId="38" fontId="176" fillId="125" borderId="570" xfId="2" applyNumberFormat="1" applyFont="1" applyFill="1" applyBorder="1" applyAlignment="1">
      <alignment horizontal="center" vertical="center"/>
    </xf>
    <xf numFmtId="178" fontId="28" fillId="0" borderId="570" xfId="0" applyNumberFormat="1" applyFont="1" applyBorder="1" applyAlignment="1">
      <alignment horizontal="center" vertical="center"/>
    </xf>
    <xf numFmtId="176" fontId="215" fillId="135" borderId="0" xfId="0" applyNumberFormat="1" applyFont="1" applyFill="1">
      <alignment vertical="center"/>
    </xf>
    <xf numFmtId="187" fontId="171" fillId="6" borderId="226" xfId="2" applyNumberFormat="1" applyFont="1" applyFill="1" applyBorder="1" applyAlignment="1">
      <alignment horizontal="center" vertical="center"/>
    </xf>
    <xf numFmtId="178" fontId="176" fillId="125" borderId="226" xfId="2" applyNumberFormat="1" applyFont="1" applyFill="1" applyBorder="1" applyAlignment="1">
      <alignment horizontal="center" vertical="center"/>
    </xf>
    <xf numFmtId="9" fontId="176" fillId="125" borderId="226" xfId="1" applyFont="1" applyFill="1" applyBorder="1" applyAlignment="1">
      <alignment horizontal="center" vertical="center"/>
    </xf>
    <xf numFmtId="41" fontId="57" fillId="0" borderId="0" xfId="0" applyNumberFormat="1" applyFont="1" applyFill="1" applyBorder="1" applyAlignment="1">
      <alignment horizontal="center" vertical="center"/>
    </xf>
    <xf numFmtId="3" fontId="28" fillId="0" borderId="221" xfId="2" applyNumberFormat="1" applyFont="1" applyFill="1" applyBorder="1" applyAlignment="1">
      <alignment horizontal="center" vertical="center" wrapText="1"/>
    </xf>
    <xf numFmtId="3" fontId="28" fillId="0" borderId="121" xfId="2" applyNumberFormat="1" applyFont="1" applyFill="1" applyBorder="1" applyAlignment="1">
      <alignment horizontal="center" vertical="center" wrapText="1"/>
    </xf>
    <xf numFmtId="3" fontId="176" fillId="125" borderId="110" xfId="2" applyNumberFormat="1" applyFont="1" applyFill="1" applyBorder="1" applyAlignment="1">
      <alignment horizontal="center" vertical="center" wrapText="1"/>
    </xf>
    <xf numFmtId="178" fontId="176" fillId="125" borderId="288" xfId="2" applyNumberFormat="1" applyFont="1" applyFill="1" applyBorder="1" applyAlignment="1">
      <alignment horizontal="center" vertical="center"/>
    </xf>
    <xf numFmtId="38" fontId="176" fillId="125" borderId="228" xfId="2" applyNumberFormat="1" applyFont="1" applyFill="1" applyBorder="1" applyAlignment="1">
      <alignment horizontal="center" vertical="center"/>
    </xf>
    <xf numFmtId="178" fontId="176" fillId="125" borderId="515" xfId="0" applyNumberFormat="1" applyFont="1" applyFill="1" applyBorder="1" applyAlignment="1">
      <alignment horizontal="center" vertical="center"/>
    </xf>
    <xf numFmtId="10" fontId="28" fillId="0" borderId="579" xfId="0" applyNumberFormat="1" applyFont="1" applyBorder="1" applyAlignment="1">
      <alignment horizontal="center" vertical="center" wrapText="1"/>
    </xf>
    <xf numFmtId="10" fontId="28" fillId="0" borderId="580" xfId="0" applyNumberFormat="1" applyFont="1" applyBorder="1" applyAlignment="1">
      <alignment horizontal="center" vertical="center" wrapText="1"/>
    </xf>
    <xf numFmtId="183" fontId="28" fillId="0" borderId="579" xfId="0" applyNumberFormat="1" applyFont="1" applyBorder="1" applyAlignment="1">
      <alignment horizontal="center" vertical="center"/>
    </xf>
    <xf numFmtId="183" fontId="28" fillId="0" borderId="580" xfId="0" applyNumberFormat="1" applyFont="1" applyBorder="1" applyAlignment="1">
      <alignment horizontal="center" vertical="center" wrapText="1"/>
    </xf>
    <xf numFmtId="183" fontId="176" fillId="125" borderId="515" xfId="0" applyNumberFormat="1" applyFont="1" applyFill="1" applyBorder="1" applyAlignment="1">
      <alignment horizontal="center" vertical="center"/>
    </xf>
    <xf numFmtId="0" fontId="176" fillId="125" borderId="352" xfId="0" applyFont="1" applyFill="1" applyBorder="1" applyAlignment="1">
      <alignment horizontal="center" vertical="center"/>
    </xf>
    <xf numFmtId="0" fontId="221" fillId="125" borderId="230" xfId="0" applyFont="1" applyFill="1" applyBorder="1" applyAlignment="1">
      <alignment horizontal="center" vertical="center" wrapText="1"/>
    </xf>
    <xf numFmtId="0" fontId="176" fillId="125" borderId="334" xfId="0" applyFont="1" applyFill="1" applyBorder="1" applyAlignment="1">
      <alignment horizontal="center" vertical="center"/>
    </xf>
    <xf numFmtId="183" fontId="176" fillId="125" borderId="226" xfId="2" applyNumberFormat="1" applyFont="1" applyFill="1" applyBorder="1" applyAlignment="1">
      <alignment horizontal="center" vertical="center" wrapText="1"/>
    </xf>
    <xf numFmtId="183" fontId="176" fillId="125" borderId="228" xfId="2" applyNumberFormat="1" applyFont="1" applyFill="1" applyBorder="1" applyAlignment="1">
      <alignment horizontal="center" vertical="center" wrapText="1"/>
    </xf>
    <xf numFmtId="3" fontId="198" fillId="0" borderId="466" xfId="0" applyNumberFormat="1" applyFont="1" applyBorder="1" applyAlignment="1">
      <alignment horizontal="center" vertical="center"/>
    </xf>
    <xf numFmtId="41" fontId="176" fillId="125" borderId="230" xfId="2" applyFont="1" applyFill="1" applyBorder="1" applyAlignment="1">
      <alignment horizontal="center" vertical="center"/>
    </xf>
    <xf numFmtId="3" fontId="176" fillId="125" borderId="230" xfId="2" applyNumberFormat="1" applyFont="1" applyFill="1" applyBorder="1" applyAlignment="1">
      <alignment horizontal="center" vertical="center" wrapText="1"/>
    </xf>
    <xf numFmtId="3" fontId="176" fillId="125" borderId="334" xfId="2" applyNumberFormat="1" applyFont="1" applyFill="1" applyBorder="1" applyAlignment="1">
      <alignment horizontal="center" vertical="center" wrapText="1"/>
    </xf>
    <xf numFmtId="0" fontId="176" fillId="127" borderId="469" xfId="0" applyFont="1" applyFill="1" applyBorder="1" applyAlignment="1">
      <alignment horizontal="center" vertical="center"/>
    </xf>
    <xf numFmtId="223" fontId="57" fillId="15" borderId="6" xfId="2" applyNumberFormat="1" applyFont="1" applyFill="1" applyBorder="1" applyAlignment="1">
      <alignment horizontal="center" vertical="center"/>
    </xf>
    <xf numFmtId="179" fontId="28" fillId="0" borderId="122" xfId="2" applyNumberFormat="1" applyFont="1" applyFill="1" applyBorder="1" applyAlignment="1">
      <alignment horizontal="center" vertical="center" wrapText="1"/>
    </xf>
    <xf numFmtId="179" fontId="28" fillId="0" borderId="570" xfId="2" applyNumberFormat="1" applyFont="1" applyFill="1" applyBorder="1" applyAlignment="1">
      <alignment horizontal="center" vertical="center" wrapText="1"/>
    </xf>
    <xf numFmtId="0" fontId="227" fillId="127" borderId="466" xfId="0" applyFont="1" applyFill="1" applyBorder="1" applyAlignment="1">
      <alignment horizontal="center" vertical="center"/>
    </xf>
    <xf numFmtId="179" fontId="198" fillId="0" borderId="466" xfId="0" applyNumberFormat="1" applyFont="1" applyBorder="1" applyAlignment="1">
      <alignment horizontal="center" vertical="center"/>
    </xf>
    <xf numFmtId="179" fontId="198" fillId="0" borderId="493" xfId="0" applyNumberFormat="1" applyFont="1" applyBorder="1" applyAlignment="1">
      <alignment horizontal="center" vertical="center"/>
    </xf>
    <xf numFmtId="179" fontId="198" fillId="0" borderId="465" xfId="0" applyNumberFormat="1" applyFont="1" applyBorder="1" applyAlignment="1">
      <alignment horizontal="center" vertical="center"/>
    </xf>
    <xf numFmtId="179" fontId="198" fillId="0" borderId="452" xfId="0" applyNumberFormat="1" applyFont="1" applyBorder="1" applyAlignment="1">
      <alignment horizontal="center" vertical="center"/>
    </xf>
    <xf numFmtId="187" fontId="34" fillId="117" borderId="519" xfId="0" applyNumberFormat="1" applyFont="1" applyFill="1" applyBorder="1" applyAlignment="1">
      <alignment horizontal="center" vertical="center"/>
    </xf>
    <xf numFmtId="3" fontId="229" fillId="117" borderId="585" xfId="0" applyNumberFormat="1" applyFont="1" applyFill="1" applyBorder="1" applyAlignment="1">
      <alignment horizontal="center" vertical="center"/>
    </xf>
    <xf numFmtId="0" fontId="227" fillId="127" borderId="6" xfId="0" applyFont="1" applyFill="1" applyBorder="1" applyAlignment="1">
      <alignment horizontal="center" vertical="center"/>
    </xf>
    <xf numFmtId="179" fontId="232" fillId="0" borderId="493" xfId="0" applyNumberFormat="1" applyFont="1" applyBorder="1" applyAlignment="1">
      <alignment horizontal="center" vertical="center"/>
    </xf>
    <xf numFmtId="183" fontId="198" fillId="0" borderId="466" xfId="0" applyNumberFormat="1" applyFont="1" applyFill="1" applyBorder="1" applyAlignment="1">
      <alignment horizontal="center" vertical="center"/>
    </xf>
    <xf numFmtId="183" fontId="198" fillId="0" borderId="6" xfId="0" applyNumberFormat="1" applyFont="1" applyFill="1" applyBorder="1" applyAlignment="1">
      <alignment horizontal="center" vertical="center"/>
    </xf>
    <xf numFmtId="41" fontId="177" fillId="127" borderId="517" xfId="2" applyFont="1" applyFill="1" applyBorder="1" applyAlignment="1">
      <alignment horizontal="center" vertical="center"/>
    </xf>
    <xf numFmtId="41" fontId="177" fillId="127" borderId="516" xfId="2" applyFont="1" applyFill="1" applyBorder="1" applyAlignment="1">
      <alignment horizontal="center" vertical="center"/>
    </xf>
    <xf numFmtId="183" fontId="198" fillId="0" borderId="465" xfId="0" applyNumberFormat="1" applyFont="1" applyFill="1" applyBorder="1" applyAlignment="1">
      <alignment horizontal="center" vertical="center"/>
    </xf>
    <xf numFmtId="183" fontId="232" fillId="0" borderId="493" xfId="0" applyNumberFormat="1" applyFont="1" applyFill="1" applyBorder="1" applyAlignment="1">
      <alignment horizontal="center" vertical="center"/>
    </xf>
    <xf numFmtId="3" fontId="34" fillId="3" borderId="499" xfId="0" applyNumberFormat="1" applyFont="1" applyFill="1" applyBorder="1" applyAlignment="1">
      <alignment horizontal="center" vertical="center"/>
    </xf>
    <xf numFmtId="3" fontId="204" fillId="3" borderId="379" xfId="0" applyNumberFormat="1" applyFont="1" applyFill="1" applyBorder="1" applyAlignment="1">
      <alignment horizontal="center" vertical="center"/>
    </xf>
    <xf numFmtId="2" fontId="178" fillId="3" borderId="216" xfId="0" applyNumberFormat="1" applyFont="1" applyFill="1" applyBorder="1" applyAlignment="1">
      <alignment horizontal="center" vertical="center" wrapText="1" readingOrder="1"/>
    </xf>
    <xf numFmtId="3" fontId="185" fillId="3" borderId="271" xfId="0" applyNumberFormat="1" applyFont="1" applyFill="1" applyBorder="1" applyAlignment="1">
      <alignment horizontal="center" vertical="center"/>
    </xf>
    <xf numFmtId="3" fontId="185" fillId="3" borderId="499" xfId="0" applyNumberFormat="1" applyFont="1" applyFill="1" applyBorder="1" applyAlignment="1">
      <alignment horizontal="center" vertical="center"/>
    </xf>
    <xf numFmtId="3" fontId="57" fillId="7" borderId="466" xfId="2" applyNumberFormat="1" applyFont="1" applyFill="1" applyBorder="1" applyAlignment="1">
      <alignment horizontal="center" vertical="center"/>
    </xf>
    <xf numFmtId="183" fontId="176" fillId="0" borderId="0" xfId="2" applyNumberFormat="1" applyFont="1" applyFill="1" applyBorder="1" applyAlignment="1">
      <alignment horizontal="center" vertical="center" wrapText="1"/>
    </xf>
    <xf numFmtId="41" fontId="176" fillId="127" borderId="466" xfId="2" applyFont="1" applyFill="1" applyBorder="1" applyAlignment="1">
      <alignment horizontal="center" vertical="center"/>
    </xf>
    <xf numFmtId="41" fontId="176" fillId="127" borderId="6" xfId="2" applyFont="1" applyFill="1" applyBorder="1" applyAlignment="1">
      <alignment horizontal="center" vertical="center"/>
    </xf>
    <xf numFmtId="183" fontId="34" fillId="117" borderId="6" xfId="2" applyNumberFormat="1" applyFont="1" applyFill="1" applyBorder="1" applyAlignment="1">
      <alignment horizontal="center" vertical="center" wrapText="1"/>
    </xf>
    <xf numFmtId="0" fontId="227" fillId="127" borderId="226" xfId="0" applyFont="1" applyFill="1" applyBorder="1" applyAlignment="1">
      <alignment horizontal="center" vertical="center"/>
    </xf>
    <xf numFmtId="177" fontId="36" fillId="7" borderId="0" xfId="2" applyNumberFormat="1" applyFont="1" applyFill="1" applyBorder="1" applyAlignment="1">
      <alignment horizontal="center" vertical="center"/>
    </xf>
    <xf numFmtId="187" fontId="36" fillId="7" borderId="0" xfId="2" applyNumberFormat="1" applyFont="1" applyFill="1" applyBorder="1" applyAlignment="1">
      <alignment horizontal="center" vertical="center"/>
    </xf>
    <xf numFmtId="187" fontId="36" fillId="7" borderId="499" xfId="0" applyNumberFormat="1" applyFont="1" applyFill="1" applyBorder="1" applyAlignment="1">
      <alignment horizontal="center" vertical="center"/>
    </xf>
    <xf numFmtId="3" fontId="176" fillId="125" borderId="40" xfId="2" applyNumberFormat="1" applyFont="1" applyFill="1" applyBorder="1" applyAlignment="1">
      <alignment horizontal="center" vertical="center" wrapText="1"/>
    </xf>
    <xf numFmtId="0" fontId="221" fillId="125" borderId="46" xfId="0" applyFont="1" applyFill="1" applyBorder="1" applyAlignment="1">
      <alignment horizontal="center" vertical="center" wrapText="1"/>
    </xf>
    <xf numFmtId="3" fontId="198" fillId="0" borderId="515" xfId="0" applyNumberFormat="1" applyFont="1" applyFill="1" applyBorder="1" applyAlignment="1">
      <alignment horizontal="center" vertical="center"/>
    </xf>
    <xf numFmtId="3" fontId="198" fillId="0" borderId="516" xfId="0" applyNumberFormat="1" applyFont="1" applyFill="1" applyBorder="1" applyAlignment="1">
      <alignment horizontal="center" vertical="center"/>
    </xf>
    <xf numFmtId="3" fontId="198" fillId="0" borderId="517" xfId="0" applyNumberFormat="1" applyFont="1" applyFill="1" applyBorder="1" applyAlignment="1">
      <alignment horizontal="center" vertical="center"/>
    </xf>
    <xf numFmtId="223" fontId="34" fillId="130" borderId="228" xfId="0" applyNumberFormat="1" applyFont="1" applyFill="1" applyBorder="1" applyAlignment="1">
      <alignment horizontal="center" vertical="center"/>
    </xf>
    <xf numFmtId="223" fontId="232" fillId="0" borderId="40" xfId="0" applyNumberFormat="1" applyFont="1" applyFill="1" applyBorder="1" applyAlignment="1">
      <alignment horizontal="center" vertical="center"/>
    </xf>
    <xf numFmtId="223" fontId="232" fillId="0" borderId="465" xfId="0" applyNumberFormat="1" applyFont="1" applyFill="1" applyBorder="1" applyAlignment="1">
      <alignment horizontal="center" vertical="center"/>
    </xf>
    <xf numFmtId="223" fontId="232" fillId="0" borderId="517" xfId="0" applyNumberFormat="1" applyFont="1" applyFill="1" applyBorder="1" applyAlignment="1">
      <alignment horizontal="center" vertical="center"/>
    </xf>
    <xf numFmtId="3" fontId="28" fillId="0" borderId="122" xfId="2" applyNumberFormat="1" applyFont="1" applyFill="1" applyBorder="1" applyAlignment="1">
      <alignment horizontal="center" vertical="center"/>
    </xf>
    <xf numFmtId="3" fontId="229" fillId="117" borderId="516" xfId="0" applyNumberFormat="1" applyFont="1" applyFill="1" applyBorder="1" applyAlignment="1">
      <alignment horizontal="center" vertical="center"/>
    </xf>
    <xf numFmtId="0" fontId="221" fillId="117" borderId="226" xfId="0" applyFont="1" applyFill="1" applyBorder="1" applyAlignment="1">
      <alignment horizontal="center" vertical="center"/>
    </xf>
    <xf numFmtId="3" fontId="198" fillId="0" borderId="516" xfId="0" applyNumberFormat="1" applyFont="1" applyBorder="1" applyAlignment="1">
      <alignment horizontal="center" vertical="center"/>
    </xf>
    <xf numFmtId="183" fontId="232" fillId="4" borderId="6" xfId="0" applyNumberFormat="1" applyFont="1" applyFill="1" applyBorder="1" applyAlignment="1">
      <alignment horizontal="center" vertical="center"/>
    </xf>
    <xf numFmtId="187" fontId="171" fillId="4" borderId="49" xfId="2" applyNumberFormat="1" applyFont="1" applyFill="1" applyBorder="1" applyAlignment="1">
      <alignment horizontal="center" vertical="center"/>
    </xf>
    <xf numFmtId="187" fontId="34" fillId="4" borderId="519" xfId="0" applyNumberFormat="1" applyFont="1" applyFill="1" applyBorder="1" applyAlignment="1">
      <alignment horizontal="center" vertical="center"/>
    </xf>
    <xf numFmtId="187" fontId="171" fillId="4" borderId="122" xfId="2" applyNumberFormat="1" applyFont="1" applyFill="1" applyBorder="1" applyAlignment="1">
      <alignment horizontal="center" vertical="center"/>
    </xf>
    <xf numFmtId="38" fontId="165" fillId="0" borderId="257" xfId="0" applyNumberFormat="1" applyFont="1" applyBorder="1" applyAlignment="1">
      <alignment horizontal="center" vertical="center" wrapText="1"/>
    </xf>
    <xf numFmtId="187" fontId="57" fillId="7" borderId="450" xfId="2" applyNumberFormat="1" applyFont="1" applyFill="1" applyBorder="1" applyAlignment="1">
      <alignment horizontal="center" vertical="center" wrapText="1"/>
    </xf>
    <xf numFmtId="3" fontId="57" fillId="0" borderId="327" xfId="0" applyNumberFormat="1" applyFont="1" applyBorder="1" applyAlignment="1">
      <alignment horizontal="center" vertical="center" wrapText="1"/>
    </xf>
    <xf numFmtId="187" fontId="57" fillId="0" borderId="450" xfId="2" applyNumberFormat="1" applyFont="1" applyBorder="1" applyAlignment="1">
      <alignment horizontal="center" vertical="center" wrapText="1"/>
    </xf>
    <xf numFmtId="38" fontId="57" fillId="15" borderId="516" xfId="2" applyNumberFormat="1" applyFont="1" applyFill="1" applyBorder="1" applyAlignment="1">
      <alignment horizontal="center" vertical="center"/>
    </xf>
    <xf numFmtId="2" fontId="57" fillId="0" borderId="521" xfId="0" applyNumberFormat="1" applyFont="1" applyFill="1" applyBorder="1" applyAlignment="1">
      <alignment horizontal="center" vertical="center"/>
    </xf>
    <xf numFmtId="2" fontId="57" fillId="0" borderId="519" xfId="0" applyNumberFormat="1" applyFont="1" applyFill="1" applyBorder="1" applyAlignment="1">
      <alignment horizontal="center" vertical="center"/>
    </xf>
    <xf numFmtId="231" fontId="57" fillId="7" borderId="123" xfId="2" applyNumberFormat="1" applyFont="1" applyFill="1" applyBorder="1" applyAlignment="1">
      <alignment horizontal="center" vertical="center"/>
    </xf>
    <xf numFmtId="231" fontId="57" fillId="0" borderId="202" xfId="2" applyNumberFormat="1" applyFont="1" applyBorder="1" applyAlignment="1">
      <alignment horizontal="center" vertical="center"/>
    </xf>
    <xf numFmtId="227" fontId="57" fillId="0" borderId="123" xfId="0" applyNumberFormat="1" applyFont="1" applyBorder="1" applyAlignment="1">
      <alignment horizontal="center" vertical="center"/>
    </xf>
    <xf numFmtId="178" fontId="27" fillId="3" borderId="216" xfId="1" applyNumberFormat="1" applyFont="1" applyFill="1" applyBorder="1" applyAlignment="1">
      <alignment horizontal="center" vertical="center"/>
    </xf>
    <xf numFmtId="178" fontId="36" fillId="3" borderId="216" xfId="1" applyNumberFormat="1" applyFont="1" applyFill="1" applyBorder="1" applyAlignment="1">
      <alignment horizontal="center" vertical="center"/>
    </xf>
    <xf numFmtId="183" fontId="27" fillId="3" borderId="216" xfId="0" applyNumberFormat="1" applyFont="1" applyFill="1" applyBorder="1" applyAlignment="1">
      <alignment horizontal="center" vertical="center"/>
    </xf>
    <xf numFmtId="38" fontId="57" fillId="0" borderId="516" xfId="2" applyNumberFormat="1" applyFont="1" applyFill="1" applyBorder="1" applyAlignment="1">
      <alignment horizontal="center" vertical="center"/>
    </xf>
    <xf numFmtId="38" fontId="57" fillId="0" borderId="570" xfId="2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0" fontId="176" fillId="125" borderId="515" xfId="0" applyFont="1" applyFill="1" applyBorder="1" applyAlignment="1">
      <alignment horizontal="center" vertical="center"/>
    </xf>
    <xf numFmtId="0" fontId="57" fillId="5" borderId="570" xfId="0" applyFont="1" applyFill="1" applyBorder="1" applyAlignment="1">
      <alignment horizontal="center" vertical="center" wrapText="1"/>
    </xf>
    <xf numFmtId="1" fontId="28" fillId="0" borderId="570" xfId="0" applyNumberFormat="1" applyFont="1" applyBorder="1" applyAlignment="1">
      <alignment horizontal="center" vertical="center"/>
    </xf>
    <xf numFmtId="2" fontId="57" fillId="7" borderId="570" xfId="0" applyNumberFormat="1" applyFont="1" applyFill="1" applyBorder="1" applyAlignment="1">
      <alignment horizontal="center" vertical="center"/>
    </xf>
    <xf numFmtId="223" fontId="27" fillId="7" borderId="32" xfId="1" quotePrefix="1" applyNumberFormat="1" applyFont="1" applyFill="1" applyBorder="1" applyAlignment="1">
      <alignment horizontal="center" vertical="center"/>
    </xf>
    <xf numFmtId="223" fontId="27" fillId="7" borderId="32" xfId="3" applyNumberFormat="1" applyFont="1" applyFill="1" applyBorder="1" applyAlignment="1">
      <alignment horizontal="center" vertical="center"/>
    </xf>
    <xf numFmtId="223" fontId="27" fillId="7" borderId="33" xfId="3" applyNumberFormat="1" applyFont="1" applyFill="1" applyBorder="1" applyAlignment="1">
      <alignment horizontal="center" vertical="center"/>
    </xf>
    <xf numFmtId="223" fontId="27" fillId="7" borderId="34" xfId="3" quotePrefix="1" applyNumberFormat="1" applyFont="1" applyFill="1" applyBorder="1" applyAlignment="1">
      <alignment horizontal="center" vertical="center"/>
    </xf>
    <xf numFmtId="223" fontId="27" fillId="7" borderId="34" xfId="2" quotePrefix="1" applyNumberFormat="1" applyFont="1" applyFill="1" applyBorder="1" applyAlignment="1">
      <alignment horizontal="center" vertical="center"/>
    </xf>
    <xf numFmtId="223" fontId="27" fillId="7" borderId="34" xfId="3" applyNumberFormat="1" applyFont="1" applyFill="1" applyBorder="1" applyAlignment="1">
      <alignment horizontal="center" vertical="center"/>
    </xf>
    <xf numFmtId="223" fontId="27" fillId="7" borderId="41" xfId="2" quotePrefix="1" applyNumberFormat="1" applyFont="1" applyFill="1" applyBorder="1" applyAlignment="1">
      <alignment horizontal="center" vertical="center"/>
    </xf>
    <xf numFmtId="223" fontId="27" fillId="7" borderId="32" xfId="3" quotePrefix="1" applyNumberFormat="1" applyFont="1" applyFill="1" applyBorder="1" applyAlignment="1">
      <alignment horizontal="center" vertical="center"/>
    </xf>
    <xf numFmtId="223" fontId="27" fillId="7" borderId="34" xfId="1" quotePrefix="1" applyNumberFormat="1" applyFont="1" applyFill="1" applyBorder="1" applyAlignment="1">
      <alignment horizontal="center" vertical="center"/>
    </xf>
    <xf numFmtId="223" fontId="27" fillId="7" borderId="21" xfId="1" quotePrefix="1" applyNumberFormat="1" applyFont="1" applyFill="1" applyBorder="1" applyAlignment="1">
      <alignment horizontal="center" vertical="center"/>
    </xf>
    <xf numFmtId="223" fontId="27" fillId="7" borderId="36" xfId="3" quotePrefix="1" applyNumberFormat="1" applyFont="1" applyFill="1" applyBorder="1" applyAlignment="1">
      <alignment horizontal="center" vertical="center"/>
    </xf>
    <xf numFmtId="177" fontId="57" fillId="7" borderId="467" xfId="0" applyNumberFormat="1" applyFont="1" applyFill="1" applyBorder="1" applyAlignment="1">
      <alignment horizontal="center" vertical="center"/>
    </xf>
    <xf numFmtId="1" fontId="28" fillId="117" borderId="467" xfId="0" applyNumberFormat="1" applyFont="1" applyFill="1" applyBorder="1" applyAlignment="1">
      <alignment horizontal="center" vertical="center"/>
    </xf>
    <xf numFmtId="1" fontId="28" fillId="117" borderId="570" xfId="0" applyNumberFormat="1" applyFont="1" applyFill="1" applyBorder="1" applyAlignment="1">
      <alignment horizontal="center" vertical="center"/>
    </xf>
    <xf numFmtId="1" fontId="28" fillId="117" borderId="271" xfId="0" applyNumberFormat="1" applyFont="1" applyFill="1" applyBorder="1" applyAlignment="1">
      <alignment horizontal="center" vertical="center"/>
    </xf>
    <xf numFmtId="223" fontId="27" fillId="116" borderId="216" xfId="2" applyNumberFormat="1" applyFont="1" applyFill="1" applyBorder="1" applyAlignment="1">
      <alignment horizontal="center" vertical="center"/>
    </xf>
    <xf numFmtId="3" fontId="57" fillId="7" borderId="40" xfId="2" applyNumberFormat="1" applyFont="1" applyFill="1" applyBorder="1" applyAlignment="1">
      <alignment horizontal="center" vertical="center"/>
    </xf>
    <xf numFmtId="187" fontId="176" fillId="125" borderId="437" xfId="2" applyNumberFormat="1" applyFont="1" applyFill="1" applyBorder="1" applyAlignment="1">
      <alignment horizontal="center" vertical="center"/>
    </xf>
    <xf numFmtId="0" fontId="230" fillId="7" borderId="437" xfId="0" applyFont="1" applyFill="1" applyBorder="1" applyAlignment="1">
      <alignment horizontal="center" vertical="center" wrapText="1"/>
    </xf>
    <xf numFmtId="231" fontId="28" fillId="0" borderId="202" xfId="2" applyNumberFormat="1" applyFont="1" applyFill="1" applyBorder="1" applyAlignment="1">
      <alignment horizontal="center" vertical="center"/>
    </xf>
    <xf numFmtId="231" fontId="28" fillId="0" borderId="580" xfId="2" applyNumberFormat="1" applyFont="1" applyFill="1" applyBorder="1" applyAlignment="1">
      <alignment horizontal="center" vertical="center"/>
    </xf>
    <xf numFmtId="178" fontId="28" fillId="0" borderId="497" xfId="2" applyNumberFormat="1" applyFont="1" applyFill="1" applyBorder="1" applyAlignment="1">
      <alignment horizontal="center" vertical="center"/>
    </xf>
    <xf numFmtId="178" fontId="28" fillId="0" borderId="517" xfId="2" applyNumberFormat="1" applyFont="1" applyFill="1" applyBorder="1" applyAlignment="1">
      <alignment horizontal="center" vertical="center"/>
    </xf>
    <xf numFmtId="223" fontId="57" fillId="0" borderId="450" xfId="2" applyNumberFormat="1" applyFont="1" applyBorder="1" applyAlignment="1">
      <alignment horizontal="center" vertical="center"/>
    </xf>
    <xf numFmtId="0" fontId="28" fillId="0" borderId="474" xfId="0" applyNumberFormat="1" applyFont="1" applyBorder="1" applyAlignment="1" applyProtection="1">
      <alignment horizontal="center" vertical="center"/>
      <protection locked="0"/>
    </xf>
    <xf numFmtId="0" fontId="28" fillId="0" borderId="450" xfId="0" applyNumberFormat="1" applyFont="1" applyBorder="1" applyAlignment="1" applyProtection="1">
      <alignment horizontal="center" vertical="center"/>
      <protection locked="0"/>
    </xf>
    <xf numFmtId="0" fontId="57" fillId="0" borderId="0" xfId="0" applyFont="1" applyFill="1" applyBorder="1" applyAlignment="1">
      <alignment horizontal="center" vertical="center"/>
    </xf>
    <xf numFmtId="10" fontId="28" fillId="0" borderId="497" xfId="0" applyNumberFormat="1" applyFont="1" applyBorder="1" applyAlignment="1">
      <alignment horizontal="center" vertical="center"/>
    </xf>
    <xf numFmtId="176" fontId="28" fillId="0" borderId="497" xfId="0" applyNumberFormat="1" applyFont="1" applyBorder="1" applyAlignment="1">
      <alignment horizontal="center" vertical="center"/>
    </xf>
    <xf numFmtId="183" fontId="28" fillId="0" borderId="580" xfId="0" applyNumberFormat="1" applyFont="1" applyBorder="1" applyAlignment="1">
      <alignment horizontal="center" vertical="center"/>
    </xf>
    <xf numFmtId="187" fontId="32" fillId="0" borderId="6" xfId="2" applyNumberFormat="1" applyFont="1" applyFill="1" applyBorder="1" applyAlignment="1">
      <alignment horizontal="center" vertical="center" wrapText="1"/>
    </xf>
    <xf numFmtId="187" fontId="219" fillId="125" borderId="226" xfId="2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87" fontId="238" fillId="0" borderId="226" xfId="0" applyNumberFormat="1" applyFont="1" applyFill="1" applyBorder="1" applyAlignment="1">
      <alignment horizontal="center" vertical="center"/>
    </xf>
    <xf numFmtId="187" fontId="238" fillId="4" borderId="226" xfId="0" applyNumberFormat="1" applyFont="1" applyFill="1" applyBorder="1" applyAlignment="1">
      <alignment horizontal="center" vertical="center"/>
    </xf>
    <xf numFmtId="179" fontId="28" fillId="7" borderId="516" xfId="0" applyNumberFormat="1" applyFont="1" applyFill="1" applyBorder="1" applyAlignment="1">
      <alignment horizontal="center" vertical="center"/>
    </xf>
    <xf numFmtId="179" fontId="28" fillId="7" borderId="6" xfId="0" applyNumberFormat="1" applyFont="1" applyFill="1" applyBorder="1" applyAlignment="1">
      <alignment horizontal="center" vertical="center"/>
    </xf>
    <xf numFmtId="223" fontId="239" fillId="0" borderId="0" xfId="0" applyNumberFormat="1" applyFont="1" applyBorder="1" applyAlignment="1">
      <alignment horizontal="center" vertical="center"/>
    </xf>
    <xf numFmtId="223" fontId="0" fillId="0" borderId="0" xfId="0" applyNumberFormat="1" applyAlignment="1">
      <alignment horizontal="center" vertical="center"/>
    </xf>
    <xf numFmtId="0" fontId="221" fillId="125" borderId="334" xfId="0" applyFont="1" applyFill="1" applyBorder="1" applyAlignment="1">
      <alignment horizontal="center" vertical="center" wrapText="1"/>
    </xf>
    <xf numFmtId="0" fontId="221" fillId="125" borderId="229" xfId="0" applyFont="1" applyFill="1" applyBorder="1" applyAlignment="1">
      <alignment horizontal="center" vertical="center" wrapText="1"/>
    </xf>
    <xf numFmtId="2" fontId="57" fillId="0" borderId="580" xfId="0" applyNumberFormat="1" applyFont="1" applyBorder="1" applyAlignment="1">
      <alignment horizontal="center" vertical="center"/>
    </xf>
    <xf numFmtId="0" fontId="241" fillId="125" borderId="122" xfId="0" applyFont="1" applyFill="1" applyBorder="1">
      <alignment vertical="center"/>
    </xf>
    <xf numFmtId="0" fontId="241" fillId="125" borderId="123" xfId="0" applyFont="1" applyFill="1" applyBorder="1">
      <alignment vertical="center"/>
    </xf>
    <xf numFmtId="0" fontId="176" fillId="125" borderId="121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0" fontId="176" fillId="125" borderId="581" xfId="0" applyFont="1" applyFill="1" applyBorder="1" applyAlignment="1">
      <alignment horizontal="center" vertical="center"/>
    </xf>
    <xf numFmtId="187" fontId="57" fillId="0" borderId="579" xfId="2" applyNumberFormat="1" applyFont="1" applyBorder="1" applyAlignment="1">
      <alignment horizontal="center" vertical="center"/>
    </xf>
    <xf numFmtId="183" fontId="57" fillId="0" borderId="579" xfId="2" applyNumberFormat="1" applyFont="1" applyBorder="1" applyAlignment="1">
      <alignment horizontal="center" vertical="center"/>
    </xf>
    <xf numFmtId="183" fontId="57" fillId="0" borderId="580" xfId="2" applyNumberFormat="1" applyFont="1" applyBorder="1" applyAlignment="1">
      <alignment horizontal="center" vertical="center"/>
    </xf>
    <xf numFmtId="226" fontId="57" fillId="0" borderId="518" xfId="2" applyNumberFormat="1" applyFont="1" applyBorder="1" applyAlignment="1">
      <alignment horizontal="center" vertical="center"/>
    </xf>
    <xf numFmtId="187" fontId="28" fillId="0" borderId="579" xfId="0" applyNumberFormat="1" applyFont="1" applyFill="1" applyBorder="1" applyAlignment="1">
      <alignment horizontal="center" vertical="center"/>
    </xf>
    <xf numFmtId="226" fontId="57" fillId="0" borderId="580" xfId="0" applyNumberFormat="1" applyFont="1" applyBorder="1" applyAlignment="1">
      <alignment horizontal="center" vertical="center"/>
    </xf>
    <xf numFmtId="1" fontId="57" fillId="0" borderId="579" xfId="0" applyNumberFormat="1" applyFont="1" applyFill="1" applyBorder="1" applyAlignment="1">
      <alignment horizontal="center" vertical="center"/>
    </xf>
    <xf numFmtId="230" fontId="57" fillId="0" borderId="580" xfId="0" applyNumberFormat="1" applyFont="1" applyFill="1" applyBorder="1" applyAlignment="1">
      <alignment horizontal="center" vertical="center"/>
    </xf>
    <xf numFmtId="177" fontId="57" fillId="0" borderId="579" xfId="0" applyNumberFormat="1" applyFont="1" applyBorder="1" applyAlignment="1">
      <alignment horizontal="center" vertical="center"/>
    </xf>
    <xf numFmtId="177" fontId="57" fillId="0" borderId="580" xfId="0" applyNumberFormat="1" applyFont="1" applyBorder="1" applyAlignment="1">
      <alignment horizontal="center" vertical="center"/>
    </xf>
    <xf numFmtId="2" fontId="57" fillId="0" borderId="579" xfId="0" applyNumberFormat="1" applyFont="1" applyBorder="1" applyAlignment="1">
      <alignment horizontal="center" vertical="center"/>
    </xf>
    <xf numFmtId="225" fontId="57" fillId="0" borderId="579" xfId="0" applyNumberFormat="1" applyFont="1" applyBorder="1" applyAlignment="1">
      <alignment horizontal="center" vertical="center"/>
    </xf>
    <xf numFmtId="225" fontId="57" fillId="0" borderId="580" xfId="0" applyNumberFormat="1" applyFont="1" applyBorder="1" applyAlignment="1">
      <alignment horizontal="center" vertical="center"/>
    </xf>
    <xf numFmtId="0" fontId="57" fillId="0" borderId="515" xfId="0" applyFont="1" applyBorder="1" applyAlignment="1">
      <alignment horizontal="center" vertical="center"/>
    </xf>
    <xf numFmtId="0" fontId="57" fillId="0" borderId="518" xfId="0" applyFont="1" applyBorder="1" applyAlignment="1">
      <alignment horizontal="center" vertical="center"/>
    </xf>
    <xf numFmtId="2" fontId="57" fillId="0" borderId="515" xfId="0" applyNumberFormat="1" applyFont="1" applyBorder="1" applyAlignment="1">
      <alignment horizontal="center" vertical="center"/>
    </xf>
    <xf numFmtId="3" fontId="28" fillId="0" borderId="579" xfId="0" applyNumberFormat="1" applyFont="1" applyFill="1" applyBorder="1" applyAlignment="1">
      <alignment horizontal="center" vertical="center"/>
    </xf>
    <xf numFmtId="0" fontId="57" fillId="0" borderId="580" xfId="0" applyFont="1" applyBorder="1" applyAlignment="1">
      <alignment horizontal="center" vertical="center"/>
    </xf>
    <xf numFmtId="3" fontId="57" fillId="0" borderId="515" xfId="0" applyNumberFormat="1" applyFont="1" applyFill="1" applyBorder="1" applyAlignment="1">
      <alignment horizontal="center" vertical="center"/>
    </xf>
    <xf numFmtId="3" fontId="57" fillId="0" borderId="518" xfId="0" applyNumberFormat="1" applyFont="1" applyBorder="1" applyAlignment="1">
      <alignment horizontal="center" vertical="center"/>
    </xf>
    <xf numFmtId="0" fontId="176" fillId="125" borderId="216" xfId="0" applyFont="1" applyFill="1" applyBorder="1" applyAlignment="1">
      <alignment horizontal="center" vertical="center" wrapText="1"/>
    </xf>
    <xf numFmtId="0" fontId="176" fillId="125" borderId="216" xfId="0" applyFont="1" applyFill="1" applyBorder="1" applyAlignment="1">
      <alignment horizontal="center" vertical="center"/>
    </xf>
    <xf numFmtId="0" fontId="178" fillId="15" borderId="216" xfId="0" applyFont="1" applyFill="1" applyBorder="1" applyAlignment="1">
      <alignment horizontal="center" vertical="center" wrapText="1"/>
    </xf>
    <xf numFmtId="0" fontId="176" fillId="125" borderId="515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21" fillId="127" borderId="226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176" fillId="127" borderId="221" xfId="0" applyFont="1" applyFill="1" applyBorder="1" applyAlignment="1">
      <alignment horizontal="center" vertical="center"/>
    </xf>
    <xf numFmtId="0" fontId="221" fillId="127" borderId="466" xfId="0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/>
    </xf>
    <xf numFmtId="0" fontId="176" fillId="127" borderId="466" xfId="0" applyFont="1" applyFill="1" applyBorder="1" applyAlignment="1">
      <alignment horizontal="center" vertical="center"/>
    </xf>
    <xf numFmtId="0" fontId="221" fillId="127" borderId="6" xfId="0" applyFont="1" applyFill="1" applyBorder="1" applyAlignment="1">
      <alignment horizontal="center" vertical="center"/>
    </xf>
    <xf numFmtId="0" fontId="176" fillId="127" borderId="493" xfId="0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0" fontId="176" fillId="127" borderId="202" xfId="0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0" fontId="176" fillId="125" borderId="466" xfId="0" applyFont="1" applyFill="1" applyBorder="1" applyAlignment="1">
      <alignment horizontal="center" vertical="center"/>
    </xf>
    <xf numFmtId="0" fontId="176" fillId="125" borderId="263" xfId="0" applyFont="1" applyFill="1" applyBorder="1" applyAlignment="1">
      <alignment horizontal="center" vertical="center"/>
    </xf>
    <xf numFmtId="0" fontId="57" fillId="0" borderId="329" xfId="0" applyFont="1" applyFill="1" applyBorder="1" applyAlignment="1">
      <alignment horizontal="center" vertical="center"/>
    </xf>
    <xf numFmtId="0" fontId="57" fillId="0" borderId="202" xfId="0" applyFont="1" applyFill="1" applyBorder="1" applyAlignment="1">
      <alignment horizontal="center" vertical="center"/>
    </xf>
    <xf numFmtId="38" fontId="57" fillId="0" borderId="493" xfId="2" applyNumberFormat="1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38" fontId="176" fillId="125" borderId="271" xfId="0" applyNumberFormat="1" applyFont="1" applyFill="1" applyBorder="1" applyAlignment="1">
      <alignment horizontal="center" vertical="center"/>
    </xf>
    <xf numFmtId="0" fontId="176" fillId="127" borderId="202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0" fontId="176" fillId="127" borderId="225" xfId="0" applyFont="1" applyFill="1" applyBorder="1" applyAlignment="1">
      <alignment horizontal="center" vertical="center"/>
    </xf>
    <xf numFmtId="0" fontId="176" fillId="127" borderId="229" xfId="0" applyFont="1" applyFill="1" applyBorder="1" applyAlignment="1">
      <alignment horizontal="center" vertical="center"/>
    </xf>
    <xf numFmtId="0" fontId="57" fillId="7" borderId="202" xfId="0" applyFont="1" applyFill="1" applyBorder="1" applyAlignment="1">
      <alignment horizontal="center" vertical="center"/>
    </xf>
    <xf numFmtId="0" fontId="57" fillId="7" borderId="329" xfId="0" applyFont="1" applyFill="1" applyBorder="1" applyAlignment="1">
      <alignment horizontal="center" vertical="center"/>
    </xf>
    <xf numFmtId="223" fontId="57" fillId="7" borderId="6" xfId="2" applyNumberFormat="1" applyFont="1" applyFill="1" applyBorder="1" applyAlignment="1">
      <alignment horizontal="center" vertical="center"/>
    </xf>
    <xf numFmtId="226" fontId="57" fillId="0" borderId="0" xfId="2" applyNumberFormat="1" applyFont="1" applyBorder="1" applyAlignment="1">
      <alignment horizontal="center" vertical="center"/>
    </xf>
    <xf numFmtId="2" fontId="57" fillId="0" borderId="500" xfId="0" applyNumberFormat="1" applyFont="1" applyFill="1" applyBorder="1" applyAlignment="1">
      <alignment horizontal="center" vertical="center"/>
    </xf>
    <xf numFmtId="187" fontId="176" fillId="125" borderId="228" xfId="2" applyNumberFormat="1" applyFont="1" applyFill="1" applyBorder="1" applyAlignment="1">
      <alignment horizontal="center" vertical="center" wrapText="1"/>
    </xf>
    <xf numFmtId="0" fontId="221" fillId="127" borderId="0" xfId="0" applyFont="1" applyFill="1" applyBorder="1" applyAlignment="1">
      <alignment horizontal="center" vertical="center"/>
    </xf>
    <xf numFmtId="183" fontId="57" fillId="7" borderId="308" xfId="2" applyNumberFormat="1" applyFont="1" applyFill="1" applyBorder="1" applyAlignment="1">
      <alignment horizontal="center" vertical="center"/>
    </xf>
    <xf numFmtId="183" fontId="171" fillId="7" borderId="23" xfId="2" applyNumberFormat="1" applyFont="1" applyFill="1" applyBorder="1" applyAlignment="1">
      <alignment horizontal="center" vertical="center"/>
    </xf>
    <xf numFmtId="3" fontId="176" fillId="125" borderId="5" xfId="2" applyNumberFormat="1" applyFont="1" applyFill="1" applyBorder="1" applyAlignment="1">
      <alignment horizontal="center" vertical="center" wrapText="1"/>
    </xf>
    <xf numFmtId="187" fontId="34" fillId="15" borderId="406" xfId="2" applyNumberFormat="1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 wrapText="1"/>
    </xf>
    <xf numFmtId="3" fontId="28" fillId="0" borderId="570" xfId="2" applyNumberFormat="1" applyFont="1" applyFill="1" applyBorder="1" applyAlignment="1">
      <alignment horizontal="center" vertical="center" wrapText="1"/>
    </xf>
    <xf numFmtId="0" fontId="176" fillId="127" borderId="122" xfId="0" applyFont="1" applyFill="1" applyBorder="1" applyAlignment="1">
      <alignment horizontal="center" vertical="center" wrapText="1"/>
    </xf>
    <xf numFmtId="3" fontId="28" fillId="0" borderId="122" xfId="2" applyNumberFormat="1" applyFont="1" applyFill="1" applyBorder="1" applyAlignment="1">
      <alignment horizontal="center" vertical="center" wrapText="1"/>
    </xf>
    <xf numFmtId="0" fontId="176" fillId="127" borderId="516" xfId="0" applyFont="1" applyFill="1" applyBorder="1" applyAlignment="1">
      <alignment horizontal="center" vertical="center" wrapText="1"/>
    </xf>
    <xf numFmtId="187" fontId="28" fillId="0" borderId="123" xfId="0" applyNumberFormat="1" applyFont="1" applyBorder="1" applyAlignment="1">
      <alignment horizontal="center" vertical="center"/>
    </xf>
    <xf numFmtId="41" fontId="176" fillId="127" borderId="122" xfId="2" applyFont="1" applyFill="1" applyBorder="1" applyAlignment="1">
      <alignment horizontal="center" vertical="center"/>
    </xf>
    <xf numFmtId="179" fontId="28" fillId="0" borderId="466" xfId="2" applyNumberFormat="1" applyFont="1" applyFill="1" applyBorder="1" applyAlignment="1">
      <alignment horizontal="center" vertical="center" wrapText="1"/>
    </xf>
    <xf numFmtId="179" fontId="176" fillId="125" borderId="226" xfId="2" applyNumberFormat="1" applyFont="1" applyFill="1" applyBorder="1" applyAlignment="1">
      <alignment horizontal="center" vertical="center" wrapText="1"/>
    </xf>
    <xf numFmtId="187" fontId="28" fillId="0" borderId="122" xfId="2" applyNumberFormat="1" applyFont="1" applyFill="1" applyBorder="1" applyAlignment="1">
      <alignment horizontal="center" vertical="center" wrapText="1"/>
    </xf>
    <xf numFmtId="187" fontId="176" fillId="125" borderId="226" xfId="2" applyNumberFormat="1" applyFont="1" applyFill="1" applyBorder="1" applyAlignment="1">
      <alignment horizontal="center" vertical="center" wrapText="1"/>
    </xf>
    <xf numFmtId="38" fontId="165" fillId="0" borderId="586" xfId="1" applyNumberFormat="1" applyFont="1" applyBorder="1" applyAlignment="1">
      <alignment horizontal="center" vertical="center" wrapText="1"/>
    </xf>
    <xf numFmtId="187" fontId="57" fillId="7" borderId="121" xfId="2" quotePrefix="1" applyNumberFormat="1" applyFont="1" applyFill="1" applyBorder="1" applyAlignment="1">
      <alignment horizontal="center" vertical="center"/>
    </xf>
    <xf numFmtId="226" fontId="57" fillId="7" borderId="123" xfId="2" quotePrefix="1" applyNumberFormat="1" applyFont="1" applyFill="1" applyBorder="1" applyAlignment="1">
      <alignment horizontal="center" vertical="center"/>
    </xf>
    <xf numFmtId="187" fontId="57" fillId="7" borderId="163" xfId="2" quotePrefix="1" applyNumberFormat="1" applyFont="1" applyFill="1" applyBorder="1" applyAlignment="1">
      <alignment horizontal="center" vertical="center"/>
    </xf>
    <xf numFmtId="183" fontId="176" fillId="125" borderId="466" xfId="2" applyNumberFormat="1" applyFont="1" applyFill="1" applyBorder="1" applyAlignment="1">
      <alignment horizontal="center" vertical="center" wrapText="1"/>
    </xf>
    <xf numFmtId="183" fontId="57" fillId="7" borderId="570" xfId="2" applyNumberFormat="1" applyFont="1" applyFill="1" applyBorder="1" applyAlignment="1">
      <alignment horizontal="center" vertical="center" wrapText="1"/>
    </xf>
    <xf numFmtId="38" fontId="28" fillId="7" borderId="570" xfId="2" applyNumberFormat="1" applyFont="1" applyFill="1" applyBorder="1" applyAlignment="1">
      <alignment horizontal="center" vertical="center" wrapText="1"/>
    </xf>
    <xf numFmtId="9" fontId="28" fillId="7" borderId="580" xfId="1" applyFont="1" applyFill="1" applyBorder="1" applyAlignment="1">
      <alignment horizontal="center" vertical="center"/>
    </xf>
    <xf numFmtId="9" fontId="176" fillId="125" borderId="516" xfId="1" applyFont="1" applyFill="1" applyBorder="1" applyAlignment="1">
      <alignment horizontal="center" vertical="center"/>
    </xf>
    <xf numFmtId="3" fontId="176" fillId="0" borderId="334" xfId="2" applyNumberFormat="1" applyFont="1" applyFill="1" applyBorder="1" applyAlignment="1">
      <alignment horizontal="center" vertical="center" wrapText="1"/>
    </xf>
    <xf numFmtId="176" fontId="198" fillId="0" borderId="6" xfId="0" applyNumberFormat="1" applyFont="1" applyFill="1" applyBorder="1" applyAlignment="1">
      <alignment horizontal="center" vertical="center"/>
    </xf>
    <xf numFmtId="0" fontId="57" fillId="0" borderId="137" xfId="0" applyFont="1" applyFill="1" applyBorder="1" applyAlignment="1">
      <alignment horizontal="center" vertical="center"/>
    </xf>
    <xf numFmtId="187" fontId="57" fillId="7" borderId="511" xfId="2" applyNumberFormat="1" applyFont="1" applyFill="1" applyBorder="1" applyAlignment="1">
      <alignment horizontal="center" vertical="center" wrapText="1"/>
    </xf>
    <xf numFmtId="0" fontId="176" fillId="125" borderId="456" xfId="0" applyFont="1" applyFill="1" applyBorder="1" applyAlignment="1">
      <alignment horizontal="center" vertical="center"/>
    </xf>
    <xf numFmtId="0" fontId="176" fillId="125" borderId="511" xfId="0" applyFont="1" applyFill="1" applyBorder="1" applyAlignment="1">
      <alignment horizontal="center" vertical="center"/>
    </xf>
    <xf numFmtId="0" fontId="176" fillId="125" borderId="587" xfId="0" applyFont="1" applyFill="1" applyBorder="1" applyAlignment="1">
      <alignment horizontal="center" vertical="center"/>
    </xf>
    <xf numFmtId="0" fontId="176" fillId="127" borderId="580" xfId="0" applyFont="1" applyFill="1" applyBorder="1" applyAlignment="1">
      <alignment horizontal="center" vertical="center"/>
    </xf>
    <xf numFmtId="41" fontId="177" fillId="126" borderId="582" xfId="2" applyFont="1" applyFill="1" applyBorder="1" applyAlignment="1">
      <alignment horizontal="center" vertical="center"/>
    </xf>
    <xf numFmtId="187" fontId="57" fillId="0" borderId="456" xfId="2" applyNumberFormat="1" applyFont="1" applyBorder="1" applyAlignment="1">
      <alignment horizontal="center" vertical="center"/>
    </xf>
    <xf numFmtId="187" fontId="57" fillId="0" borderId="511" xfId="2" applyNumberFormat="1" applyFont="1" applyBorder="1" applyAlignment="1">
      <alignment horizontal="center" vertical="center"/>
    </xf>
    <xf numFmtId="187" fontId="57" fillId="15" borderId="570" xfId="2" applyNumberFormat="1" applyFont="1" applyFill="1" applyBorder="1" applyAlignment="1">
      <alignment horizontal="center" vertical="center"/>
    </xf>
    <xf numFmtId="0" fontId="57" fillId="15" borderId="580" xfId="0" applyFont="1" applyFill="1" applyBorder="1" applyAlignment="1">
      <alignment horizontal="center" vertical="center"/>
    </xf>
    <xf numFmtId="0" fontId="177" fillId="126" borderId="582" xfId="0" applyFont="1" applyFill="1" applyBorder="1" applyAlignment="1">
      <alignment horizontal="center" vertical="center"/>
    </xf>
    <xf numFmtId="183" fontId="57" fillId="0" borderId="511" xfId="0" applyNumberFormat="1" applyFont="1" applyBorder="1" applyAlignment="1">
      <alignment horizontal="center" vertical="center"/>
    </xf>
    <xf numFmtId="183" fontId="57" fillId="0" borderId="511" xfId="2" applyNumberFormat="1" applyFont="1" applyBorder="1" applyAlignment="1">
      <alignment horizontal="center" vertical="center"/>
    </xf>
    <xf numFmtId="38" fontId="57" fillId="0" borderId="570" xfId="2" applyNumberFormat="1" applyFont="1" applyBorder="1" applyAlignment="1">
      <alignment horizontal="center" vertical="center"/>
    </xf>
    <xf numFmtId="223" fontId="57" fillId="0" borderId="497" xfId="0" applyNumberFormat="1" applyFont="1" applyBorder="1" applyAlignment="1">
      <alignment horizontal="center" vertical="center"/>
    </xf>
    <xf numFmtId="9" fontId="57" fillId="0" borderId="497" xfId="1" applyFont="1" applyBorder="1" applyAlignment="1">
      <alignment horizontal="center" vertical="center"/>
    </xf>
    <xf numFmtId="226" fontId="57" fillId="0" borderId="511" xfId="0" applyNumberFormat="1" applyFont="1" applyBorder="1" applyAlignment="1">
      <alignment horizontal="center" vertical="center"/>
    </xf>
    <xf numFmtId="226" fontId="57" fillId="0" borderId="511" xfId="2" applyNumberFormat="1" applyFont="1" applyBorder="1" applyAlignment="1">
      <alignment horizontal="center" vertical="center"/>
    </xf>
    <xf numFmtId="0" fontId="0" fillId="0" borderId="588" xfId="0" applyNumberFormat="1" applyBorder="1" applyAlignment="1" applyProtection="1">
      <alignment horizontal="center" vertical="center"/>
      <protection locked="0"/>
    </xf>
    <xf numFmtId="223" fontId="57" fillId="0" borderId="516" xfId="0" applyNumberFormat="1" applyFont="1" applyBorder="1" applyAlignment="1">
      <alignment horizontal="center" vertical="center"/>
    </xf>
    <xf numFmtId="0" fontId="177" fillId="126" borderId="585" xfId="0" applyFont="1" applyFill="1" applyBorder="1" applyAlignment="1">
      <alignment horizontal="center" vertical="center"/>
    </xf>
    <xf numFmtId="226" fontId="57" fillId="15" borderId="519" xfId="2" applyNumberFormat="1" applyFont="1" applyFill="1" applyBorder="1" applyAlignment="1">
      <alignment horizontal="center" vertical="center"/>
    </xf>
    <xf numFmtId="3" fontId="57" fillId="15" borderId="517" xfId="2" applyNumberFormat="1" applyFont="1" applyFill="1" applyBorder="1" applyAlignment="1">
      <alignment horizontal="center" vertical="center"/>
    </xf>
    <xf numFmtId="223" fontId="57" fillId="15" borderId="517" xfId="0" applyNumberFormat="1" applyFont="1" applyFill="1" applyBorder="1" applyAlignment="1">
      <alignment horizontal="center" vertical="center"/>
    </xf>
    <xf numFmtId="9" fontId="57" fillId="15" borderId="517" xfId="1" applyFont="1" applyFill="1" applyBorder="1" applyAlignment="1">
      <alignment horizontal="center" vertical="center"/>
    </xf>
    <xf numFmtId="183" fontId="57" fillId="0" borderId="590" xfId="0" applyNumberFormat="1" applyFont="1" applyBorder="1" applyAlignment="1">
      <alignment horizontal="center" vertical="center"/>
    </xf>
    <xf numFmtId="183" fontId="57" fillId="0" borderId="511" xfId="0" applyNumberFormat="1" applyFont="1" applyBorder="1">
      <alignment vertical="center"/>
    </xf>
    <xf numFmtId="183" fontId="57" fillId="0" borderId="591" xfId="0" applyNumberFormat="1" applyFont="1" applyBorder="1">
      <alignment vertical="center"/>
    </xf>
    <xf numFmtId="183" fontId="57" fillId="0" borderId="591" xfId="0" applyNumberFormat="1" applyFont="1" applyBorder="1" applyAlignment="1">
      <alignment horizontal="center" vertical="center"/>
    </xf>
    <xf numFmtId="178" fontId="57" fillId="0" borderId="590" xfId="0" applyNumberFormat="1" applyFont="1" applyBorder="1" applyAlignment="1">
      <alignment horizontal="center" vertical="center"/>
    </xf>
    <xf numFmtId="178" fontId="57" fillId="0" borderId="511" xfId="0" applyNumberFormat="1" applyFont="1" applyBorder="1" applyAlignment="1">
      <alignment horizontal="center" vertical="center" wrapText="1"/>
    </xf>
    <xf numFmtId="178" fontId="57" fillId="0" borderId="591" xfId="0" applyNumberFormat="1" applyFont="1" applyBorder="1" applyAlignment="1">
      <alignment horizontal="center" vertical="center"/>
    </xf>
    <xf numFmtId="178" fontId="57" fillId="0" borderId="511" xfId="0" applyNumberFormat="1" applyFont="1" applyBorder="1" applyAlignment="1">
      <alignment horizontal="center" vertical="center"/>
    </xf>
    <xf numFmtId="9" fontId="57" fillId="0" borderId="570" xfId="1" applyFont="1" applyBorder="1" applyAlignment="1">
      <alignment horizontal="center" vertical="center"/>
    </xf>
    <xf numFmtId="0" fontId="57" fillId="0" borderId="580" xfId="0" applyFont="1" applyFill="1" applyBorder="1" applyAlignment="1">
      <alignment horizontal="center" vertical="center" wrapText="1"/>
    </xf>
    <xf numFmtId="38" fontId="57" fillId="15" borderId="570" xfId="2" applyNumberFormat="1" applyFont="1" applyFill="1" applyBorder="1" applyAlignment="1">
      <alignment horizontal="center" vertical="center"/>
    </xf>
    <xf numFmtId="223" fontId="57" fillId="15" borderId="570" xfId="0" applyNumberFormat="1" applyFont="1" applyFill="1" applyBorder="1" applyAlignment="1">
      <alignment horizontal="center" vertical="center"/>
    </xf>
    <xf numFmtId="183" fontId="57" fillId="0" borderId="511" xfId="0" applyNumberFormat="1" applyFont="1" applyFill="1" applyBorder="1" applyAlignment="1">
      <alignment horizontal="center" vertical="center"/>
    </xf>
    <xf numFmtId="183" fontId="57" fillId="0" borderId="591" xfId="0" applyNumberFormat="1" applyFont="1" applyFill="1" applyBorder="1" applyAlignment="1">
      <alignment horizontal="center" vertical="center"/>
    </xf>
    <xf numFmtId="0" fontId="230" fillId="0" borderId="580" xfId="0" applyFont="1" applyFill="1" applyBorder="1" applyAlignment="1">
      <alignment horizontal="center" vertical="center" wrapText="1"/>
    </xf>
    <xf numFmtId="3" fontId="57" fillId="15" borderId="570" xfId="2" applyNumberFormat="1" applyFont="1" applyFill="1" applyBorder="1" applyAlignment="1">
      <alignment horizontal="center" vertical="center"/>
    </xf>
    <xf numFmtId="226" fontId="57" fillId="7" borderId="590" xfId="2" applyNumberFormat="1" applyFont="1" applyFill="1" applyBorder="1" applyAlignment="1">
      <alignment horizontal="center" vertical="center"/>
    </xf>
    <xf numFmtId="226" fontId="57" fillId="7" borderId="511" xfId="2" applyNumberFormat="1" applyFont="1" applyFill="1" applyBorder="1" applyAlignment="1">
      <alignment horizontal="center" vertical="center"/>
    </xf>
    <xf numFmtId="226" fontId="57" fillId="7" borderId="591" xfId="2" applyNumberFormat="1" applyFont="1" applyFill="1" applyBorder="1" applyAlignment="1">
      <alignment horizontal="center" vertical="center"/>
    </xf>
    <xf numFmtId="223" fontId="57" fillId="15" borderId="497" xfId="0" applyNumberFormat="1" applyFont="1" applyFill="1" applyBorder="1" applyAlignment="1">
      <alignment horizontal="center" vertical="center"/>
    </xf>
    <xf numFmtId="9" fontId="57" fillId="15" borderId="497" xfId="1" applyFont="1" applyFill="1" applyBorder="1" applyAlignment="1">
      <alignment horizontal="center" vertical="center"/>
    </xf>
    <xf numFmtId="0" fontId="176" fillId="127" borderId="518" xfId="0" applyFont="1" applyFill="1" applyBorder="1" applyAlignment="1">
      <alignment horizontal="center" vertical="center" wrapText="1"/>
    </xf>
    <xf numFmtId="0" fontId="177" fillId="126" borderId="592" xfId="0" applyFont="1" applyFill="1" applyBorder="1" applyAlignment="1">
      <alignment horizontal="center" vertical="center"/>
    </xf>
    <xf numFmtId="187" fontId="57" fillId="0" borderId="590" xfId="2" applyNumberFormat="1" applyFont="1" applyFill="1" applyBorder="1" applyAlignment="1">
      <alignment horizontal="center" vertical="center"/>
    </xf>
    <xf numFmtId="187" fontId="57" fillId="0" borderId="511" xfId="2" applyNumberFormat="1" applyFont="1" applyFill="1" applyBorder="1" applyAlignment="1">
      <alignment horizontal="center" vertical="center"/>
    </xf>
    <xf numFmtId="187" fontId="57" fillId="0" borderId="591" xfId="2" applyNumberFormat="1" applyFont="1" applyFill="1" applyBorder="1" applyAlignment="1">
      <alignment horizontal="center" vertical="center"/>
    </xf>
    <xf numFmtId="3" fontId="57" fillId="15" borderId="570" xfId="2" quotePrefix="1" applyNumberFormat="1" applyFont="1" applyFill="1" applyBorder="1" applyAlignment="1">
      <alignment horizontal="center" vertical="center"/>
    </xf>
    <xf numFmtId="9" fontId="57" fillId="15" borderId="570" xfId="1" applyFont="1" applyFill="1" applyBorder="1" applyAlignment="1">
      <alignment horizontal="center" vertical="center"/>
    </xf>
    <xf numFmtId="0" fontId="57" fillId="0" borderId="580" xfId="0" applyFont="1" applyFill="1" applyBorder="1" applyAlignment="1">
      <alignment horizontal="center" vertical="center"/>
    </xf>
    <xf numFmtId="187" fontId="57" fillId="0" borderId="484" xfId="2" applyNumberFormat="1" applyFont="1" applyFill="1" applyBorder="1" applyAlignment="1">
      <alignment horizontal="center" vertical="center"/>
    </xf>
    <xf numFmtId="223" fontId="57" fillId="15" borderId="516" xfId="0" applyNumberFormat="1" applyFont="1" applyFill="1" applyBorder="1" applyAlignment="1">
      <alignment horizontal="center" vertical="center"/>
    </xf>
    <xf numFmtId="9" fontId="57" fillId="15" borderId="516" xfId="1" applyFont="1" applyFill="1" applyBorder="1" applyAlignment="1">
      <alignment horizontal="center" vertical="center"/>
    </xf>
    <xf numFmtId="187" fontId="57" fillId="0" borderId="458" xfId="2" applyNumberFormat="1" applyFont="1" applyFill="1" applyBorder="1" applyAlignment="1">
      <alignment horizontal="center" vertical="center"/>
    </xf>
    <xf numFmtId="187" fontId="57" fillId="15" borderId="459" xfId="2" applyNumberFormat="1" applyFont="1" applyFill="1" applyBorder="1" applyAlignment="1">
      <alignment horizontal="center" vertical="center"/>
    </xf>
    <xf numFmtId="38" fontId="57" fillId="0" borderId="519" xfId="2" applyNumberFormat="1" applyFont="1" applyFill="1" applyBorder="1" applyAlignment="1">
      <alignment horizontal="center" vertical="center"/>
    </xf>
    <xf numFmtId="3" fontId="57" fillId="0" borderId="516" xfId="2" quotePrefix="1" applyNumberFormat="1" applyFont="1" applyFill="1" applyBorder="1" applyAlignment="1">
      <alignment horizontal="center" vertical="center"/>
    </xf>
    <xf numFmtId="223" fontId="57" fillId="0" borderId="516" xfId="0" applyNumberFormat="1" applyFont="1" applyFill="1" applyBorder="1" applyAlignment="1">
      <alignment horizontal="center" vertical="center"/>
    </xf>
    <xf numFmtId="9" fontId="57" fillId="0" borderId="517" xfId="1" applyFont="1" applyBorder="1" applyAlignment="1">
      <alignment horizontal="center" vertical="center"/>
    </xf>
    <xf numFmtId="0" fontId="57" fillId="0" borderId="518" xfId="0" applyFont="1" applyFill="1" applyBorder="1" applyAlignment="1">
      <alignment horizontal="center" vertical="center"/>
    </xf>
    <xf numFmtId="226" fontId="57" fillId="0" borderId="460" xfId="2" applyNumberFormat="1" applyFont="1" applyBorder="1" applyAlignment="1">
      <alignment horizontal="center" vertical="center"/>
    </xf>
    <xf numFmtId="226" fontId="57" fillId="0" borderId="461" xfId="2" applyNumberFormat="1" applyFont="1" applyBorder="1" applyAlignment="1">
      <alignment horizontal="center" vertical="center"/>
    </xf>
    <xf numFmtId="226" fontId="57" fillId="0" borderId="462" xfId="2" applyNumberFormat="1" applyFont="1" applyBorder="1" applyAlignment="1">
      <alignment horizontal="center" vertical="center"/>
    </xf>
    <xf numFmtId="0" fontId="57" fillId="15" borderId="518" xfId="0" applyFont="1" applyFill="1" applyBorder="1" applyAlignment="1">
      <alignment horizontal="center" vertical="center"/>
    </xf>
    <xf numFmtId="178" fontId="57" fillId="0" borderId="593" xfId="2" applyNumberFormat="1" applyFont="1" applyBorder="1" applyAlignment="1">
      <alignment horizontal="center" vertical="center"/>
    </xf>
    <xf numFmtId="0" fontId="57" fillId="15" borderId="594" xfId="0" applyFont="1" applyFill="1" applyBorder="1" applyAlignment="1">
      <alignment horizontal="center" vertical="center"/>
    </xf>
    <xf numFmtId="38" fontId="57" fillId="0" borderId="593" xfId="2" applyNumberFormat="1" applyFont="1" applyBorder="1" applyAlignment="1">
      <alignment horizontal="center" vertical="center"/>
    </xf>
    <xf numFmtId="38" fontId="57" fillId="0" borderId="516" xfId="2" applyNumberFormat="1" applyFont="1" applyBorder="1" applyAlignment="1">
      <alignment horizontal="center" vertical="center"/>
    </xf>
    <xf numFmtId="0" fontId="221" fillId="127" borderId="593" xfId="0" applyFont="1" applyFill="1" applyBorder="1" applyAlignment="1">
      <alignment horizontal="center" vertical="center"/>
    </xf>
    <xf numFmtId="0" fontId="227" fillId="127" borderId="593" xfId="0" applyFont="1" applyFill="1" applyBorder="1" applyAlignment="1">
      <alignment horizontal="center" vertical="center"/>
    </xf>
    <xf numFmtId="3" fontId="167" fillId="15" borderId="124" xfId="2" applyNumberFormat="1" applyFont="1" applyFill="1" applyBorder="1" applyAlignment="1">
      <alignment horizontal="center" vertical="center"/>
    </xf>
    <xf numFmtId="3" fontId="34" fillId="15" borderId="592" xfId="0" applyNumberFormat="1" applyFont="1" applyFill="1" applyBorder="1" applyAlignment="1">
      <alignment horizontal="center" vertical="center"/>
    </xf>
    <xf numFmtId="187" fontId="167" fillId="15" borderId="592" xfId="2" applyNumberFormat="1" applyFont="1" applyFill="1" applyBorder="1" applyAlignment="1">
      <alignment horizontal="center" vertical="center" wrapText="1"/>
    </xf>
    <xf numFmtId="187" fontId="213" fillId="15" borderId="592" xfId="2" applyNumberFormat="1" applyFont="1" applyFill="1" applyBorder="1" applyAlignment="1">
      <alignment horizontal="center" vertical="center" wrapText="1"/>
    </xf>
    <xf numFmtId="3" fontId="228" fillId="15" borderId="592" xfId="0" applyNumberFormat="1" applyFont="1" applyFill="1" applyBorder="1" applyAlignment="1">
      <alignment horizontal="center" vertical="center"/>
    </xf>
    <xf numFmtId="3" fontId="229" fillId="15" borderId="585" xfId="0" applyNumberFormat="1" applyFont="1" applyFill="1" applyBorder="1" applyAlignment="1">
      <alignment horizontal="center" vertical="center"/>
    </xf>
    <xf numFmtId="176" fontId="198" fillId="0" borderId="40" xfId="0" applyNumberFormat="1" applyFont="1" applyFill="1" applyBorder="1" applyAlignment="1">
      <alignment horizontal="center" vertical="center"/>
    </xf>
    <xf numFmtId="176" fontId="232" fillId="0" borderId="23" xfId="0" applyNumberFormat="1" applyFont="1" applyFill="1" applyBorder="1" applyAlignment="1">
      <alignment horizontal="center" vertical="center"/>
    </xf>
    <xf numFmtId="176" fontId="198" fillId="0" borderId="124" xfId="0" applyNumberFormat="1" applyFont="1" applyFill="1" applyBorder="1" applyAlignment="1">
      <alignment horizontal="center" vertical="center"/>
    </xf>
    <xf numFmtId="179" fontId="198" fillId="0" borderId="597" xfId="0" applyNumberFormat="1" applyFont="1" applyBorder="1" applyAlignment="1">
      <alignment horizontal="center" vertical="center"/>
    </xf>
    <xf numFmtId="177" fontId="198" fillId="0" borderId="593" xfId="0" applyNumberFormat="1" applyFont="1" applyBorder="1" applyAlignment="1">
      <alignment horizontal="center" vertical="center"/>
    </xf>
    <xf numFmtId="177" fontId="198" fillId="0" borderId="595" xfId="0" applyNumberFormat="1" applyFont="1" applyBorder="1" applyAlignment="1">
      <alignment horizontal="center" vertical="center"/>
    </xf>
    <xf numFmtId="177" fontId="198" fillId="0" borderId="596" xfId="0" applyNumberFormat="1" applyFont="1" applyBorder="1" applyAlignment="1">
      <alignment horizontal="center" vertical="center"/>
    </xf>
    <xf numFmtId="177" fontId="198" fillId="0" borderId="592" xfId="0" applyNumberFormat="1" applyFont="1" applyBorder="1" applyAlignment="1">
      <alignment horizontal="center" vertical="center"/>
    </xf>
    <xf numFmtId="223" fontId="34" fillId="0" borderId="595" xfId="0" applyNumberFormat="1" applyFont="1" applyBorder="1" applyAlignment="1">
      <alignment horizontal="center" vertical="center"/>
    </xf>
    <xf numFmtId="187" fontId="34" fillId="136" borderId="289" xfId="0" applyNumberFormat="1" applyFont="1" applyFill="1" applyBorder="1" applyAlignment="1">
      <alignment horizontal="center" vertical="center"/>
    </xf>
    <xf numFmtId="223" fontId="34" fillId="0" borderId="592" xfId="0" applyNumberFormat="1" applyFont="1" applyBorder="1" applyAlignment="1">
      <alignment horizontal="center" vertical="center"/>
    </xf>
    <xf numFmtId="223" fontId="232" fillId="0" borderId="308" xfId="0" applyNumberFormat="1" applyFont="1" applyFill="1" applyBorder="1" applyAlignment="1">
      <alignment horizontal="center" vertical="center"/>
    </xf>
    <xf numFmtId="223" fontId="232" fillId="0" borderId="597" xfId="0" applyNumberFormat="1" applyFont="1" applyFill="1" applyBorder="1" applyAlignment="1">
      <alignment horizontal="center" vertical="center"/>
    </xf>
    <xf numFmtId="223" fontId="232" fillId="0" borderId="585" xfId="0" applyNumberFormat="1" applyFont="1" applyFill="1" applyBorder="1" applyAlignment="1">
      <alignment horizontal="center" vertical="center"/>
    </xf>
    <xf numFmtId="223" fontId="34" fillId="130" borderId="289" xfId="0" applyNumberFormat="1" applyFont="1" applyFill="1" applyBorder="1" applyAlignment="1">
      <alignment horizontal="center" vertical="center"/>
    </xf>
    <xf numFmtId="187" fontId="198" fillId="0" borderId="466" xfId="0" applyNumberFormat="1" applyFont="1" applyFill="1" applyBorder="1" applyAlignment="1">
      <alignment horizontal="center" vertical="center"/>
    </xf>
    <xf numFmtId="0" fontId="176" fillId="127" borderId="593" xfId="0" applyFont="1" applyFill="1" applyBorder="1" applyAlignment="1">
      <alignment horizontal="center" vertical="center"/>
    </xf>
    <xf numFmtId="41" fontId="177" fillId="127" borderId="593" xfId="2" applyFont="1" applyFill="1" applyBorder="1" applyAlignment="1">
      <alignment horizontal="center" vertical="center"/>
    </xf>
    <xf numFmtId="187" fontId="198" fillId="0" borderId="593" xfId="0" applyNumberFormat="1" applyFont="1" applyFill="1" applyBorder="1" applyAlignment="1">
      <alignment horizontal="center" vertical="center"/>
    </xf>
    <xf numFmtId="187" fontId="198" fillId="117" borderId="466" xfId="0" applyNumberFormat="1" applyFont="1" applyFill="1" applyBorder="1" applyAlignment="1">
      <alignment horizontal="center" vertical="center"/>
    </xf>
    <xf numFmtId="179" fontId="198" fillId="117" borderId="465" xfId="0" applyNumberFormat="1" applyFont="1" applyFill="1" applyBorder="1" applyAlignment="1">
      <alignment horizontal="center" vertical="center"/>
    </xf>
    <xf numFmtId="179" fontId="198" fillId="117" borderId="585" xfId="0" applyNumberFormat="1" applyFont="1" applyFill="1" applyBorder="1" applyAlignment="1">
      <alignment horizontal="center" vertical="center"/>
    </xf>
    <xf numFmtId="179" fontId="232" fillId="117" borderId="493" xfId="0" applyNumberFormat="1" applyFont="1" applyFill="1" applyBorder="1" applyAlignment="1">
      <alignment horizontal="center" vertical="center"/>
    </xf>
    <xf numFmtId="223" fontId="34" fillId="0" borderId="465" xfId="0" applyNumberFormat="1" applyFont="1" applyBorder="1" applyAlignment="1">
      <alignment horizontal="center" vertical="center"/>
    </xf>
    <xf numFmtId="183" fontId="198" fillId="0" borderId="593" xfId="0" applyNumberFormat="1" applyFont="1" applyFill="1" applyBorder="1" applyAlignment="1">
      <alignment horizontal="center" vertical="center"/>
    </xf>
    <xf numFmtId="223" fontId="198" fillId="0" borderId="466" xfId="0" applyNumberFormat="1" applyFont="1" applyFill="1" applyBorder="1" applyAlignment="1">
      <alignment horizontal="center" vertical="center"/>
    </xf>
    <xf numFmtId="223" fontId="198" fillId="0" borderId="516" xfId="0" applyNumberFormat="1" applyFont="1" applyFill="1" applyBorder="1" applyAlignment="1">
      <alignment horizontal="center" vertical="center"/>
    </xf>
    <xf numFmtId="3" fontId="28" fillId="0" borderId="593" xfId="0" applyNumberFormat="1" applyFont="1" applyBorder="1" applyAlignment="1">
      <alignment horizontal="center" vertical="center"/>
    </xf>
    <xf numFmtId="187" fontId="28" fillId="0" borderId="593" xfId="2" applyNumberFormat="1" applyFont="1" applyFill="1" applyBorder="1" applyAlignment="1">
      <alignment horizontal="center" vertical="center" wrapText="1"/>
    </xf>
    <xf numFmtId="3" fontId="198" fillId="117" borderId="593" xfId="0" applyNumberFormat="1" applyFont="1" applyFill="1" applyBorder="1" applyAlignment="1">
      <alignment horizontal="center" vertical="center"/>
    </xf>
    <xf numFmtId="3" fontId="198" fillId="0" borderId="593" xfId="0" applyNumberFormat="1" applyFont="1" applyBorder="1" applyAlignment="1">
      <alignment horizontal="center" vertical="center"/>
    </xf>
    <xf numFmtId="3" fontId="28" fillId="0" borderId="595" xfId="0" applyNumberFormat="1" applyFont="1" applyBorder="1" applyAlignment="1">
      <alignment horizontal="center" vertical="center"/>
    </xf>
    <xf numFmtId="3" fontId="28" fillId="0" borderId="598" xfId="0" applyNumberFormat="1" applyFont="1" applyBorder="1" applyAlignment="1">
      <alignment horizontal="center" vertical="center"/>
    </xf>
    <xf numFmtId="41" fontId="177" fillId="127" borderId="595" xfId="2" applyFont="1" applyFill="1" applyBorder="1" applyAlignment="1">
      <alignment horizontal="center" vertical="center"/>
    </xf>
    <xf numFmtId="3" fontId="28" fillId="0" borderId="596" xfId="0" applyNumberFormat="1" applyFont="1" applyBorder="1" applyAlignment="1">
      <alignment horizontal="center" vertical="center"/>
    </xf>
    <xf numFmtId="179" fontId="198" fillId="0" borderId="466" xfId="0" applyNumberFormat="1" applyFont="1" applyFill="1" applyBorder="1" applyAlignment="1">
      <alignment horizontal="center" vertical="center"/>
    </xf>
    <xf numFmtId="179" fontId="198" fillId="0" borderId="593" xfId="0" applyNumberFormat="1" applyFont="1" applyFill="1" applyBorder="1" applyAlignment="1">
      <alignment horizontal="center" vertical="center"/>
    </xf>
    <xf numFmtId="179" fontId="198" fillId="0" borderId="465" xfId="0" applyNumberFormat="1" applyFont="1" applyFill="1" applyBorder="1" applyAlignment="1">
      <alignment horizontal="center" vertical="center"/>
    </xf>
    <xf numFmtId="179" fontId="229" fillId="15" borderId="597" xfId="0" applyNumberFormat="1" applyFont="1" applyFill="1" applyBorder="1" applyAlignment="1">
      <alignment horizontal="center" vertical="center"/>
    </xf>
    <xf numFmtId="179" fontId="232" fillId="0" borderId="493" xfId="0" applyNumberFormat="1" applyFont="1" applyFill="1" applyBorder="1" applyAlignment="1">
      <alignment horizontal="center" vertical="center"/>
    </xf>
    <xf numFmtId="183" fontId="198" fillId="0" borderId="40" xfId="0" applyNumberFormat="1" applyFont="1" applyFill="1" applyBorder="1" applyAlignment="1">
      <alignment horizontal="center" vertical="center"/>
    </xf>
    <xf numFmtId="183" fontId="229" fillId="15" borderId="308" xfId="0" applyNumberFormat="1" applyFont="1" applyFill="1" applyBorder="1" applyAlignment="1">
      <alignment horizontal="center" vertical="center"/>
    </xf>
    <xf numFmtId="183" fontId="232" fillId="0" borderId="23" xfId="0" applyNumberFormat="1" applyFont="1" applyFill="1" applyBorder="1" applyAlignment="1">
      <alignment horizontal="center" vertical="center"/>
    </xf>
    <xf numFmtId="3" fontId="34" fillId="0" borderId="596" xfId="0" applyNumberFormat="1" applyFont="1" applyBorder="1" applyAlignment="1">
      <alignment horizontal="center" vertical="center"/>
    </xf>
    <xf numFmtId="3" fontId="28" fillId="0" borderId="599" xfId="0" applyNumberFormat="1" applyFont="1" applyBorder="1" applyAlignment="1">
      <alignment horizontal="center" vertical="center"/>
    </xf>
    <xf numFmtId="187" fontId="28" fillId="0" borderId="599" xfId="2" applyNumberFormat="1" applyFont="1" applyFill="1" applyBorder="1" applyAlignment="1">
      <alignment horizontal="center" vertical="center" wrapText="1"/>
    </xf>
    <xf numFmtId="187" fontId="28" fillId="0" borderId="595" xfId="2" applyNumberFormat="1" applyFont="1" applyFill="1" applyBorder="1" applyAlignment="1">
      <alignment horizontal="center" vertical="center" wrapText="1"/>
    </xf>
    <xf numFmtId="187" fontId="57" fillId="7" borderId="599" xfId="2" applyNumberFormat="1" applyFont="1" applyFill="1" applyBorder="1" applyAlignment="1">
      <alignment horizontal="center" vertical="center"/>
    </xf>
    <xf numFmtId="0" fontId="227" fillId="127" borderId="595" xfId="0" applyFont="1" applyFill="1" applyBorder="1" applyAlignment="1">
      <alignment horizontal="center" vertical="center"/>
    </xf>
    <xf numFmtId="223" fontId="34" fillId="136" borderId="228" xfId="0" applyNumberFormat="1" applyFont="1" applyFill="1" applyBorder="1" applyAlignment="1">
      <alignment horizontal="center" vertical="center"/>
    </xf>
    <xf numFmtId="223" fontId="34" fillId="136" borderId="289" xfId="0" applyNumberFormat="1" applyFont="1" applyFill="1" applyBorder="1" applyAlignment="1">
      <alignment horizontal="center" vertical="center"/>
    </xf>
    <xf numFmtId="179" fontId="198" fillId="0" borderId="595" xfId="0" applyNumberFormat="1" applyFont="1" applyFill="1" applyBorder="1" applyAlignment="1">
      <alignment horizontal="center" vertical="center"/>
    </xf>
    <xf numFmtId="3" fontId="198" fillId="0" borderId="595" xfId="0" applyNumberFormat="1" applyFont="1" applyFill="1" applyBorder="1" applyAlignment="1">
      <alignment horizontal="center" vertical="center"/>
    </xf>
    <xf numFmtId="183" fontId="198" fillId="0" borderId="595" xfId="0" applyNumberFormat="1" applyFont="1" applyFill="1" applyBorder="1" applyAlignment="1">
      <alignment horizontal="center" vertical="center"/>
    </xf>
    <xf numFmtId="223" fontId="198" fillId="0" borderId="465" xfId="0" applyNumberFormat="1" applyFont="1" applyFill="1" applyBorder="1" applyAlignment="1">
      <alignment horizontal="center" vertical="center"/>
    </xf>
    <xf numFmtId="187" fontId="198" fillId="0" borderId="465" xfId="0" applyNumberFormat="1" applyFont="1" applyFill="1" applyBorder="1" applyAlignment="1">
      <alignment horizontal="center" vertical="center"/>
    </xf>
    <xf numFmtId="187" fontId="198" fillId="0" borderId="595" xfId="0" applyNumberFormat="1" applyFont="1" applyFill="1" applyBorder="1" applyAlignment="1">
      <alignment horizontal="center" vertical="center"/>
    </xf>
    <xf numFmtId="187" fontId="198" fillId="117" borderId="465" xfId="0" applyNumberFormat="1" applyFont="1" applyFill="1" applyBorder="1" applyAlignment="1">
      <alignment horizontal="center" vertical="center"/>
    </xf>
    <xf numFmtId="179" fontId="232" fillId="0" borderId="596" xfId="0" applyNumberFormat="1" applyFont="1" applyFill="1" applyBorder="1" applyAlignment="1">
      <alignment horizontal="center" vertical="center"/>
    </xf>
    <xf numFmtId="187" fontId="171" fillId="0" borderId="49" xfId="2" applyNumberFormat="1" applyFont="1" applyFill="1" applyBorder="1" applyAlignment="1">
      <alignment horizontal="center" vertical="center"/>
    </xf>
    <xf numFmtId="187" fontId="34" fillId="0" borderId="596" xfId="0" applyNumberFormat="1" applyFont="1" applyBorder="1" applyAlignment="1">
      <alignment horizontal="center" vertical="center"/>
    </xf>
    <xf numFmtId="187" fontId="34" fillId="0" borderId="519" xfId="0" applyNumberFormat="1" applyFont="1" applyBorder="1" applyAlignment="1">
      <alignment horizontal="center" vertical="center"/>
    </xf>
    <xf numFmtId="183" fontId="34" fillId="0" borderId="596" xfId="0" applyNumberFormat="1" applyFont="1" applyBorder="1" applyAlignment="1">
      <alignment horizontal="center" vertical="center"/>
    </xf>
    <xf numFmtId="183" fontId="34" fillId="0" borderId="493" xfId="0" applyNumberFormat="1" applyFont="1" applyBorder="1" applyAlignment="1">
      <alignment horizontal="center" vertical="center"/>
    </xf>
    <xf numFmtId="223" fontId="232" fillId="0" borderId="493" xfId="0" applyNumberFormat="1" applyFont="1" applyFill="1" applyBorder="1" applyAlignment="1">
      <alignment horizontal="center" vertical="center"/>
    </xf>
    <xf numFmtId="187" fontId="232" fillId="0" borderId="493" xfId="0" applyNumberFormat="1" applyFont="1" applyFill="1" applyBorder="1" applyAlignment="1">
      <alignment horizontal="center" vertical="center"/>
    </xf>
    <xf numFmtId="187" fontId="232" fillId="0" borderId="596" xfId="0" applyNumberFormat="1" applyFont="1" applyFill="1" applyBorder="1" applyAlignment="1">
      <alignment horizontal="center" vertical="center"/>
    </xf>
    <xf numFmtId="183" fontId="228" fillId="15" borderId="597" xfId="0" applyNumberFormat="1" applyFont="1" applyFill="1" applyBorder="1" applyAlignment="1">
      <alignment horizontal="center" vertical="center"/>
    </xf>
    <xf numFmtId="3" fontId="228" fillId="15" borderId="585" xfId="0" applyNumberFormat="1" applyFont="1" applyFill="1" applyBorder="1" applyAlignment="1">
      <alignment horizontal="center" vertical="center"/>
    </xf>
    <xf numFmtId="183" fontId="198" fillId="0" borderId="308" xfId="0" applyNumberFormat="1" applyFont="1" applyFill="1" applyBorder="1" applyAlignment="1">
      <alignment horizontal="center" vertical="center"/>
    </xf>
    <xf numFmtId="183" fontId="198" fillId="0" borderId="597" xfId="0" applyNumberFormat="1" applyFont="1" applyFill="1" applyBorder="1" applyAlignment="1">
      <alignment horizontal="center" vertical="center"/>
    </xf>
    <xf numFmtId="179" fontId="198" fillId="0" borderId="597" xfId="0" applyNumberFormat="1" applyFont="1" applyFill="1" applyBorder="1" applyAlignment="1">
      <alignment horizontal="center" vertical="center"/>
    </xf>
    <xf numFmtId="3" fontId="213" fillId="15" borderId="124" xfId="2" applyNumberFormat="1" applyFont="1" applyFill="1" applyBorder="1" applyAlignment="1">
      <alignment horizontal="center" vertical="center"/>
    </xf>
    <xf numFmtId="176" fontId="232" fillId="0" borderId="124" xfId="0" applyNumberFormat="1" applyFont="1" applyFill="1" applyBorder="1" applyAlignment="1">
      <alignment horizontal="center" vertical="center"/>
    </xf>
    <xf numFmtId="183" fontId="229" fillId="15" borderId="592" xfId="0" applyNumberFormat="1" applyFont="1" applyFill="1" applyBorder="1" applyAlignment="1">
      <alignment horizontal="center" vertical="center"/>
    </xf>
    <xf numFmtId="183" fontId="229" fillId="15" borderId="597" xfId="0" applyNumberFormat="1" applyFont="1" applyFill="1" applyBorder="1" applyAlignment="1">
      <alignment horizontal="center" vertical="center"/>
    </xf>
    <xf numFmtId="187" fontId="198" fillId="117" borderId="585" xfId="0" applyNumberFormat="1" applyFont="1" applyFill="1" applyBorder="1" applyAlignment="1">
      <alignment horizontal="center" vertical="center"/>
    </xf>
    <xf numFmtId="0" fontId="221" fillId="127" borderId="593" xfId="0" applyFont="1" applyFill="1" applyBorder="1" applyAlignment="1">
      <alignment vertical="center"/>
    </xf>
    <xf numFmtId="177" fontId="198" fillId="0" borderId="466" xfId="0" applyNumberFormat="1" applyFont="1" applyFill="1" applyBorder="1" applyAlignment="1">
      <alignment horizontal="center" vertical="center"/>
    </xf>
    <xf numFmtId="177" fontId="198" fillId="0" borderId="465" xfId="0" applyNumberFormat="1" applyFont="1" applyFill="1" applyBorder="1" applyAlignment="1">
      <alignment horizontal="center" vertical="center"/>
    </xf>
    <xf numFmtId="177" fontId="198" fillId="0" borderId="597" xfId="0" applyNumberFormat="1" applyFont="1" applyFill="1" applyBorder="1" applyAlignment="1">
      <alignment horizontal="center" vertical="center"/>
    </xf>
    <xf numFmtId="177" fontId="232" fillId="0" borderId="493" xfId="0" applyNumberFormat="1" applyFont="1" applyFill="1" applyBorder="1" applyAlignment="1">
      <alignment horizontal="center" vertical="center"/>
    </xf>
    <xf numFmtId="177" fontId="232" fillId="0" borderId="597" xfId="0" applyNumberFormat="1" applyFont="1" applyFill="1" applyBorder="1" applyAlignment="1">
      <alignment horizontal="center" vertical="center"/>
    </xf>
    <xf numFmtId="187" fontId="198" fillId="117" borderId="597" xfId="0" applyNumberFormat="1" applyFont="1" applyFill="1" applyBorder="1" applyAlignment="1">
      <alignment horizontal="center" vertical="center"/>
    </xf>
    <xf numFmtId="179" fontId="198" fillId="0" borderId="6" xfId="0" applyNumberFormat="1" applyFont="1" applyFill="1" applyBorder="1" applyAlignment="1">
      <alignment horizontal="center" vertical="center"/>
    </xf>
    <xf numFmtId="179" fontId="198" fillId="0" borderId="40" xfId="0" applyNumberFormat="1" applyFont="1" applyFill="1" applyBorder="1" applyAlignment="1">
      <alignment horizontal="center" vertical="center"/>
    </xf>
    <xf numFmtId="179" fontId="198" fillId="0" borderId="308" xfId="0" applyNumberFormat="1" applyFont="1" applyFill="1" applyBorder="1" applyAlignment="1">
      <alignment horizontal="center" vertical="center"/>
    </xf>
    <xf numFmtId="179" fontId="232" fillId="0" borderId="23" xfId="0" applyNumberFormat="1" applyFont="1" applyFill="1" applyBorder="1" applyAlignment="1">
      <alignment horizontal="center" vertical="center"/>
    </xf>
    <xf numFmtId="3" fontId="198" fillId="0" borderId="602" xfId="0" applyNumberFormat="1" applyFont="1" applyFill="1" applyBorder="1" applyAlignment="1">
      <alignment horizontal="center" vertical="center"/>
    </xf>
    <xf numFmtId="3" fontId="198" fillId="0" borderId="466" xfId="0" applyNumberFormat="1" applyFont="1" applyFill="1" applyBorder="1" applyAlignment="1">
      <alignment horizontal="center" vertical="center"/>
    </xf>
    <xf numFmtId="3" fontId="198" fillId="0" borderId="465" xfId="0" applyNumberFormat="1" applyFont="1" applyFill="1" applyBorder="1" applyAlignment="1">
      <alignment horizontal="center" vertical="center"/>
    </xf>
    <xf numFmtId="3" fontId="228" fillId="15" borderId="597" xfId="0" applyNumberFormat="1" applyFont="1" applyFill="1" applyBorder="1" applyAlignment="1">
      <alignment horizontal="center" vertical="center"/>
    </xf>
    <xf numFmtId="187" fontId="34" fillId="0" borderId="493" xfId="0" applyNumberFormat="1" applyFont="1" applyBorder="1" applyAlignment="1">
      <alignment horizontal="center" vertical="center"/>
    </xf>
    <xf numFmtId="179" fontId="232" fillId="0" borderId="308" xfId="0" applyNumberFormat="1" applyFont="1" applyFill="1" applyBorder="1" applyAlignment="1">
      <alignment horizontal="center" vertical="center"/>
    </xf>
    <xf numFmtId="179" fontId="198" fillId="117" borderId="466" xfId="0" applyNumberFormat="1" applyFont="1" applyFill="1" applyBorder="1" applyAlignment="1">
      <alignment horizontal="center" vertical="center"/>
    </xf>
    <xf numFmtId="223" fontId="171" fillId="0" borderId="47" xfId="2" applyNumberFormat="1" applyFont="1" applyFill="1" applyBorder="1" applyAlignment="1">
      <alignment horizontal="center" vertical="center"/>
    </xf>
    <xf numFmtId="223" fontId="171" fillId="0" borderId="124" xfId="2" applyNumberFormat="1" applyFont="1" applyFill="1" applyBorder="1" applyAlignment="1">
      <alignment horizontal="center" vertical="center"/>
    </xf>
    <xf numFmtId="3" fontId="198" fillId="117" borderId="595" xfId="0" applyNumberFormat="1" applyFont="1" applyFill="1" applyBorder="1" applyAlignment="1">
      <alignment horizontal="center" vertical="center"/>
    </xf>
    <xf numFmtId="3" fontId="228" fillId="117" borderId="592" xfId="0" applyNumberFormat="1" applyFont="1" applyFill="1" applyBorder="1" applyAlignment="1">
      <alignment horizontal="center" vertical="center"/>
    </xf>
    <xf numFmtId="3" fontId="198" fillId="0" borderId="593" xfId="0" applyNumberFormat="1" applyFont="1" applyFill="1" applyBorder="1" applyAlignment="1">
      <alignment horizontal="center" vertical="center"/>
    </xf>
    <xf numFmtId="187" fontId="28" fillId="0" borderId="589" xfId="2" applyNumberFormat="1" applyFont="1" applyFill="1" applyBorder="1" applyAlignment="1">
      <alignment horizontal="center" vertical="center" wrapText="1"/>
    </xf>
    <xf numFmtId="3" fontId="198" fillId="0" borderId="589" xfId="0" applyNumberFormat="1" applyFont="1" applyFill="1" applyBorder="1" applyAlignment="1">
      <alignment horizontal="center" vertical="center"/>
    </xf>
    <xf numFmtId="187" fontId="198" fillId="117" borderId="516" xfId="0" applyNumberFormat="1" applyFont="1" applyFill="1" applyBorder="1" applyAlignment="1">
      <alignment horizontal="center" vertical="center"/>
    </xf>
    <xf numFmtId="187" fontId="198" fillId="117" borderId="517" xfId="0" applyNumberFormat="1" applyFont="1" applyFill="1" applyBorder="1" applyAlignment="1">
      <alignment horizontal="center" vertical="center"/>
    </xf>
    <xf numFmtId="0" fontId="221" fillId="125" borderId="137" xfId="0" applyFont="1" applyFill="1" applyBorder="1" applyAlignment="1">
      <alignment horizontal="center" vertical="center" wrapText="1"/>
    </xf>
    <xf numFmtId="187" fontId="232" fillId="117" borderId="516" xfId="0" applyNumberFormat="1" applyFont="1" applyFill="1" applyBorder="1" applyAlignment="1">
      <alignment horizontal="center" vertical="center"/>
    </xf>
    <xf numFmtId="3" fontId="198" fillId="0" borderId="602" xfId="0" applyNumberFormat="1" applyFont="1" applyBorder="1" applyAlignment="1">
      <alignment horizontal="center" vertical="center"/>
    </xf>
    <xf numFmtId="176" fontId="232" fillId="4" borderId="6" xfId="0" applyNumberFormat="1" applyFont="1" applyFill="1" applyBorder="1" applyAlignment="1">
      <alignment horizontal="center" vertical="center"/>
    </xf>
    <xf numFmtId="223" fontId="232" fillId="4" borderId="516" xfId="0" applyNumberFormat="1" applyFont="1" applyFill="1" applyBorder="1" applyAlignment="1">
      <alignment horizontal="center" vertical="center"/>
    </xf>
    <xf numFmtId="176" fontId="198" fillId="0" borderId="5" xfId="0" applyNumberFormat="1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187" fontId="165" fillId="0" borderId="216" xfId="0" applyNumberFormat="1" applyFont="1" applyBorder="1" applyAlignment="1">
      <alignment horizontal="center" vertical="center" wrapText="1"/>
    </xf>
    <xf numFmtId="187" fontId="176" fillId="125" borderId="472" xfId="0" applyNumberFormat="1" applyFont="1" applyFill="1" applyBorder="1" applyAlignment="1">
      <alignment horizontal="center" vertical="center"/>
    </xf>
    <xf numFmtId="9" fontId="28" fillId="0" borderId="255" xfId="1" applyFont="1" applyBorder="1" applyAlignment="1">
      <alignment horizontal="center" vertical="center" wrapText="1"/>
    </xf>
    <xf numFmtId="0" fontId="227" fillId="127" borderId="604" xfId="0" applyFont="1" applyFill="1" applyBorder="1" applyAlignment="1">
      <alignment horizontal="center" vertical="center"/>
    </xf>
    <xf numFmtId="179" fontId="198" fillId="0" borderId="605" xfId="0" applyNumberFormat="1" applyFont="1" applyBorder="1" applyAlignment="1">
      <alignment horizontal="center" vertical="center"/>
    </xf>
    <xf numFmtId="41" fontId="177" fillId="127" borderId="603" xfId="2" applyFont="1" applyFill="1" applyBorder="1" applyAlignment="1">
      <alignment horizontal="center" vertical="center"/>
    </xf>
    <xf numFmtId="0" fontId="227" fillId="127" borderId="603" xfId="0" applyFont="1" applyFill="1" applyBorder="1" applyAlignment="1">
      <alignment horizontal="center" vertical="center"/>
    </xf>
    <xf numFmtId="0" fontId="176" fillId="125" borderId="590" xfId="0" applyFont="1" applyFill="1" applyBorder="1" applyAlignment="1">
      <alignment horizontal="center" vertical="center"/>
    </xf>
    <xf numFmtId="0" fontId="176" fillId="125" borderId="591" xfId="0" applyFont="1" applyFill="1" applyBorder="1" applyAlignment="1">
      <alignment horizontal="center" vertical="center"/>
    </xf>
    <xf numFmtId="0" fontId="176" fillId="125" borderId="593" xfId="0" applyFont="1" applyFill="1" applyBorder="1" applyAlignment="1">
      <alignment horizontal="center" vertical="center"/>
    </xf>
    <xf numFmtId="0" fontId="176" fillId="125" borderId="595" xfId="0" applyFont="1" applyFill="1" applyBorder="1" applyAlignment="1">
      <alignment horizontal="center" vertical="center"/>
    </xf>
    <xf numFmtId="0" fontId="176" fillId="125" borderId="600" xfId="0" quotePrefix="1" applyFont="1" applyFill="1" applyBorder="1" applyAlignment="1">
      <alignment horizontal="center" vertical="center"/>
    </xf>
    <xf numFmtId="0" fontId="176" fillId="125" borderId="595" xfId="0" quotePrefix="1" applyFont="1" applyFill="1" applyBorder="1" applyAlignment="1">
      <alignment horizontal="center" vertical="center"/>
    </xf>
    <xf numFmtId="0" fontId="176" fillId="127" borderId="598" xfId="0" applyFont="1" applyFill="1" applyBorder="1" applyAlignment="1">
      <alignment horizontal="center" vertical="center"/>
    </xf>
    <xf numFmtId="41" fontId="177" fillId="126" borderId="592" xfId="2" applyFont="1" applyFill="1" applyBorder="1" applyAlignment="1">
      <alignment horizontal="center" vertical="center"/>
    </xf>
    <xf numFmtId="3" fontId="57" fillId="0" borderId="590" xfId="2" applyNumberFormat="1" applyFont="1" applyBorder="1" applyAlignment="1">
      <alignment horizontal="center" vertical="center"/>
    </xf>
    <xf numFmtId="3" fontId="57" fillId="0" borderId="511" xfId="2" applyNumberFormat="1" applyFont="1" applyBorder="1" applyAlignment="1">
      <alignment horizontal="center" vertical="center"/>
    </xf>
    <xf numFmtId="3" fontId="57" fillId="0" borderId="591" xfId="2" applyNumberFormat="1" applyFont="1" applyBorder="1" applyAlignment="1">
      <alignment horizontal="center" vertical="center"/>
    </xf>
    <xf numFmtId="3" fontId="57" fillId="0" borderId="600" xfId="2" applyNumberFormat="1" applyFont="1" applyBorder="1" applyAlignment="1">
      <alignment horizontal="center" vertical="center"/>
    </xf>
    <xf numFmtId="3" fontId="57" fillId="0" borderId="595" xfId="2" applyNumberFormat="1" applyFont="1" applyBorder="1" applyAlignment="1">
      <alignment horizontal="center" vertical="center"/>
    </xf>
    <xf numFmtId="3" fontId="57" fillId="15" borderId="595" xfId="2" applyNumberFormat="1" applyFont="1" applyFill="1" applyBorder="1" applyAlignment="1">
      <alignment horizontal="center" vertical="center"/>
    </xf>
    <xf numFmtId="3" fontId="57" fillId="15" borderId="593" xfId="2" applyNumberFormat="1" applyFont="1" applyFill="1" applyBorder="1" applyAlignment="1">
      <alignment horizontal="center" vertical="center"/>
    </xf>
    <xf numFmtId="187" fontId="57" fillId="15" borderId="595" xfId="2" applyNumberFormat="1" applyFont="1" applyFill="1" applyBorder="1" applyAlignment="1">
      <alignment horizontal="center" vertical="center"/>
    </xf>
    <xf numFmtId="0" fontId="57" fillId="15" borderId="598" xfId="0" applyFont="1" applyFill="1" applyBorder="1" applyAlignment="1">
      <alignment horizontal="center" vertical="center"/>
    </xf>
    <xf numFmtId="183" fontId="57" fillId="0" borderId="591" xfId="2" applyNumberFormat="1" applyFont="1" applyBorder="1" applyAlignment="1">
      <alignment horizontal="center" vertical="center"/>
    </xf>
    <xf numFmtId="183" fontId="57" fillId="0" borderId="600" xfId="2" applyNumberFormat="1" applyFont="1" applyBorder="1" applyAlignment="1">
      <alignment horizontal="center" vertical="center"/>
    </xf>
    <xf numFmtId="183" fontId="57" fillId="0" borderId="595" xfId="2" applyNumberFormat="1" applyFont="1" applyBorder="1" applyAlignment="1">
      <alignment horizontal="center" vertical="center"/>
    </xf>
    <xf numFmtId="187" fontId="57" fillId="0" borderId="595" xfId="2" applyNumberFormat="1" applyFont="1" applyBorder="1" applyAlignment="1">
      <alignment horizontal="center" vertical="center"/>
    </xf>
    <xf numFmtId="223" fontId="57" fillId="0" borderId="595" xfId="2" applyNumberFormat="1" applyFont="1" applyBorder="1" applyAlignment="1">
      <alignment horizontal="center" vertical="center"/>
    </xf>
    <xf numFmtId="9" fontId="57" fillId="0" borderId="595" xfId="1" applyFont="1" applyBorder="1" applyAlignment="1">
      <alignment horizontal="center" vertical="center"/>
    </xf>
    <xf numFmtId="0" fontId="57" fillId="0" borderId="598" xfId="0" applyFont="1" applyBorder="1" applyAlignment="1">
      <alignment horizontal="center" vertical="center"/>
    </xf>
    <xf numFmtId="0" fontId="176" fillId="127" borderId="594" xfId="0" applyFont="1" applyFill="1" applyBorder="1" applyAlignment="1">
      <alignment horizontal="center" vertical="center"/>
    </xf>
    <xf numFmtId="0" fontId="177" fillId="126" borderId="597" xfId="0" applyFont="1" applyFill="1" applyBorder="1" applyAlignment="1">
      <alignment horizontal="center" vertical="center"/>
    </xf>
    <xf numFmtId="183" fontId="57" fillId="0" borderId="458" xfId="0" applyNumberFormat="1" applyFont="1" applyBorder="1" applyAlignment="1">
      <alignment horizontal="center" vertical="center"/>
    </xf>
    <xf numFmtId="183" fontId="57" fillId="0" borderId="602" xfId="2" applyNumberFormat="1" applyFont="1" applyBorder="1" applyAlignment="1">
      <alignment horizontal="center" vertical="center"/>
    </xf>
    <xf numFmtId="183" fontId="57" fillId="0" borderId="594" xfId="2" applyNumberFormat="1" applyFont="1" applyBorder="1" applyAlignment="1">
      <alignment horizontal="center" vertical="center"/>
    </xf>
    <xf numFmtId="183" fontId="57" fillId="0" borderId="607" xfId="2" applyNumberFormat="1" applyFont="1" applyBorder="1" applyAlignment="1">
      <alignment horizontal="center" vertical="center"/>
    </xf>
    <xf numFmtId="183" fontId="57" fillId="0" borderId="604" xfId="2" applyNumberFormat="1" applyFont="1" applyBorder="1" applyAlignment="1">
      <alignment horizontal="center" vertical="center"/>
    </xf>
    <xf numFmtId="183" fontId="28" fillId="0" borderId="604" xfId="2" applyNumberFormat="1" applyFont="1" applyBorder="1" applyAlignment="1">
      <alignment horizontal="center" vertical="center"/>
    </xf>
    <xf numFmtId="183" fontId="57" fillId="0" borderId="603" xfId="2" applyNumberFormat="1" applyFont="1" applyBorder="1" applyAlignment="1">
      <alignment horizontal="center" vertical="center"/>
    </xf>
    <xf numFmtId="38" fontId="57" fillId="0" borderId="605" xfId="2" applyNumberFormat="1" applyFont="1" applyBorder="1" applyAlignment="1">
      <alignment horizontal="center" vertical="center"/>
    </xf>
    <xf numFmtId="38" fontId="57" fillId="0" borderId="603" xfId="2" applyNumberFormat="1" applyFont="1" applyBorder="1" applyAlignment="1">
      <alignment horizontal="center" vertical="center"/>
    </xf>
    <xf numFmtId="187" fontId="57" fillId="0" borderId="604" xfId="2" applyNumberFormat="1" applyFont="1" applyBorder="1" applyAlignment="1">
      <alignment horizontal="center" vertical="center"/>
    </xf>
    <xf numFmtId="223" fontId="57" fillId="0" borderId="603" xfId="2" applyNumberFormat="1" applyFont="1" applyBorder="1" applyAlignment="1">
      <alignment horizontal="center" vertical="center"/>
    </xf>
    <xf numFmtId="9" fontId="57" fillId="0" borderId="604" xfId="1" applyFont="1" applyBorder="1" applyAlignment="1">
      <alignment horizontal="center" vertical="center"/>
    </xf>
    <xf numFmtId="183" fontId="57" fillId="0" borderId="484" xfId="2" applyNumberFormat="1" applyFont="1" applyBorder="1" applyAlignment="1">
      <alignment horizontal="center" vertical="center"/>
    </xf>
    <xf numFmtId="183" fontId="57" fillId="0" borderId="474" xfId="2" applyNumberFormat="1" applyFont="1" applyBorder="1" applyAlignment="1">
      <alignment horizontal="center" vertical="center"/>
    </xf>
    <xf numFmtId="178" fontId="57" fillId="0" borderId="474" xfId="2" applyNumberFormat="1" applyFont="1" applyBorder="1" applyAlignment="1">
      <alignment horizontal="center" vertical="center"/>
    </xf>
    <xf numFmtId="178" fontId="57" fillId="0" borderId="517" xfId="2" applyNumberFormat="1" applyFont="1" applyBorder="1" applyAlignment="1">
      <alignment horizontal="center" vertical="center"/>
    </xf>
    <xf numFmtId="183" fontId="28" fillId="0" borderId="517" xfId="2" applyNumberFormat="1" applyFont="1" applyBorder="1" applyAlignment="1">
      <alignment horizontal="center" vertical="center"/>
    </xf>
    <xf numFmtId="183" fontId="57" fillId="15" borderId="517" xfId="2" applyNumberFormat="1" applyFont="1" applyFill="1" applyBorder="1" applyAlignment="1">
      <alignment horizontal="center" vertical="center"/>
    </xf>
    <xf numFmtId="183" fontId="57" fillId="15" borderId="516" xfId="2" applyNumberFormat="1" applyFont="1" applyFill="1" applyBorder="1" applyAlignment="1">
      <alignment horizontal="center" vertical="center"/>
    </xf>
    <xf numFmtId="187" fontId="57" fillId="15" borderId="517" xfId="2" applyNumberFormat="1" applyFont="1" applyFill="1" applyBorder="1" applyAlignment="1">
      <alignment horizontal="center" vertical="center"/>
    </xf>
    <xf numFmtId="223" fontId="57" fillId="15" borderId="517" xfId="2" applyNumberFormat="1" applyFont="1" applyFill="1" applyBorder="1" applyAlignment="1">
      <alignment horizontal="center" vertical="center"/>
    </xf>
    <xf numFmtId="0" fontId="57" fillId="0" borderId="598" xfId="0" applyFont="1" applyFill="1" applyBorder="1" applyAlignment="1">
      <alignment horizontal="center" vertical="center"/>
    </xf>
    <xf numFmtId="0" fontId="176" fillId="127" borderId="598" xfId="0" applyFont="1" applyFill="1" applyBorder="1" applyAlignment="1">
      <alignment horizontal="center"/>
    </xf>
    <xf numFmtId="183" fontId="57" fillId="0" borderId="590" xfId="2" applyNumberFormat="1" applyFont="1" applyBorder="1" applyAlignment="1">
      <alignment horizontal="center" vertical="center"/>
    </xf>
    <xf numFmtId="178" fontId="57" fillId="0" borderId="511" xfId="2" applyNumberFormat="1" applyFont="1" applyBorder="1" applyAlignment="1">
      <alignment horizontal="center" vertical="center"/>
    </xf>
    <xf numFmtId="178" fontId="57" fillId="0" borderId="591" xfId="2" applyNumberFormat="1" applyFont="1" applyBorder="1" applyAlignment="1">
      <alignment horizontal="center" vertical="center"/>
    </xf>
    <xf numFmtId="178" fontId="57" fillId="0" borderId="589" xfId="2" applyNumberFormat="1" applyFont="1" applyBorder="1" applyAlignment="1">
      <alignment horizontal="center" vertical="center"/>
    </xf>
    <xf numFmtId="38" fontId="57" fillId="15" borderId="593" xfId="2" applyNumberFormat="1" applyFont="1" applyFill="1" applyBorder="1" applyAlignment="1">
      <alignment horizontal="center" vertical="center"/>
    </xf>
    <xf numFmtId="223" fontId="57" fillId="15" borderId="595" xfId="2" applyNumberFormat="1" applyFont="1" applyFill="1" applyBorder="1" applyAlignment="1">
      <alignment horizontal="center" vertical="center"/>
    </xf>
    <xf numFmtId="9" fontId="57" fillId="15" borderId="595" xfId="1" applyFont="1" applyFill="1" applyBorder="1" applyAlignment="1">
      <alignment horizontal="center" vertical="center"/>
    </xf>
    <xf numFmtId="178" fontId="57" fillId="15" borderId="511" xfId="2" applyNumberFormat="1" applyFont="1" applyFill="1" applyBorder="1" applyAlignment="1">
      <alignment horizontal="center" vertical="center"/>
    </xf>
    <xf numFmtId="0" fontId="176" fillId="127" borderId="594" xfId="0" applyFont="1" applyFill="1" applyBorder="1" applyAlignment="1">
      <alignment horizontal="center" vertical="center" wrapText="1"/>
    </xf>
    <xf numFmtId="183" fontId="57" fillId="0" borderId="601" xfId="2" applyNumberFormat="1" applyFont="1" applyFill="1" applyBorder="1" applyAlignment="1">
      <alignment horizontal="center" vertical="center"/>
    </xf>
    <xf numFmtId="183" fontId="57" fillId="15" borderId="604" xfId="2" applyNumberFormat="1" applyFont="1" applyFill="1" applyBorder="1" applyAlignment="1">
      <alignment horizontal="center" vertical="center"/>
    </xf>
    <xf numFmtId="183" fontId="57" fillId="15" borderId="603" xfId="2" applyNumberFormat="1" applyFont="1" applyFill="1" applyBorder="1" applyAlignment="1">
      <alignment horizontal="center" vertical="center"/>
    </xf>
    <xf numFmtId="38" fontId="57" fillId="15" borderId="603" xfId="2" applyNumberFormat="1" applyFont="1" applyFill="1" applyBorder="1" applyAlignment="1">
      <alignment horizontal="center" vertical="center"/>
    </xf>
    <xf numFmtId="187" fontId="57" fillId="15" borderId="604" xfId="2" applyNumberFormat="1" applyFont="1" applyFill="1" applyBorder="1" applyAlignment="1">
      <alignment horizontal="center" vertical="center"/>
    </xf>
    <xf numFmtId="223" fontId="57" fillId="15" borderId="604" xfId="2" applyNumberFormat="1" applyFont="1" applyFill="1" applyBorder="1" applyAlignment="1">
      <alignment horizontal="center" vertical="center"/>
    </xf>
    <xf numFmtId="9" fontId="57" fillId="15" borderId="604" xfId="1" applyFont="1" applyFill="1" applyBorder="1" applyAlignment="1">
      <alignment horizontal="center" vertical="center"/>
    </xf>
    <xf numFmtId="178" fontId="57" fillId="0" borderId="449" xfId="2" applyNumberFormat="1" applyFont="1" applyBorder="1" applyAlignment="1">
      <alignment horizontal="center" vertical="center"/>
    </xf>
    <xf numFmtId="178" fontId="57" fillId="0" borderId="601" xfId="2" applyNumberFormat="1" applyFont="1" applyBorder="1" applyAlignment="1">
      <alignment horizontal="center" vertical="center"/>
    </xf>
    <xf numFmtId="183" fontId="28" fillId="7" borderId="594" xfId="2" applyNumberFormat="1" applyFont="1" applyFill="1" applyBorder="1" applyAlignment="1">
      <alignment horizontal="center" vertical="center"/>
    </xf>
    <xf numFmtId="2" fontId="57" fillId="0" borderId="607" xfId="0" applyNumberFormat="1" applyFont="1" applyBorder="1" applyAlignment="1">
      <alignment horizontal="center" vertical="center"/>
    </xf>
    <xf numFmtId="2" fontId="57" fillId="0" borderId="604" xfId="0" applyNumberFormat="1" applyFont="1" applyBorder="1" applyAlignment="1">
      <alignment horizontal="center" vertical="center"/>
    </xf>
    <xf numFmtId="2" fontId="28" fillId="0" borderId="604" xfId="0" applyNumberFormat="1" applyFont="1" applyBorder="1" applyAlignment="1">
      <alignment horizontal="center" vertical="center"/>
    </xf>
    <xf numFmtId="223" fontId="57" fillId="0" borderId="604" xfId="2" applyNumberFormat="1" applyFont="1" applyBorder="1" applyAlignment="1">
      <alignment horizontal="center" vertical="center"/>
    </xf>
    <xf numFmtId="183" fontId="57" fillId="0" borderId="458" xfId="0" applyNumberFormat="1" applyFont="1" applyFill="1" applyBorder="1" applyAlignment="1">
      <alignment horizontal="center" vertical="center"/>
    </xf>
    <xf numFmtId="183" fontId="57" fillId="0" borderId="459" xfId="0" applyNumberFormat="1" applyFont="1" applyFill="1" applyBorder="1" applyAlignment="1">
      <alignment horizontal="center" vertical="center"/>
    </xf>
    <xf numFmtId="183" fontId="57" fillId="0" borderId="607" xfId="2" applyNumberFormat="1" applyFont="1" applyFill="1" applyBorder="1" applyAlignment="1">
      <alignment horizontal="center" vertical="center" wrapText="1"/>
    </xf>
    <xf numFmtId="183" fontId="57" fillId="0" borderId="604" xfId="2" applyNumberFormat="1" applyFont="1" applyFill="1" applyBorder="1" applyAlignment="1">
      <alignment horizontal="center" vertical="center"/>
    </xf>
    <xf numFmtId="38" fontId="57" fillId="0" borderId="605" xfId="2" applyNumberFormat="1" applyFont="1" applyFill="1" applyBorder="1" applyAlignment="1">
      <alignment horizontal="center" vertical="center"/>
    </xf>
    <xf numFmtId="187" fontId="57" fillId="0" borderId="604" xfId="2" applyNumberFormat="1" applyFont="1" applyFill="1" applyBorder="1" applyAlignment="1">
      <alignment horizontal="center" vertical="center"/>
    </xf>
    <xf numFmtId="223" fontId="57" fillId="0" borderId="595" xfId="2" applyNumberFormat="1" applyFont="1" applyFill="1" applyBorder="1" applyAlignment="1">
      <alignment horizontal="center" vertical="center"/>
    </xf>
    <xf numFmtId="0" fontId="57" fillId="0" borderId="594" xfId="0" applyFont="1" applyFill="1" applyBorder="1" applyAlignment="1">
      <alignment horizontal="center" vertical="center"/>
    </xf>
    <xf numFmtId="0" fontId="176" fillId="127" borderId="594" xfId="0" applyFont="1" applyFill="1" applyBorder="1" applyAlignment="1">
      <alignment horizontal="center" vertical="center"/>
    </xf>
    <xf numFmtId="178" fontId="57" fillId="0" borderId="607" xfId="2" applyNumberFormat="1" applyFont="1" applyFill="1" applyBorder="1" applyAlignment="1">
      <alignment horizontal="center" vertical="center" wrapText="1"/>
    </xf>
    <xf numFmtId="178" fontId="57" fillId="0" borderId="604" xfId="2" applyNumberFormat="1" applyFont="1" applyFill="1" applyBorder="1" applyAlignment="1">
      <alignment horizontal="center" vertical="center" wrapText="1"/>
    </xf>
    <xf numFmtId="0" fontId="57" fillId="15" borderId="603" xfId="2" applyNumberFormat="1" applyFont="1" applyFill="1" applyBorder="1" applyAlignment="1">
      <alignment vertical="center"/>
    </xf>
    <xf numFmtId="187" fontId="57" fillId="15" borderId="603" xfId="2" applyNumberFormat="1" applyFont="1" applyFill="1" applyBorder="1" applyAlignment="1">
      <alignment vertical="center"/>
    </xf>
    <xf numFmtId="223" fontId="57" fillId="15" borderId="603" xfId="2" applyNumberFormat="1" applyFont="1" applyFill="1" applyBorder="1" applyAlignment="1">
      <alignment vertical="center"/>
    </xf>
    <xf numFmtId="183" fontId="57" fillId="0" borderId="604" xfId="2" applyNumberFormat="1" applyFont="1" applyFill="1" applyBorder="1" applyAlignment="1">
      <alignment horizontal="center" vertical="center" wrapText="1"/>
    </xf>
    <xf numFmtId="177" fontId="57" fillId="0" borderId="603" xfId="2" applyNumberFormat="1" applyFont="1" applyFill="1" applyBorder="1" applyAlignment="1">
      <alignment horizontal="center" vertical="center"/>
    </xf>
    <xf numFmtId="187" fontId="57" fillId="0" borderId="593" xfId="2" applyNumberFormat="1" applyFont="1" applyFill="1" applyBorder="1" applyAlignment="1">
      <alignment horizontal="center" vertical="center"/>
    </xf>
    <xf numFmtId="9" fontId="57" fillId="7" borderId="595" xfId="1" applyFont="1" applyFill="1" applyBorder="1" applyAlignment="1">
      <alignment horizontal="center" vertical="center"/>
    </xf>
    <xf numFmtId="38" fontId="57" fillId="15" borderId="593" xfId="2" applyNumberFormat="1" applyFont="1" applyFill="1" applyBorder="1" applyAlignment="1">
      <alignment vertical="center"/>
    </xf>
    <xf numFmtId="226" fontId="57" fillId="0" borderId="594" xfId="2" applyNumberFormat="1" applyFont="1" applyFill="1" applyBorder="1" applyAlignment="1">
      <alignment horizontal="center" vertical="center"/>
    </xf>
    <xf numFmtId="223" fontId="57" fillId="0" borderId="604" xfId="2" applyNumberFormat="1" applyFont="1" applyFill="1" applyBorder="1" applyAlignment="1">
      <alignment horizontal="center" vertical="center"/>
    </xf>
    <xf numFmtId="9" fontId="57" fillId="7" borderId="604" xfId="1" applyFont="1" applyFill="1" applyBorder="1" applyAlignment="1">
      <alignment horizontal="center" vertical="center"/>
    </xf>
    <xf numFmtId="187" fontId="57" fillId="7" borderId="595" xfId="2" applyNumberFormat="1" applyFont="1" applyFill="1" applyBorder="1" applyAlignment="1">
      <alignment horizontal="center" vertical="center"/>
    </xf>
    <xf numFmtId="187" fontId="57" fillId="7" borderId="593" xfId="2" applyNumberFormat="1" applyFont="1" applyFill="1" applyBorder="1" applyAlignment="1">
      <alignment horizontal="center" vertical="center"/>
    </xf>
    <xf numFmtId="226" fontId="57" fillId="7" borderId="590" xfId="0" applyNumberFormat="1" applyFont="1" applyFill="1" applyBorder="1" applyAlignment="1">
      <alignment horizontal="center" vertical="center"/>
    </xf>
    <xf numFmtId="226" fontId="57" fillId="7" borderId="473" xfId="2" applyNumberFormat="1" applyFont="1" applyFill="1" applyBorder="1" applyAlignment="1">
      <alignment horizontal="center" vertical="center"/>
    </xf>
    <xf numFmtId="183" fontId="57" fillId="7" borderId="600" xfId="2" applyNumberFormat="1" applyFont="1" applyFill="1" applyBorder="1" applyAlignment="1">
      <alignment horizontal="center" vertical="center"/>
    </xf>
    <xf numFmtId="183" fontId="57" fillId="7" borderId="595" xfId="2" applyNumberFormat="1" applyFont="1" applyFill="1" applyBorder="1" applyAlignment="1">
      <alignment horizontal="center" vertical="center"/>
    </xf>
    <xf numFmtId="179" fontId="57" fillId="7" borderId="595" xfId="2" applyNumberFormat="1" applyFont="1" applyFill="1" applyBorder="1" applyAlignment="1">
      <alignment horizontal="center" vertical="center"/>
    </xf>
    <xf numFmtId="38" fontId="57" fillId="7" borderId="596" xfId="2" applyNumberFormat="1" applyFont="1" applyFill="1" applyBorder="1" applyAlignment="1">
      <alignment horizontal="center" vertical="center"/>
    </xf>
    <xf numFmtId="0" fontId="57" fillId="7" borderId="598" xfId="0" applyFont="1" applyFill="1" applyBorder="1" applyAlignment="1">
      <alignment horizontal="center" vertical="center"/>
    </xf>
    <xf numFmtId="226" fontId="57" fillId="7" borderId="484" xfId="0" applyNumberFormat="1" applyFont="1" applyFill="1" applyBorder="1" applyAlignment="1">
      <alignment horizontal="center" vertical="center"/>
    </xf>
    <xf numFmtId="226" fontId="57" fillId="7" borderId="494" xfId="2" applyNumberFormat="1" applyFont="1" applyFill="1" applyBorder="1" applyAlignment="1">
      <alignment horizontal="center" vertical="center"/>
    </xf>
    <xf numFmtId="226" fontId="57" fillId="7" borderId="474" xfId="2" applyNumberFormat="1" applyFont="1" applyFill="1" applyBorder="1" applyAlignment="1">
      <alignment horizontal="center" vertical="center"/>
    </xf>
    <xf numFmtId="187" fontId="57" fillId="15" borderId="516" xfId="2" applyNumberFormat="1" applyFont="1" applyFill="1" applyBorder="1" applyAlignment="1">
      <alignment horizontal="center" vertical="center"/>
    </xf>
    <xf numFmtId="187" fontId="57" fillId="7" borderId="590" xfId="2" applyNumberFormat="1" applyFont="1" applyFill="1" applyBorder="1" applyAlignment="1">
      <alignment horizontal="center" vertical="center"/>
    </xf>
    <xf numFmtId="226" fontId="57" fillId="7" borderId="600" xfId="2" applyNumberFormat="1" applyFont="1" applyFill="1" applyBorder="1" applyAlignment="1">
      <alignment horizontal="center" vertical="center"/>
    </xf>
    <xf numFmtId="178" fontId="57" fillId="7" borderId="590" xfId="2" applyNumberFormat="1" applyFont="1" applyFill="1" applyBorder="1" applyAlignment="1">
      <alignment horizontal="center" vertical="center"/>
    </xf>
    <xf numFmtId="178" fontId="57" fillId="7" borderId="511" xfId="2" applyNumberFormat="1" applyFont="1" applyFill="1" applyBorder="1" applyAlignment="1">
      <alignment horizontal="center" vertical="center"/>
    </xf>
    <xf numFmtId="231" fontId="57" fillId="7" borderId="591" xfId="2" applyNumberFormat="1" applyFont="1" applyFill="1" applyBorder="1" applyAlignment="1">
      <alignment horizontal="center" vertical="center"/>
    </xf>
    <xf numFmtId="178" fontId="57" fillId="7" borderId="600" xfId="2" applyNumberFormat="1" applyFont="1" applyFill="1" applyBorder="1" applyAlignment="1">
      <alignment horizontal="center" vertical="center"/>
    </xf>
    <xf numFmtId="178" fontId="57" fillId="7" borderId="595" xfId="2" applyNumberFormat="1" applyFont="1" applyFill="1" applyBorder="1" applyAlignment="1">
      <alignment horizontal="center" vertical="center"/>
    </xf>
    <xf numFmtId="223" fontId="57" fillId="15" borderId="593" xfId="2" applyNumberFormat="1" applyFont="1" applyFill="1" applyBorder="1" applyAlignment="1">
      <alignment horizontal="center" vertical="center"/>
    </xf>
    <xf numFmtId="9" fontId="57" fillId="15" borderId="595" xfId="1" applyNumberFormat="1" applyFont="1" applyFill="1" applyBorder="1" applyAlignment="1">
      <alignment horizontal="center" vertical="center"/>
    </xf>
    <xf numFmtId="178" fontId="57" fillId="0" borderId="590" xfId="2" applyNumberFormat="1" applyFont="1" applyFill="1" applyBorder="1" applyAlignment="1">
      <alignment horizontal="center" vertical="center"/>
    </xf>
    <xf numFmtId="178" fontId="57" fillId="0" borderId="511" xfId="2" applyNumberFormat="1" applyFont="1" applyFill="1" applyBorder="1" applyAlignment="1">
      <alignment horizontal="center" vertical="center"/>
    </xf>
    <xf numFmtId="231" fontId="57" fillId="0" borderId="591" xfId="2" applyNumberFormat="1" applyFont="1" applyFill="1" applyBorder="1" applyAlignment="1">
      <alignment horizontal="center" vertical="center"/>
    </xf>
    <xf numFmtId="178" fontId="57" fillId="0" borderId="600" xfId="2" applyNumberFormat="1" applyFont="1" applyFill="1" applyBorder="1" applyAlignment="1">
      <alignment horizontal="center" vertical="center"/>
    </xf>
    <xf numFmtId="38" fontId="57" fillId="7" borderId="605" xfId="2" applyNumberFormat="1" applyFont="1" applyFill="1" applyBorder="1" applyAlignment="1">
      <alignment horizontal="center" vertical="center"/>
    </xf>
    <xf numFmtId="223" fontId="57" fillId="7" borderId="593" xfId="2" applyNumberFormat="1" applyFont="1" applyFill="1" applyBorder="1" applyAlignment="1">
      <alignment horizontal="center" vertical="center"/>
    </xf>
    <xf numFmtId="0" fontId="28" fillId="0" borderId="598" xfId="0" applyFont="1" applyFill="1" applyBorder="1" applyAlignment="1">
      <alignment horizontal="center" vertical="center"/>
    </xf>
    <xf numFmtId="187" fontId="57" fillId="0" borderId="600" xfId="2" applyNumberFormat="1" applyFont="1" applyFill="1" applyBorder="1" applyAlignment="1">
      <alignment horizontal="center" vertical="center"/>
    </xf>
    <xf numFmtId="187" fontId="57" fillId="0" borderId="595" xfId="2" applyNumberFormat="1" applyFont="1" applyFill="1" applyBorder="1" applyAlignment="1">
      <alignment horizontal="center" vertical="center"/>
    </xf>
    <xf numFmtId="38" fontId="57" fillId="7" borderId="603" xfId="2" applyNumberFormat="1" applyFont="1" applyFill="1" applyBorder="1" applyAlignment="1">
      <alignment horizontal="center" vertical="center"/>
    </xf>
    <xf numFmtId="223" fontId="57" fillId="0" borderId="603" xfId="2" applyNumberFormat="1" applyFont="1" applyFill="1" applyBorder="1" applyAlignment="1">
      <alignment horizontal="center" vertical="center"/>
    </xf>
    <xf numFmtId="178" fontId="57" fillId="7" borderId="458" xfId="2" applyNumberFormat="1" applyFont="1" applyFill="1" applyBorder="1" applyAlignment="1">
      <alignment horizontal="center" vertical="center"/>
    </xf>
    <xf numFmtId="178" fontId="57" fillId="7" borderId="459" xfId="2" applyNumberFormat="1" applyFont="1" applyFill="1" applyBorder="1" applyAlignment="1">
      <alignment horizontal="center" vertical="center"/>
    </xf>
    <xf numFmtId="178" fontId="57" fillId="7" borderId="602" xfId="2" applyNumberFormat="1" applyFont="1" applyFill="1" applyBorder="1" applyAlignment="1">
      <alignment horizontal="center" vertical="center"/>
    </xf>
    <xf numFmtId="226" fontId="57" fillId="7" borderId="594" xfId="2" applyNumberFormat="1" applyFont="1" applyFill="1" applyBorder="1" applyAlignment="1">
      <alignment horizontal="center" vertical="center"/>
    </xf>
    <xf numFmtId="178" fontId="57" fillId="7" borderId="607" xfId="2" applyNumberFormat="1" applyFont="1" applyFill="1" applyBorder="1" applyAlignment="1">
      <alignment horizontal="center" vertical="center"/>
    </xf>
    <xf numFmtId="178" fontId="57" fillId="7" borderId="604" xfId="2" applyNumberFormat="1" applyFont="1" applyFill="1" applyBorder="1" applyAlignment="1">
      <alignment horizontal="center" vertical="center"/>
    </xf>
    <xf numFmtId="187" fontId="57" fillId="7" borderId="604" xfId="2" applyNumberFormat="1" applyFont="1" applyFill="1" applyBorder="1" applyAlignment="1">
      <alignment horizontal="center" vertical="center"/>
    </xf>
    <xf numFmtId="0" fontId="57" fillId="7" borderId="594" xfId="0" applyFont="1" applyFill="1" applyBorder="1" applyAlignment="1">
      <alignment horizontal="center" vertical="center"/>
    </xf>
    <xf numFmtId="178" fontId="57" fillId="7" borderId="484" xfId="2" applyNumberFormat="1" applyFont="1" applyFill="1" applyBorder="1" applyAlignment="1">
      <alignment horizontal="center" vertical="center"/>
    </xf>
    <xf numFmtId="38" fontId="57" fillId="7" borderId="604" xfId="2" applyNumberFormat="1" applyFont="1" applyFill="1" applyBorder="1" applyAlignment="1">
      <alignment horizontal="center" vertical="center"/>
    </xf>
    <xf numFmtId="0" fontId="28" fillId="7" borderId="309" xfId="0" applyFont="1" applyFill="1" applyBorder="1">
      <alignment vertical="center"/>
    </xf>
    <xf numFmtId="3" fontId="57" fillId="7" borderId="309" xfId="2" applyNumberFormat="1" applyFont="1" applyFill="1" applyBorder="1" applyAlignment="1">
      <alignment horizontal="center" vertical="center"/>
    </xf>
    <xf numFmtId="187" fontId="57" fillId="7" borderId="309" xfId="2" applyNumberFormat="1" applyFont="1" applyFill="1" applyBorder="1" applyAlignment="1">
      <alignment horizontal="center" vertical="center"/>
    </xf>
    <xf numFmtId="3" fontId="232" fillId="15" borderId="406" xfId="0" applyNumberFormat="1" applyFont="1" applyFill="1" applyBorder="1" applyAlignment="1">
      <alignment horizontal="center" vertical="center"/>
    </xf>
    <xf numFmtId="3" fontId="232" fillId="15" borderId="581" xfId="0" applyNumberFormat="1" applyFont="1" applyFill="1" applyBorder="1" applyAlignment="1">
      <alignment horizontal="center" vertical="center"/>
    </xf>
    <xf numFmtId="3" fontId="176" fillId="125" borderId="604" xfId="2" applyNumberFormat="1" applyFont="1" applyFill="1" applyBorder="1" applyAlignment="1">
      <alignment horizontal="center" vertical="center" wrapText="1"/>
    </xf>
    <xf numFmtId="3" fontId="28" fillId="0" borderId="47" xfId="2" applyNumberFormat="1" applyFont="1" applyFill="1" applyBorder="1" applyAlignment="1">
      <alignment horizontal="center" vertical="center" wrapText="1"/>
    </xf>
    <xf numFmtId="3" fontId="28" fillId="0" borderId="595" xfId="2" applyNumberFormat="1" applyFont="1" applyFill="1" applyBorder="1" applyAlignment="1">
      <alignment horizontal="center" vertical="center" wrapText="1"/>
    </xf>
    <xf numFmtId="3" fontId="28" fillId="117" borderId="595" xfId="2" applyNumberFormat="1" applyFont="1" applyFill="1" applyBorder="1" applyAlignment="1">
      <alignment horizontal="center" vertical="center" wrapText="1"/>
    </xf>
    <xf numFmtId="177" fontId="176" fillId="125" borderId="48" xfId="0" applyNumberFormat="1" applyFont="1" applyFill="1" applyBorder="1" applyAlignment="1">
      <alignment horizontal="center" vertical="center"/>
    </xf>
    <xf numFmtId="3" fontId="176" fillId="125" borderId="37" xfId="2" applyNumberFormat="1" applyFont="1" applyFill="1" applyBorder="1" applyAlignment="1">
      <alignment horizontal="center" vertical="center" wrapText="1"/>
    </xf>
    <xf numFmtId="3" fontId="176" fillId="125" borderId="607" xfId="2" applyNumberFormat="1" applyFont="1" applyFill="1" applyBorder="1" applyAlignment="1">
      <alignment horizontal="center" vertical="center" wrapText="1"/>
    </xf>
    <xf numFmtId="183" fontId="171" fillId="15" borderId="309" xfId="2" applyNumberFormat="1" applyFont="1" applyFill="1" applyBorder="1" applyAlignment="1">
      <alignment horizontal="center" vertical="center"/>
    </xf>
    <xf numFmtId="183" fontId="171" fillId="15" borderId="406" xfId="2" applyNumberFormat="1" applyFont="1" applyFill="1" applyBorder="1" applyAlignment="1">
      <alignment horizontal="center" vertical="center"/>
    </xf>
    <xf numFmtId="179" fontId="28" fillId="0" borderId="47" xfId="2" applyNumberFormat="1" applyFont="1" applyFill="1" applyBorder="1" applyAlignment="1">
      <alignment horizontal="center" vertical="center" wrapText="1"/>
    </xf>
    <xf numFmtId="179" fontId="28" fillId="0" borderId="604" xfId="2" applyNumberFormat="1" applyFont="1" applyFill="1" applyBorder="1" applyAlignment="1">
      <alignment horizontal="center" vertical="center" wrapText="1"/>
    </xf>
    <xf numFmtId="187" fontId="28" fillId="0" borderId="47" xfId="2" applyNumberFormat="1" applyFont="1" applyFill="1" applyBorder="1" applyAlignment="1">
      <alignment horizontal="center" vertical="center" wrapText="1"/>
    </xf>
    <xf numFmtId="187" fontId="28" fillId="0" borderId="604" xfId="2" applyNumberFormat="1" applyFont="1" applyFill="1" applyBorder="1" applyAlignment="1">
      <alignment horizontal="center" vertical="center" wrapText="1"/>
    </xf>
    <xf numFmtId="187" fontId="32" fillId="0" borderId="40" xfId="2" applyNumberFormat="1" applyFont="1" applyFill="1" applyBorder="1" applyAlignment="1">
      <alignment horizontal="center" vertical="center" wrapText="1"/>
    </xf>
    <xf numFmtId="187" fontId="32" fillId="0" borderId="604" xfId="2" applyNumberFormat="1" applyFont="1" applyFill="1" applyBorder="1" applyAlignment="1">
      <alignment horizontal="center" vertical="center" wrapText="1"/>
    </xf>
    <xf numFmtId="187" fontId="219" fillId="125" borderId="228" xfId="2" applyNumberFormat="1" applyFont="1" applyFill="1" applyBorder="1" applyAlignment="1">
      <alignment horizontal="center" vertical="center" wrapText="1"/>
    </xf>
    <xf numFmtId="38" fontId="28" fillId="0" borderId="268" xfId="2" applyNumberFormat="1" applyFont="1" applyFill="1" applyBorder="1" applyAlignment="1">
      <alignment horizontal="center" vertical="center" wrapText="1"/>
    </xf>
    <xf numFmtId="38" fontId="28" fillId="0" borderId="0" xfId="2" applyNumberFormat="1" applyFont="1" applyFill="1" applyBorder="1" applyAlignment="1">
      <alignment horizontal="center" vertical="center" wrapText="1"/>
    </xf>
    <xf numFmtId="0" fontId="36" fillId="3" borderId="0" xfId="0" applyFont="1" applyFill="1" applyBorder="1" applyAlignment="1">
      <alignment horizontal="center" vertical="center"/>
    </xf>
    <xf numFmtId="2" fontId="57" fillId="0" borderId="603" xfId="0" applyNumberFormat="1" applyFont="1" applyBorder="1" applyAlignment="1">
      <alignment horizontal="center" vertical="center"/>
    </xf>
    <xf numFmtId="183" fontId="57" fillId="5" borderId="449" xfId="2" applyNumberFormat="1" applyFont="1" applyFill="1" applyBorder="1" applyAlignment="1">
      <alignment horizontal="center" vertical="center"/>
    </xf>
    <xf numFmtId="183" fontId="28" fillId="5" borderId="602" xfId="2" applyNumberFormat="1" applyFont="1" applyFill="1" applyBorder="1" applyAlignment="1">
      <alignment horizontal="center" vertical="center"/>
    </xf>
    <xf numFmtId="183" fontId="28" fillId="5" borderId="594" xfId="2" applyNumberFormat="1" applyFont="1" applyFill="1" applyBorder="1" applyAlignment="1">
      <alignment horizontal="center" vertical="center"/>
    </xf>
    <xf numFmtId="2" fontId="57" fillId="5" borderId="607" xfId="0" applyNumberFormat="1" applyFont="1" applyFill="1" applyBorder="1" applyAlignment="1">
      <alignment horizontal="center" vertical="center"/>
    </xf>
    <xf numFmtId="2" fontId="57" fillId="5" borderId="604" xfId="0" applyNumberFormat="1" applyFont="1" applyFill="1" applyBorder="1" applyAlignment="1">
      <alignment horizontal="center" vertical="center"/>
    </xf>
    <xf numFmtId="2" fontId="28" fillId="5" borderId="604" xfId="0" applyNumberFormat="1" applyFont="1" applyFill="1" applyBorder="1" applyAlignment="1">
      <alignment horizontal="center" vertical="center"/>
    </xf>
    <xf numFmtId="38" fontId="57" fillId="5" borderId="605" xfId="2" applyNumberFormat="1" applyFont="1" applyFill="1" applyBorder="1" applyAlignment="1">
      <alignment horizontal="center" vertical="center"/>
    </xf>
    <xf numFmtId="187" fontId="57" fillId="5" borderId="607" xfId="2" applyNumberFormat="1" applyFont="1" applyFill="1" applyBorder="1" applyAlignment="1">
      <alignment horizontal="center" vertical="center"/>
    </xf>
    <xf numFmtId="223" fontId="57" fillId="5" borderId="604" xfId="2" applyNumberFormat="1" applyFont="1" applyFill="1" applyBorder="1" applyAlignment="1">
      <alignment horizontal="center" vertical="center"/>
    </xf>
    <xf numFmtId="9" fontId="57" fillId="5" borderId="604" xfId="1" applyFont="1" applyFill="1" applyBorder="1" applyAlignment="1">
      <alignment horizontal="center" vertical="center"/>
    </xf>
    <xf numFmtId="0" fontId="57" fillId="5" borderId="598" xfId="0" applyFont="1" applyFill="1" applyBorder="1" applyAlignment="1">
      <alignment horizontal="center" vertical="center"/>
    </xf>
    <xf numFmtId="0" fontId="176" fillId="125" borderId="608" xfId="0" quotePrefix="1" applyFont="1" applyFill="1" applyBorder="1" applyAlignment="1">
      <alignment horizontal="center" vertical="center"/>
    </xf>
    <xf numFmtId="3" fontId="57" fillId="0" borderId="608" xfId="2" applyNumberFormat="1" applyFont="1" applyBorder="1" applyAlignment="1">
      <alignment horizontal="center" vertical="center"/>
    </xf>
    <xf numFmtId="183" fontId="57" fillId="0" borderId="608" xfId="2" applyNumberFormat="1" applyFont="1" applyBorder="1" applyAlignment="1">
      <alignment horizontal="center" vertical="center"/>
    </xf>
    <xf numFmtId="178" fontId="57" fillId="0" borderId="608" xfId="2" applyNumberFormat="1" applyFont="1" applyBorder="1" applyAlignment="1">
      <alignment horizontal="center" vertical="center"/>
    </xf>
    <xf numFmtId="187" fontId="57" fillId="7" borderId="608" xfId="2" applyNumberFormat="1" applyFont="1" applyFill="1" applyBorder="1" applyAlignment="1">
      <alignment horizontal="center" vertical="center"/>
    </xf>
    <xf numFmtId="183" fontId="57" fillId="7" borderId="608" xfId="2" applyNumberFormat="1" applyFont="1" applyFill="1" applyBorder="1" applyAlignment="1">
      <alignment horizontal="center" vertical="center"/>
    </xf>
    <xf numFmtId="178" fontId="57" fillId="7" borderId="608" xfId="2" applyNumberFormat="1" applyFont="1" applyFill="1" applyBorder="1" applyAlignment="1">
      <alignment horizontal="center" vertical="center"/>
    </xf>
    <xf numFmtId="187" fontId="57" fillId="0" borderId="608" xfId="2" applyNumberFormat="1" applyFont="1" applyFill="1" applyBorder="1" applyAlignment="1">
      <alignment horizontal="center" vertical="center"/>
    </xf>
    <xf numFmtId="0" fontId="176" fillId="125" borderId="609" xfId="0" quotePrefix="1" applyFont="1" applyFill="1" applyBorder="1" applyAlignment="1">
      <alignment horizontal="center" vertical="center"/>
    </xf>
    <xf numFmtId="3" fontId="57" fillId="0" borderId="609" xfId="2" applyNumberFormat="1" applyFont="1" applyBorder="1" applyAlignment="1">
      <alignment horizontal="center" vertical="center"/>
    </xf>
    <xf numFmtId="183" fontId="57" fillId="0" borderId="609" xfId="2" applyNumberFormat="1" applyFont="1" applyBorder="1" applyAlignment="1">
      <alignment horizontal="center" vertical="center"/>
    </xf>
    <xf numFmtId="178" fontId="57" fillId="0" borderId="609" xfId="2" applyNumberFormat="1" applyFont="1" applyBorder="1" applyAlignment="1">
      <alignment horizontal="center" vertical="center"/>
    </xf>
    <xf numFmtId="187" fontId="57" fillId="7" borderId="609" xfId="2" applyNumberFormat="1" applyFont="1" applyFill="1" applyBorder="1" applyAlignment="1">
      <alignment horizontal="center" vertical="center"/>
    </xf>
    <xf numFmtId="187" fontId="57" fillId="7" borderId="610" xfId="2" applyNumberFormat="1" applyFont="1" applyFill="1" applyBorder="1" applyAlignment="1">
      <alignment horizontal="center" vertical="center"/>
    </xf>
    <xf numFmtId="187" fontId="57" fillId="0" borderId="609" xfId="0" applyNumberFormat="1" applyFont="1" applyBorder="1" applyAlignment="1">
      <alignment horizontal="center" vertical="center"/>
    </xf>
    <xf numFmtId="2" fontId="28" fillId="0" borderId="454" xfId="0" applyNumberFormat="1" applyFont="1" applyFill="1" applyBorder="1" applyAlignment="1">
      <alignment horizontal="center" vertical="center"/>
    </xf>
    <xf numFmtId="2" fontId="28" fillId="0" borderId="608" xfId="0" applyNumberFormat="1" applyFont="1" applyFill="1" applyBorder="1" applyAlignment="1">
      <alignment horizontal="center" vertical="center"/>
    </xf>
    <xf numFmtId="2" fontId="28" fillId="0" borderId="611" xfId="0" applyNumberFormat="1" applyFont="1" applyFill="1" applyBorder="1" applyAlignment="1">
      <alignment horizontal="center" vertical="center"/>
    </xf>
    <xf numFmtId="2" fontId="28" fillId="0" borderId="609" xfId="0" applyNumberFormat="1" applyFont="1" applyFill="1" applyBorder="1" applyAlignment="1">
      <alignment horizontal="center" vertical="center"/>
    </xf>
    <xf numFmtId="2" fontId="57" fillId="5" borderId="483" xfId="0" applyNumberFormat="1" applyFont="1" applyFill="1" applyBorder="1" applyAlignment="1">
      <alignment horizontal="center" vertical="center"/>
    </xf>
    <xf numFmtId="2" fontId="57" fillId="5" borderId="438" xfId="0" applyNumberFormat="1" applyFont="1" applyFill="1" applyBorder="1" applyAlignment="1">
      <alignment horizontal="center" vertical="center"/>
    </xf>
    <xf numFmtId="176" fontId="28" fillId="5" borderId="445" xfId="0" applyNumberFormat="1" applyFont="1" applyFill="1" applyBorder="1" applyAlignment="1">
      <alignment horizontal="center" vertical="center"/>
    </xf>
    <xf numFmtId="176" fontId="28" fillId="5" borderId="438" xfId="0" applyNumberFormat="1" applyFont="1" applyFill="1" applyBorder="1" applyAlignment="1">
      <alignment horizontal="center" vertical="center"/>
    </xf>
    <xf numFmtId="176" fontId="28" fillId="5" borderId="517" xfId="0" applyNumberFormat="1" applyFont="1" applyFill="1" applyBorder="1" applyAlignment="1">
      <alignment horizontal="center" vertical="center"/>
    </xf>
    <xf numFmtId="2" fontId="28" fillId="5" borderId="521" xfId="0" applyNumberFormat="1" applyFont="1" applyFill="1" applyBorder="1" applyAlignment="1">
      <alignment horizontal="center" vertical="center"/>
    </xf>
    <xf numFmtId="183" fontId="57" fillId="5" borderId="437" xfId="2" applyNumberFormat="1" applyFont="1" applyFill="1" applyBorder="1" applyAlignment="1">
      <alignment horizontal="center" vertical="center"/>
    </xf>
    <xf numFmtId="2" fontId="28" fillId="5" borderId="517" xfId="0" applyNumberFormat="1" applyFont="1" applyFill="1" applyBorder="1" applyAlignment="1">
      <alignment horizontal="center" vertical="center"/>
    </xf>
    <xf numFmtId="187" fontId="57" fillId="0" borderId="610" xfId="0" applyNumberFormat="1" applyFont="1" applyBorder="1" applyAlignment="1">
      <alignment horizontal="center" vertical="center"/>
    </xf>
    <xf numFmtId="3" fontId="57" fillId="0" borderId="608" xfId="0" applyNumberFormat="1" applyFont="1" applyBorder="1" applyAlignment="1">
      <alignment horizontal="center" vertical="center"/>
    </xf>
    <xf numFmtId="2" fontId="57" fillId="0" borderId="608" xfId="0" applyNumberFormat="1" applyFont="1" applyBorder="1" applyAlignment="1">
      <alignment horizontal="center" vertical="center"/>
    </xf>
    <xf numFmtId="2" fontId="28" fillId="0" borderId="608" xfId="0" applyNumberFormat="1" applyFont="1" applyBorder="1" applyAlignment="1">
      <alignment horizontal="center" vertical="center"/>
    </xf>
    <xf numFmtId="187" fontId="57" fillId="0" borderId="608" xfId="0" applyNumberFormat="1" applyFont="1" applyBorder="1" applyAlignment="1">
      <alignment horizontal="center" vertical="center"/>
    </xf>
    <xf numFmtId="2" fontId="57" fillId="0" borderId="608" xfId="0" applyNumberFormat="1" applyFont="1" applyFill="1" applyBorder="1" applyAlignment="1">
      <alignment horizontal="center" vertical="center"/>
    </xf>
    <xf numFmtId="1" fontId="57" fillId="0" borderId="608" xfId="0" applyNumberFormat="1" applyFont="1" applyFill="1" applyBorder="1" applyAlignment="1">
      <alignment horizontal="center" vertical="center"/>
    </xf>
    <xf numFmtId="176" fontId="57" fillId="0" borderId="608" xfId="0" applyNumberFormat="1" applyFont="1" applyFill="1" applyBorder="1" applyAlignment="1">
      <alignment horizontal="center" vertical="center"/>
    </xf>
    <xf numFmtId="177" fontId="57" fillId="0" borderId="608" xfId="0" applyNumberFormat="1" applyFont="1" applyBorder="1" applyAlignment="1">
      <alignment horizontal="center" vertical="center"/>
    </xf>
    <xf numFmtId="3" fontId="57" fillId="0" borderId="604" xfId="0" applyNumberFormat="1" applyFont="1" applyBorder="1" applyAlignment="1">
      <alignment horizontal="center" vertical="center"/>
    </xf>
    <xf numFmtId="183" fontId="57" fillId="5" borderId="323" xfId="0" applyNumberFormat="1" applyFont="1" applyFill="1" applyBorder="1" applyAlignment="1">
      <alignment horizontal="center" vertical="center"/>
    </xf>
    <xf numFmtId="183" fontId="57" fillId="5" borderId="324" xfId="0" applyNumberFormat="1" applyFont="1" applyFill="1" applyBorder="1" applyAlignment="1">
      <alignment horizontal="center" vertical="center"/>
    </xf>
    <xf numFmtId="187" fontId="28" fillId="5" borderId="121" xfId="2" applyNumberFormat="1" applyFont="1" applyFill="1" applyBorder="1" applyAlignment="1">
      <alignment horizontal="center" vertical="center" wrapText="1"/>
    </xf>
    <xf numFmtId="187" fontId="57" fillId="5" borderId="137" xfId="2" applyNumberFormat="1" applyFont="1" applyFill="1" applyBorder="1" applyAlignment="1">
      <alignment horizontal="center" vertical="center" wrapText="1"/>
    </xf>
    <xf numFmtId="2" fontId="57" fillId="5" borderId="48" xfId="0" applyNumberFormat="1" applyFont="1" applyFill="1" applyBorder="1" applyAlignment="1">
      <alignment horizontal="center" vertical="center"/>
    </xf>
    <xf numFmtId="2" fontId="57" fillId="5" borderId="47" xfId="0" applyNumberFormat="1" applyFont="1" applyFill="1" applyBorder="1" applyAlignment="1">
      <alignment horizontal="center" vertical="center"/>
    </xf>
    <xf numFmtId="38" fontId="57" fillId="5" borderId="230" xfId="2" applyNumberFormat="1" applyFont="1" applyFill="1" applyBorder="1" applyAlignment="1">
      <alignment horizontal="center" vertical="center"/>
    </xf>
    <xf numFmtId="187" fontId="57" fillId="5" borderId="334" xfId="2" applyNumberFormat="1" applyFont="1" applyFill="1" applyBorder="1" applyAlignment="1">
      <alignment horizontal="center" vertical="center"/>
    </xf>
    <xf numFmtId="223" fontId="57" fillId="5" borderId="47" xfId="0" applyNumberFormat="1" applyFont="1" applyFill="1" applyBorder="1" applyAlignment="1">
      <alignment horizontal="center" vertical="center"/>
    </xf>
    <xf numFmtId="9" fontId="57" fillId="5" borderId="47" xfId="1" applyFont="1" applyFill="1" applyBorder="1" applyAlignment="1">
      <alignment horizontal="center" vertical="center"/>
    </xf>
    <xf numFmtId="0" fontId="57" fillId="5" borderId="137" xfId="0" applyFont="1" applyFill="1" applyBorder="1" applyAlignment="1">
      <alignment horizontal="center" vertical="center"/>
    </xf>
    <xf numFmtId="0" fontId="176" fillId="125" borderId="612" xfId="0" applyFont="1" applyFill="1" applyBorder="1" applyAlignment="1">
      <alignment horizontal="center" vertical="center"/>
    </xf>
    <xf numFmtId="187" fontId="57" fillId="0" borderId="612" xfId="2" applyNumberFormat="1" applyFont="1" applyBorder="1" applyAlignment="1">
      <alignment horizontal="center" vertical="center"/>
    </xf>
    <xf numFmtId="183" fontId="57" fillId="0" borderId="612" xfId="2" applyNumberFormat="1" applyFont="1" applyBorder="1" applyAlignment="1">
      <alignment horizontal="center" vertical="center"/>
    </xf>
    <xf numFmtId="226" fontId="57" fillId="0" borderId="612" xfId="2" applyNumberFormat="1" applyFont="1" applyBorder="1" applyAlignment="1">
      <alignment horizontal="center" vertical="center"/>
    </xf>
    <xf numFmtId="230" fontId="0" fillId="0" borderId="296" xfId="0" applyNumberFormat="1" applyBorder="1" applyAlignment="1" applyProtection="1">
      <alignment horizontal="center" vertical="center"/>
      <protection locked="0"/>
    </xf>
    <xf numFmtId="187" fontId="57" fillId="7" borderId="612" xfId="2" applyNumberFormat="1" applyFont="1" applyFill="1" applyBorder="1" applyAlignment="1">
      <alignment horizontal="center" vertical="center"/>
    </xf>
    <xf numFmtId="187" fontId="57" fillId="0" borderId="612" xfId="2" applyNumberFormat="1" applyFont="1" applyFill="1" applyBorder="1" applyAlignment="1">
      <alignment horizontal="center" vertical="center"/>
    </xf>
    <xf numFmtId="187" fontId="57" fillId="0" borderId="610" xfId="2" applyNumberFormat="1" applyFont="1" applyBorder="1" applyAlignment="1">
      <alignment horizontal="center" vertical="center"/>
    </xf>
    <xf numFmtId="187" fontId="57" fillId="0" borderId="611" xfId="2" applyNumberFormat="1" applyFont="1" applyBorder="1" applyAlignment="1">
      <alignment horizontal="center" vertical="center"/>
    </xf>
    <xf numFmtId="183" fontId="57" fillId="0" borderId="610" xfId="2" applyNumberFormat="1" applyFont="1" applyBorder="1" applyAlignment="1">
      <alignment horizontal="center" vertical="center"/>
    </xf>
    <xf numFmtId="183" fontId="57" fillId="0" borderId="611" xfId="2" applyNumberFormat="1" applyFont="1" applyBorder="1" applyAlignment="1">
      <alignment horizontal="center" vertical="center"/>
    </xf>
    <xf numFmtId="226" fontId="57" fillId="0" borderId="610" xfId="2" applyNumberFormat="1" applyFont="1" applyBorder="1" applyAlignment="1">
      <alignment horizontal="center" vertical="center"/>
    </xf>
    <xf numFmtId="226" fontId="28" fillId="0" borderId="610" xfId="2" applyNumberFormat="1" applyFont="1" applyFill="1" applyBorder="1" applyAlignment="1">
      <alignment horizontal="center" vertical="center"/>
    </xf>
    <xf numFmtId="226" fontId="57" fillId="0" borderId="483" xfId="2" applyNumberFormat="1" applyFont="1" applyBorder="1" applyAlignment="1">
      <alignment horizontal="center" vertical="center"/>
    </xf>
    <xf numFmtId="226" fontId="57" fillId="0" borderId="446" xfId="2" applyNumberFormat="1" applyFont="1" applyBorder="1" applyAlignment="1">
      <alignment horizontal="center" vertical="center"/>
    </xf>
    <xf numFmtId="226" fontId="28" fillId="0" borderId="602" xfId="2" applyNumberFormat="1" applyFont="1" applyFill="1" applyBorder="1" applyAlignment="1">
      <alignment horizontal="center" vertical="center"/>
    </xf>
    <xf numFmtId="226" fontId="57" fillId="7" borderId="611" xfId="2" applyNumberFormat="1" applyFont="1" applyFill="1" applyBorder="1" applyAlignment="1">
      <alignment horizontal="center" vertical="center" wrapText="1"/>
    </xf>
    <xf numFmtId="226" fontId="28" fillId="7" borderId="594" xfId="2" applyNumberFormat="1" applyFont="1" applyFill="1" applyBorder="1" applyAlignment="1">
      <alignment horizontal="center" vertical="center"/>
    </xf>
    <xf numFmtId="187" fontId="57" fillId="7" borderId="613" xfId="2" applyNumberFormat="1" applyFont="1" applyFill="1" applyBorder="1" applyAlignment="1">
      <alignment horizontal="center" vertical="center" wrapText="1"/>
    </xf>
    <xf numFmtId="187" fontId="57" fillId="7" borderId="611" xfId="2" applyNumberFormat="1" applyFont="1" applyFill="1" applyBorder="1" applyAlignment="1">
      <alignment horizontal="center" vertical="center" wrapText="1"/>
    </xf>
    <xf numFmtId="226" fontId="28" fillId="7" borderId="602" xfId="2" applyNumberFormat="1" applyFont="1" applyFill="1" applyBorder="1" applyAlignment="1">
      <alignment horizontal="center" vertical="center"/>
    </xf>
    <xf numFmtId="183" fontId="28" fillId="0" borderId="611" xfId="2" applyNumberFormat="1" applyFont="1" applyFill="1" applyBorder="1" applyAlignment="1">
      <alignment horizontal="center" vertical="center"/>
    </xf>
    <xf numFmtId="178" fontId="28" fillId="0" borderId="610" xfId="2" applyNumberFormat="1" applyFont="1" applyFill="1" applyBorder="1" applyAlignment="1">
      <alignment horizontal="center" vertical="center"/>
    </xf>
    <xf numFmtId="228" fontId="28" fillId="0" borderId="611" xfId="2" applyNumberFormat="1" applyFont="1" applyFill="1" applyBorder="1" applyAlignment="1">
      <alignment horizontal="center" vertical="center"/>
    </xf>
    <xf numFmtId="183" fontId="28" fillId="0" borderId="594" xfId="2" applyNumberFormat="1" applyFont="1" applyFill="1" applyBorder="1" applyAlignment="1">
      <alignment horizontal="center" vertical="center"/>
    </xf>
    <xf numFmtId="187" fontId="57" fillId="7" borderId="611" xfId="2" applyNumberFormat="1" applyFont="1" applyFill="1" applyBorder="1" applyAlignment="1">
      <alignment horizontal="center" vertical="center"/>
    </xf>
    <xf numFmtId="187" fontId="57" fillId="0" borderId="610" xfId="2" applyNumberFormat="1" applyFont="1" applyFill="1" applyBorder="1" applyAlignment="1">
      <alignment horizontal="center" vertical="center"/>
    </xf>
    <xf numFmtId="187" fontId="57" fillId="0" borderId="611" xfId="2" applyNumberFormat="1" applyFont="1" applyFill="1" applyBorder="1" applyAlignment="1">
      <alignment horizontal="center" vertical="center"/>
    </xf>
    <xf numFmtId="187" fontId="57" fillId="0" borderId="446" xfId="2" applyNumberFormat="1" applyFont="1" applyFill="1" applyBorder="1" applyAlignment="1">
      <alignment horizontal="center" vertical="center"/>
    </xf>
    <xf numFmtId="187" fontId="57" fillId="0" borderId="483" xfId="2" applyNumberFormat="1" applyFont="1" applyBorder="1" applyAlignment="1">
      <alignment horizontal="center" vertical="center"/>
    </xf>
    <xf numFmtId="183" fontId="57" fillId="0" borderId="347" xfId="0" applyNumberFormat="1" applyFont="1" applyBorder="1" applyAlignment="1">
      <alignment horizontal="center" vertical="center"/>
    </xf>
    <xf numFmtId="183" fontId="57" fillId="0" borderId="348" xfId="0" applyNumberFormat="1" applyFont="1" applyBorder="1" applyAlignment="1">
      <alignment horizontal="center" vertical="center"/>
    </xf>
    <xf numFmtId="0" fontId="176" fillId="125" borderId="610" xfId="0" applyFont="1" applyFill="1" applyBorder="1" applyAlignment="1">
      <alignment horizontal="center" vertical="center"/>
    </xf>
    <xf numFmtId="0" fontId="176" fillId="125" borderId="611" xfId="0" applyFont="1" applyFill="1" applyBorder="1" applyAlignment="1">
      <alignment horizontal="center" vertical="center"/>
    </xf>
    <xf numFmtId="3" fontId="57" fillId="0" borderId="610" xfId="2" applyNumberFormat="1" applyFont="1" applyBorder="1" applyAlignment="1">
      <alignment horizontal="center" vertical="center"/>
    </xf>
    <xf numFmtId="3" fontId="57" fillId="0" borderId="611" xfId="2" applyNumberFormat="1" applyFont="1" applyBorder="1" applyAlignment="1">
      <alignment horizontal="center" vertical="center"/>
    </xf>
    <xf numFmtId="178" fontId="57" fillId="0" borderId="483" xfId="2" applyNumberFormat="1" applyFont="1" applyBorder="1" applyAlignment="1">
      <alignment horizontal="center" vertical="center"/>
    </xf>
    <xf numFmtId="183" fontId="57" fillId="0" borderId="446" xfId="2" applyNumberFormat="1" applyFont="1" applyBorder="1" applyAlignment="1">
      <alignment horizontal="center" vertical="center"/>
    </xf>
    <xf numFmtId="178" fontId="57" fillId="0" borderId="610" xfId="2" applyNumberFormat="1" applyFont="1" applyBorder="1" applyAlignment="1">
      <alignment horizontal="center" vertical="center"/>
    </xf>
    <xf numFmtId="178" fontId="57" fillId="0" borderId="611" xfId="2" applyNumberFormat="1" applyFont="1" applyBorder="1" applyAlignment="1">
      <alignment horizontal="center" vertical="center"/>
    </xf>
    <xf numFmtId="183" fontId="57" fillId="0" borderId="611" xfId="2" applyNumberFormat="1" applyFont="1" applyFill="1" applyBorder="1" applyAlignment="1">
      <alignment horizontal="center" vertical="center"/>
    </xf>
    <xf numFmtId="187" fontId="28" fillId="0" borderId="610" xfId="2" applyNumberFormat="1" applyFont="1" applyFill="1" applyBorder="1" applyAlignment="1">
      <alignment horizontal="center" vertical="center"/>
    </xf>
    <xf numFmtId="226" fontId="28" fillId="0" borderId="611" xfId="2" applyNumberFormat="1" applyFont="1" applyFill="1" applyBorder="1" applyAlignment="1">
      <alignment horizontal="center" vertical="center"/>
    </xf>
    <xf numFmtId="231" fontId="57" fillId="0" borderId="611" xfId="2" applyNumberFormat="1" applyFont="1" applyFill="1" applyBorder="1" applyAlignment="1">
      <alignment horizontal="center" vertical="center"/>
    </xf>
    <xf numFmtId="226" fontId="57" fillId="0" borderId="611" xfId="2" applyNumberFormat="1" applyFont="1" applyFill="1" applyBorder="1" applyAlignment="1">
      <alignment horizontal="center" vertical="center"/>
    </xf>
    <xf numFmtId="226" fontId="57" fillId="7" borderId="610" xfId="2" applyNumberFormat="1" applyFont="1" applyFill="1" applyBorder="1" applyAlignment="1">
      <alignment horizontal="center" vertical="center"/>
    </xf>
    <xf numFmtId="4" fontId="57" fillId="7" borderId="611" xfId="2" applyNumberFormat="1" applyFont="1" applyFill="1" applyBorder="1" applyAlignment="1">
      <alignment horizontal="center" vertical="center"/>
    </xf>
    <xf numFmtId="226" fontId="28" fillId="7" borderId="610" xfId="2" applyNumberFormat="1" applyFont="1" applyFill="1" applyBorder="1" applyAlignment="1">
      <alignment horizontal="center" vertical="center"/>
    </xf>
    <xf numFmtId="226" fontId="57" fillId="7" borderId="611" xfId="2" applyNumberFormat="1" applyFont="1" applyFill="1" applyBorder="1" applyAlignment="1">
      <alignment horizontal="center" vertical="center"/>
    </xf>
    <xf numFmtId="231" fontId="57" fillId="7" borderId="610" xfId="2" applyNumberFormat="1" applyFont="1" applyFill="1" applyBorder="1" applyAlignment="1">
      <alignment horizontal="center" vertical="center"/>
    </xf>
    <xf numFmtId="231" fontId="28" fillId="0" borderId="610" xfId="2" applyNumberFormat="1" applyFont="1" applyFill="1" applyBorder="1" applyAlignment="1">
      <alignment horizontal="center" vertical="center"/>
    </xf>
    <xf numFmtId="187" fontId="57" fillId="7" borderId="483" xfId="2" quotePrefix="1" applyNumberFormat="1" applyFont="1" applyFill="1" applyBorder="1" applyAlignment="1">
      <alignment horizontal="center" vertical="center"/>
    </xf>
    <xf numFmtId="226" fontId="57" fillId="7" borderId="609" xfId="2" applyNumberFormat="1" applyFont="1" applyFill="1" applyBorder="1" applyAlignment="1">
      <alignment horizontal="center" vertical="center"/>
    </xf>
    <xf numFmtId="226" fontId="28" fillId="7" borderId="609" xfId="2" applyNumberFormat="1" applyFont="1" applyFill="1" applyBorder="1" applyAlignment="1">
      <alignment horizontal="center" vertical="center"/>
    </xf>
    <xf numFmtId="226" fontId="57" fillId="0" borderId="445" xfId="2" applyNumberFormat="1" applyFont="1" applyBorder="1" applyAlignment="1">
      <alignment horizontal="center" vertical="center"/>
    </xf>
    <xf numFmtId="2" fontId="57" fillId="0" borderId="615" xfId="0" applyNumberFormat="1" applyFont="1" applyBorder="1" applyAlignment="1">
      <alignment horizontal="center" vertical="center"/>
    </xf>
    <xf numFmtId="226" fontId="57" fillId="7" borderId="616" xfId="2" applyNumberFormat="1" applyFont="1" applyFill="1" applyBorder="1" applyAlignment="1">
      <alignment horizontal="center" vertical="center"/>
    </xf>
    <xf numFmtId="187" fontId="57" fillId="5" borderId="322" xfId="2" applyNumberFormat="1" applyFont="1" applyFill="1" applyBorder="1" applyAlignment="1">
      <alignment horizontal="center" vertical="center" wrapText="1"/>
    </xf>
    <xf numFmtId="187" fontId="57" fillId="5" borderId="323" xfId="2" applyNumberFormat="1" applyFont="1" applyFill="1" applyBorder="1" applyAlignment="1">
      <alignment horizontal="center" vertical="center" wrapText="1"/>
    </xf>
    <xf numFmtId="187" fontId="57" fillId="5" borderId="324" xfId="2" applyNumberFormat="1" applyFont="1" applyFill="1" applyBorder="1" applyAlignment="1">
      <alignment horizontal="center" vertical="center" wrapText="1"/>
    </xf>
    <xf numFmtId="183" fontId="57" fillId="5" borderId="323" xfId="2" applyNumberFormat="1" applyFont="1" applyFill="1" applyBorder="1" applyAlignment="1">
      <alignment horizontal="center" vertical="center" wrapText="1"/>
    </xf>
    <xf numFmtId="177" fontId="231" fillId="3" borderId="609" xfId="3" quotePrefix="1" applyNumberFormat="1" applyFont="1" applyFill="1" applyBorder="1" applyAlignment="1">
      <alignment horizontal="center" vertical="center"/>
    </xf>
    <xf numFmtId="183" fontId="57" fillId="5" borderId="590" xfId="0" applyNumberFormat="1" applyFont="1" applyFill="1" applyBorder="1" applyAlignment="1">
      <alignment horizontal="center" vertical="center"/>
    </xf>
    <xf numFmtId="183" fontId="57" fillId="5" borderId="511" xfId="0" applyNumberFormat="1" applyFont="1" applyFill="1" applyBorder="1">
      <alignment vertical="center"/>
    </xf>
    <xf numFmtId="183" fontId="57" fillId="5" borderId="591" xfId="0" applyNumberFormat="1" applyFont="1" applyFill="1" applyBorder="1">
      <alignment vertical="center"/>
    </xf>
    <xf numFmtId="183" fontId="57" fillId="5" borderId="511" xfId="0" applyNumberFormat="1" applyFont="1" applyFill="1" applyBorder="1" applyAlignment="1">
      <alignment horizontal="center" vertical="center"/>
    </xf>
    <xf numFmtId="183" fontId="57" fillId="5" borderId="591" xfId="0" applyNumberFormat="1" applyFont="1" applyFill="1" applyBorder="1" applyAlignment="1">
      <alignment horizontal="center" vertical="center"/>
    </xf>
    <xf numFmtId="183" fontId="57" fillId="5" borderId="449" xfId="0" applyNumberFormat="1" applyFont="1" applyFill="1" applyBorder="1" applyAlignment="1">
      <alignment horizontal="center" vertical="center"/>
    </xf>
    <xf numFmtId="226" fontId="28" fillId="5" borderId="602" xfId="2" applyNumberFormat="1" applyFont="1" applyFill="1" applyBorder="1" applyAlignment="1">
      <alignment horizontal="center" vertical="center"/>
    </xf>
    <xf numFmtId="226" fontId="57" fillId="5" borderId="611" xfId="2" applyNumberFormat="1" applyFont="1" applyFill="1" applyBorder="1" applyAlignment="1">
      <alignment horizontal="center" vertical="center" wrapText="1"/>
    </xf>
    <xf numFmtId="226" fontId="57" fillId="5" borderId="594" xfId="2" applyNumberFormat="1" applyFont="1" applyFill="1" applyBorder="1" applyAlignment="1">
      <alignment horizontal="center" vertical="center" wrapText="1"/>
    </xf>
    <xf numFmtId="178" fontId="28" fillId="5" borderId="602" xfId="2" applyNumberFormat="1" applyFont="1" applyFill="1" applyBorder="1" applyAlignment="1">
      <alignment horizontal="center" vertical="center"/>
    </xf>
    <xf numFmtId="226" fontId="28" fillId="5" borderId="594" xfId="2" applyNumberFormat="1" applyFont="1" applyFill="1" applyBorder="1" applyAlignment="1">
      <alignment horizontal="center" vertical="center"/>
    </xf>
    <xf numFmtId="2" fontId="57" fillId="0" borderId="511" xfId="0" applyNumberFormat="1" applyFont="1" applyBorder="1" applyAlignment="1">
      <alignment horizontal="center" vertical="center"/>
    </xf>
    <xf numFmtId="2" fontId="57" fillId="0" borderId="614" xfId="0" applyNumberFormat="1" applyFont="1" applyFill="1" applyBorder="1" applyAlignment="1">
      <alignment horizontal="center" vertical="center"/>
    </xf>
    <xf numFmtId="2" fontId="57" fillId="0" borderId="474" xfId="0" applyNumberFormat="1" applyFont="1" applyBorder="1" applyAlignment="1">
      <alignment horizontal="center" vertical="center"/>
    </xf>
    <xf numFmtId="2" fontId="57" fillId="0" borderId="474" xfId="0" applyNumberFormat="1" applyFont="1" applyFill="1" applyBorder="1" applyAlignment="1">
      <alignment horizontal="center" vertical="center"/>
    </xf>
    <xf numFmtId="226" fontId="57" fillId="0" borderId="473" xfId="2" applyNumberFormat="1" applyFont="1" applyBorder="1" applyAlignment="1">
      <alignment horizontal="center" vertical="center"/>
    </xf>
    <xf numFmtId="2" fontId="57" fillId="0" borderId="473" xfId="0" applyNumberFormat="1" applyFont="1" applyBorder="1" applyAlignment="1">
      <alignment horizontal="center" vertical="center"/>
    </xf>
    <xf numFmtId="2" fontId="57" fillId="0" borderId="618" xfId="0" applyNumberFormat="1" applyFont="1" applyBorder="1" applyAlignment="1">
      <alignment horizontal="center" vertical="center"/>
    </xf>
    <xf numFmtId="226" fontId="57" fillId="0" borderId="609" xfId="2" applyNumberFormat="1" applyFont="1" applyBorder="1" applyAlignment="1">
      <alignment horizontal="center" vertical="center"/>
    </xf>
    <xf numFmtId="2" fontId="57" fillId="5" borderId="617" xfId="0" applyNumberFormat="1" applyFont="1" applyFill="1" applyBorder="1" applyAlignment="1">
      <alignment horizontal="center" vertical="center"/>
    </xf>
    <xf numFmtId="2" fontId="57" fillId="5" borderId="323" xfId="0" applyNumberFormat="1" applyFont="1" applyFill="1" applyBorder="1" applyAlignment="1">
      <alignment horizontal="center" vertical="center"/>
    </xf>
    <xf numFmtId="2" fontId="57" fillId="5" borderId="324" xfId="0" applyNumberFormat="1" applyFont="1" applyFill="1" applyBorder="1" applyAlignment="1">
      <alignment horizontal="center" vertical="center"/>
    </xf>
    <xf numFmtId="187" fontId="57" fillId="5" borderId="121" xfId="2" applyNumberFormat="1" applyFont="1" applyFill="1" applyBorder="1" applyAlignment="1">
      <alignment horizontal="center" vertical="center"/>
    </xf>
    <xf numFmtId="187" fontId="57" fillId="5" borderId="123" xfId="2" applyNumberFormat="1" applyFont="1" applyFill="1" applyBorder="1" applyAlignment="1">
      <alignment horizontal="center" vertical="center"/>
    </xf>
    <xf numFmtId="226" fontId="57" fillId="5" borderId="48" xfId="2" applyNumberFormat="1" applyFont="1" applyFill="1" applyBorder="1" applyAlignment="1">
      <alignment horizontal="center" vertical="center"/>
    </xf>
    <xf numFmtId="226" fontId="57" fillId="5" borderId="47" xfId="2" applyNumberFormat="1" applyFont="1" applyFill="1" applyBorder="1" applyAlignment="1">
      <alignment horizontal="center" vertical="center"/>
    </xf>
    <xf numFmtId="176" fontId="57" fillId="5" borderId="473" xfId="0" applyNumberFormat="1" applyFont="1" applyFill="1" applyBorder="1" applyAlignment="1">
      <alignment horizontal="center" vertical="center"/>
    </xf>
    <xf numFmtId="176" fontId="57" fillId="5" borderId="457" xfId="0" applyNumberFormat="1" applyFont="1" applyFill="1" applyBorder="1" applyAlignment="1">
      <alignment horizontal="center" vertical="center"/>
    </xf>
    <xf numFmtId="176" fontId="57" fillId="5" borderId="448" xfId="0" applyNumberFormat="1" applyFont="1" applyFill="1" applyBorder="1" applyAlignment="1">
      <alignment horizontal="center" vertical="center"/>
    </xf>
    <xf numFmtId="176" fontId="57" fillId="5" borderId="495" xfId="0" applyNumberFormat="1" applyFont="1" applyFill="1" applyBorder="1" applyAlignment="1">
      <alignment horizontal="center" vertical="center"/>
    </xf>
    <xf numFmtId="226" fontId="28" fillId="5" borderId="579" xfId="2" applyNumberFormat="1" applyFont="1" applyFill="1" applyBorder="1" applyAlignment="1">
      <alignment horizontal="center" vertical="center"/>
    </xf>
    <xf numFmtId="226" fontId="57" fillId="5" borderId="580" xfId="2" applyNumberFormat="1" applyFont="1" applyFill="1" applyBorder="1" applyAlignment="1">
      <alignment horizontal="center" vertical="center"/>
    </xf>
    <xf numFmtId="2" fontId="57" fillId="5" borderId="452" xfId="0" applyNumberFormat="1" applyFont="1" applyFill="1" applyBorder="1" applyAlignment="1">
      <alignment horizontal="center" vertical="center"/>
    </xf>
    <xf numFmtId="2" fontId="28" fillId="5" borderId="463" xfId="0" applyNumberFormat="1" applyFont="1" applyFill="1" applyBorder="1" applyAlignment="1">
      <alignment horizontal="center" vertical="center"/>
    </xf>
    <xf numFmtId="2" fontId="57" fillId="5" borderId="497" xfId="0" applyNumberFormat="1" applyFont="1" applyFill="1" applyBorder="1" applyAlignment="1">
      <alignment horizontal="center" vertical="center"/>
    </xf>
    <xf numFmtId="2" fontId="57" fillId="5" borderId="498" xfId="0" applyNumberFormat="1" applyFont="1" applyFill="1" applyBorder="1" applyAlignment="1">
      <alignment horizontal="center" vertical="center"/>
    </xf>
    <xf numFmtId="2" fontId="57" fillId="5" borderId="463" xfId="0" applyNumberFormat="1" applyFont="1" applyFill="1" applyBorder="1" applyAlignment="1">
      <alignment horizontal="center" vertical="center"/>
    </xf>
    <xf numFmtId="226" fontId="28" fillId="5" borderId="580" xfId="2" applyNumberFormat="1" applyFont="1" applyFill="1" applyBorder="1" applyAlignment="1">
      <alignment horizontal="center" vertical="center"/>
    </xf>
    <xf numFmtId="186" fontId="198" fillId="5" borderId="37" xfId="0" applyNumberFormat="1" applyFont="1" applyFill="1" applyBorder="1" applyAlignment="1">
      <alignment horizontal="center" vertical="center"/>
    </xf>
    <xf numFmtId="186" fontId="198" fillId="5" borderId="345" xfId="0" applyNumberFormat="1" applyFont="1" applyFill="1" applyBorder="1" applyAlignment="1">
      <alignment horizontal="center" vertical="center"/>
    </xf>
    <xf numFmtId="186" fontId="198" fillId="5" borderId="330" xfId="0" applyNumberFormat="1" applyFont="1" applyFill="1" applyBorder="1" applyAlignment="1">
      <alignment horizontal="center" vertical="center"/>
    </xf>
    <xf numFmtId="2" fontId="57" fillId="0" borderId="599" xfId="0" applyNumberFormat="1" applyFont="1" applyFill="1" applyBorder="1" applyAlignment="1">
      <alignment horizontal="center" vertical="center"/>
    </xf>
    <xf numFmtId="2" fontId="57" fillId="0" borderId="511" xfId="0" applyNumberFormat="1" applyFont="1" applyFill="1" applyBorder="1" applyAlignment="1">
      <alignment horizontal="center" vertical="center"/>
    </xf>
    <xf numFmtId="2" fontId="57" fillId="0" borderId="609" xfId="0" applyNumberFormat="1" applyFont="1" applyFill="1" applyBorder="1" applyAlignment="1">
      <alignment horizontal="center" vertical="center"/>
    </xf>
    <xf numFmtId="226" fontId="57" fillId="7" borderId="349" xfId="2" applyNumberFormat="1" applyFont="1" applyFill="1" applyBorder="1" applyAlignment="1">
      <alignment horizontal="center" vertical="center"/>
    </xf>
    <xf numFmtId="187" fontId="57" fillId="7" borderId="613" xfId="2" applyNumberFormat="1" applyFont="1" applyFill="1" applyBorder="1" applyAlignment="1">
      <alignment horizontal="center" vertical="center"/>
    </xf>
    <xf numFmtId="187" fontId="57" fillId="7" borderId="614" xfId="2" applyNumberFormat="1" applyFont="1" applyFill="1" applyBorder="1" applyAlignment="1">
      <alignment horizontal="center" vertical="center"/>
    </xf>
    <xf numFmtId="183" fontId="57" fillId="0" borderId="521" xfId="0" applyNumberFormat="1" applyFont="1" applyFill="1" applyBorder="1" applyAlignment="1">
      <alignment horizontal="center" vertical="center"/>
    </xf>
    <xf numFmtId="2" fontId="57" fillId="0" borderId="601" xfId="0" applyNumberFormat="1" applyFont="1" applyFill="1" applyBorder="1" applyAlignment="1">
      <alignment horizontal="center" vertical="center"/>
    </xf>
    <xf numFmtId="0" fontId="27" fillId="0" borderId="37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3" fontId="36" fillId="7" borderId="499" xfId="0" applyNumberFormat="1" applyFont="1" applyFill="1" applyBorder="1" applyAlignment="1">
      <alignment horizontal="center" vertical="center"/>
    </xf>
    <xf numFmtId="176" fontId="198" fillId="0" borderId="49" xfId="0" applyNumberFormat="1" applyFont="1" applyFill="1" applyBorder="1" applyAlignment="1">
      <alignment horizontal="center" vertical="center"/>
    </xf>
    <xf numFmtId="176" fontId="198" fillId="0" borderId="122" xfId="0" applyNumberFormat="1" applyFont="1" applyFill="1" applyBorder="1" applyAlignment="1">
      <alignment horizontal="center" vertical="center"/>
    </xf>
    <xf numFmtId="176" fontId="232" fillId="4" borderId="122" xfId="0" applyNumberFormat="1" applyFont="1" applyFill="1" applyBorder="1" applyAlignment="1">
      <alignment horizontal="center" vertical="center"/>
    </xf>
    <xf numFmtId="0" fontId="57" fillId="0" borderId="611" xfId="0" applyFont="1" applyBorder="1" applyAlignment="1">
      <alignment horizontal="center" vertical="center"/>
    </xf>
    <xf numFmtId="0" fontId="57" fillId="7" borderId="611" xfId="0" applyFont="1" applyFill="1" applyBorder="1" applyAlignment="1">
      <alignment horizontal="center" vertical="center"/>
    </xf>
    <xf numFmtId="41" fontId="57" fillId="15" borderId="518" xfId="2" applyNumberFormat="1" applyFont="1" applyFill="1" applyBorder="1" applyAlignment="1">
      <alignment horizontal="center" vertical="center"/>
    </xf>
    <xf numFmtId="0" fontId="57" fillId="0" borderId="611" xfId="0" applyFont="1" applyFill="1" applyBorder="1" applyAlignment="1">
      <alignment horizontal="center" vertical="center"/>
    </xf>
    <xf numFmtId="226" fontId="57" fillId="0" borderId="610" xfId="2" applyNumberFormat="1" applyFont="1" applyFill="1" applyBorder="1" applyAlignment="1">
      <alignment horizontal="center" vertical="center"/>
    </xf>
    <xf numFmtId="226" fontId="57" fillId="0" borderId="602" xfId="2" applyNumberFormat="1" applyFont="1" applyFill="1" applyBorder="1" applyAlignment="1">
      <alignment horizontal="center" vertical="center"/>
    </xf>
    <xf numFmtId="176" fontId="28" fillId="0" borderId="579" xfId="0" applyNumberFormat="1" applyFont="1" applyFill="1" applyBorder="1" applyAlignment="1">
      <alignment horizontal="center" vertical="center"/>
    </xf>
    <xf numFmtId="176" fontId="57" fillId="0" borderId="579" xfId="0" applyNumberFormat="1" applyFont="1" applyFill="1" applyBorder="1" applyAlignment="1">
      <alignment horizontal="center" vertical="center"/>
    </xf>
    <xf numFmtId="176" fontId="57" fillId="0" borderId="515" xfId="0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183" fontId="28" fillId="0" borderId="602" xfId="2" applyNumberFormat="1" applyFont="1" applyFill="1" applyBorder="1" applyAlignment="1">
      <alignment horizontal="center" vertical="center"/>
    </xf>
    <xf numFmtId="183" fontId="57" fillId="7" borderId="329" xfId="2" applyNumberFormat="1" applyFont="1" applyFill="1" applyBorder="1" applyAlignment="1">
      <alignment horizontal="center" vertical="center" wrapText="1"/>
    </xf>
    <xf numFmtId="226" fontId="57" fillId="0" borderId="469" xfId="2" applyNumberFormat="1" applyFont="1" applyBorder="1" applyAlignment="1">
      <alignment horizontal="center" vertical="center"/>
    </xf>
    <xf numFmtId="226" fontId="57" fillId="0" borderId="437" xfId="2" applyNumberFormat="1" applyFont="1" applyBorder="1" applyAlignment="1">
      <alignment horizontal="center" vertical="center"/>
    </xf>
    <xf numFmtId="226" fontId="57" fillId="0" borderId="327" xfId="2" applyNumberFormat="1" applyFont="1" applyBorder="1" applyAlignment="1">
      <alignment horizontal="center" vertical="center"/>
    </xf>
    <xf numFmtId="226" fontId="57" fillId="0" borderId="515" xfId="2" applyNumberFormat="1" applyFont="1" applyBorder="1" applyAlignment="1">
      <alignment horizontal="center" vertical="center"/>
    </xf>
    <xf numFmtId="226" fontId="57" fillId="0" borderId="337" xfId="2" applyNumberFormat="1" applyFont="1" applyBorder="1" applyAlignment="1">
      <alignment horizontal="center" vertical="center"/>
    </xf>
    <xf numFmtId="226" fontId="57" fillId="0" borderId="337" xfId="0" applyNumberFormat="1" applyFont="1" applyBorder="1" applyAlignment="1">
      <alignment horizontal="center" vertical="center"/>
    </xf>
    <xf numFmtId="226" fontId="57" fillId="0" borderId="497" xfId="0" applyNumberFormat="1" applyFont="1" applyBorder="1" applyAlignment="1">
      <alignment horizontal="center" vertical="center"/>
    </xf>
    <xf numFmtId="226" fontId="57" fillId="0" borderId="463" xfId="0" applyNumberFormat="1" applyFont="1" applyBorder="1" applyAlignment="1">
      <alignment horizontal="center" vertical="center"/>
    </xf>
    <xf numFmtId="176" fontId="198" fillId="0" borderId="47" xfId="0" applyNumberFormat="1" applyFont="1" applyFill="1" applyBorder="1" applyAlignment="1">
      <alignment horizontal="center" vertical="center"/>
    </xf>
    <xf numFmtId="179" fontId="198" fillId="0" borderId="604" xfId="0" applyNumberFormat="1" applyFont="1" applyBorder="1" applyAlignment="1">
      <alignment horizontal="center" vertical="center"/>
    </xf>
    <xf numFmtId="177" fontId="198" fillId="0" borderId="608" xfId="0" applyNumberFormat="1" applyFont="1" applyBorder="1" applyAlignment="1">
      <alignment horizontal="center" vertical="center"/>
    </xf>
    <xf numFmtId="179" fontId="198" fillId="117" borderId="517" xfId="0" applyNumberFormat="1" applyFont="1" applyFill="1" applyBorder="1" applyAlignment="1">
      <alignment horizontal="center" vertical="center"/>
    </xf>
    <xf numFmtId="183" fontId="171" fillId="4" borderId="6" xfId="2" applyNumberFormat="1" applyFont="1" applyFill="1" applyBorder="1" applyAlignment="1">
      <alignment horizontal="center" vertical="center"/>
    </xf>
    <xf numFmtId="179" fontId="232" fillId="4" borderId="603" xfId="0" applyNumberFormat="1" applyFont="1" applyFill="1" applyBorder="1" applyAlignment="1">
      <alignment horizontal="center" vertical="center"/>
    </xf>
    <xf numFmtId="177" fontId="232" fillId="4" borderId="609" xfId="0" applyNumberFormat="1" applyFont="1" applyFill="1" applyBorder="1" applyAlignment="1">
      <alignment horizontal="center" vertical="center"/>
    </xf>
    <xf numFmtId="179" fontId="232" fillId="117" borderId="516" xfId="0" applyNumberFormat="1" applyFont="1" applyFill="1" applyBorder="1" applyAlignment="1">
      <alignment horizontal="center" vertical="center"/>
    </xf>
    <xf numFmtId="0" fontId="221" fillId="127" borderId="230" xfId="0" applyFont="1" applyFill="1" applyBorder="1" applyAlignment="1">
      <alignment horizontal="center" vertical="center"/>
    </xf>
    <xf numFmtId="187" fontId="34" fillId="0" borderId="0" xfId="0" applyNumberFormat="1" applyFont="1" applyFill="1" applyBorder="1" applyAlignment="1">
      <alignment horizontal="center" vertical="center"/>
    </xf>
    <xf numFmtId="223" fontId="34" fillId="0" borderId="0" xfId="0" applyNumberFormat="1" applyFont="1" applyFill="1" applyBorder="1" applyAlignment="1">
      <alignment horizontal="center" vertical="center"/>
    </xf>
    <xf numFmtId="3" fontId="34" fillId="15" borderId="589" xfId="0" applyNumberFormat="1" applyFont="1" applyFill="1" applyBorder="1" applyAlignment="1">
      <alignment horizontal="center" vertical="center"/>
    </xf>
    <xf numFmtId="176" fontId="232" fillId="15" borderId="124" xfId="0" applyNumberFormat="1" applyFont="1" applyFill="1" applyBorder="1" applyAlignment="1">
      <alignment horizontal="center" vertical="center"/>
    </xf>
    <xf numFmtId="179" fontId="232" fillId="15" borderId="592" xfId="0" applyNumberFormat="1" applyFont="1" applyFill="1" applyBorder="1" applyAlignment="1">
      <alignment horizontal="center" vertical="center"/>
    </xf>
    <xf numFmtId="187" fontId="232" fillId="15" borderId="597" xfId="0" applyNumberFormat="1" applyFont="1" applyFill="1" applyBorder="1" applyAlignment="1">
      <alignment horizontal="center" vertical="center"/>
    </xf>
    <xf numFmtId="187" fontId="232" fillId="15" borderId="592" xfId="0" applyNumberFormat="1" applyFont="1" applyFill="1" applyBorder="1" applyAlignment="1">
      <alignment horizontal="center" vertical="center"/>
    </xf>
    <xf numFmtId="0" fontId="176" fillId="127" borderId="121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176" fillId="127" borderId="602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5" borderId="263" xfId="0" applyFont="1" applyFill="1" applyBorder="1" applyAlignment="1">
      <alignment horizontal="center" vertical="center"/>
    </xf>
    <xf numFmtId="0" fontId="176" fillId="127" borderId="225" xfId="0" applyFont="1" applyFill="1" applyBorder="1" applyAlignment="1">
      <alignment horizontal="center" vertical="center"/>
    </xf>
    <xf numFmtId="0" fontId="176" fillId="127" borderId="616" xfId="0" applyFont="1" applyFill="1" applyBorder="1" applyAlignment="1">
      <alignment horizontal="center" vertical="center"/>
    </xf>
    <xf numFmtId="0" fontId="176" fillId="127" borderId="605" xfId="0" applyFont="1" applyFill="1" applyBorder="1" applyAlignment="1">
      <alignment horizontal="center" vertical="center"/>
    </xf>
    <xf numFmtId="0" fontId="176" fillId="125" borderId="602" xfId="0" applyFont="1" applyFill="1" applyBorder="1" applyAlignment="1">
      <alignment horizontal="center" vertical="center"/>
    </xf>
    <xf numFmtId="41" fontId="176" fillId="125" borderId="603" xfId="2" applyFont="1" applyFill="1" applyBorder="1" applyAlignment="1">
      <alignment horizontal="center" vertical="center"/>
    </xf>
    <xf numFmtId="187" fontId="176" fillId="125" borderId="603" xfId="2" applyNumberFormat="1" applyFont="1" applyFill="1" applyBorder="1" applyAlignment="1">
      <alignment horizontal="center" vertical="center" wrapText="1"/>
    </xf>
    <xf numFmtId="187" fontId="176" fillId="125" borderId="604" xfId="2" applyNumberFormat="1" applyFont="1" applyFill="1" applyBorder="1" applyAlignment="1">
      <alignment horizontal="center" vertical="center"/>
    </xf>
    <xf numFmtId="185" fontId="221" fillId="125" borderId="601" xfId="0" applyNumberFormat="1" applyFont="1" applyFill="1" applyBorder="1" applyAlignment="1">
      <alignment horizontal="center" vertical="center"/>
    </xf>
    <xf numFmtId="0" fontId="176" fillId="127" borderId="610" xfId="0" applyFont="1" applyFill="1" applyBorder="1" applyAlignment="1">
      <alignment horizontal="center" vertical="center"/>
    </xf>
    <xf numFmtId="41" fontId="177" fillId="127" borderId="609" xfId="2" applyFont="1" applyFill="1" applyBorder="1" applyAlignment="1">
      <alignment horizontal="center" vertical="center"/>
    </xf>
    <xf numFmtId="187" fontId="28" fillId="0" borderId="611" xfId="0" applyNumberFormat="1" applyFont="1" applyBorder="1" applyAlignment="1">
      <alignment horizontal="center" vertical="center"/>
    </xf>
    <xf numFmtId="3" fontId="176" fillId="125" borderId="599" xfId="2" applyNumberFormat="1" applyFont="1" applyFill="1" applyBorder="1" applyAlignment="1">
      <alignment horizontal="center" vertical="center" wrapText="1"/>
    </xf>
    <xf numFmtId="41" fontId="177" fillId="127" borderId="40" xfId="2" applyFont="1" applyFill="1" applyBorder="1" applyAlignment="1">
      <alignment horizontal="center" vertical="center"/>
    </xf>
    <xf numFmtId="3" fontId="57" fillId="0" borderId="40" xfId="2" applyNumberFormat="1" applyFont="1" applyFill="1" applyBorder="1" applyAlignment="1">
      <alignment horizontal="center" vertical="center"/>
    </xf>
    <xf numFmtId="3" fontId="28" fillId="0" borderId="6" xfId="2" applyNumberFormat="1" applyFont="1" applyFill="1" applyBorder="1" applyAlignment="1">
      <alignment horizontal="center" vertical="center"/>
    </xf>
    <xf numFmtId="187" fontId="171" fillId="4" borderId="23" xfId="2" applyNumberFormat="1" applyFont="1" applyFill="1" applyBorder="1" applyAlignment="1">
      <alignment horizontal="center" vertical="center"/>
    </xf>
    <xf numFmtId="0" fontId="176" fillId="127" borderId="603" xfId="0" applyFont="1" applyFill="1" applyBorder="1" applyAlignment="1">
      <alignment horizontal="center" vertical="center"/>
    </xf>
    <xf numFmtId="3" fontId="57" fillId="0" borderId="608" xfId="2" applyNumberFormat="1" applyFont="1" applyFill="1" applyBorder="1" applyAlignment="1">
      <alignment horizontal="center" vertical="center"/>
    </xf>
    <xf numFmtId="3" fontId="57" fillId="117" borderId="608" xfId="2" applyNumberFormat="1" applyFont="1" applyFill="1" applyBorder="1" applyAlignment="1">
      <alignment horizontal="center" vertical="center"/>
    </xf>
    <xf numFmtId="3" fontId="28" fillId="0" borderId="608" xfId="0" applyNumberFormat="1" applyFont="1" applyBorder="1" applyAlignment="1">
      <alignment horizontal="center" vertical="center"/>
    </xf>
    <xf numFmtId="187" fontId="28" fillId="0" borderId="608" xfId="2" applyNumberFormat="1" applyFont="1" applyFill="1" applyBorder="1" applyAlignment="1">
      <alignment horizontal="center" vertical="center" wrapText="1"/>
    </xf>
    <xf numFmtId="3" fontId="198" fillId="0" borderId="608" xfId="0" applyNumberFormat="1" applyFont="1" applyBorder="1" applyAlignment="1">
      <alignment horizontal="center" vertical="center"/>
    </xf>
    <xf numFmtId="3" fontId="198" fillId="0" borderId="604" xfId="0" applyNumberFormat="1" applyFont="1" applyBorder="1" applyAlignment="1">
      <alignment horizontal="center" vertical="center"/>
    </xf>
    <xf numFmtId="187" fontId="34" fillId="0" borderId="616" xfId="0" applyNumberFormat="1" applyFont="1" applyBorder="1" applyAlignment="1">
      <alignment horizontal="center" vertical="center"/>
    </xf>
    <xf numFmtId="187" fontId="34" fillId="117" borderId="616" xfId="0" applyNumberFormat="1" applyFont="1" applyFill="1" applyBorder="1" applyAlignment="1">
      <alignment horizontal="center" vertical="center"/>
    </xf>
    <xf numFmtId="3" fontId="34" fillId="0" borderId="615" xfId="0" applyNumberFormat="1" applyFont="1" applyBorder="1" applyAlignment="1">
      <alignment horizontal="center" vertical="center"/>
    </xf>
    <xf numFmtId="187" fontId="34" fillId="0" borderId="605" xfId="0" applyNumberFormat="1" applyFont="1" applyBorder="1" applyAlignment="1">
      <alignment horizontal="center" vertical="center"/>
    </xf>
    <xf numFmtId="0" fontId="176" fillId="127" borderId="287" xfId="0" applyFont="1" applyFill="1" applyBorder="1" applyAlignment="1">
      <alignment horizontal="center" vertical="center"/>
    </xf>
    <xf numFmtId="3" fontId="57" fillId="0" borderId="609" xfId="2" applyNumberFormat="1" applyFont="1" applyFill="1" applyBorder="1" applyAlignment="1">
      <alignment horizontal="center" vertical="center"/>
    </xf>
    <xf numFmtId="3" fontId="57" fillId="0" borderId="610" xfId="2" applyNumberFormat="1" applyFont="1" applyFill="1" applyBorder="1" applyAlignment="1">
      <alignment horizontal="center" vertical="center"/>
    </xf>
    <xf numFmtId="3" fontId="57" fillId="117" borderId="610" xfId="2" applyNumberFormat="1" applyFont="1" applyFill="1" applyBorder="1" applyAlignment="1">
      <alignment horizontal="center" vertical="center"/>
    </xf>
    <xf numFmtId="3" fontId="57" fillId="117" borderId="609" xfId="2" applyNumberFormat="1" applyFont="1" applyFill="1" applyBorder="1" applyAlignment="1">
      <alignment horizontal="center" vertical="center"/>
    </xf>
    <xf numFmtId="223" fontId="0" fillId="0" borderId="0" xfId="0" applyNumberFormat="1">
      <alignment vertical="center"/>
    </xf>
    <xf numFmtId="183" fontId="176" fillId="125" borderId="230" xfId="2" applyNumberFormat="1" applyFont="1" applyFill="1" applyBorder="1" applyAlignment="1">
      <alignment horizontal="center" vertical="center" wrapText="1"/>
    </xf>
    <xf numFmtId="183" fontId="176" fillId="125" borderId="334" xfId="2" applyNumberFormat="1" applyFont="1" applyFill="1" applyBorder="1" applyAlignment="1">
      <alignment horizontal="center" vertical="center" wrapText="1"/>
    </xf>
    <xf numFmtId="177" fontId="28" fillId="0" borderId="609" xfId="2" applyNumberFormat="1" applyFont="1" applyFill="1" applyBorder="1" applyAlignment="1">
      <alignment horizontal="center" vertical="center" wrapText="1"/>
    </xf>
    <xf numFmtId="177" fontId="28" fillId="0" borderId="608" xfId="2" applyNumberFormat="1" applyFont="1" applyFill="1" applyBorder="1" applyAlignment="1">
      <alignment horizontal="center" vertical="center" wrapText="1"/>
    </xf>
    <xf numFmtId="38" fontId="28" fillId="0" borderId="615" xfId="2" applyNumberFormat="1" applyFont="1" applyFill="1" applyBorder="1" applyAlignment="1">
      <alignment horizontal="center" vertical="center" wrapText="1"/>
    </xf>
    <xf numFmtId="179" fontId="28" fillId="0" borderId="609" xfId="2" applyNumberFormat="1" applyFont="1" applyFill="1" applyBorder="1" applyAlignment="1">
      <alignment horizontal="center" vertical="center" wrapText="1"/>
    </xf>
    <xf numFmtId="179" fontId="28" fillId="0" borderId="608" xfId="2" applyNumberFormat="1" applyFont="1" applyFill="1" applyBorder="1" applyAlignment="1">
      <alignment horizontal="center" vertical="center" wrapText="1"/>
    </xf>
    <xf numFmtId="223" fontId="28" fillId="0" borderId="611" xfId="0" applyNumberFormat="1" applyFont="1" applyBorder="1" applyAlignment="1">
      <alignment horizontal="center" vertical="center"/>
    </xf>
    <xf numFmtId="179" fontId="28" fillId="0" borderId="603" xfId="2" applyNumberFormat="1" applyFont="1" applyFill="1" applyBorder="1" applyAlignment="1">
      <alignment horizontal="center" vertical="center" wrapText="1"/>
    </xf>
    <xf numFmtId="0" fontId="176" fillId="127" borderId="609" xfId="0" applyFont="1" applyFill="1" applyBorder="1" applyAlignment="1">
      <alignment horizontal="center" vertical="center"/>
    </xf>
    <xf numFmtId="41" fontId="176" fillId="127" borderId="609" xfId="2" applyFont="1" applyFill="1" applyBorder="1" applyAlignment="1">
      <alignment horizontal="center" vertical="center"/>
    </xf>
    <xf numFmtId="187" fontId="28" fillId="0" borderId="609" xfId="2" applyNumberFormat="1" applyFont="1" applyFill="1" applyBorder="1" applyAlignment="1">
      <alignment horizontal="center" vertical="center" wrapText="1"/>
    </xf>
    <xf numFmtId="41" fontId="176" fillId="127" borderId="603" xfId="2" applyFont="1" applyFill="1" applyBorder="1" applyAlignment="1">
      <alignment horizontal="center" vertical="center"/>
    </xf>
    <xf numFmtId="187" fontId="28" fillId="0" borderId="603" xfId="2" applyNumberFormat="1" applyFont="1" applyFill="1" applyBorder="1" applyAlignment="1">
      <alignment horizontal="center" vertical="center" wrapText="1"/>
    </xf>
    <xf numFmtId="183" fontId="34" fillId="117" borderId="609" xfId="2" applyNumberFormat="1" applyFont="1" applyFill="1" applyBorder="1" applyAlignment="1">
      <alignment horizontal="center" vertical="center" wrapText="1"/>
    </xf>
    <xf numFmtId="187" fontId="32" fillId="0" borderId="609" xfId="2" applyNumberFormat="1" applyFont="1" applyFill="1" applyBorder="1" applyAlignment="1">
      <alignment horizontal="center" vertical="center" wrapText="1"/>
    </xf>
    <xf numFmtId="187" fontId="32" fillId="0" borderId="608" xfId="2" applyNumberFormat="1" applyFont="1" applyFill="1" applyBorder="1" applyAlignment="1">
      <alignment horizontal="center" vertical="center" wrapText="1"/>
    </xf>
    <xf numFmtId="183" fontId="34" fillId="117" borderId="603" xfId="2" applyNumberFormat="1" applyFont="1" applyFill="1" applyBorder="1" applyAlignment="1">
      <alignment horizontal="center" vertical="center" wrapText="1"/>
    </xf>
    <xf numFmtId="187" fontId="32" fillId="0" borderId="603" xfId="2" applyNumberFormat="1" applyFont="1" applyFill="1" applyBorder="1" applyAlignment="1">
      <alignment horizontal="center" vertical="center" wrapText="1"/>
    </xf>
    <xf numFmtId="0" fontId="186" fillId="116" borderId="619" xfId="0" applyFont="1" applyFill="1" applyBorder="1" applyAlignment="1">
      <alignment horizontal="center" vertical="center"/>
    </xf>
    <xf numFmtId="0" fontId="186" fillId="116" borderId="315" xfId="0" applyFont="1" applyFill="1" applyBorder="1" applyAlignment="1">
      <alignment horizontal="center" vertical="center"/>
    </xf>
    <xf numFmtId="0" fontId="186" fillId="116" borderId="621" xfId="0" applyFont="1" applyFill="1" applyBorder="1" applyAlignment="1">
      <alignment horizontal="center" vertical="center"/>
    </xf>
    <xf numFmtId="177" fontId="124" fillId="0" borderId="86" xfId="0" applyNumberFormat="1" applyFont="1" applyBorder="1" applyAlignment="1">
      <alignment horizontal="center" vertical="center"/>
    </xf>
    <xf numFmtId="186" fontId="124" fillId="0" borderId="5" xfId="0" applyNumberFormat="1" applyFont="1" applyBorder="1" applyAlignment="1">
      <alignment horizontal="center" vertical="center"/>
    </xf>
    <xf numFmtId="230" fontId="124" fillId="0" borderId="330" xfId="0" applyNumberFormat="1" applyFont="1" applyBorder="1" applyAlignment="1">
      <alignment horizontal="center" vertical="center"/>
    </xf>
    <xf numFmtId="0" fontId="186" fillId="4" borderId="123" xfId="0" applyFont="1" applyFill="1" applyBorder="1" applyAlignment="1">
      <alignment horizontal="center" vertical="center"/>
    </xf>
    <xf numFmtId="177" fontId="124" fillId="0" borderId="49" xfId="0" applyNumberFormat="1" applyFont="1" applyBorder="1" applyAlignment="1">
      <alignment horizontal="center" vertical="center"/>
    </xf>
    <xf numFmtId="186" fontId="124" fillId="0" borderId="122" xfId="0" applyNumberFormat="1" applyFont="1" applyBorder="1" applyAlignment="1">
      <alignment horizontal="center" vertical="center"/>
    </xf>
    <xf numFmtId="230" fontId="124" fillId="0" borderId="47" xfId="0" applyNumberFormat="1" applyFont="1" applyBorder="1" applyAlignment="1">
      <alignment horizontal="center" vertical="center"/>
    </xf>
    <xf numFmtId="0" fontId="186" fillId="4" borderId="611" xfId="0" applyFont="1" applyFill="1" applyBorder="1" applyAlignment="1">
      <alignment horizontal="center" vertical="center"/>
    </xf>
    <xf numFmtId="177" fontId="124" fillId="0" borderId="616" xfId="0" applyNumberFormat="1" applyFont="1" applyBorder="1" applyAlignment="1">
      <alignment horizontal="center" vertical="center"/>
    </xf>
    <xf numFmtId="186" fontId="124" fillId="0" borderId="609" xfId="0" applyNumberFormat="1" applyFont="1" applyBorder="1" applyAlignment="1">
      <alignment horizontal="center" vertical="center"/>
    </xf>
    <xf numFmtId="230" fontId="124" fillId="0" borderId="608" xfId="0" applyNumberFormat="1" applyFont="1" applyBorder="1" applyAlignment="1">
      <alignment horizontal="center" vertical="center"/>
    </xf>
    <xf numFmtId="0" fontId="186" fillId="4" borderId="518" xfId="0" applyFont="1" applyFill="1" applyBorder="1" applyAlignment="1">
      <alignment horizontal="center" vertical="center"/>
    </xf>
    <xf numFmtId="177" fontId="124" fillId="0" borderId="519" xfId="0" applyNumberFormat="1" applyFont="1" applyBorder="1" applyAlignment="1">
      <alignment horizontal="center" vertical="center"/>
    </xf>
    <xf numFmtId="186" fontId="124" fillId="0" borderId="516" xfId="0" applyNumberFormat="1" applyFont="1" applyBorder="1" applyAlignment="1">
      <alignment horizontal="center" vertical="center"/>
    </xf>
    <xf numFmtId="230" fontId="124" fillId="0" borderId="517" xfId="0" applyNumberFormat="1" applyFont="1" applyBorder="1" applyAlignment="1">
      <alignment horizontal="center" vertical="center"/>
    </xf>
    <xf numFmtId="177" fontId="124" fillId="0" borderId="211" xfId="0" applyNumberFormat="1" applyFont="1" applyBorder="1" applyAlignment="1">
      <alignment horizontal="center" vertical="center"/>
    </xf>
    <xf numFmtId="186" fontId="124" fillId="0" borderId="212" xfId="0" applyNumberFormat="1" applyFont="1" applyBorder="1" applyAlignment="1">
      <alignment horizontal="center" vertical="center"/>
    </xf>
    <xf numFmtId="230" fontId="124" fillId="0" borderId="162" xfId="0" applyNumberFormat="1" applyFont="1" applyBorder="1" applyAlignment="1">
      <alignment horizontal="center" vertical="center"/>
    </xf>
    <xf numFmtId="0" fontId="186" fillId="116" borderId="314" xfId="0" applyFont="1" applyFill="1" applyBorder="1" applyAlignment="1">
      <alignment horizontal="center" vertical="center"/>
    </xf>
    <xf numFmtId="0" fontId="186" fillId="116" borderId="316" xfId="0" applyFont="1" applyFill="1" applyBorder="1" applyAlignment="1">
      <alignment horizontal="center" vertical="center"/>
    </xf>
    <xf numFmtId="177" fontId="186" fillId="0" borderId="221" xfId="0" applyNumberFormat="1" applyFont="1" applyBorder="1" applyAlignment="1">
      <alignment horizontal="center" vertical="center"/>
    </xf>
    <xf numFmtId="177" fontId="186" fillId="0" borderId="610" xfId="0" applyNumberFormat="1" applyFont="1" applyBorder="1" applyAlignment="1">
      <alignment horizontal="center" vertical="center"/>
    </xf>
    <xf numFmtId="177" fontId="186" fillId="0" borderId="515" xfId="0" applyNumberFormat="1" applyFont="1" applyBorder="1" applyAlignment="1">
      <alignment horizontal="center" vertical="center"/>
    </xf>
    <xf numFmtId="0" fontId="186" fillId="0" borderId="202" xfId="0" applyFont="1" applyBorder="1" applyAlignment="1">
      <alignment horizontal="center" vertical="center"/>
    </xf>
    <xf numFmtId="0" fontId="186" fillId="0" borderId="611" xfId="0" applyFont="1" applyBorder="1" applyAlignment="1">
      <alignment horizontal="center" vertical="center"/>
    </xf>
    <xf numFmtId="0" fontId="186" fillId="0" borderId="518" xfId="0" applyFont="1" applyBorder="1" applyAlignment="1">
      <alignment horizontal="center" vertical="center"/>
    </xf>
    <xf numFmtId="226" fontId="28" fillId="7" borderId="608" xfId="2" applyNumberFormat="1" applyFont="1" applyFill="1" applyBorder="1" applyAlignment="1">
      <alignment horizontal="center" vertical="center"/>
    </xf>
    <xf numFmtId="226" fontId="28" fillId="7" borderId="624" xfId="2" applyNumberFormat="1" applyFont="1" applyFill="1" applyBorder="1" applyAlignment="1">
      <alignment horizontal="center" vertical="center"/>
    </xf>
    <xf numFmtId="226" fontId="28" fillId="7" borderId="511" xfId="2" applyNumberFormat="1" applyFont="1" applyFill="1" applyBorder="1" applyAlignment="1">
      <alignment horizontal="center" vertical="center"/>
    </xf>
    <xf numFmtId="3" fontId="57" fillId="7" borderId="446" xfId="2" applyNumberFormat="1" applyFont="1" applyFill="1" applyBorder="1" applyAlignment="1">
      <alignment horizontal="center" vertical="center"/>
    </xf>
    <xf numFmtId="0" fontId="57" fillId="0" borderId="329" xfId="0" applyFont="1" applyFill="1" applyBorder="1" applyAlignment="1">
      <alignment horizontal="center" vertical="center"/>
    </xf>
    <xf numFmtId="9" fontId="57" fillId="0" borderId="5" xfId="1" applyFont="1" applyBorder="1" applyAlignment="1">
      <alignment horizontal="center" vertical="center"/>
    </xf>
    <xf numFmtId="9" fontId="57" fillId="0" borderId="6" xfId="1" applyFont="1" applyBorder="1" applyAlignment="1">
      <alignment horizontal="center" vertical="center"/>
    </xf>
    <xf numFmtId="2" fontId="57" fillId="0" borderId="611" xfId="0" applyNumberFormat="1" applyFont="1" applyFill="1" applyBorder="1" applyAlignment="1">
      <alignment horizontal="center" vertical="center"/>
    </xf>
    <xf numFmtId="226" fontId="0" fillId="0" borderId="0" xfId="0" applyNumberFormat="1">
      <alignment vertical="center"/>
    </xf>
    <xf numFmtId="187" fontId="0" fillId="0" borderId="610" xfId="0" applyNumberFormat="1" applyBorder="1" applyAlignment="1">
      <alignment horizontal="center" vertical="center"/>
    </xf>
    <xf numFmtId="226" fontId="215" fillId="0" borderId="611" xfId="0" applyNumberFormat="1" applyFont="1" applyBorder="1" applyAlignment="1">
      <alignment horizontal="center" vertical="center"/>
    </xf>
    <xf numFmtId="0" fontId="0" fillId="0" borderId="609" xfId="0" applyBorder="1" applyAlignment="1">
      <alignment horizontal="center" vertical="center"/>
    </xf>
    <xf numFmtId="187" fontId="0" fillId="0" borderId="121" xfId="0" applyNumberFormat="1" applyBorder="1" applyAlignment="1">
      <alignment horizontal="center" vertical="center"/>
    </xf>
    <xf numFmtId="0" fontId="0" fillId="0" borderId="610" xfId="0" applyBorder="1" applyAlignment="1">
      <alignment horizontal="center" vertical="center"/>
    </xf>
    <xf numFmtId="187" fontId="0" fillId="0" borderId="221" xfId="0" applyNumberFormat="1" applyBorder="1" applyAlignment="1">
      <alignment horizontal="center" vertical="center"/>
    </xf>
    <xf numFmtId="187" fontId="243" fillId="0" borderId="6" xfId="4124" applyNumberFormat="1" applyFont="1" applyBorder="1" applyAlignment="1">
      <alignment horizontal="center" vertical="center"/>
    </xf>
    <xf numFmtId="187" fontId="0" fillId="0" borderId="314" xfId="0" applyNumberFormat="1" applyBorder="1" applyAlignment="1">
      <alignment horizontal="center" vertical="center"/>
    </xf>
    <xf numFmtId="187" fontId="0" fillId="0" borderId="315" xfId="0" applyNumberFormat="1" applyBorder="1" applyAlignment="1">
      <alignment horizontal="center" vertical="center"/>
    </xf>
    <xf numFmtId="187" fontId="0" fillId="0" borderId="316" xfId="0" applyNumberFormat="1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177" fontId="243" fillId="0" borderId="516" xfId="0" applyNumberFormat="1" applyFont="1" applyBorder="1" applyAlignment="1">
      <alignment horizontal="center" vertical="center"/>
    </xf>
    <xf numFmtId="187" fontId="0" fillId="0" borderId="602" xfId="0" applyNumberFormat="1" applyBorder="1" applyAlignment="1">
      <alignment horizontal="center" vertical="center"/>
    </xf>
    <xf numFmtId="187" fontId="45" fillId="0" borderId="225" xfId="0" applyNumberFormat="1" applyFont="1" applyFill="1" applyBorder="1" applyAlignment="1">
      <alignment horizontal="center" vertical="center"/>
    </xf>
    <xf numFmtId="187" fontId="45" fillId="0" borderId="226" xfId="0" applyNumberFormat="1" applyFont="1" applyBorder="1" applyAlignment="1">
      <alignment horizontal="center" vertical="center"/>
    </xf>
    <xf numFmtId="226" fontId="45" fillId="0" borderId="229" xfId="0" applyNumberFormat="1" applyFont="1" applyBorder="1" applyAlignment="1">
      <alignment horizontal="center" vertical="center"/>
    </xf>
    <xf numFmtId="187" fontId="244" fillId="0" borderId="609" xfId="4124" applyNumberFormat="1" applyFont="1" applyFill="1" applyBorder="1" applyAlignment="1">
      <alignment horizontal="center" vertical="center"/>
    </xf>
    <xf numFmtId="187" fontId="245" fillId="0" borderId="516" xfId="0" applyNumberFormat="1" applyFont="1" applyBorder="1" applyAlignment="1">
      <alignment horizontal="center" vertical="center"/>
    </xf>
    <xf numFmtId="187" fontId="245" fillId="0" borderId="6" xfId="0" applyNumberFormat="1" applyFont="1" applyBorder="1" applyAlignment="1">
      <alignment horizontal="center" vertical="center"/>
    </xf>
    <xf numFmtId="187" fontId="245" fillId="0" borderId="609" xfId="0" applyNumberFormat="1" applyFont="1" applyBorder="1" applyAlignment="1">
      <alignment horizontal="center" vertical="center"/>
    </xf>
    <xf numFmtId="187" fontId="245" fillId="0" borderId="603" xfId="0" applyNumberFormat="1" applyFont="1" applyBorder="1" applyAlignment="1">
      <alignment horizontal="center" vertical="center"/>
    </xf>
    <xf numFmtId="187" fontId="244" fillId="0" borderId="122" xfId="4124" applyNumberFormat="1" applyFont="1" applyFill="1" applyBorder="1" applyAlignment="1">
      <alignment horizontal="center" vertical="center"/>
    </xf>
    <xf numFmtId="187" fontId="246" fillId="0" borderId="122" xfId="4124" applyNumberFormat="1" applyFont="1" applyFill="1" applyBorder="1" applyAlignment="1">
      <alignment horizontal="center" vertical="center"/>
    </xf>
    <xf numFmtId="187" fontId="246" fillId="0" borderId="609" xfId="4124" applyNumberFormat="1" applyFont="1" applyFill="1" applyBorder="1" applyAlignment="1">
      <alignment horizontal="center" vertical="center"/>
    </xf>
    <xf numFmtId="187" fontId="247" fillId="0" borderId="516" xfId="0" applyNumberFormat="1" applyFont="1" applyBorder="1" applyAlignment="1">
      <alignment horizontal="center" vertical="center"/>
    </xf>
    <xf numFmtId="187" fontId="247" fillId="0" borderId="6" xfId="0" applyNumberFormat="1" applyFont="1" applyBorder="1" applyAlignment="1">
      <alignment horizontal="center" vertical="center"/>
    </xf>
    <xf numFmtId="187" fontId="247" fillId="0" borderId="609" xfId="0" applyNumberFormat="1" applyFont="1" applyBorder="1" applyAlignment="1">
      <alignment horizontal="center" vertical="center"/>
    </xf>
    <xf numFmtId="187" fontId="247" fillId="0" borderId="603" xfId="0" applyNumberFormat="1" applyFont="1" applyBorder="1" applyAlignment="1">
      <alignment horizontal="center" vertical="center"/>
    </xf>
    <xf numFmtId="226" fontId="210" fillId="0" borderId="611" xfId="4124" applyNumberFormat="1" applyFont="1" applyFill="1" applyBorder="1" applyAlignment="1">
      <alignment horizontal="center" vertical="center"/>
    </xf>
    <xf numFmtId="226" fontId="215" fillId="0" borderId="594" xfId="0" applyNumberFormat="1" applyFont="1" applyBorder="1" applyAlignment="1">
      <alignment horizontal="center" vertical="center"/>
    </xf>
    <xf numFmtId="10" fontId="198" fillId="0" borderId="609" xfId="1" applyNumberFormat="1" applyFont="1" applyFill="1" applyBorder="1" applyAlignment="1">
      <alignment horizontal="center" vertical="center"/>
    </xf>
    <xf numFmtId="0" fontId="0" fillId="0" borderId="609" xfId="0" applyBorder="1">
      <alignment vertical="center"/>
    </xf>
    <xf numFmtId="177" fontId="198" fillId="133" borderId="610" xfId="1" applyNumberFormat="1" applyFont="1" applyFill="1" applyBorder="1" applyAlignment="1">
      <alignment horizontal="center" vertical="center"/>
    </xf>
    <xf numFmtId="177" fontId="198" fillId="133" borderId="609" xfId="1" applyNumberFormat="1" applyFont="1" applyFill="1" applyBorder="1" applyAlignment="1">
      <alignment horizontal="center" vertical="center"/>
    </xf>
    <xf numFmtId="177" fontId="198" fillId="133" borderId="609" xfId="0" applyNumberFormat="1" applyFont="1" applyFill="1" applyBorder="1" applyAlignment="1">
      <alignment horizontal="center" vertical="center"/>
    </xf>
    <xf numFmtId="177" fontId="198" fillId="93" borderId="609" xfId="1" applyNumberFormat="1" applyFont="1" applyFill="1" applyBorder="1" applyAlignment="1">
      <alignment horizontal="center" vertical="center"/>
    </xf>
    <xf numFmtId="176" fontId="232" fillId="0" borderId="611" xfId="0" applyNumberFormat="1" applyFont="1" applyBorder="1" applyAlignment="1">
      <alignment horizontal="center" vertical="center"/>
    </xf>
    <xf numFmtId="176" fontId="232" fillId="137" borderId="483" xfId="1" applyNumberFormat="1" applyFont="1" applyFill="1" applyBorder="1" applyAlignment="1">
      <alignment horizontal="center" vertical="center"/>
    </xf>
    <xf numFmtId="10" fontId="248" fillId="137" borderId="516" xfId="1" applyNumberFormat="1" applyFont="1" applyFill="1" applyBorder="1" applyAlignment="1">
      <alignment horizontal="center" vertical="center"/>
    </xf>
    <xf numFmtId="9" fontId="232" fillId="137" borderId="516" xfId="1" applyFont="1" applyFill="1" applyBorder="1" applyAlignment="1">
      <alignment horizontal="center" vertical="center"/>
    </xf>
    <xf numFmtId="0" fontId="0" fillId="137" borderId="516" xfId="0" applyFill="1" applyBorder="1" applyAlignment="1">
      <alignment vertical="center"/>
    </xf>
    <xf numFmtId="0" fontId="0" fillId="3" borderId="0" xfId="0" applyFill="1">
      <alignment vertical="center"/>
    </xf>
    <xf numFmtId="0" fontId="208" fillId="3" borderId="0" xfId="0" applyFont="1" applyFill="1">
      <alignment vertical="center"/>
    </xf>
    <xf numFmtId="177" fontId="28" fillId="134" borderId="609" xfId="0" applyNumberFormat="1" applyFont="1" applyFill="1" applyBorder="1" applyAlignment="1">
      <alignment horizontal="center" vertical="center"/>
    </xf>
    <xf numFmtId="177" fontId="198" fillId="0" borderId="609" xfId="0" applyNumberFormat="1" applyFont="1" applyFill="1" applyBorder="1" applyAlignment="1">
      <alignment horizontal="center" vertical="center"/>
    </xf>
    <xf numFmtId="177" fontId="28" fillId="0" borderId="609" xfId="0" applyNumberFormat="1" applyFont="1" applyBorder="1" applyAlignment="1">
      <alignment horizontal="center" vertical="center"/>
    </xf>
    <xf numFmtId="177" fontId="28" fillId="134" borderId="609" xfId="0" applyNumberFormat="1" applyFont="1" applyFill="1" applyBorder="1" applyAlignment="1">
      <alignment horizontal="center"/>
    </xf>
    <xf numFmtId="187" fontId="198" fillId="0" borderId="609" xfId="1" applyNumberFormat="1" applyFont="1" applyFill="1" applyBorder="1" applyAlignment="1">
      <alignment horizontal="center" vertical="center"/>
    </xf>
    <xf numFmtId="241" fontId="232" fillId="4" borderId="609" xfId="1" applyNumberFormat="1" applyFont="1" applyFill="1" applyBorder="1" applyAlignment="1">
      <alignment horizontal="center" vertical="center"/>
    </xf>
    <xf numFmtId="241" fontId="198" fillId="0" borderId="609" xfId="1" applyNumberFormat="1" applyFont="1" applyFill="1" applyBorder="1" applyAlignment="1">
      <alignment horizontal="center" vertical="center"/>
    </xf>
    <xf numFmtId="183" fontId="198" fillId="0" borderId="609" xfId="1" applyNumberFormat="1" applyFont="1" applyFill="1" applyBorder="1" applyAlignment="1">
      <alignment horizontal="center" vertical="center"/>
    </xf>
    <xf numFmtId="176" fontId="232" fillId="0" borderId="608" xfId="0" applyNumberFormat="1" applyFont="1" applyBorder="1" applyAlignment="1">
      <alignment horizontal="center" vertical="center"/>
    </xf>
    <xf numFmtId="0" fontId="29" fillId="130" borderId="121" xfId="0" applyFont="1" applyFill="1" applyBorder="1" applyAlignment="1">
      <alignment horizontal="center" vertical="center"/>
    </xf>
    <xf numFmtId="0" fontId="29" fillId="130" borderId="230" xfId="0" applyFont="1" applyFill="1" applyBorder="1" applyAlignment="1">
      <alignment horizontal="center" vertical="center"/>
    </xf>
    <xf numFmtId="0" fontId="29" fillId="130" borderId="137" xfId="0" applyFont="1" applyFill="1" applyBorder="1" applyAlignment="1">
      <alignment horizontal="center" vertical="center"/>
    </xf>
    <xf numFmtId="0" fontId="198" fillId="0" borderId="610" xfId="0" applyFont="1" applyBorder="1" applyAlignment="1">
      <alignment horizontal="center" vertical="center" wrapText="1"/>
    </xf>
    <xf numFmtId="187" fontId="198" fillId="0" borderId="611" xfId="1" applyNumberFormat="1" applyFont="1" applyFill="1" applyBorder="1" applyAlignment="1">
      <alignment horizontal="center" vertical="center"/>
    </xf>
    <xf numFmtId="0" fontId="198" fillId="0" borderId="610" xfId="0" applyFont="1" applyBorder="1" applyAlignment="1">
      <alignment horizontal="center" vertical="center"/>
    </xf>
    <xf numFmtId="0" fontId="232" fillId="0" borderId="610" xfId="0" applyFont="1" applyBorder="1" applyAlignment="1">
      <alignment horizontal="center" vertical="center"/>
    </xf>
    <xf numFmtId="241" fontId="232" fillId="4" borderId="611" xfId="1" applyNumberFormat="1" applyFont="1" applyFill="1" applyBorder="1" applyAlignment="1">
      <alignment horizontal="center" vertical="center"/>
    </xf>
    <xf numFmtId="183" fontId="198" fillId="0" borderId="611" xfId="1" applyNumberFormat="1" applyFont="1" applyFill="1" applyBorder="1" applyAlignment="1">
      <alignment horizontal="center" vertical="center"/>
    </xf>
    <xf numFmtId="0" fontId="29" fillId="130" borderId="483" xfId="0" applyFont="1" applyFill="1" applyBorder="1" applyAlignment="1">
      <alignment horizontal="center" vertical="center"/>
    </xf>
    <xf numFmtId="9" fontId="29" fillId="130" borderId="516" xfId="1" applyFont="1" applyFill="1" applyBorder="1" applyAlignment="1">
      <alignment horizontal="center" vertical="center"/>
    </xf>
    <xf numFmtId="9" fontId="29" fillId="130" borderId="518" xfId="1" applyFont="1" applyFill="1" applyBorder="1" applyAlignment="1">
      <alignment horizontal="center" vertical="center"/>
    </xf>
    <xf numFmtId="241" fontId="232" fillId="4" borderId="608" xfId="1" applyNumberFormat="1" applyFont="1" applyFill="1" applyBorder="1" applyAlignment="1">
      <alignment horizontal="center" vertical="center"/>
    </xf>
    <xf numFmtId="0" fontId="29" fillId="130" borderId="122" xfId="0" applyFont="1" applyFill="1" applyBorder="1" applyAlignment="1">
      <alignment horizontal="center" vertical="center"/>
    </xf>
    <xf numFmtId="0" fontId="29" fillId="130" borderId="123" xfId="0" applyFont="1" applyFill="1" applyBorder="1" applyAlignment="1">
      <alignment horizontal="center" vertical="center"/>
    </xf>
    <xf numFmtId="241" fontId="232" fillId="4" borderId="610" xfId="1" applyNumberFormat="1" applyFont="1" applyFill="1" applyBorder="1" applyAlignment="1">
      <alignment horizontal="center" vertical="center"/>
    </xf>
    <xf numFmtId="10" fontId="29" fillId="130" borderId="483" xfId="1" applyNumberFormat="1" applyFont="1" applyFill="1" applyBorder="1" applyAlignment="1">
      <alignment horizontal="center" vertical="center"/>
    </xf>
    <xf numFmtId="10" fontId="29" fillId="130" borderId="518" xfId="1" applyNumberFormat="1" applyFont="1" applyFill="1" applyBorder="1" applyAlignment="1">
      <alignment horizontal="center" vertical="center"/>
    </xf>
    <xf numFmtId="0" fontId="29" fillId="130" borderId="47" xfId="0" applyFont="1" applyFill="1" applyBorder="1" applyAlignment="1">
      <alignment horizontal="center" vertical="center"/>
    </xf>
    <xf numFmtId="187" fontId="198" fillId="0" borderId="608" xfId="1" applyNumberFormat="1" applyFont="1" applyFill="1" applyBorder="1" applyAlignment="1">
      <alignment horizontal="center" vertical="center"/>
    </xf>
    <xf numFmtId="183" fontId="198" fillId="0" borderId="608" xfId="1" applyNumberFormat="1" applyFont="1" applyFill="1" applyBorder="1" applyAlignment="1">
      <alignment horizontal="center" vertical="center"/>
    </xf>
    <xf numFmtId="10" fontId="29" fillId="130" borderId="517" xfId="1" applyNumberFormat="1" applyFont="1" applyFill="1" applyBorder="1" applyAlignment="1">
      <alignment horizontal="center" vertical="center"/>
    </xf>
    <xf numFmtId="0" fontId="0" fillId="0" borderId="611" xfId="0" applyBorder="1" applyAlignment="1">
      <alignment horizontal="center" vertical="center"/>
    </xf>
    <xf numFmtId="0" fontId="29" fillId="130" borderId="64" xfId="0" applyFont="1" applyFill="1" applyBorder="1" applyAlignment="1">
      <alignment horizontal="center" vertical="center"/>
    </xf>
    <xf numFmtId="177" fontId="198" fillId="0" borderId="599" xfId="0" applyNumberFormat="1" applyFont="1" applyFill="1" applyBorder="1" applyAlignment="1">
      <alignment horizontal="center" vertical="center" wrapText="1"/>
    </xf>
    <xf numFmtId="241" fontId="232" fillId="4" borderId="599" xfId="1" applyNumberFormat="1" applyFont="1" applyFill="1" applyBorder="1" applyAlignment="1">
      <alignment horizontal="center" vertical="center"/>
    </xf>
    <xf numFmtId="10" fontId="29" fillId="130" borderId="521" xfId="1" applyNumberFormat="1" applyFont="1" applyFill="1" applyBorder="1" applyAlignment="1">
      <alignment horizontal="center" vertical="center"/>
    </xf>
    <xf numFmtId="177" fontId="0" fillId="0" borderId="609" xfId="0" applyNumberFormat="1" applyBorder="1" applyAlignment="1">
      <alignment horizontal="center" vertical="center"/>
    </xf>
    <xf numFmtId="177" fontId="0" fillId="0" borderId="610" xfId="0" applyNumberFormat="1" applyBorder="1" applyAlignment="1">
      <alignment horizontal="center" vertical="center"/>
    </xf>
    <xf numFmtId="240" fontId="232" fillId="133" borderId="516" xfId="0" applyNumberFormat="1" applyFont="1" applyFill="1" applyBorder="1" applyAlignment="1">
      <alignment horizontal="center" vertical="center"/>
    </xf>
    <xf numFmtId="240" fontId="232" fillId="133" borderId="518" xfId="0" applyNumberFormat="1" applyFont="1" applyFill="1" applyBorder="1" applyAlignment="1">
      <alignment horizontal="center" vertical="center"/>
    </xf>
    <xf numFmtId="187" fontId="240" fillId="0" borderId="609" xfId="1" applyNumberFormat="1" applyFont="1" applyFill="1" applyBorder="1" applyAlignment="1">
      <alignment horizontal="center" vertical="center"/>
    </xf>
    <xf numFmtId="178" fontId="25" fillId="0" borderId="609" xfId="2" applyNumberFormat="1" applyFont="1" applyFill="1" applyBorder="1" applyAlignment="1">
      <alignment horizontal="center" vertical="center"/>
    </xf>
    <xf numFmtId="0" fontId="29" fillId="139" borderId="516" xfId="0" applyFont="1" applyFill="1" applyBorder="1" applyAlignment="1"/>
    <xf numFmtId="9" fontId="29" fillId="139" borderId="516" xfId="1" applyFont="1" applyFill="1" applyBorder="1" applyAlignment="1">
      <alignment horizontal="center" vertical="center"/>
    </xf>
    <xf numFmtId="240" fontId="29" fillId="139" borderId="516" xfId="0" applyNumberFormat="1" applyFont="1" applyFill="1" applyBorder="1" applyAlignment="1">
      <alignment horizontal="center" vertical="center"/>
    </xf>
    <xf numFmtId="240" fontId="29" fillId="139" borderId="518" xfId="0" applyNumberFormat="1" applyFont="1" applyFill="1" applyBorder="1" applyAlignment="1">
      <alignment horizontal="center" vertical="center"/>
    </xf>
    <xf numFmtId="0" fontId="28" fillId="4" borderId="609" xfId="0" applyFont="1" applyFill="1" applyBorder="1" applyAlignment="1">
      <alignment horizontal="center" vertical="center"/>
    </xf>
    <xf numFmtId="187" fontId="34" fillId="0" borderId="609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 wrapText="1"/>
    </xf>
    <xf numFmtId="0" fontId="28" fillId="0" borderId="609" xfId="0" applyFont="1" applyBorder="1" applyAlignment="1">
      <alignment horizontal="center" vertical="center" wrapText="1"/>
    </xf>
    <xf numFmtId="0" fontId="28" fillId="0" borderId="6" xfId="0" applyFont="1" applyBorder="1" applyAlignment="1">
      <alignment vertical="center"/>
    </xf>
    <xf numFmtId="187" fontId="238" fillId="140" borderId="609" xfId="1" applyNumberFormat="1" applyFont="1" applyFill="1" applyBorder="1" applyAlignment="1">
      <alignment horizontal="center" vertical="center"/>
    </xf>
    <xf numFmtId="10" fontId="232" fillId="140" borderId="609" xfId="1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06" xfId="0" applyBorder="1">
      <alignment vertical="center"/>
    </xf>
    <xf numFmtId="0" fontId="0" fillId="0" borderId="268" xfId="0" applyBorder="1">
      <alignment vertical="center"/>
    </xf>
    <xf numFmtId="10" fontId="198" fillId="0" borderId="616" xfId="1" applyNumberFormat="1" applyFont="1" applyFill="1" applyBorder="1" applyAlignment="1">
      <alignment horizontal="center" vertical="center"/>
    </xf>
    <xf numFmtId="240" fontId="232" fillId="133" borderId="519" xfId="0" applyNumberFormat="1" applyFont="1" applyFill="1" applyBorder="1" applyAlignment="1">
      <alignment horizontal="center" vertical="center"/>
    </xf>
    <xf numFmtId="0" fontId="232" fillId="136" borderId="121" xfId="0" applyFont="1" applyFill="1" applyBorder="1" applyAlignment="1">
      <alignment horizontal="center" vertical="center"/>
    </xf>
    <xf numFmtId="0" fontId="232" fillId="136" borderId="610" xfId="0" applyFont="1" applyFill="1" applyBorder="1" applyAlignment="1">
      <alignment horizontal="center" vertical="center"/>
    </xf>
    <xf numFmtId="0" fontId="232" fillId="136" borderId="483" xfId="0" applyFont="1" applyFill="1" applyBorder="1" applyAlignment="1">
      <alignment horizontal="center" vertical="center"/>
    </xf>
    <xf numFmtId="0" fontId="232" fillId="142" borderId="599" xfId="0" applyFont="1" applyFill="1" applyBorder="1" applyAlignment="1">
      <alignment horizontal="center" vertical="center"/>
    </xf>
    <xf numFmtId="0" fontId="232" fillId="142" borderId="521" xfId="0" applyFont="1" applyFill="1" applyBorder="1" applyAlignment="1">
      <alignment horizontal="center" vertical="center"/>
    </xf>
    <xf numFmtId="240" fontId="232" fillId="118" borderId="517" xfId="0" applyNumberFormat="1" applyFont="1" applyFill="1" applyBorder="1" applyAlignment="1">
      <alignment horizontal="center" vertical="center"/>
    </xf>
    <xf numFmtId="240" fontId="232" fillId="118" borderId="518" xfId="0" applyNumberFormat="1" applyFont="1" applyFill="1" applyBorder="1" applyAlignment="1">
      <alignment horizontal="center" vertical="center"/>
    </xf>
    <xf numFmtId="240" fontId="232" fillId="118" borderId="521" xfId="0" applyNumberFormat="1" applyFont="1" applyFill="1" applyBorder="1" applyAlignment="1">
      <alignment horizontal="center" vertical="center"/>
    </xf>
    <xf numFmtId="0" fontId="0" fillId="4" borderId="516" xfId="0" applyFill="1" applyBorder="1">
      <alignment vertical="center"/>
    </xf>
    <xf numFmtId="0" fontId="232" fillId="143" borderId="609" xfId="0" applyFont="1" applyFill="1" applyBorder="1" applyAlignment="1">
      <alignment horizontal="center" vertical="center"/>
    </xf>
    <xf numFmtId="0" fontId="232" fillId="143" borderId="610" xfId="0" applyFont="1" applyFill="1" applyBorder="1" applyAlignment="1">
      <alignment horizontal="center" vertical="center"/>
    </xf>
    <xf numFmtId="241" fontId="232" fillId="141" borderId="609" xfId="1" applyNumberFormat="1" applyFont="1" applyFill="1" applyBorder="1" applyAlignment="1">
      <alignment horizontal="center" vertical="center"/>
    </xf>
    <xf numFmtId="241" fontId="232" fillId="141" borderId="611" xfId="1" applyNumberFormat="1" applyFont="1" applyFill="1" applyBorder="1" applyAlignment="1">
      <alignment horizontal="center" vertical="center"/>
    </xf>
    <xf numFmtId="179" fontId="198" fillId="0" borderId="610" xfId="0" applyNumberFormat="1" applyFont="1" applyFill="1" applyBorder="1" applyAlignment="1">
      <alignment horizontal="center" vertical="center"/>
    </xf>
    <xf numFmtId="179" fontId="198" fillId="0" borderId="609" xfId="0" applyNumberFormat="1" applyFont="1" applyFill="1" applyBorder="1" applyAlignment="1">
      <alignment horizontal="center" vertical="center"/>
    </xf>
    <xf numFmtId="179" fontId="198" fillId="0" borderId="608" xfId="0" applyNumberFormat="1" applyFont="1" applyFill="1" applyBorder="1" applyAlignment="1">
      <alignment horizontal="center" vertical="center"/>
    </xf>
    <xf numFmtId="240" fontId="34" fillId="137" borderId="609" xfId="0" applyNumberFormat="1" applyFont="1" applyFill="1" applyBorder="1" applyAlignment="1">
      <alignment horizontal="center" vertical="center"/>
    </xf>
    <xf numFmtId="226" fontId="34" fillId="137" borderId="483" xfId="2" applyNumberFormat="1" applyFont="1" applyFill="1" applyBorder="1" applyAlignment="1">
      <alignment horizontal="center" vertical="center"/>
    </xf>
    <xf numFmtId="226" fontId="34" fillId="137" borderId="516" xfId="2" applyNumberFormat="1" applyFont="1" applyFill="1" applyBorder="1" applyAlignment="1">
      <alignment horizontal="center" vertical="center"/>
    </xf>
    <xf numFmtId="226" fontId="34" fillId="137" borderId="610" xfId="2" applyNumberFormat="1" applyFont="1" applyFill="1" applyBorder="1" applyAlignment="1">
      <alignment horizontal="center" vertical="center"/>
    </xf>
    <xf numFmtId="226" fontId="34" fillId="137" borderId="609" xfId="2" applyNumberFormat="1" applyFont="1" applyFill="1" applyBorder="1" applyAlignment="1">
      <alignment horizontal="center" vertical="center"/>
    </xf>
    <xf numFmtId="240" fontId="34" fillId="137" borderId="610" xfId="0" applyNumberFormat="1" applyFont="1" applyFill="1" applyBorder="1" applyAlignment="1">
      <alignment horizontal="center" vertical="center"/>
    </xf>
    <xf numFmtId="10" fontId="232" fillId="0" borderId="609" xfId="1" applyNumberFormat="1" applyFont="1" applyFill="1" applyBorder="1" applyAlignment="1">
      <alignment horizontal="center" vertical="center"/>
    </xf>
    <xf numFmtId="10" fontId="232" fillId="0" borderId="611" xfId="1" applyNumberFormat="1" applyFont="1" applyFill="1" applyBorder="1" applyAlignment="1">
      <alignment horizontal="center" vertical="center"/>
    </xf>
    <xf numFmtId="187" fontId="232" fillId="0" borderId="609" xfId="1" applyNumberFormat="1" applyFont="1" applyFill="1" applyBorder="1" applyAlignment="1">
      <alignment horizontal="center" vertical="center"/>
    </xf>
    <xf numFmtId="177" fontId="232" fillId="0" borderId="611" xfId="0" applyNumberFormat="1" applyFont="1" applyFill="1" applyBorder="1" applyAlignment="1">
      <alignment horizontal="center" vertical="center" wrapText="1"/>
    </xf>
    <xf numFmtId="183" fontId="232" fillId="0" borderId="609" xfId="1" applyNumberFormat="1" applyFont="1" applyFill="1" applyBorder="1" applyAlignment="1">
      <alignment horizontal="center" vertical="center"/>
    </xf>
    <xf numFmtId="10" fontId="34" fillId="140" borderId="611" xfId="0" applyNumberFormat="1" applyFont="1" applyFill="1" applyBorder="1" applyAlignment="1">
      <alignment horizontal="center" vertical="center"/>
    </xf>
    <xf numFmtId="226" fontId="34" fillId="137" borderId="611" xfId="2" applyNumberFormat="1" applyFont="1" applyFill="1" applyBorder="1" applyAlignment="1">
      <alignment horizontal="center" vertical="center"/>
    </xf>
    <xf numFmtId="240" fontId="34" fillId="137" borderId="611" xfId="0" applyNumberFormat="1" applyFont="1" applyFill="1" applyBorder="1" applyAlignment="1">
      <alignment horizontal="center" vertical="center"/>
    </xf>
    <xf numFmtId="240" fontId="34" fillId="137" borderId="483" xfId="0" applyNumberFormat="1" applyFont="1" applyFill="1" applyBorder="1" applyAlignment="1">
      <alignment horizontal="center" vertical="center"/>
    </xf>
    <xf numFmtId="240" fontId="34" fillId="137" borderId="516" xfId="0" applyNumberFormat="1" applyFont="1" applyFill="1" applyBorder="1" applyAlignment="1">
      <alignment horizontal="center" vertical="center"/>
    </xf>
    <xf numFmtId="240" fontId="34" fillId="137" borderId="518" xfId="0" applyNumberFormat="1" applyFont="1" applyFill="1" applyBorder="1" applyAlignment="1">
      <alignment horizontal="center" vertical="center"/>
    </xf>
    <xf numFmtId="187" fontId="34" fillId="0" borderId="609" xfId="0" applyNumberFormat="1" applyFont="1" applyFill="1" applyBorder="1" applyAlignment="1">
      <alignment horizontal="center" vertical="center"/>
    </xf>
    <xf numFmtId="0" fontId="0" fillId="138" borderId="268" xfId="0" applyFill="1" applyBorder="1">
      <alignment vertical="center"/>
    </xf>
    <xf numFmtId="177" fontId="34" fillId="0" borderId="611" xfId="0" applyNumberFormat="1" applyFont="1" applyBorder="1" applyAlignment="1">
      <alignment horizontal="center" vertical="center"/>
    </xf>
    <xf numFmtId="0" fontId="0" fillId="137" borderId="0" xfId="0" applyFill="1" applyBorder="1">
      <alignment vertical="center"/>
    </xf>
    <xf numFmtId="187" fontId="34" fillId="0" borderId="611" xfId="0" applyNumberFormat="1" applyFont="1" applyBorder="1" applyAlignment="1">
      <alignment horizontal="center" vertical="center"/>
    </xf>
    <xf numFmtId="240" fontId="34" fillId="137" borderId="603" xfId="0" applyNumberFormat="1" applyFont="1" applyFill="1" applyBorder="1" applyAlignment="1">
      <alignment horizontal="center" vertical="center"/>
    </xf>
    <xf numFmtId="226" fontId="34" fillId="137" borderId="603" xfId="2" applyNumberFormat="1" applyFont="1" applyFill="1" applyBorder="1" applyAlignment="1">
      <alignment horizontal="center" vertical="center"/>
    </xf>
    <xf numFmtId="226" fontId="34" fillId="137" borderId="594" xfId="2" applyNumberFormat="1" applyFont="1" applyFill="1" applyBorder="1" applyAlignment="1">
      <alignment horizontal="center" vertical="center"/>
    </xf>
    <xf numFmtId="0" fontId="0" fillId="0" borderId="512" xfId="0" applyBorder="1">
      <alignment vertical="center"/>
    </xf>
    <xf numFmtId="0" fontId="34" fillId="138" borderId="610" xfId="0" applyFont="1" applyFill="1" applyBorder="1" applyAlignment="1">
      <alignment horizontal="center" vertical="center"/>
    </xf>
    <xf numFmtId="0" fontId="34" fillId="137" borderId="610" xfId="0" applyFont="1" applyFill="1" applyBorder="1" applyAlignment="1">
      <alignment horizontal="center" vertical="center"/>
    </xf>
    <xf numFmtId="0" fontId="34" fillId="137" borderId="602" xfId="0" applyFont="1" applyFill="1" applyBorder="1" applyAlignment="1">
      <alignment horizontal="center" vertical="center"/>
    </xf>
    <xf numFmtId="0" fontId="45" fillId="137" borderId="483" xfId="0" applyFont="1" applyFill="1" applyBorder="1" applyAlignment="1">
      <alignment horizontal="center" vertical="center"/>
    </xf>
    <xf numFmtId="0" fontId="232" fillId="136" borderId="610" xfId="0" applyFont="1" applyFill="1" applyBorder="1" applyAlignment="1">
      <alignment horizontal="center" vertical="center" wrapText="1"/>
    </xf>
    <xf numFmtId="0" fontId="232" fillId="136" borderId="602" xfId="0" applyFont="1" applyFill="1" applyBorder="1" applyAlignment="1">
      <alignment horizontal="center" vertical="center"/>
    </xf>
    <xf numFmtId="10" fontId="232" fillId="0" borderId="603" xfId="1" applyNumberFormat="1" applyFont="1" applyFill="1" applyBorder="1" applyAlignment="1">
      <alignment horizontal="center" vertical="center"/>
    </xf>
    <xf numFmtId="10" fontId="232" fillId="0" borderId="594" xfId="1" applyNumberFormat="1" applyFont="1" applyFill="1" applyBorder="1" applyAlignment="1">
      <alignment horizontal="center" vertical="center"/>
    </xf>
    <xf numFmtId="10" fontId="198" fillId="0" borderId="605" xfId="1" applyNumberFormat="1" applyFont="1" applyFill="1" applyBorder="1" applyAlignment="1">
      <alignment horizontal="center" vertical="center"/>
    </xf>
    <xf numFmtId="10" fontId="198" fillId="0" borderId="603" xfId="1" applyNumberFormat="1" applyFont="1" applyFill="1" applyBorder="1" applyAlignment="1">
      <alignment horizontal="center" vertical="center"/>
    </xf>
    <xf numFmtId="10" fontId="232" fillId="133" borderId="122" xfId="1" applyNumberFormat="1" applyFont="1" applyFill="1" applyBorder="1" applyAlignment="1">
      <alignment horizontal="center" vertical="center"/>
    </xf>
    <xf numFmtId="10" fontId="232" fillId="133" borderId="123" xfId="1" applyNumberFormat="1" applyFont="1" applyFill="1" applyBorder="1" applyAlignment="1">
      <alignment horizontal="center" vertical="center"/>
    </xf>
    <xf numFmtId="10" fontId="232" fillId="133" borderId="49" xfId="1" applyNumberFormat="1" applyFont="1" applyFill="1" applyBorder="1" applyAlignment="1">
      <alignment horizontal="center" vertical="center"/>
    </xf>
    <xf numFmtId="0" fontId="232" fillId="142" borderId="601" xfId="0" applyFont="1" applyFill="1" applyBorder="1" applyAlignment="1">
      <alignment horizontal="center" vertical="center"/>
    </xf>
    <xf numFmtId="177" fontId="198" fillId="133" borderId="602" xfId="1" applyNumberFormat="1" applyFont="1" applyFill="1" applyBorder="1" applyAlignment="1">
      <alignment horizontal="center" vertical="center"/>
    </xf>
    <xf numFmtId="177" fontId="198" fillId="93" borderId="603" xfId="1" applyNumberFormat="1" applyFont="1" applyFill="1" applyBorder="1" applyAlignment="1">
      <alignment horizontal="center" vertical="center"/>
    </xf>
    <xf numFmtId="177" fontId="198" fillId="133" borderId="603" xfId="1" applyNumberFormat="1" applyFont="1" applyFill="1" applyBorder="1" applyAlignment="1">
      <alignment horizontal="center" vertical="center"/>
    </xf>
    <xf numFmtId="177" fontId="198" fillId="133" borderId="603" xfId="0" applyNumberFormat="1" applyFont="1" applyFill="1" applyBorder="1" applyAlignment="1">
      <alignment horizontal="center" vertical="center"/>
    </xf>
    <xf numFmtId="176" fontId="232" fillId="0" borderId="604" xfId="0" applyNumberFormat="1" applyFont="1" applyBorder="1" applyAlignment="1">
      <alignment horizontal="center" vertical="center"/>
    </xf>
    <xf numFmtId="176" fontId="232" fillId="0" borderId="594" xfId="0" applyNumberFormat="1" applyFont="1" applyBorder="1" applyAlignment="1">
      <alignment horizontal="center" vertical="center"/>
    </xf>
    <xf numFmtId="179" fontId="198" fillId="0" borderId="602" xfId="0" applyNumberFormat="1" applyFont="1" applyFill="1" applyBorder="1" applyAlignment="1">
      <alignment horizontal="center" vertical="center"/>
    </xf>
    <xf numFmtId="179" fontId="198" fillId="0" borderId="603" xfId="0" applyNumberFormat="1" applyFont="1" applyFill="1" applyBorder="1" applyAlignment="1">
      <alignment horizontal="center" vertical="center"/>
    </xf>
    <xf numFmtId="179" fontId="198" fillId="0" borderId="604" xfId="0" applyNumberFormat="1" applyFont="1" applyFill="1" applyBorder="1" applyAlignment="1">
      <alignment horizontal="center" vertical="center"/>
    </xf>
    <xf numFmtId="0" fontId="232" fillId="142" borderId="64" xfId="0" applyFont="1" applyFill="1" applyBorder="1" applyAlignment="1">
      <alignment horizontal="center" vertical="center"/>
    </xf>
    <xf numFmtId="177" fontId="232" fillId="133" borderId="121" xfId="1" applyNumberFormat="1" applyFont="1" applyFill="1" applyBorder="1" applyAlignment="1">
      <alignment horizontal="center" vertical="center"/>
    </xf>
    <xf numFmtId="177" fontId="232" fillId="133" borderId="122" xfId="1" applyNumberFormat="1" applyFont="1" applyFill="1" applyBorder="1" applyAlignment="1">
      <alignment horizontal="center" vertical="center"/>
    </xf>
    <xf numFmtId="176" fontId="232" fillId="118" borderId="47" xfId="0" applyNumberFormat="1" applyFont="1" applyFill="1" applyBorder="1" applyAlignment="1">
      <alignment horizontal="center" vertical="center"/>
    </xf>
    <xf numFmtId="176" fontId="232" fillId="118" borderId="123" xfId="0" applyNumberFormat="1" applyFont="1" applyFill="1" applyBorder="1" applyAlignment="1">
      <alignment horizontal="center" vertical="center"/>
    </xf>
    <xf numFmtId="179" fontId="232" fillId="118" borderId="122" xfId="1" applyNumberFormat="1" applyFont="1" applyFill="1" applyBorder="1" applyAlignment="1">
      <alignment horizontal="center" vertical="center"/>
    </xf>
    <xf numFmtId="177" fontId="32" fillId="0" borderId="609" xfId="0" applyNumberFormat="1" applyFont="1" applyBorder="1" applyAlignment="1">
      <alignment horizontal="center" vertical="center"/>
    </xf>
    <xf numFmtId="177" fontId="198" fillId="0" borderId="603" xfId="0" applyNumberFormat="1" applyFont="1" applyFill="1" applyBorder="1" applyAlignment="1">
      <alignment horizontal="center" vertical="center"/>
    </xf>
    <xf numFmtId="177" fontId="28" fillId="0" borderId="603" xfId="0" applyNumberFormat="1" applyFont="1" applyBorder="1" applyAlignment="1">
      <alignment horizontal="center" vertical="center"/>
    </xf>
    <xf numFmtId="177" fontId="32" fillId="0" borderId="603" xfId="0" applyNumberFormat="1" applyFont="1" applyBorder="1" applyAlignment="1">
      <alignment horizontal="center" vertical="center"/>
    </xf>
    <xf numFmtId="0" fontId="232" fillId="130" borderId="121" xfId="0" applyFont="1" applyFill="1" applyBorder="1" applyAlignment="1">
      <alignment horizontal="center" vertical="center"/>
    </xf>
    <xf numFmtId="177" fontId="232" fillId="134" borderId="122" xfId="0" applyNumberFormat="1" applyFont="1" applyFill="1" applyBorder="1" applyAlignment="1">
      <alignment horizontal="center" vertical="center"/>
    </xf>
    <xf numFmtId="0" fontId="198" fillId="0" borderId="122" xfId="0" applyFont="1" applyBorder="1" applyAlignment="1">
      <alignment vertical="center"/>
    </xf>
    <xf numFmtId="177" fontId="32" fillId="134" borderId="122" xfId="0" applyNumberFormat="1" applyFont="1" applyFill="1" applyBorder="1" applyAlignment="1">
      <alignment horizontal="center" vertical="center"/>
    </xf>
    <xf numFmtId="177" fontId="32" fillId="4" borderId="122" xfId="0" applyNumberFormat="1" applyFont="1" applyFill="1" applyBorder="1" applyAlignment="1">
      <alignment horizontal="center" vertical="center"/>
    </xf>
    <xf numFmtId="0" fontId="0" fillId="130" borderId="268" xfId="0" applyFont="1" applyFill="1" applyBorder="1">
      <alignment vertical="center"/>
    </xf>
    <xf numFmtId="0" fontId="232" fillId="130" borderId="610" xfId="0" applyFont="1" applyFill="1" applyBorder="1" applyAlignment="1">
      <alignment horizontal="left" vertical="center"/>
    </xf>
    <xf numFmtId="0" fontId="232" fillId="130" borderId="602" xfId="0" applyFont="1" applyFill="1" applyBorder="1" applyAlignment="1">
      <alignment horizontal="left" vertical="center"/>
    </xf>
    <xf numFmtId="0" fontId="232" fillId="143" borderId="610" xfId="0" applyFont="1" applyFill="1" applyBorder="1" applyAlignment="1">
      <alignment horizontal="center" vertical="center" wrapText="1"/>
    </xf>
    <xf numFmtId="0" fontId="0" fillId="143" borderId="122" xfId="0" applyFont="1" applyFill="1" applyBorder="1">
      <alignment vertical="center"/>
    </xf>
    <xf numFmtId="0" fontId="34" fillId="143" borderId="609" xfId="0" applyFont="1" applyFill="1" applyBorder="1" applyAlignment="1">
      <alignment horizontal="center" vertical="center"/>
    </xf>
    <xf numFmtId="0" fontId="232" fillId="140" borderId="610" xfId="0" applyFont="1" applyFill="1" applyBorder="1" applyAlignment="1">
      <alignment horizontal="center" vertical="center"/>
    </xf>
    <xf numFmtId="0" fontId="34" fillId="139" borderId="483" xfId="0" applyFont="1" applyFill="1" applyBorder="1" applyAlignment="1">
      <alignment horizontal="center" vertical="center"/>
    </xf>
    <xf numFmtId="0" fontId="232" fillId="130" borderId="602" xfId="0" applyFont="1" applyFill="1" applyBorder="1" applyAlignment="1">
      <alignment horizontal="center" vertical="center"/>
    </xf>
    <xf numFmtId="177" fontId="232" fillId="136" borderId="603" xfId="2" applyNumberFormat="1" applyFont="1" applyFill="1" applyBorder="1" applyAlignment="1">
      <alignment horizontal="center" vertical="center"/>
    </xf>
    <xf numFmtId="240" fontId="232" fillId="0" borderId="603" xfId="0" applyNumberFormat="1" applyFont="1" applyBorder="1" applyAlignment="1">
      <alignment horizontal="center" vertical="center"/>
    </xf>
    <xf numFmtId="177" fontId="232" fillId="4" borderId="603" xfId="2" applyNumberFormat="1" applyFont="1" applyFill="1" applyBorder="1" applyAlignment="1">
      <alignment horizontal="center" vertical="center"/>
    </xf>
    <xf numFmtId="240" fontId="232" fillId="4" borderId="516" xfId="0" applyNumberFormat="1" applyFont="1" applyFill="1" applyBorder="1" applyAlignment="1">
      <alignment horizontal="center" vertical="center"/>
    </xf>
    <xf numFmtId="240" fontId="232" fillId="4" borderId="517" xfId="0" applyNumberFormat="1" applyFont="1" applyFill="1" applyBorder="1" applyAlignment="1">
      <alignment horizontal="center" vertical="center"/>
    </xf>
    <xf numFmtId="0" fontId="45" fillId="143" borderId="483" xfId="0" applyFont="1" applyFill="1" applyBorder="1" applyAlignment="1">
      <alignment horizontal="center" vertical="center"/>
    </xf>
    <xf numFmtId="240" fontId="232" fillId="141" borderId="516" xfId="0" applyNumberFormat="1" applyFont="1" applyFill="1" applyBorder="1" applyAlignment="1">
      <alignment horizontal="center" vertical="center"/>
    </xf>
    <xf numFmtId="240" fontId="232" fillId="141" borderId="483" xfId="0" applyNumberFormat="1" applyFont="1" applyFill="1" applyBorder="1" applyAlignment="1">
      <alignment horizontal="center" vertical="center"/>
    </xf>
    <xf numFmtId="240" fontId="232" fillId="141" borderId="518" xfId="0" applyNumberFormat="1" applyFont="1" applyFill="1" applyBorder="1" applyAlignment="1">
      <alignment horizontal="center" vertical="center"/>
    </xf>
    <xf numFmtId="0" fontId="34" fillId="143" borderId="602" xfId="0" applyFont="1" applyFill="1" applyBorder="1" applyAlignment="1">
      <alignment horizontal="center" vertical="center"/>
    </xf>
    <xf numFmtId="9" fontId="29" fillId="130" borderId="603" xfId="1" applyFont="1" applyFill="1" applyBorder="1" applyAlignment="1">
      <alignment horizontal="center" vertical="center"/>
    </xf>
    <xf numFmtId="10" fontId="29" fillId="141" borderId="603" xfId="1" applyNumberFormat="1" applyFont="1" applyFill="1" applyBorder="1" applyAlignment="1">
      <alignment horizontal="center" vertical="center"/>
    </xf>
    <xf numFmtId="10" fontId="29" fillId="141" borderId="602" xfId="1" applyNumberFormat="1" applyFont="1" applyFill="1" applyBorder="1" applyAlignment="1">
      <alignment horizontal="center" vertical="center"/>
    </xf>
    <xf numFmtId="10" fontId="29" fillId="141" borderId="594" xfId="1" applyNumberFormat="1" applyFont="1" applyFill="1" applyBorder="1" applyAlignment="1">
      <alignment horizontal="center" vertical="center"/>
    </xf>
    <xf numFmtId="0" fontId="232" fillId="143" borderId="602" xfId="0" applyFont="1" applyFill="1" applyBorder="1" applyAlignment="1">
      <alignment horizontal="center" vertical="center"/>
    </xf>
    <xf numFmtId="241" fontId="198" fillId="0" borderId="603" xfId="1" applyNumberFormat="1" applyFont="1" applyFill="1" applyBorder="1" applyAlignment="1">
      <alignment horizontal="center" vertical="center"/>
    </xf>
    <xf numFmtId="183" fontId="198" fillId="0" borderId="603" xfId="1" applyNumberFormat="1" applyFont="1" applyFill="1" applyBorder="1" applyAlignment="1">
      <alignment horizontal="center" vertical="center"/>
    </xf>
    <xf numFmtId="183" fontId="232" fillId="0" borderId="603" xfId="1" applyNumberFormat="1" applyFont="1" applyFill="1" applyBorder="1" applyAlignment="1">
      <alignment horizontal="center" vertical="center"/>
    </xf>
    <xf numFmtId="177" fontId="0" fillId="0" borderId="603" xfId="0" applyNumberFormat="1" applyBorder="1" applyAlignment="1">
      <alignment horizontal="center" vertical="center"/>
    </xf>
    <xf numFmtId="0" fontId="232" fillId="143" borderId="121" xfId="0" applyFont="1" applyFill="1" applyBorder="1" applyAlignment="1">
      <alignment horizontal="center" vertical="center"/>
    </xf>
    <xf numFmtId="241" fontId="232" fillId="4" borderId="122" xfId="1" applyNumberFormat="1" applyFont="1" applyFill="1" applyBorder="1" applyAlignment="1">
      <alignment horizontal="center" vertical="center"/>
    </xf>
    <xf numFmtId="241" fontId="232" fillId="141" borderId="122" xfId="1" applyNumberFormat="1" applyFont="1" applyFill="1" applyBorder="1" applyAlignment="1">
      <alignment horizontal="center" vertical="center"/>
    </xf>
    <xf numFmtId="241" fontId="232" fillId="141" borderId="123" xfId="1" applyNumberFormat="1" applyFont="1" applyFill="1" applyBorder="1" applyAlignment="1">
      <alignment horizontal="center" vertical="center"/>
    </xf>
    <xf numFmtId="177" fontId="232" fillId="0" borderId="594" xfId="0" applyNumberFormat="1" applyFont="1" applyFill="1" applyBorder="1" applyAlignment="1">
      <alignment horizontal="center" vertical="center" wrapText="1"/>
    </xf>
    <xf numFmtId="0" fontId="232" fillId="142" borderId="406" xfId="0" applyFont="1" applyFill="1" applyBorder="1" applyAlignment="1">
      <alignment horizontal="center" vertical="center"/>
    </xf>
    <xf numFmtId="177" fontId="198" fillId="133" borderId="221" xfId="1" applyNumberFormat="1" applyFont="1" applyFill="1" applyBorder="1" applyAlignment="1">
      <alignment horizontal="center" vertical="center"/>
    </xf>
    <xf numFmtId="177" fontId="198" fillId="133" borderId="6" xfId="1" applyNumberFormat="1" applyFont="1" applyFill="1" applyBorder="1" applyAlignment="1">
      <alignment horizontal="center" vertical="center"/>
    </xf>
    <xf numFmtId="177" fontId="198" fillId="133" borderId="6" xfId="0" applyNumberFormat="1" applyFont="1" applyFill="1" applyBorder="1" applyAlignment="1">
      <alignment horizontal="center" vertical="center"/>
    </xf>
    <xf numFmtId="176" fontId="232" fillId="0" borderId="40" xfId="0" applyNumberFormat="1" applyFont="1" applyBorder="1" applyAlignment="1">
      <alignment horizontal="center" vertical="center"/>
    </xf>
    <xf numFmtId="176" fontId="232" fillId="0" borderId="202" xfId="0" applyNumberFormat="1" applyFont="1" applyBorder="1" applyAlignment="1">
      <alignment horizontal="center" vertical="center"/>
    </xf>
    <xf numFmtId="179" fontId="198" fillId="0" borderId="221" xfId="0" applyNumberFormat="1" applyFont="1" applyFill="1" applyBorder="1" applyAlignment="1">
      <alignment horizontal="center" vertical="center"/>
    </xf>
    <xf numFmtId="0" fontId="198" fillId="142" borderId="483" xfId="0" applyFont="1" applyFill="1" applyBorder="1" applyAlignment="1">
      <alignment horizontal="center" vertical="center"/>
    </xf>
    <xf numFmtId="0" fontId="198" fillId="142" borderId="516" xfId="0" applyFont="1" applyFill="1" applyBorder="1" applyAlignment="1">
      <alignment horizontal="center" vertical="center"/>
    </xf>
    <xf numFmtId="0" fontId="0" fillId="142" borderId="206" xfId="0" applyFill="1" applyBorder="1">
      <alignment vertical="center"/>
    </xf>
    <xf numFmtId="0" fontId="232" fillId="142" borderId="483" xfId="0" applyFont="1" applyFill="1" applyBorder="1" applyAlignment="1">
      <alignment horizontal="center" vertical="center"/>
    </xf>
    <xf numFmtId="0" fontId="232" fillId="142" borderId="516" xfId="0" applyFont="1" applyFill="1" applyBorder="1" applyAlignment="1">
      <alignment horizontal="center" vertical="center"/>
    </xf>
    <xf numFmtId="0" fontId="232" fillId="142" borderId="517" xfId="0" applyFont="1" applyFill="1" applyBorder="1" applyAlignment="1">
      <alignment horizontal="center" vertical="center"/>
    </xf>
    <xf numFmtId="0" fontId="232" fillId="136" borderId="221" xfId="0" applyFont="1" applyFill="1" applyBorder="1" applyAlignment="1">
      <alignment horizontal="center" vertical="center"/>
    </xf>
    <xf numFmtId="10" fontId="232" fillId="0" borderId="6" xfId="1" applyNumberFormat="1" applyFont="1" applyFill="1" applyBorder="1" applyAlignment="1">
      <alignment horizontal="center" vertical="center"/>
    </xf>
    <xf numFmtId="10" fontId="232" fillId="0" borderId="202" xfId="1" applyNumberFormat="1" applyFont="1" applyFill="1" applyBorder="1" applyAlignment="1">
      <alignment horizontal="center" vertical="center"/>
    </xf>
    <xf numFmtId="10" fontId="198" fillId="0" borderId="23" xfId="1" applyNumberFormat="1" applyFont="1" applyFill="1" applyBorder="1" applyAlignment="1">
      <alignment horizontal="center" vertical="center"/>
    </xf>
    <xf numFmtId="10" fontId="198" fillId="0" borderId="6" xfId="1" applyNumberFormat="1" applyFont="1" applyFill="1" applyBorder="1" applyAlignment="1">
      <alignment horizontal="center" vertical="center"/>
    </xf>
    <xf numFmtId="0" fontId="232" fillId="136" borderId="225" xfId="0" applyFont="1" applyFill="1" applyBorder="1" applyAlignment="1">
      <alignment horizontal="center" vertical="center"/>
    </xf>
    <xf numFmtId="0" fontId="45" fillId="136" borderId="110" xfId="0" applyFont="1" applyFill="1" applyBorder="1">
      <alignment vertical="center"/>
    </xf>
    <xf numFmtId="0" fontId="232" fillId="136" borderId="226" xfId="0" applyFont="1" applyFill="1" applyBorder="1" applyAlignment="1">
      <alignment horizontal="center" vertical="center"/>
    </xf>
    <xf numFmtId="0" fontId="232" fillId="136" borderId="229" xfId="0" applyFont="1" applyFill="1" applyBorder="1" applyAlignment="1">
      <alignment horizontal="center" vertical="center"/>
    </xf>
    <xf numFmtId="0" fontId="232" fillId="136" borderId="288" xfId="0" applyFont="1" applyFill="1" applyBorder="1" applyAlignment="1">
      <alignment horizontal="center" vertical="center"/>
    </xf>
    <xf numFmtId="0" fontId="232" fillId="130" borderId="221" xfId="0" applyFont="1" applyFill="1" applyBorder="1" applyAlignment="1">
      <alignment horizontal="center" vertical="center"/>
    </xf>
    <xf numFmtId="177" fontId="232" fillId="134" borderId="6" xfId="0" applyNumberFormat="1" applyFont="1" applyFill="1" applyBorder="1" applyAlignment="1">
      <alignment horizontal="center" vertical="center"/>
    </xf>
    <xf numFmtId="177" fontId="34" fillId="134" borderId="6" xfId="0" applyNumberFormat="1" applyFont="1" applyFill="1" applyBorder="1" applyAlignment="1">
      <alignment horizontal="center" vertical="center"/>
    </xf>
    <xf numFmtId="177" fontId="32" fillId="0" borderId="6" xfId="0" applyNumberFormat="1" applyFont="1" applyBorder="1" applyAlignment="1">
      <alignment horizontal="center" vertical="center"/>
    </xf>
    <xf numFmtId="0" fontId="198" fillId="130" borderId="516" xfId="0" applyFont="1" applyFill="1" applyBorder="1" applyAlignment="1">
      <alignment horizontal="center" vertical="center"/>
    </xf>
    <xf numFmtId="0" fontId="28" fillId="130" borderId="516" xfId="0" applyFont="1" applyFill="1" applyBorder="1" applyAlignment="1">
      <alignment horizontal="center"/>
    </xf>
    <xf numFmtId="0" fontId="0" fillId="130" borderId="206" xfId="0" applyFont="1" applyFill="1" applyBorder="1">
      <alignment vertical="center"/>
    </xf>
    <xf numFmtId="0" fontId="232" fillId="130" borderId="516" xfId="0" applyFont="1" applyFill="1" applyBorder="1" applyAlignment="1">
      <alignment horizontal="center" vertical="center"/>
    </xf>
    <xf numFmtId="0" fontId="232" fillId="0" borderId="221" xfId="0" applyFont="1" applyBorder="1" applyAlignment="1">
      <alignment horizontal="center" vertical="center"/>
    </xf>
    <xf numFmtId="187" fontId="240" fillId="0" borderId="6" xfId="1" applyNumberFormat="1" applyFont="1" applyFill="1" applyBorder="1" applyAlignment="1">
      <alignment horizontal="center" vertical="center"/>
    </xf>
    <xf numFmtId="178" fontId="25" fillId="0" borderId="6" xfId="2" applyNumberFormat="1" applyFont="1" applyFill="1" applyBorder="1" applyAlignment="1">
      <alignment horizontal="center" vertical="center"/>
    </xf>
    <xf numFmtId="10" fontId="232" fillId="140" borderId="6" xfId="1" applyNumberFormat="1" applyFont="1" applyFill="1" applyBorder="1" applyAlignment="1">
      <alignment horizontal="center" vertical="center"/>
    </xf>
    <xf numFmtId="10" fontId="34" fillId="140" borderId="202" xfId="0" applyNumberFormat="1" applyFont="1" applyFill="1" applyBorder="1" applyAlignment="1">
      <alignment horizontal="center" vertical="center"/>
    </xf>
    <xf numFmtId="0" fontId="34" fillId="139" borderId="516" xfId="0" applyFont="1" applyFill="1" applyBorder="1" applyAlignment="1">
      <alignment horizontal="center" vertical="center"/>
    </xf>
    <xf numFmtId="0" fontId="232" fillId="139" borderId="516" xfId="0" applyFont="1" applyFill="1" applyBorder="1" applyAlignment="1">
      <alignment horizontal="center" vertical="center"/>
    </xf>
    <xf numFmtId="0" fontId="34" fillId="138" borderId="221" xfId="0" applyFont="1" applyFill="1" applyBorder="1" applyAlignment="1">
      <alignment horizontal="center" vertical="center"/>
    </xf>
    <xf numFmtId="0" fontId="28" fillId="0" borderId="5" xfId="0" applyFont="1" applyBorder="1" applyAlignment="1">
      <alignment vertical="center"/>
    </xf>
    <xf numFmtId="187" fontId="34" fillId="0" borderId="6" xfId="0" applyNumberFormat="1" applyFont="1" applyBorder="1" applyAlignment="1">
      <alignment horizontal="center" vertical="center"/>
    </xf>
    <xf numFmtId="223" fontId="34" fillId="0" borderId="202" xfId="0" applyNumberFormat="1" applyFont="1" applyBorder="1" applyAlignment="1">
      <alignment horizontal="center" vertical="center"/>
    </xf>
    <xf numFmtId="0" fontId="0" fillId="138" borderId="206" xfId="0" applyFill="1" applyBorder="1">
      <alignment vertical="center"/>
    </xf>
    <xf numFmtId="0" fontId="28" fillId="138" borderId="516" xfId="0" applyFont="1" applyFill="1" applyBorder="1" applyAlignment="1">
      <alignment horizontal="center" vertical="center"/>
    </xf>
    <xf numFmtId="0" fontId="232" fillId="138" borderId="483" xfId="0" applyFont="1" applyFill="1" applyBorder="1" applyAlignment="1">
      <alignment horizontal="center" vertical="center"/>
    </xf>
    <xf numFmtId="0" fontId="232" fillId="138" borderId="516" xfId="0" applyFont="1" applyFill="1" applyBorder="1" applyAlignment="1">
      <alignment horizontal="center" vertical="center"/>
    </xf>
    <xf numFmtId="0" fontId="232" fillId="138" borderId="518" xfId="0" applyFont="1" applyFill="1" applyBorder="1" applyAlignment="1">
      <alignment horizontal="center" vertical="center"/>
    </xf>
    <xf numFmtId="183" fontId="57" fillId="5" borderId="613" xfId="0" applyNumberFormat="1" applyFont="1" applyFill="1" applyBorder="1" applyAlignment="1">
      <alignment horizontal="center" vertical="center"/>
    </xf>
    <xf numFmtId="183" fontId="57" fillId="5" borderId="612" xfId="0" applyNumberFormat="1" applyFont="1" applyFill="1" applyBorder="1">
      <alignment vertical="center"/>
    </xf>
    <xf numFmtId="183" fontId="57" fillId="5" borderId="612" xfId="0" applyNumberFormat="1" applyFont="1" applyFill="1" applyBorder="1" applyAlignment="1">
      <alignment horizontal="center" vertical="center"/>
    </xf>
    <xf numFmtId="183" fontId="57" fillId="5" borderId="625" xfId="0" applyNumberFormat="1" applyFont="1" applyFill="1" applyBorder="1" applyAlignment="1">
      <alignment horizontal="center" vertical="center"/>
    </xf>
    <xf numFmtId="38" fontId="57" fillId="15" borderId="609" xfId="2" applyNumberFormat="1" applyFont="1" applyFill="1" applyBorder="1" applyAlignment="1">
      <alignment horizontal="center" vertical="center"/>
    </xf>
    <xf numFmtId="3" fontId="57" fillId="15" borderId="609" xfId="2" applyNumberFormat="1" applyFont="1" applyFill="1" applyBorder="1" applyAlignment="1">
      <alignment horizontal="center" vertical="center"/>
    </xf>
    <xf numFmtId="223" fontId="57" fillId="15" borderId="609" xfId="0" applyNumberFormat="1" applyFont="1" applyFill="1" applyBorder="1" applyAlignment="1">
      <alignment horizontal="center" vertical="center"/>
    </xf>
    <xf numFmtId="0" fontId="230" fillId="0" borderId="611" xfId="0" applyFont="1" applyFill="1" applyBorder="1" applyAlignment="1">
      <alignment horizontal="center" vertical="center" wrapText="1"/>
    </xf>
    <xf numFmtId="2" fontId="57" fillId="0" borderId="607" xfId="0" applyNumberFormat="1" applyFont="1" applyFill="1" applyBorder="1" applyAlignment="1">
      <alignment horizontal="center" vertical="center"/>
    </xf>
    <xf numFmtId="2" fontId="57" fillId="0" borderId="40" xfId="0" applyNumberFormat="1" applyFont="1" applyFill="1" applyBorder="1" applyAlignment="1">
      <alignment horizontal="center" vertical="center"/>
    </xf>
    <xf numFmtId="2" fontId="57" fillId="0" borderId="604" xfId="0" applyNumberFormat="1" applyFont="1" applyFill="1" applyBorder="1" applyAlignment="1">
      <alignment horizontal="center" vertical="center"/>
    </xf>
    <xf numFmtId="186" fontId="28" fillId="0" borderId="615" xfId="0" applyNumberFormat="1" applyFont="1" applyFill="1" applyBorder="1" applyAlignment="1">
      <alignment horizontal="center" vertical="center"/>
    </xf>
    <xf numFmtId="186" fontId="28" fillId="0" borderId="497" xfId="0" applyNumberFormat="1" applyFont="1" applyFill="1" applyBorder="1" applyAlignment="1">
      <alignment horizontal="center" vertical="center"/>
    </xf>
    <xf numFmtId="177" fontId="0" fillId="0" borderId="221" xfId="0" applyNumberFormat="1" applyBorder="1" applyAlignment="1">
      <alignment horizontal="center" vertical="center"/>
    </xf>
    <xf numFmtId="177" fontId="0" fillId="0" borderId="6" xfId="0" applyNumberFormat="1" applyBorder="1" applyAlignment="1">
      <alignment horizontal="center" vertical="center"/>
    </xf>
    <xf numFmtId="0" fontId="176" fillId="125" borderId="599" xfId="0" quotePrefix="1" applyFont="1" applyFill="1" applyBorder="1" applyAlignment="1">
      <alignment horizontal="center" vertical="center"/>
    </xf>
    <xf numFmtId="3" fontId="57" fillId="0" borderId="599" xfId="0" applyNumberFormat="1" applyFont="1" applyBorder="1" applyAlignment="1">
      <alignment horizontal="center" vertical="center"/>
    </xf>
    <xf numFmtId="3" fontId="57" fillId="0" borderId="609" xfId="0" applyNumberFormat="1" applyFont="1" applyBorder="1" applyAlignment="1">
      <alignment horizontal="center" vertical="center"/>
    </xf>
    <xf numFmtId="9" fontId="57" fillId="15" borderId="609" xfId="1" applyFont="1" applyFill="1" applyBorder="1" applyAlignment="1">
      <alignment horizontal="center" vertical="center"/>
    </xf>
    <xf numFmtId="0" fontId="57" fillId="15" borderId="611" xfId="0" applyFont="1" applyFill="1" applyBorder="1" applyAlignment="1">
      <alignment horizontal="center" vertical="center"/>
    </xf>
    <xf numFmtId="2" fontId="57" fillId="0" borderId="599" xfId="0" applyNumberFormat="1" applyFont="1" applyBorder="1" applyAlignment="1">
      <alignment horizontal="center" vertical="center"/>
    </xf>
    <xf numFmtId="9" fontId="57" fillId="0" borderId="609" xfId="1" applyFont="1" applyBorder="1" applyAlignment="1">
      <alignment horizontal="center" vertical="center"/>
    </xf>
    <xf numFmtId="2" fontId="57" fillId="0" borderId="601" xfId="0" applyNumberFormat="1" applyFont="1" applyBorder="1" applyAlignment="1">
      <alignment horizontal="center" vertical="center"/>
    </xf>
    <xf numFmtId="9" fontId="57" fillId="0" borderId="603" xfId="1" applyFont="1" applyBorder="1" applyAlignment="1">
      <alignment horizontal="center" vertical="center"/>
    </xf>
    <xf numFmtId="2" fontId="57" fillId="0" borderId="64" xfId="0" applyNumberFormat="1" applyFont="1" applyBorder="1" applyAlignment="1">
      <alignment horizontal="center" vertical="center"/>
    </xf>
    <xf numFmtId="4" fontId="57" fillId="0" borderId="521" xfId="0" applyNumberFormat="1" applyFont="1" applyBorder="1" applyAlignment="1">
      <alignment horizontal="center" vertical="center"/>
    </xf>
    <xf numFmtId="0" fontId="28" fillId="0" borderId="599" xfId="0" applyFont="1" applyBorder="1" applyAlignment="1">
      <alignment horizontal="center" vertical="center"/>
    </xf>
    <xf numFmtId="2" fontId="28" fillId="0" borderId="601" xfId="0" applyNumberFormat="1" applyFont="1" applyFill="1" applyBorder="1" applyAlignment="1">
      <alignment horizontal="center" vertical="center"/>
    </xf>
    <xf numFmtId="2" fontId="28" fillId="0" borderId="601" xfId="0" applyNumberFormat="1" applyFont="1" applyBorder="1" applyAlignment="1">
      <alignment horizontal="center" vertical="center"/>
    </xf>
    <xf numFmtId="9" fontId="57" fillId="5" borderId="516" xfId="1" applyFont="1" applyFill="1" applyBorder="1" applyAlignment="1">
      <alignment horizontal="center" vertical="center"/>
    </xf>
    <xf numFmtId="0" fontId="57" fillId="5" borderId="518" xfId="0" applyFont="1" applyFill="1" applyBorder="1" applyAlignment="1">
      <alignment horizontal="center" vertical="center"/>
    </xf>
    <xf numFmtId="9" fontId="57" fillId="0" borderId="609" xfId="1" applyFont="1" applyFill="1" applyBorder="1" applyAlignment="1">
      <alignment horizontal="center" vertical="center"/>
    </xf>
    <xf numFmtId="1" fontId="57" fillId="0" borderId="599" xfId="0" applyNumberFormat="1" applyFont="1" applyFill="1" applyBorder="1" applyAlignment="1">
      <alignment horizontal="center" vertical="center"/>
    </xf>
    <xf numFmtId="176" fontId="57" fillId="0" borderId="599" xfId="0" applyNumberFormat="1" applyFont="1" applyFill="1" applyBorder="1" applyAlignment="1">
      <alignment horizontal="center" vertical="center"/>
    </xf>
    <xf numFmtId="176" fontId="57" fillId="0" borderId="521" xfId="0" applyNumberFormat="1" applyFont="1" applyFill="1" applyBorder="1" applyAlignment="1">
      <alignment horizontal="center" vertical="center"/>
    </xf>
    <xf numFmtId="9" fontId="57" fillId="0" borderId="516" xfId="1" applyFont="1" applyFill="1" applyBorder="1" applyAlignment="1">
      <alignment horizontal="center" vertical="center"/>
    </xf>
    <xf numFmtId="2" fontId="57" fillId="0" borderId="406" xfId="0" applyNumberFormat="1" applyFont="1" applyBorder="1" applyAlignment="1">
      <alignment horizontal="center" vertical="center"/>
    </xf>
    <xf numFmtId="0" fontId="57" fillId="0" borderId="594" xfId="0" applyFont="1" applyBorder="1" applyAlignment="1">
      <alignment horizontal="center" vertical="center"/>
    </xf>
    <xf numFmtId="177" fontId="57" fillId="0" borderId="599" xfId="0" applyNumberFormat="1" applyFont="1" applyBorder="1" applyAlignment="1">
      <alignment horizontal="center" vertical="center"/>
    </xf>
    <xf numFmtId="2" fontId="57" fillId="0" borderId="521" xfId="0" applyNumberFormat="1" applyFont="1" applyBorder="1" applyAlignment="1">
      <alignment horizontal="center" vertical="center"/>
    </xf>
    <xf numFmtId="183" fontId="57" fillId="0" borderId="517" xfId="1" applyNumberFormat="1" applyFont="1" applyBorder="1" applyAlignment="1">
      <alignment horizontal="center" vertical="center"/>
    </xf>
    <xf numFmtId="9" fontId="57" fillId="0" borderId="516" xfId="1" applyFont="1" applyBorder="1" applyAlignment="1">
      <alignment horizontal="center" vertical="center"/>
    </xf>
    <xf numFmtId="185" fontId="57" fillId="0" borderId="309" xfId="0" applyNumberFormat="1" applyFont="1" applyFill="1" applyBorder="1" applyAlignment="1">
      <alignment horizontal="center" vertical="center"/>
    </xf>
    <xf numFmtId="3" fontId="57" fillId="0" borderId="287" xfId="0" applyNumberFormat="1" applyFont="1" applyFill="1" applyBorder="1" applyAlignment="1">
      <alignment horizontal="center" vertical="center"/>
    </xf>
    <xf numFmtId="3" fontId="57" fillId="0" borderId="406" xfId="0" applyNumberFormat="1" applyFont="1" applyFill="1" applyBorder="1" applyAlignment="1">
      <alignment horizontal="center" vertical="center"/>
    </xf>
    <xf numFmtId="3" fontId="57" fillId="0" borderId="599" xfId="0" applyNumberFormat="1" applyFont="1" applyFill="1" applyBorder="1" applyAlignment="1">
      <alignment horizontal="center" vertical="center"/>
    </xf>
    <xf numFmtId="3" fontId="57" fillId="0" borderId="601" xfId="0" applyNumberFormat="1" applyFont="1" applyFill="1" applyBorder="1" applyAlignment="1">
      <alignment horizontal="center" vertical="center"/>
    </xf>
    <xf numFmtId="3" fontId="57" fillId="0" borderId="368" xfId="0" applyNumberFormat="1" applyFont="1" applyFill="1" applyBorder="1" applyAlignment="1">
      <alignment horizontal="center" vertical="center"/>
    </xf>
    <xf numFmtId="3" fontId="57" fillId="0" borderId="521" xfId="0" applyNumberFormat="1" applyFont="1" applyFill="1" applyBorder="1" applyAlignment="1">
      <alignment horizontal="center" vertical="center"/>
    </xf>
    <xf numFmtId="0" fontId="57" fillId="15" borderId="626" xfId="0" applyFont="1" applyFill="1" applyBorder="1" applyAlignment="1">
      <alignment horizontal="center" vertical="center"/>
    </xf>
    <xf numFmtId="187" fontId="171" fillId="15" borderId="287" xfId="0" applyNumberFormat="1" applyFont="1" applyFill="1" applyBorder="1" applyAlignment="1">
      <alignment horizontal="center" vertical="center"/>
    </xf>
    <xf numFmtId="10" fontId="232" fillId="141" borderId="610" xfId="1" applyNumberFormat="1" applyFont="1" applyFill="1" applyBorder="1" applyAlignment="1">
      <alignment horizontal="center" vertical="center"/>
    </xf>
    <xf numFmtId="10" fontId="232" fillId="141" borderId="609" xfId="1" applyNumberFormat="1" applyFont="1" applyFill="1" applyBorder="1" applyAlignment="1">
      <alignment horizontal="center" vertical="center"/>
    </xf>
    <xf numFmtId="10" fontId="232" fillId="141" borderId="121" xfId="1" applyNumberFormat="1" applyFont="1" applyFill="1" applyBorder="1" applyAlignment="1">
      <alignment horizontal="center" vertical="center"/>
    </xf>
    <xf numFmtId="10" fontId="232" fillId="141" borderId="122" xfId="1" applyNumberFormat="1" applyFont="1" applyFill="1" applyBorder="1" applyAlignment="1">
      <alignment horizontal="center" vertical="center"/>
    </xf>
    <xf numFmtId="0" fontId="34" fillId="138" borderId="602" xfId="0" applyFont="1" applyFill="1" applyBorder="1" applyAlignment="1">
      <alignment horizontal="center" vertical="center"/>
    </xf>
    <xf numFmtId="187" fontId="34" fillId="0" borderId="603" xfId="0" applyNumberFormat="1" applyFont="1" applyFill="1" applyBorder="1" applyAlignment="1">
      <alignment horizontal="center" vertical="center"/>
    </xf>
    <xf numFmtId="0" fontId="0" fillId="0" borderId="607" xfId="0" applyBorder="1">
      <alignment vertical="center"/>
    </xf>
    <xf numFmtId="240" fontId="34" fillId="137" borderId="594" xfId="0" applyNumberFormat="1" applyFont="1" applyFill="1" applyBorder="1" applyAlignment="1">
      <alignment horizontal="center" vertical="center"/>
    </xf>
    <xf numFmtId="0" fontId="232" fillId="138" borderId="515" xfId="0" applyFont="1" applyFill="1" applyBorder="1" applyAlignment="1">
      <alignment horizontal="center" vertical="center"/>
    </xf>
    <xf numFmtId="0" fontId="45" fillId="138" borderId="515" xfId="0" applyFont="1" applyFill="1" applyBorder="1" applyAlignment="1">
      <alignment horizontal="center" vertical="center"/>
    </xf>
    <xf numFmtId="177" fontId="34" fillId="0" borderId="594" xfId="0" applyNumberFormat="1" applyFont="1" applyBorder="1" applyAlignment="1">
      <alignment horizontal="center" vertical="center"/>
    </xf>
    <xf numFmtId="240" fontId="34" fillId="137" borderId="5" xfId="0" applyNumberFormat="1" applyFont="1" applyFill="1" applyBorder="1" applyAlignment="1">
      <alignment horizontal="center" vertical="center"/>
    </xf>
    <xf numFmtId="226" fontId="34" fillId="137" borderId="5" xfId="2" applyNumberFormat="1" applyFont="1" applyFill="1" applyBorder="1" applyAlignment="1">
      <alignment horizontal="center" vertical="center"/>
    </xf>
    <xf numFmtId="226" fontId="34" fillId="137" borderId="329" xfId="2" applyNumberFormat="1" applyFont="1" applyFill="1" applyBorder="1" applyAlignment="1">
      <alignment horizontal="center" vertical="center"/>
    </xf>
    <xf numFmtId="0" fontId="0" fillId="137" borderId="268" xfId="0" applyFill="1" applyBorder="1">
      <alignment vertical="center"/>
    </xf>
    <xf numFmtId="240" fontId="34" fillId="137" borderId="122" xfId="0" applyNumberFormat="1" applyFont="1" applyFill="1" applyBorder="1" applyAlignment="1">
      <alignment horizontal="center" vertical="center"/>
    </xf>
    <xf numFmtId="226" fontId="34" fillId="137" borderId="122" xfId="2" applyNumberFormat="1" applyFont="1" applyFill="1" applyBorder="1" applyAlignment="1">
      <alignment horizontal="center" vertical="center"/>
    </xf>
    <xf numFmtId="226" fontId="34" fillId="137" borderId="123" xfId="2" applyNumberFormat="1" applyFont="1" applyFill="1" applyBorder="1" applyAlignment="1">
      <alignment horizontal="center" vertical="center"/>
    </xf>
    <xf numFmtId="0" fontId="34" fillId="138" borderId="515" xfId="0" applyFont="1" applyFill="1" applyBorder="1" applyAlignment="1">
      <alignment horizontal="center" vertical="center"/>
    </xf>
    <xf numFmtId="0" fontId="28" fillId="0" borderId="516" xfId="0" applyFont="1" applyBorder="1" applyAlignment="1">
      <alignment horizontal="center" vertical="center" wrapText="1"/>
    </xf>
    <xf numFmtId="187" fontId="34" fillId="138" borderId="516" xfId="0" applyNumberFormat="1" applyFont="1" applyFill="1" applyBorder="1" applyAlignment="1">
      <alignment horizontal="center" vertical="center"/>
    </xf>
    <xf numFmtId="187" fontId="34" fillId="138" borderId="518" xfId="0" applyNumberFormat="1" applyFont="1" applyFill="1" applyBorder="1" applyAlignment="1">
      <alignment horizontal="center" vertical="center"/>
    </xf>
    <xf numFmtId="179" fontId="45" fillId="138" borderId="515" xfId="0" applyNumberFormat="1" applyFont="1" applyFill="1" applyBorder="1" applyAlignment="1">
      <alignment horizontal="center" vertical="center"/>
    </xf>
    <xf numFmtId="179" fontId="45" fillId="138" borderId="516" xfId="0" applyNumberFormat="1" applyFont="1" applyFill="1" applyBorder="1" applyAlignment="1">
      <alignment horizontal="center" vertical="center"/>
    </xf>
    <xf numFmtId="0" fontId="34" fillId="138" borderId="121" xfId="0" applyFont="1" applyFill="1" applyBorder="1" applyAlignment="1">
      <alignment horizontal="center" vertical="center"/>
    </xf>
    <xf numFmtId="0" fontId="34" fillId="138" borderId="97" xfId="0" applyFont="1" applyFill="1" applyBorder="1" applyAlignment="1">
      <alignment horizontal="center" vertical="center"/>
    </xf>
    <xf numFmtId="0" fontId="45" fillId="138" borderId="602" xfId="0" applyFont="1" applyFill="1" applyBorder="1" applyAlignment="1">
      <alignment horizontal="center" vertical="center"/>
    </xf>
    <xf numFmtId="0" fontId="0" fillId="138" borderId="516" xfId="0" applyFill="1" applyBorder="1">
      <alignment vertical="center"/>
    </xf>
    <xf numFmtId="240" fontId="34" fillId="138" borderId="516" xfId="0" applyNumberFormat="1" applyFont="1" applyFill="1" applyBorder="1" applyAlignment="1">
      <alignment horizontal="center" vertical="center"/>
    </xf>
    <xf numFmtId="176" fontId="34" fillId="138" borderId="516" xfId="0" applyNumberFormat="1" applyFont="1" applyFill="1" applyBorder="1" applyAlignment="1">
      <alignment horizontal="center" vertical="center"/>
    </xf>
    <xf numFmtId="0" fontId="208" fillId="3" borderId="0" xfId="0" applyFont="1" applyFill="1" applyAlignment="1">
      <alignment horizontal="left" vertical="center"/>
    </xf>
    <xf numFmtId="0" fontId="28" fillId="7" borderId="0" xfId="0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0" fontId="176" fillId="127" borderId="202" xfId="0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0" fontId="176" fillId="125" borderId="469" xfId="0" applyFont="1" applyFill="1" applyBorder="1" applyAlignment="1">
      <alignment horizontal="center" vertical="center"/>
    </xf>
    <xf numFmtId="0" fontId="176" fillId="125" borderId="437" xfId="0" applyFont="1" applyFill="1" applyBorder="1" applyAlignment="1">
      <alignment horizontal="center" vertical="center"/>
    </xf>
    <xf numFmtId="0" fontId="176" fillId="125" borderId="454" xfId="0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8" fillId="5" borderId="608" xfId="0" applyFont="1" applyFill="1" applyBorder="1" applyAlignment="1">
      <alignment horizontal="center" vertical="center" wrapText="1"/>
    </xf>
    <xf numFmtId="1" fontId="28" fillId="0" borderId="608" xfId="0" applyNumberFormat="1" applyFont="1" applyBorder="1" applyAlignment="1">
      <alignment horizontal="center" vertical="center"/>
    </xf>
    <xf numFmtId="178" fontId="28" fillId="0" borderId="608" xfId="0" applyNumberFormat="1" applyFont="1" applyBorder="1" applyAlignment="1">
      <alignment horizontal="center" vertical="center"/>
    </xf>
    <xf numFmtId="2" fontId="28" fillId="0" borderId="6" xfId="0" applyNumberFormat="1" applyFont="1" applyBorder="1" applyAlignment="1">
      <alignment horizontal="center" vertical="center"/>
    </xf>
    <xf numFmtId="0" fontId="28" fillId="5" borderId="627" xfId="0" applyFont="1" applyFill="1" applyBorder="1" applyAlignment="1">
      <alignment horizontal="center" vertical="center" wrapText="1"/>
    </xf>
    <xf numFmtId="178" fontId="28" fillId="0" borderId="471" xfId="0" applyNumberFormat="1" applyFont="1" applyBorder="1" applyAlignment="1">
      <alignment horizontal="center" vertical="center"/>
    </xf>
    <xf numFmtId="0" fontId="57" fillId="3" borderId="0" xfId="0" applyFont="1" applyFill="1">
      <alignment vertical="center"/>
    </xf>
    <xf numFmtId="0" fontId="178" fillId="7" borderId="609" xfId="0" applyFont="1" applyFill="1" applyBorder="1" applyAlignment="1">
      <alignment horizontal="center" vertical="center" wrapText="1" readingOrder="1"/>
    </xf>
    <xf numFmtId="0" fontId="178" fillId="3" borderId="609" xfId="0" applyFont="1" applyFill="1" applyBorder="1" applyAlignment="1">
      <alignment horizontal="center" vertical="center" wrapText="1" readingOrder="1"/>
    </xf>
    <xf numFmtId="183" fontId="34" fillId="7" borderId="609" xfId="0" applyNumberFormat="1" applyFont="1" applyFill="1" applyBorder="1" applyAlignment="1">
      <alignment horizontal="center" vertical="center" readingOrder="1"/>
    </xf>
    <xf numFmtId="183" fontId="28" fillId="7" borderId="609" xfId="0" applyNumberFormat="1" applyFont="1" applyFill="1" applyBorder="1" applyAlignment="1">
      <alignment horizontal="center" vertical="center" readingOrder="1"/>
    </xf>
    <xf numFmtId="226" fontId="57" fillId="0" borderId="48" xfId="2" applyNumberFormat="1" applyFont="1" applyFill="1" applyBorder="1" applyAlignment="1">
      <alignment horizontal="center" vertical="center"/>
    </xf>
    <xf numFmtId="179" fontId="27" fillId="7" borderId="216" xfId="2" applyNumberFormat="1" applyFont="1" applyFill="1" applyBorder="1" applyAlignment="1">
      <alignment horizontal="center" vertical="center"/>
    </xf>
    <xf numFmtId="187" fontId="57" fillId="3" borderId="48" xfId="2" applyNumberFormat="1" applyFont="1" applyFill="1" applyBorder="1" applyAlignment="1">
      <alignment horizontal="center" vertical="center"/>
    </xf>
    <xf numFmtId="226" fontId="57" fillId="3" borderId="498" xfId="2" applyNumberFormat="1" applyFont="1" applyFill="1" applyBorder="1" applyAlignment="1">
      <alignment horizontal="center" vertical="center"/>
    </xf>
    <xf numFmtId="226" fontId="57" fillId="3" borderId="333" xfId="2" applyNumberFormat="1" applyFont="1" applyFill="1" applyBorder="1" applyAlignment="1">
      <alignment horizontal="center" vertical="center"/>
    </xf>
    <xf numFmtId="226" fontId="57" fillId="3" borderId="121" xfId="2" applyNumberFormat="1" applyFont="1" applyFill="1" applyBorder="1" applyAlignment="1">
      <alignment horizontal="center" vertical="center"/>
    </xf>
    <xf numFmtId="226" fontId="57" fillId="3" borderId="123" xfId="2" applyNumberFormat="1" applyFont="1" applyFill="1" applyBorder="1" applyAlignment="1">
      <alignment horizontal="center" vertical="center"/>
    </xf>
    <xf numFmtId="187" fontId="57" fillId="3" borderId="451" xfId="2" applyNumberFormat="1" applyFont="1" applyFill="1" applyBorder="1" applyAlignment="1">
      <alignment horizontal="center" vertical="center"/>
    </xf>
    <xf numFmtId="187" fontId="57" fillId="3" borderId="483" xfId="2" applyNumberFormat="1" applyFont="1" applyFill="1" applyBorder="1" applyAlignment="1">
      <alignment horizontal="center" vertical="center"/>
    </xf>
    <xf numFmtId="187" fontId="57" fillId="3" borderId="446" xfId="2" applyNumberFormat="1" applyFont="1" applyFill="1" applyBorder="1" applyAlignment="1">
      <alignment horizontal="center" vertical="center"/>
    </xf>
    <xf numFmtId="3" fontId="25" fillId="0" borderId="6" xfId="0" applyNumberFormat="1" applyFont="1" applyBorder="1" applyAlignment="1">
      <alignment horizontal="center" vertical="center"/>
    </xf>
    <xf numFmtId="226" fontId="57" fillId="0" borderId="515" xfId="2" applyNumberFormat="1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183" fontId="28" fillId="7" borderId="609" xfId="2" applyNumberFormat="1" applyFont="1" applyFill="1" applyBorder="1" applyAlignment="1">
      <alignment horizontal="center" vertical="center"/>
    </xf>
    <xf numFmtId="187" fontId="27" fillId="0" borderId="216" xfId="2" applyNumberFormat="1" applyFont="1" applyFill="1" applyBorder="1" applyAlignment="1">
      <alignment horizontal="center" vertical="center"/>
    </xf>
    <xf numFmtId="0" fontId="27" fillId="0" borderId="216" xfId="0" applyFont="1" applyFill="1" applyBorder="1" applyAlignment="1">
      <alignment horizontal="center" vertical="center"/>
    </xf>
    <xf numFmtId="10" fontId="27" fillId="0" borderId="216" xfId="1" applyNumberFormat="1" applyFont="1" applyFill="1" applyBorder="1" applyAlignment="1">
      <alignment horizontal="center" vertical="center"/>
    </xf>
    <xf numFmtId="38" fontId="57" fillId="15" borderId="604" xfId="2" applyNumberFormat="1" applyFont="1" applyFill="1" applyBorder="1" applyAlignment="1">
      <alignment horizontal="center" vertical="center"/>
    </xf>
    <xf numFmtId="38" fontId="57" fillId="15" borderId="604" xfId="0" applyNumberFormat="1" applyFont="1" applyFill="1" applyBorder="1" applyAlignment="1">
      <alignment horizontal="center" vertical="center"/>
    </xf>
    <xf numFmtId="187" fontId="183" fillId="0" borderId="299" xfId="2" applyNumberFormat="1" applyFont="1" applyBorder="1" applyAlignment="1">
      <alignment horizontal="center" vertical="center" wrapText="1"/>
    </xf>
    <xf numFmtId="187" fontId="183" fillId="0" borderId="244" xfId="2" applyNumberFormat="1" applyFont="1" applyBorder="1" applyAlignment="1">
      <alignment horizontal="center" vertical="center" wrapText="1"/>
    </xf>
    <xf numFmtId="38" fontId="57" fillId="15" borderId="330" xfId="2" applyNumberFormat="1" applyFont="1" applyFill="1" applyBorder="1" applyAlignment="1">
      <alignment horizontal="center" vertical="center"/>
    </xf>
    <xf numFmtId="187" fontId="57" fillId="7" borderId="137" xfId="2" applyNumberFormat="1" applyFont="1" applyFill="1" applyBorder="1" applyAlignment="1">
      <alignment horizontal="center" vertical="center" wrapText="1"/>
    </xf>
    <xf numFmtId="0" fontId="176" fillId="127" borderId="611" xfId="0" applyFont="1" applyFill="1" applyBorder="1" applyAlignment="1">
      <alignment horizontal="center" vertical="center"/>
    </xf>
    <xf numFmtId="187" fontId="183" fillId="0" borderId="613" xfId="2" applyNumberFormat="1" applyFont="1" applyBorder="1" applyAlignment="1">
      <alignment horizontal="center" vertical="center" wrapText="1"/>
    </xf>
    <xf numFmtId="187" fontId="183" fillId="0" borderId="511" xfId="2" applyNumberFormat="1" applyFont="1" applyBorder="1" applyAlignment="1">
      <alignment horizontal="center" vertical="center" wrapText="1"/>
    </xf>
    <xf numFmtId="187" fontId="57" fillId="7" borderId="610" xfId="2" applyNumberFormat="1" applyFont="1" applyFill="1" applyBorder="1" applyAlignment="1">
      <alignment horizontal="center" vertical="center" wrapText="1"/>
    </xf>
    <xf numFmtId="183" fontId="57" fillId="0" borderId="608" xfId="0" applyNumberFormat="1" applyFont="1" applyBorder="1" applyAlignment="1">
      <alignment horizontal="center" vertical="center"/>
    </xf>
    <xf numFmtId="183" fontId="57" fillId="7" borderId="611" xfId="2" applyNumberFormat="1" applyFont="1" applyFill="1" applyBorder="1" applyAlignment="1">
      <alignment horizontal="center" vertical="center"/>
    </xf>
    <xf numFmtId="38" fontId="57" fillId="15" borderId="608" xfId="0" applyNumberFormat="1" applyFont="1" applyFill="1" applyBorder="1" applyAlignment="1">
      <alignment horizontal="center" vertical="center"/>
    </xf>
    <xf numFmtId="38" fontId="57" fillId="15" borderId="608" xfId="2" applyNumberFormat="1" applyFont="1" applyFill="1" applyBorder="1" applyAlignment="1">
      <alignment horizontal="center" vertical="center"/>
    </xf>
    <xf numFmtId="9" fontId="57" fillId="15" borderId="608" xfId="1" applyFont="1" applyFill="1" applyBorder="1" applyAlignment="1">
      <alignment horizontal="center" vertical="center"/>
    </xf>
    <xf numFmtId="231" fontId="57" fillId="0" borderId="244" xfId="2" applyNumberFormat="1" applyFont="1" applyFill="1" applyBorder="1" applyAlignment="1">
      <alignment horizontal="center" vertical="center" wrapText="1"/>
    </xf>
    <xf numFmtId="231" fontId="57" fillId="0" borderId="296" xfId="2" applyNumberFormat="1" applyFont="1" applyFill="1" applyBorder="1" applyAlignment="1">
      <alignment horizontal="center" vertical="center" wrapText="1"/>
    </xf>
    <xf numFmtId="231" fontId="57" fillId="0" borderId="502" xfId="2" applyNumberFormat="1" applyFont="1" applyFill="1" applyBorder="1" applyAlignment="1">
      <alignment horizontal="center" vertical="center" wrapText="1"/>
    </xf>
    <xf numFmtId="231" fontId="57" fillId="0" borderId="97" xfId="2" applyNumberFormat="1" applyFont="1" applyFill="1" applyBorder="1" applyAlignment="1">
      <alignment horizontal="center" vertical="center" wrapText="1"/>
    </xf>
    <xf numFmtId="231" fontId="57" fillId="7" borderId="329" xfId="2" applyNumberFormat="1" applyFont="1" applyFill="1" applyBorder="1" applyAlignment="1">
      <alignment horizontal="center" vertical="center" wrapText="1"/>
    </xf>
    <xf numFmtId="178" fontId="57" fillId="7" borderId="330" xfId="2" applyNumberFormat="1" applyFont="1" applyFill="1" applyBorder="1" applyAlignment="1">
      <alignment horizontal="center" vertical="center"/>
    </xf>
    <xf numFmtId="186" fontId="43" fillId="0" borderId="599" xfId="4124" applyNumberFormat="1" applyFont="1" applyFill="1" applyBorder="1" applyAlignment="1">
      <alignment horizontal="center" vertical="center"/>
    </xf>
    <xf numFmtId="186" fontId="43" fillId="0" borderId="616" xfId="4124" applyNumberFormat="1" applyFont="1" applyFill="1" applyBorder="1" applyAlignment="1">
      <alignment horizontal="center" vertical="center"/>
    </xf>
    <xf numFmtId="186" fontId="43" fillId="0" borderId="511" xfId="4124" applyNumberFormat="1" applyFont="1" applyFill="1" applyBorder="1" applyAlignment="1">
      <alignment horizontal="center" vertical="center"/>
    </xf>
    <xf numFmtId="183" fontId="57" fillId="0" borderId="630" xfId="0" applyNumberFormat="1" applyFont="1" applyBorder="1" applyAlignment="1">
      <alignment horizontal="center" vertical="center"/>
    </xf>
    <xf numFmtId="38" fontId="57" fillId="7" borderId="604" xfId="0" applyNumberFormat="1" applyFont="1" applyFill="1" applyBorder="1" applyAlignment="1">
      <alignment horizontal="center" vertical="center"/>
    </xf>
    <xf numFmtId="178" fontId="57" fillId="0" borderId="502" xfId="2" applyNumberFormat="1" applyFont="1" applyFill="1" applyBorder="1" applyAlignment="1">
      <alignment horizontal="center" vertical="center"/>
    </xf>
    <xf numFmtId="183" fontId="57" fillId="15" borderId="609" xfId="2" applyNumberFormat="1" applyFont="1" applyFill="1" applyBorder="1" applyAlignment="1">
      <alignment horizontal="center" vertical="center"/>
    </xf>
    <xf numFmtId="183" fontId="57" fillId="0" borderId="334" xfId="0" applyNumberFormat="1" applyFont="1" applyBorder="1" applyAlignment="1">
      <alignment horizontal="center" vertical="center"/>
    </xf>
    <xf numFmtId="0" fontId="176" fillId="127" borderId="611" xfId="0" applyFont="1" applyFill="1" applyBorder="1" applyAlignment="1">
      <alignment horizontal="center" vertical="center" wrapText="1"/>
    </xf>
    <xf numFmtId="183" fontId="57" fillId="0" borderId="613" xfId="2" applyNumberFormat="1" applyFont="1" applyBorder="1" applyAlignment="1">
      <alignment horizontal="center" vertical="center"/>
    </xf>
    <xf numFmtId="178" fontId="57" fillId="0" borderId="612" xfId="2" applyNumberFormat="1" applyFont="1" applyBorder="1" applyAlignment="1">
      <alignment horizontal="center" vertical="center"/>
    </xf>
    <xf numFmtId="178" fontId="57" fillId="0" borderId="614" xfId="2" applyNumberFormat="1" applyFont="1" applyBorder="1" applyAlignment="1">
      <alignment horizontal="center" vertical="center"/>
    </xf>
    <xf numFmtId="183" fontId="57" fillId="15" borderId="608" xfId="2" applyNumberFormat="1" applyFont="1" applyFill="1" applyBorder="1" applyAlignment="1">
      <alignment horizontal="center" vertical="center"/>
    </xf>
    <xf numFmtId="187" fontId="57" fillId="15" borderId="608" xfId="2" applyNumberFormat="1" applyFont="1" applyFill="1" applyBorder="1" applyAlignment="1">
      <alignment horizontal="center" vertical="center"/>
    </xf>
    <xf numFmtId="223" fontId="57" fillId="15" borderId="608" xfId="2" applyNumberFormat="1" applyFont="1" applyFill="1" applyBorder="1" applyAlignment="1">
      <alignment horizontal="center" vertical="center"/>
    </xf>
    <xf numFmtId="187" fontId="57" fillId="7" borderId="630" xfId="2" applyNumberFormat="1" applyFont="1" applyFill="1" applyBorder="1" applyAlignment="1">
      <alignment horizontal="center" vertical="center" wrapText="1"/>
    </xf>
    <xf numFmtId="187" fontId="57" fillId="7" borderId="602" xfId="2" applyNumberFormat="1" applyFont="1" applyFill="1" applyBorder="1" applyAlignment="1">
      <alignment horizontal="center" vertical="center" wrapText="1"/>
    </xf>
    <xf numFmtId="183" fontId="57" fillId="0" borderId="517" xfId="0" applyNumberFormat="1" applyFont="1" applyBorder="1" applyAlignment="1">
      <alignment horizontal="center" vertical="center"/>
    </xf>
    <xf numFmtId="38" fontId="57" fillId="7" borderId="519" xfId="2" applyNumberFormat="1" applyFont="1" applyFill="1" applyBorder="1" applyAlignment="1">
      <alignment horizontal="center" vertical="center"/>
    </xf>
    <xf numFmtId="38" fontId="57" fillId="7" borderId="517" xfId="0" applyNumberFormat="1" applyFont="1" applyFill="1" applyBorder="1" applyAlignment="1">
      <alignment horizontal="center" vertical="center"/>
    </xf>
    <xf numFmtId="38" fontId="57" fillId="7" borderId="517" xfId="2" applyNumberFormat="1" applyFont="1" applyFill="1" applyBorder="1" applyAlignment="1">
      <alignment horizontal="center" vertical="center"/>
    </xf>
    <xf numFmtId="9" fontId="57" fillId="7" borderId="517" xfId="1" applyFont="1" applyFill="1" applyBorder="1" applyAlignment="1">
      <alignment horizontal="center" vertical="center"/>
    </xf>
    <xf numFmtId="183" fontId="57" fillId="0" borderId="516" xfId="0" applyNumberFormat="1" applyFont="1" applyBorder="1" applyAlignment="1">
      <alignment horizontal="center" vertical="center"/>
    </xf>
    <xf numFmtId="38" fontId="57" fillId="7" borderId="515" xfId="2" applyNumberFormat="1" applyFont="1" applyFill="1" applyBorder="1" applyAlignment="1">
      <alignment horizontal="center" vertical="center"/>
    </xf>
    <xf numFmtId="183" fontId="57" fillId="0" borderId="629" xfId="0" applyNumberFormat="1" applyFont="1" applyBorder="1" applyAlignment="1">
      <alignment horizontal="center" vertical="center"/>
    </xf>
    <xf numFmtId="183" fontId="198" fillId="0" borderId="630" xfId="4124" applyNumberFormat="1" applyFont="1" applyFill="1" applyBorder="1" applyAlignment="1">
      <alignment horizontal="center" vertical="center"/>
    </xf>
    <xf numFmtId="176" fontId="57" fillId="0" borderId="484" xfId="0" applyNumberFormat="1" applyFont="1" applyBorder="1" applyAlignment="1">
      <alignment horizontal="center" vertical="center"/>
    </xf>
    <xf numFmtId="176" fontId="57" fillId="0" borderId="474" xfId="0" applyNumberFormat="1" applyFont="1" applyBorder="1" applyAlignment="1">
      <alignment horizontal="center" vertical="center"/>
    </xf>
    <xf numFmtId="176" fontId="57" fillId="0" borderId="500" xfId="0" applyNumberFormat="1" applyFont="1" applyBorder="1" applyAlignment="1">
      <alignment horizontal="center" vertical="center"/>
    </xf>
    <xf numFmtId="183" fontId="28" fillId="0" borderId="40" xfId="0" applyNumberFormat="1" applyFont="1" applyBorder="1" applyAlignment="1">
      <alignment horizontal="center" vertical="center"/>
    </xf>
    <xf numFmtId="183" fontId="57" fillId="0" borderId="600" xfId="0" applyNumberFormat="1" applyFont="1" applyBorder="1" applyAlignment="1">
      <alignment horizontal="center" vertical="center"/>
    </xf>
    <xf numFmtId="183" fontId="57" fillId="0" borderId="595" xfId="0" applyNumberFormat="1" applyFont="1" applyBorder="1" applyAlignment="1">
      <alignment horizontal="center" vertical="center"/>
    </xf>
    <xf numFmtId="3" fontId="57" fillId="7" borderId="221" xfId="2" applyNumberFormat="1" applyFont="1" applyFill="1" applyBorder="1" applyAlignment="1">
      <alignment horizontal="center" vertical="center"/>
    </xf>
    <xf numFmtId="4" fontId="57" fillId="7" borderId="610" xfId="2" applyNumberFormat="1" applyFont="1" applyFill="1" applyBorder="1" applyAlignment="1">
      <alignment horizontal="center" vertical="center"/>
    </xf>
    <xf numFmtId="2" fontId="176" fillId="125" borderId="521" xfId="0" applyNumberFormat="1" applyFont="1" applyFill="1" applyBorder="1" applyAlignment="1">
      <alignment horizontal="center" vertical="center"/>
    </xf>
    <xf numFmtId="185" fontId="28" fillId="7" borderId="0" xfId="0" applyNumberFormat="1" applyFont="1" applyFill="1" applyAlignment="1">
      <alignment horizontal="center" vertical="center"/>
    </xf>
    <xf numFmtId="230" fontId="28" fillId="7" borderId="0" xfId="0" applyNumberFormat="1" applyFont="1" applyFill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0" fontId="28" fillId="0" borderId="271" xfId="0" applyFont="1" applyBorder="1" applyAlignment="1">
      <alignment horizontal="center" vertical="center"/>
    </xf>
    <xf numFmtId="0" fontId="176" fillId="125" borderId="64" xfId="0" quotePrefix="1" applyFont="1" applyFill="1" applyBorder="1" applyAlignment="1">
      <alignment horizontal="center" vertical="center"/>
    </xf>
    <xf numFmtId="226" fontId="57" fillId="7" borderId="601" xfId="2" applyNumberFormat="1" applyFont="1" applyFill="1" applyBorder="1" applyAlignment="1">
      <alignment horizontal="center" vertical="center"/>
    </xf>
    <xf numFmtId="183" fontId="57" fillId="7" borderId="604" xfId="2" applyNumberFormat="1" applyFont="1" applyFill="1" applyBorder="1" applyAlignment="1">
      <alignment horizontal="center" vertical="center"/>
    </xf>
    <xf numFmtId="183" fontId="57" fillId="7" borderId="64" xfId="2" applyNumberFormat="1" applyFont="1" applyFill="1" applyBorder="1" applyAlignment="1">
      <alignment horizontal="center" vertical="center"/>
    </xf>
    <xf numFmtId="183" fontId="57" fillId="7" borderId="521" xfId="2" applyNumberFormat="1" applyFont="1" applyFill="1" applyBorder="1" applyAlignment="1">
      <alignment horizontal="center" vertical="center"/>
    </xf>
    <xf numFmtId="183" fontId="57" fillId="0" borderId="368" xfId="0" applyNumberFormat="1" applyFont="1" applyBorder="1" applyAlignment="1">
      <alignment horizontal="center" vertical="center"/>
    </xf>
    <xf numFmtId="183" fontId="57" fillId="0" borderId="599" xfId="0" applyNumberFormat="1" applyFont="1" applyBorder="1" applyAlignment="1">
      <alignment horizontal="center" vertical="center"/>
    </xf>
    <xf numFmtId="228" fontId="57" fillId="7" borderId="309" xfId="2" applyNumberFormat="1" applyFont="1" applyFill="1" applyBorder="1" applyAlignment="1">
      <alignment horizontal="center" vertical="center"/>
    </xf>
    <xf numFmtId="183" fontId="57" fillId="0" borderId="599" xfId="2" applyNumberFormat="1" applyFont="1" applyBorder="1" applyAlignment="1">
      <alignment horizontal="center" vertical="center"/>
    </xf>
    <xf numFmtId="185" fontId="57" fillId="0" borderId="601" xfId="0" applyNumberFormat="1" applyFont="1" applyFill="1" applyBorder="1" applyAlignment="1">
      <alignment horizontal="center" vertical="center"/>
    </xf>
    <xf numFmtId="185" fontId="57" fillId="0" borderId="604" xfId="0" applyNumberFormat="1" applyFont="1" applyFill="1" applyBorder="1" applyAlignment="1">
      <alignment horizontal="center" vertical="center"/>
    </xf>
    <xf numFmtId="2" fontId="28" fillId="0" borderId="521" xfId="0" applyNumberFormat="1" applyFont="1" applyFill="1" applyBorder="1" applyAlignment="1">
      <alignment horizontal="center" vertical="center"/>
    </xf>
    <xf numFmtId="183" fontId="57" fillId="7" borderId="309" xfId="2" applyNumberFormat="1" applyFont="1" applyFill="1" applyBorder="1" applyAlignment="1">
      <alignment horizontal="center" vertical="center"/>
    </xf>
    <xf numFmtId="187" fontId="57" fillId="7" borderId="407" xfId="2" applyNumberFormat="1" applyFont="1" applyFill="1" applyBorder="1" applyAlignment="1">
      <alignment horizontal="center" vertical="center"/>
    </xf>
    <xf numFmtId="183" fontId="57" fillId="7" borderId="455" xfId="2" applyNumberFormat="1" applyFont="1" applyFill="1" applyBorder="1" applyAlignment="1">
      <alignment horizontal="center" vertical="center"/>
    </xf>
    <xf numFmtId="178" fontId="57" fillId="7" borderId="632" xfId="0" applyNumberFormat="1" applyFont="1" applyFill="1" applyBorder="1" applyAlignment="1">
      <alignment horizontal="center" vertical="center"/>
    </xf>
    <xf numFmtId="187" fontId="57" fillId="0" borderId="368" xfId="0" applyNumberFormat="1" applyFont="1" applyFill="1" applyBorder="1" applyAlignment="1">
      <alignment horizontal="center" vertical="center"/>
    </xf>
    <xf numFmtId="226" fontId="57" fillId="7" borderId="455" xfId="2" applyNumberFormat="1" applyFont="1" applyFill="1" applyBorder="1" applyAlignment="1">
      <alignment horizontal="center" vertical="center"/>
    </xf>
    <xf numFmtId="226" fontId="57" fillId="0" borderId="601" xfId="2" applyNumberFormat="1" applyFont="1" applyFill="1" applyBorder="1" applyAlignment="1">
      <alignment horizontal="center" vertical="center"/>
    </xf>
    <xf numFmtId="226" fontId="57" fillId="0" borderId="604" xfId="2" applyNumberFormat="1" applyFont="1" applyFill="1" applyBorder="1" applyAlignment="1">
      <alignment horizontal="center" vertical="center"/>
    </xf>
    <xf numFmtId="187" fontId="57" fillId="0" borderId="521" xfId="2" applyNumberFormat="1" applyFont="1" applyFill="1" applyBorder="1" applyAlignment="1">
      <alignment horizontal="center" vertical="center"/>
    </xf>
    <xf numFmtId="187" fontId="57" fillId="7" borderId="521" xfId="2" applyNumberFormat="1" applyFont="1" applyFill="1" applyBorder="1" applyAlignment="1">
      <alignment horizontal="center" vertical="center"/>
    </xf>
    <xf numFmtId="223" fontId="171" fillId="7" borderId="287" xfId="0" applyNumberFormat="1" applyFont="1" applyFill="1" applyBorder="1" applyAlignment="1">
      <alignment horizontal="center" vertical="center"/>
    </xf>
    <xf numFmtId="4" fontId="57" fillId="7" borderId="608" xfId="2" applyNumberFormat="1" applyFont="1" applyFill="1" applyBorder="1" applyAlignment="1">
      <alignment horizontal="center" vertical="center"/>
    </xf>
    <xf numFmtId="0" fontId="176" fillId="125" borderId="607" xfId="0" quotePrefix="1" applyFont="1" applyFill="1" applyBorder="1" applyAlignment="1">
      <alignment horizontal="center" vertical="center"/>
    </xf>
    <xf numFmtId="4" fontId="28" fillId="7" borderId="615" xfId="2" applyNumberFormat="1" applyFont="1" applyFill="1" applyBorder="1" applyAlignment="1">
      <alignment horizontal="center" vertical="center"/>
    </xf>
    <xf numFmtId="2" fontId="176" fillId="125" borderId="607" xfId="0" applyNumberFormat="1" applyFont="1" applyFill="1" applyBorder="1" applyAlignment="1">
      <alignment horizontal="center" vertical="center"/>
    </xf>
    <xf numFmtId="223" fontId="57" fillId="15" borderId="122" xfId="2" applyNumberFormat="1" applyFont="1" applyFill="1" applyBorder="1" applyAlignment="1">
      <alignment horizontal="center" vertical="center"/>
    </xf>
    <xf numFmtId="223" fontId="57" fillId="15" borderId="609" xfId="2" applyNumberFormat="1" applyFont="1" applyFill="1" applyBorder="1" applyAlignment="1">
      <alignment horizontal="center" vertical="center"/>
    </xf>
    <xf numFmtId="223" fontId="28" fillId="7" borderId="376" xfId="0" applyNumberFormat="1" applyFont="1" applyFill="1" applyBorder="1">
      <alignment vertical="center"/>
    </xf>
    <xf numFmtId="223" fontId="28" fillId="7" borderId="271" xfId="0" applyNumberFormat="1" applyFont="1" applyFill="1" applyBorder="1">
      <alignment vertical="center"/>
    </xf>
    <xf numFmtId="223" fontId="28" fillId="7" borderId="493" xfId="0" applyNumberFormat="1" applyFont="1" applyFill="1" applyBorder="1">
      <alignment vertical="center"/>
    </xf>
    <xf numFmtId="223" fontId="28" fillId="7" borderId="466" xfId="0" applyNumberFormat="1" applyFont="1" applyFill="1" applyBorder="1">
      <alignment vertical="center"/>
    </xf>
    <xf numFmtId="223" fontId="176" fillId="125" borderId="288" xfId="2" applyNumberFormat="1" applyFont="1" applyFill="1" applyBorder="1" applyAlignment="1">
      <alignment horizontal="center" vertical="center"/>
    </xf>
    <xf numFmtId="223" fontId="176" fillId="125" borderId="226" xfId="2" applyNumberFormat="1" applyFont="1" applyFill="1" applyBorder="1" applyAlignment="1">
      <alignment horizontal="center" vertical="center"/>
    </xf>
    <xf numFmtId="0" fontId="28" fillId="129" borderId="0" xfId="0" applyFont="1" applyFill="1" applyAlignment="1">
      <alignment horizontal="center" vertical="center"/>
    </xf>
    <xf numFmtId="0" fontId="28" fillId="129" borderId="0" xfId="0" applyFont="1" applyFill="1">
      <alignment vertical="center"/>
    </xf>
    <xf numFmtId="187" fontId="34" fillId="15" borderId="599" xfId="2" applyNumberFormat="1" applyFont="1" applyFill="1" applyBorder="1" applyAlignment="1">
      <alignment horizontal="center" vertical="center"/>
    </xf>
    <xf numFmtId="3" fontId="176" fillId="125" borderId="512" xfId="2" applyNumberFormat="1" applyFont="1" applyFill="1" applyBorder="1" applyAlignment="1">
      <alignment horizontal="center" vertical="center" wrapText="1"/>
    </xf>
    <xf numFmtId="231" fontId="34" fillId="15" borderId="599" xfId="2" applyNumberFormat="1" applyFont="1" applyFill="1" applyBorder="1" applyAlignment="1">
      <alignment horizontal="center" vertical="center"/>
    </xf>
    <xf numFmtId="3" fontId="171" fillId="15" borderId="599" xfId="2" applyNumberFormat="1" applyFont="1" applyFill="1" applyBorder="1" applyAlignment="1">
      <alignment horizontal="center" vertical="center"/>
    </xf>
    <xf numFmtId="3" fontId="171" fillId="15" borderId="601" xfId="2" applyNumberFormat="1" applyFont="1" applyFill="1" applyBorder="1" applyAlignment="1">
      <alignment horizontal="center" vertical="center"/>
    </xf>
    <xf numFmtId="183" fontId="171" fillId="15" borderId="599" xfId="2" applyNumberFormat="1" applyFont="1" applyFill="1" applyBorder="1" applyAlignment="1">
      <alignment horizontal="center" vertical="center"/>
    </xf>
    <xf numFmtId="183" fontId="176" fillId="125" borderId="368" xfId="2" applyNumberFormat="1" applyFont="1" applyFill="1" applyBorder="1" applyAlignment="1">
      <alignment horizontal="center" vertical="center" wrapText="1"/>
    </xf>
    <xf numFmtId="183" fontId="171" fillId="15" borderId="64" xfId="2" applyNumberFormat="1" applyFont="1" applyFill="1" applyBorder="1" applyAlignment="1">
      <alignment horizontal="center" vertical="center"/>
    </xf>
    <xf numFmtId="0" fontId="176" fillId="125" borderId="268" xfId="0" applyFont="1" applyFill="1" applyBorder="1" applyAlignment="1">
      <alignment horizontal="center" vertical="center" wrapText="1"/>
    </xf>
    <xf numFmtId="187" fontId="34" fillId="117" borderId="615" xfId="0" applyNumberFormat="1" applyFont="1" applyFill="1" applyBorder="1" applyAlignment="1">
      <alignment horizontal="center" vertical="center"/>
    </xf>
    <xf numFmtId="179" fontId="232" fillId="117" borderId="607" xfId="0" applyNumberFormat="1" applyFont="1" applyFill="1" applyBorder="1" applyAlignment="1">
      <alignment horizontal="center" vertical="center"/>
    </xf>
    <xf numFmtId="3" fontId="28" fillId="0" borderId="615" xfId="0" applyNumberFormat="1" applyFont="1" applyBorder="1" applyAlignment="1">
      <alignment horizontal="center" vertical="center"/>
    </xf>
    <xf numFmtId="187" fontId="34" fillId="117" borderId="512" xfId="0" applyNumberFormat="1" applyFont="1" applyFill="1" applyBorder="1" applyAlignment="1">
      <alignment horizontal="center" vertical="center"/>
    </xf>
    <xf numFmtId="187" fontId="232" fillId="117" borderId="607" xfId="0" applyNumberFormat="1" applyFont="1" applyFill="1" applyBorder="1" applyAlignment="1">
      <alignment horizontal="center" vertical="center"/>
    </xf>
    <xf numFmtId="223" fontId="232" fillId="0" borderId="607" xfId="0" applyNumberFormat="1" applyFont="1" applyFill="1" applyBorder="1" applyAlignment="1">
      <alignment horizontal="center" vertical="center"/>
    </xf>
    <xf numFmtId="187" fontId="34" fillId="0" borderId="615" xfId="0" applyNumberFormat="1" applyFont="1" applyFill="1" applyBorder="1" applyAlignment="1">
      <alignment horizontal="center" vertical="center"/>
    </xf>
    <xf numFmtId="183" fontId="232" fillId="0" borderId="607" xfId="0" applyNumberFormat="1" applyFont="1" applyFill="1" applyBorder="1" applyAlignment="1">
      <alignment horizontal="center" vertical="center"/>
    </xf>
    <xf numFmtId="179" fontId="232" fillId="0" borderId="607" xfId="0" applyNumberFormat="1" applyFont="1" applyFill="1" applyBorder="1" applyAlignment="1">
      <alignment horizontal="center" vertical="center"/>
    </xf>
    <xf numFmtId="187" fontId="232" fillId="117" borderId="512" xfId="0" applyNumberFormat="1" applyFont="1" applyFill="1" applyBorder="1" applyAlignment="1">
      <alignment horizontal="center" vertical="center"/>
    </xf>
    <xf numFmtId="187" fontId="28" fillId="0" borderId="615" xfId="2" applyNumberFormat="1" applyFont="1" applyFill="1" applyBorder="1" applyAlignment="1">
      <alignment horizontal="center" vertical="center" wrapText="1"/>
    </xf>
    <xf numFmtId="183" fontId="57" fillId="7" borderId="615" xfId="2" applyNumberFormat="1" applyFont="1" applyFill="1" applyBorder="1" applyAlignment="1">
      <alignment horizontal="center" vertical="center"/>
    </xf>
    <xf numFmtId="179" fontId="198" fillId="0" borderId="607" xfId="0" applyNumberFormat="1" applyFont="1" applyBorder="1" applyAlignment="1">
      <alignment horizontal="center" vertical="center"/>
    </xf>
    <xf numFmtId="3" fontId="176" fillId="125" borderId="601" xfId="2" applyNumberFormat="1" applyFont="1" applyFill="1" applyBorder="1" applyAlignment="1">
      <alignment horizontal="center" vertical="center" wrapText="1"/>
    </xf>
    <xf numFmtId="3" fontId="176" fillId="125" borderId="406" xfId="2" applyNumberFormat="1" applyFont="1" applyFill="1" applyBorder="1" applyAlignment="1">
      <alignment horizontal="center" vertical="center" wrapText="1"/>
    </xf>
    <xf numFmtId="3" fontId="34" fillId="15" borderId="64" xfId="2" applyNumberFormat="1" applyFont="1" applyFill="1" applyBorder="1" applyAlignment="1">
      <alignment horizontal="center" vertical="center" wrapText="1"/>
    </xf>
    <xf numFmtId="3" fontId="34" fillId="15" borderId="599" xfId="2" applyNumberFormat="1" applyFont="1" applyFill="1" applyBorder="1" applyAlignment="1">
      <alignment horizontal="center" vertical="center" wrapText="1"/>
    </xf>
    <xf numFmtId="3" fontId="34" fillId="117" borderId="599" xfId="2" applyNumberFormat="1" applyFont="1" applyFill="1" applyBorder="1" applyAlignment="1">
      <alignment horizontal="center" vertical="center" wrapText="1"/>
    </xf>
    <xf numFmtId="187" fontId="176" fillId="125" borderId="608" xfId="2" applyNumberFormat="1" applyFont="1" applyFill="1" applyBorder="1" applyAlignment="1">
      <alignment horizontal="center" vertical="center"/>
    </xf>
    <xf numFmtId="3" fontId="176" fillId="125" borderId="368" xfId="2" applyNumberFormat="1" applyFont="1" applyFill="1" applyBorder="1" applyAlignment="1">
      <alignment horizontal="center" vertical="center"/>
    </xf>
    <xf numFmtId="179" fontId="34" fillId="15" borderId="47" xfId="2" applyNumberFormat="1" applyFont="1" applyFill="1" applyBorder="1" applyAlignment="1">
      <alignment horizontal="center" vertical="center" wrapText="1"/>
    </xf>
    <xf numFmtId="179" fontId="34" fillId="15" borderId="608" xfId="2" applyNumberFormat="1" applyFont="1" applyFill="1" applyBorder="1" applyAlignment="1">
      <alignment horizontal="center" vertical="center" wrapText="1"/>
    </xf>
    <xf numFmtId="179" fontId="34" fillId="15" borderId="604" xfId="2" applyNumberFormat="1" applyFont="1" applyFill="1" applyBorder="1" applyAlignment="1">
      <alignment horizontal="center" vertical="center" wrapText="1"/>
    </xf>
    <xf numFmtId="179" fontId="176" fillId="125" borderId="228" xfId="2" applyNumberFormat="1" applyFont="1" applyFill="1" applyBorder="1" applyAlignment="1">
      <alignment horizontal="center" vertical="center" wrapText="1"/>
    </xf>
    <xf numFmtId="183" fontId="176" fillId="125" borderId="287" xfId="2" applyNumberFormat="1" applyFont="1" applyFill="1" applyBorder="1" applyAlignment="1">
      <alignment horizontal="center" vertical="center" wrapText="1"/>
    </xf>
    <xf numFmtId="179" fontId="34" fillId="15" borderId="64" xfId="2" applyNumberFormat="1" applyFont="1" applyFill="1" applyBorder="1" applyAlignment="1">
      <alignment horizontal="center" vertical="center" wrapText="1"/>
    </xf>
    <xf numFmtId="177" fontId="34" fillId="15" borderId="599" xfId="2" applyNumberFormat="1" applyFont="1" applyFill="1" applyBorder="1" applyAlignment="1">
      <alignment horizontal="center" vertical="center" wrapText="1"/>
    </xf>
    <xf numFmtId="179" fontId="34" fillId="15" borderId="599" xfId="2" applyNumberFormat="1" applyFont="1" applyFill="1" applyBorder="1" applyAlignment="1">
      <alignment horizontal="center" vertical="center" wrapText="1"/>
    </xf>
    <xf numFmtId="179" fontId="34" fillId="15" borderId="601" xfId="2" applyNumberFormat="1" applyFont="1" applyFill="1" applyBorder="1" applyAlignment="1">
      <alignment horizontal="center" vertical="center" wrapText="1"/>
    </xf>
    <xf numFmtId="187" fontId="34" fillId="15" borderId="64" xfId="2" applyNumberFormat="1" applyFont="1" applyFill="1" applyBorder="1" applyAlignment="1">
      <alignment horizontal="center" vertical="center" wrapText="1"/>
    </xf>
    <xf numFmtId="187" fontId="34" fillId="15" borderId="599" xfId="2" applyNumberFormat="1" applyFont="1" applyFill="1" applyBorder="1" applyAlignment="1">
      <alignment horizontal="center" vertical="center" wrapText="1"/>
    </xf>
    <xf numFmtId="187" fontId="34" fillId="15" borderId="601" xfId="2" applyNumberFormat="1" applyFont="1" applyFill="1" applyBorder="1" applyAlignment="1">
      <alignment horizontal="center" vertical="center" wrapText="1"/>
    </xf>
    <xf numFmtId="187" fontId="32" fillId="15" borderId="406" xfId="2" applyNumberFormat="1" applyFont="1" applyFill="1" applyBorder="1" applyAlignment="1">
      <alignment horizontal="center" vertical="center" wrapText="1"/>
    </xf>
    <xf numFmtId="187" fontId="32" fillId="15" borderId="599" xfId="2" applyNumberFormat="1" applyFont="1" applyFill="1" applyBorder="1" applyAlignment="1">
      <alignment horizontal="center" vertical="center" wrapText="1"/>
    </xf>
    <xf numFmtId="187" fontId="32" fillId="15" borderId="601" xfId="2" applyNumberFormat="1" applyFont="1" applyFill="1" applyBorder="1" applyAlignment="1">
      <alignment horizontal="center" vertical="center" wrapText="1"/>
    </xf>
    <xf numFmtId="187" fontId="219" fillId="125" borderId="287" xfId="2" applyNumberFormat="1" applyFont="1" applyFill="1" applyBorder="1" applyAlignment="1">
      <alignment horizontal="center" vertical="center" wrapText="1"/>
    </xf>
    <xf numFmtId="3" fontId="176" fillId="125" borderId="615" xfId="2" applyNumberFormat="1" applyFont="1" applyFill="1" applyBorder="1" applyAlignment="1">
      <alignment horizontal="center" vertical="center" wrapText="1"/>
    </xf>
    <xf numFmtId="177" fontId="0" fillId="0" borderId="37" xfId="0" applyNumberFormat="1" applyFont="1" applyBorder="1" applyAlignment="1">
      <alignment horizontal="center" vertical="center"/>
    </xf>
    <xf numFmtId="177" fontId="0" fillId="0" borderId="615" xfId="0" applyNumberFormat="1" applyFont="1" applyBorder="1" applyAlignment="1">
      <alignment horizontal="center" vertical="center"/>
    </xf>
    <xf numFmtId="187" fontId="176" fillId="125" borderId="615" xfId="2" applyNumberFormat="1" applyFont="1" applyFill="1" applyBorder="1" applyAlignment="1">
      <alignment horizontal="center" vertical="center" wrapText="1"/>
    </xf>
    <xf numFmtId="177" fontId="0" fillId="0" borderId="615" xfId="0" applyNumberFormat="1" applyFont="1" applyFill="1" applyBorder="1" applyAlignment="1">
      <alignment horizontal="center" vertical="center"/>
    </xf>
    <xf numFmtId="177" fontId="0" fillId="117" borderId="615" xfId="0" applyNumberFormat="1" applyFont="1" applyFill="1" applyBorder="1" applyAlignment="1">
      <alignment horizontal="center" vertical="center"/>
    </xf>
    <xf numFmtId="177" fontId="0" fillId="125" borderId="37" xfId="0" applyNumberFormat="1" applyFont="1" applyFill="1" applyBorder="1" applyAlignment="1">
      <alignment horizontal="center" vertical="center"/>
    </xf>
    <xf numFmtId="177" fontId="0" fillId="125" borderId="615" xfId="0" applyNumberFormat="1" applyFont="1" applyFill="1" applyBorder="1" applyAlignment="1">
      <alignment horizontal="center" vertical="center"/>
    </xf>
    <xf numFmtId="177" fontId="28" fillId="0" borderId="615" xfId="0" applyNumberFormat="1" applyFont="1" applyBorder="1" applyAlignment="1">
      <alignment horizontal="center" vertical="center"/>
    </xf>
    <xf numFmtId="0" fontId="28" fillId="125" borderId="615" xfId="0" applyFont="1" applyFill="1" applyBorder="1" applyAlignment="1">
      <alignment horizontal="center" vertical="center"/>
    </xf>
    <xf numFmtId="177" fontId="28" fillId="0" borderId="48" xfId="0" applyNumberFormat="1" applyFont="1" applyBorder="1" applyAlignment="1">
      <alignment horizontal="center" vertical="center"/>
    </xf>
    <xf numFmtId="177" fontId="28" fillId="0" borderId="0" xfId="0" applyNumberFormat="1" applyFont="1" applyBorder="1" applyAlignment="1">
      <alignment horizontal="center" vertical="center"/>
    </xf>
    <xf numFmtId="223" fontId="28" fillId="0" borderId="206" xfId="0" applyNumberFormat="1" applyFont="1" applyBorder="1" applyAlignment="1">
      <alignment horizontal="center" vertical="center"/>
    </xf>
    <xf numFmtId="3" fontId="176" fillId="125" borderId="268" xfId="2" applyNumberFormat="1" applyFont="1" applyFill="1" applyBorder="1" applyAlignment="1">
      <alignment horizontal="center" vertical="center" wrapText="1"/>
    </xf>
    <xf numFmtId="177" fontId="28" fillId="0" borderId="37" xfId="0" applyNumberFormat="1" applyFont="1" applyBorder="1" applyAlignment="1">
      <alignment horizontal="center" vertical="center"/>
    </xf>
    <xf numFmtId="177" fontId="28" fillId="15" borderId="37" xfId="0" applyNumberFormat="1" applyFont="1" applyFill="1" applyBorder="1" applyAlignment="1">
      <alignment horizontal="center" vertical="center"/>
    </xf>
    <xf numFmtId="3" fontId="34" fillId="117" borderId="610" xfId="2" applyNumberFormat="1" applyFont="1" applyFill="1" applyBorder="1" applyAlignment="1">
      <alignment horizontal="center" vertical="center" wrapText="1"/>
    </xf>
    <xf numFmtId="187" fontId="176" fillId="125" borderId="610" xfId="2" applyNumberFormat="1" applyFont="1" applyFill="1" applyBorder="1" applyAlignment="1">
      <alignment horizontal="center" vertical="center"/>
    </xf>
    <xf numFmtId="187" fontId="32" fillId="0" borderId="610" xfId="2" applyNumberFormat="1" applyFont="1" applyFill="1" applyBorder="1" applyAlignment="1">
      <alignment horizontal="center" vertical="center" wrapText="1"/>
    </xf>
    <xf numFmtId="177" fontId="221" fillId="125" borderId="599" xfId="0" applyNumberFormat="1" applyFont="1" applyFill="1" applyBorder="1" applyAlignment="1">
      <alignment horizontal="center" vertical="center"/>
    </xf>
    <xf numFmtId="187" fontId="32" fillId="0" borderId="599" xfId="2" applyNumberFormat="1" applyFont="1" applyFill="1" applyBorder="1" applyAlignment="1">
      <alignment horizontal="center" vertical="center" wrapText="1"/>
    </xf>
    <xf numFmtId="0" fontId="221" fillId="125" borderId="110" xfId="0" applyFont="1" applyFill="1" applyBorder="1" applyAlignment="1">
      <alignment horizontal="center" vertical="center" wrapText="1"/>
    </xf>
    <xf numFmtId="3" fontId="198" fillId="0" borderId="221" xfId="0" applyNumberFormat="1" applyFont="1" applyFill="1" applyBorder="1" applyAlignment="1">
      <alignment horizontal="center" vertical="center"/>
    </xf>
    <xf numFmtId="3" fontId="198" fillId="0" borderId="610" xfId="0" applyNumberFormat="1" applyFont="1" applyFill="1" applyBorder="1" applyAlignment="1">
      <alignment horizontal="center" vertical="center"/>
    </xf>
    <xf numFmtId="177" fontId="221" fillId="125" borderId="610" xfId="0" applyNumberFormat="1" applyFont="1" applyFill="1" applyBorder="1" applyAlignment="1">
      <alignment horizontal="center" vertical="center"/>
    </xf>
    <xf numFmtId="185" fontId="221" fillId="125" borderId="602" xfId="0" applyNumberFormat="1" applyFont="1" applyFill="1" applyBorder="1" applyAlignment="1">
      <alignment horizontal="center" vertical="center"/>
    </xf>
    <xf numFmtId="3" fontId="176" fillId="125" borderId="515" xfId="2" applyNumberFormat="1" applyFont="1" applyFill="1" applyBorder="1" applyAlignment="1">
      <alignment horizontal="center" vertical="center" wrapText="1"/>
    </xf>
    <xf numFmtId="3" fontId="176" fillId="125" borderId="602" xfId="2" applyNumberFormat="1" applyFont="1" applyFill="1" applyBorder="1" applyAlignment="1">
      <alignment horizontal="center" vertical="center" wrapText="1"/>
    </xf>
    <xf numFmtId="3" fontId="176" fillId="125" borderId="221" xfId="2" applyNumberFormat="1" applyFont="1" applyFill="1" applyBorder="1" applyAlignment="1">
      <alignment horizontal="center" vertical="center" wrapText="1"/>
    </xf>
    <xf numFmtId="3" fontId="28" fillId="0" borderId="610" xfId="2" applyNumberFormat="1" applyFont="1" applyFill="1" applyBorder="1" applyAlignment="1">
      <alignment horizontal="center" vertical="center" wrapText="1"/>
    </xf>
    <xf numFmtId="231" fontId="28" fillId="0" borderId="515" xfId="2" applyNumberFormat="1" applyFont="1" applyFill="1" applyBorder="1" applyAlignment="1">
      <alignment horizontal="center" vertical="center"/>
    </xf>
    <xf numFmtId="187" fontId="176" fillId="125" borderId="121" xfId="2" applyNumberFormat="1" applyFont="1" applyFill="1" applyBorder="1" applyAlignment="1">
      <alignment horizontal="center" vertical="center"/>
    </xf>
    <xf numFmtId="187" fontId="176" fillId="125" borderId="602" xfId="2" applyNumberFormat="1" applyFont="1" applyFill="1" applyBorder="1" applyAlignment="1">
      <alignment horizontal="center" vertical="center"/>
    </xf>
    <xf numFmtId="183" fontId="57" fillId="0" borderId="121" xfId="2" applyNumberFormat="1" applyFont="1" applyFill="1" applyBorder="1" applyAlignment="1">
      <alignment horizontal="center" vertical="center"/>
    </xf>
    <xf numFmtId="3" fontId="176" fillId="125" borderId="263" xfId="2" applyNumberFormat="1" applyFont="1" applyFill="1" applyBorder="1" applyAlignment="1">
      <alignment horizontal="center" vertical="center"/>
    </xf>
    <xf numFmtId="179" fontId="28" fillId="0" borderId="121" xfId="2" applyNumberFormat="1" applyFont="1" applyFill="1" applyBorder="1" applyAlignment="1">
      <alignment horizontal="center" vertical="center" wrapText="1"/>
    </xf>
    <xf numFmtId="179" fontId="28" fillId="0" borderId="610" xfId="2" applyNumberFormat="1" applyFont="1" applyFill="1" applyBorder="1" applyAlignment="1">
      <alignment horizontal="center" vertical="center" wrapText="1"/>
    </xf>
    <xf numFmtId="179" fontId="28" fillId="0" borderId="602" xfId="2" applyNumberFormat="1" applyFont="1" applyFill="1" applyBorder="1" applyAlignment="1">
      <alignment horizontal="center" vertical="center" wrapText="1"/>
    </xf>
    <xf numFmtId="179" fontId="176" fillId="125" borderId="225" xfId="2" applyNumberFormat="1" applyFont="1" applyFill="1" applyBorder="1" applyAlignment="1">
      <alignment horizontal="center" vertical="center" wrapText="1"/>
    </xf>
    <xf numFmtId="183" fontId="57" fillId="0" borderId="97" xfId="2" applyNumberFormat="1" applyFont="1" applyFill="1" applyBorder="1" applyAlignment="1">
      <alignment horizontal="center" vertical="center"/>
    </xf>
    <xf numFmtId="183" fontId="57" fillId="0" borderId="610" xfId="2" applyNumberFormat="1" applyFont="1" applyFill="1" applyBorder="1" applyAlignment="1">
      <alignment horizontal="center" vertical="center"/>
    </xf>
    <xf numFmtId="183" fontId="57" fillId="0" borderId="221" xfId="2" applyNumberFormat="1" applyFont="1" applyFill="1" applyBorder="1" applyAlignment="1">
      <alignment horizontal="center" vertical="center"/>
    </xf>
    <xf numFmtId="183" fontId="176" fillId="125" borderId="263" xfId="2" applyNumberFormat="1" applyFont="1" applyFill="1" applyBorder="1" applyAlignment="1">
      <alignment horizontal="center" vertical="center" wrapText="1"/>
    </xf>
    <xf numFmtId="183" fontId="176" fillId="125" borderId="225" xfId="2" applyNumberFormat="1" applyFont="1" applyFill="1" applyBorder="1" applyAlignment="1">
      <alignment horizontal="center" vertical="center" wrapText="1"/>
    </xf>
    <xf numFmtId="177" fontId="28" fillId="0" borderId="610" xfId="2" applyNumberFormat="1" applyFont="1" applyFill="1" applyBorder="1" applyAlignment="1">
      <alignment horizontal="center" vertical="center" wrapText="1"/>
    </xf>
    <xf numFmtId="187" fontId="28" fillId="0" borderId="121" xfId="2" applyNumberFormat="1" applyFont="1" applyFill="1" applyBorder="1" applyAlignment="1">
      <alignment horizontal="center" vertical="center" wrapText="1"/>
    </xf>
    <xf numFmtId="187" fontId="28" fillId="0" borderId="610" xfId="2" applyNumberFormat="1" applyFont="1" applyFill="1" applyBorder="1" applyAlignment="1">
      <alignment horizontal="center" vertical="center" wrapText="1"/>
    </xf>
    <xf numFmtId="187" fontId="28" fillId="0" borderId="602" xfId="2" applyNumberFormat="1" applyFont="1" applyFill="1" applyBorder="1" applyAlignment="1">
      <alignment horizontal="center" vertical="center" wrapText="1"/>
    </xf>
    <xf numFmtId="187" fontId="176" fillId="125" borderId="225" xfId="2" applyNumberFormat="1" applyFont="1" applyFill="1" applyBorder="1" applyAlignment="1">
      <alignment horizontal="center" vertical="center" wrapText="1"/>
    </xf>
    <xf numFmtId="3" fontId="28" fillId="0" borderId="48" xfId="2" applyNumberFormat="1" applyFont="1" applyFill="1" applyBorder="1" applyAlignment="1">
      <alignment horizontal="center" vertical="center" wrapText="1"/>
    </xf>
    <xf numFmtId="3" fontId="28" fillId="0" borderId="615" xfId="2" applyNumberFormat="1" applyFont="1" applyFill="1" applyBorder="1" applyAlignment="1">
      <alignment horizontal="center" vertical="center" wrapText="1"/>
    </xf>
    <xf numFmtId="3" fontId="28" fillId="117" borderId="615" xfId="2" applyNumberFormat="1" applyFont="1" applyFill="1" applyBorder="1" applyAlignment="1">
      <alignment horizontal="center" vertical="center" wrapText="1"/>
    </xf>
    <xf numFmtId="187" fontId="28" fillId="0" borderId="48" xfId="2" applyNumberFormat="1" applyFont="1" applyFill="1" applyBorder="1" applyAlignment="1">
      <alignment horizontal="center" vertical="center" wrapText="1"/>
    </xf>
    <xf numFmtId="223" fontId="28" fillId="0" borderId="615" xfId="2" applyNumberFormat="1" applyFont="1" applyFill="1" applyBorder="1" applyAlignment="1">
      <alignment horizontal="center" vertical="center" wrapText="1"/>
    </xf>
    <xf numFmtId="187" fontId="28" fillId="0" borderId="607" xfId="2" applyNumberFormat="1" applyFont="1" applyFill="1" applyBorder="1" applyAlignment="1">
      <alignment horizontal="center" vertical="center" wrapText="1"/>
    </xf>
    <xf numFmtId="223" fontId="34" fillId="0" borderId="615" xfId="0" applyNumberFormat="1" applyFont="1" applyBorder="1" applyAlignment="1">
      <alignment horizontal="center" vertical="center"/>
    </xf>
    <xf numFmtId="0" fontId="221" fillId="125" borderId="0" xfId="0" applyFont="1" applyFill="1" applyBorder="1" applyAlignment="1">
      <alignment horizontal="center" vertical="center" wrapText="1"/>
    </xf>
    <xf numFmtId="0" fontId="28" fillId="125" borderId="0" xfId="0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87" fontId="28" fillId="0" borderId="0" xfId="0" applyNumberFormat="1" applyFont="1" applyFill="1" applyBorder="1" applyAlignment="1">
      <alignment horizontal="center" vertical="center"/>
    </xf>
    <xf numFmtId="223" fontId="28" fillId="0" borderId="0" xfId="0" applyNumberFormat="1" applyFont="1" applyFill="1" applyBorder="1" applyAlignment="1">
      <alignment horizontal="center" vertical="center"/>
    </xf>
    <xf numFmtId="187" fontId="171" fillId="0" borderId="0" xfId="2" applyNumberFormat="1" applyFont="1" applyFill="1" applyBorder="1" applyAlignment="1">
      <alignment horizontal="center" vertical="center"/>
    </xf>
    <xf numFmtId="187" fontId="34" fillId="136" borderId="0" xfId="0" applyNumberFormat="1" applyFont="1" applyFill="1" applyBorder="1" applyAlignment="1">
      <alignment horizontal="center" vertical="center"/>
    </xf>
    <xf numFmtId="223" fontId="171" fillId="0" borderId="0" xfId="2" applyNumberFormat="1" applyFont="1" applyFill="1" applyBorder="1" applyAlignment="1">
      <alignment horizontal="center" vertical="center"/>
    </xf>
    <xf numFmtId="223" fontId="232" fillId="0" borderId="0" xfId="0" applyNumberFormat="1" applyFont="1" applyFill="1" applyBorder="1" applyAlignment="1">
      <alignment horizontal="center" vertical="center"/>
    </xf>
    <xf numFmtId="223" fontId="34" fillId="130" borderId="0" xfId="0" applyNumberFormat="1" applyFont="1" applyFill="1" applyBorder="1" applyAlignment="1">
      <alignment horizontal="center" vertical="center"/>
    </xf>
    <xf numFmtId="183" fontId="171" fillId="15" borderId="124" xfId="2" applyNumberFormat="1" applyFont="1" applyFill="1" applyBorder="1" applyAlignment="1">
      <alignment horizontal="center" vertical="center"/>
    </xf>
    <xf numFmtId="183" fontId="171" fillId="15" borderId="592" xfId="2" applyNumberFormat="1" applyFont="1" applyFill="1" applyBorder="1" applyAlignment="1">
      <alignment horizontal="center" vertical="center"/>
    </xf>
    <xf numFmtId="183" fontId="171" fillId="15" borderId="585" xfId="2" applyNumberFormat="1" applyFont="1" applyFill="1" applyBorder="1" applyAlignment="1">
      <alignment horizontal="center" vertical="center"/>
    </xf>
    <xf numFmtId="178" fontId="57" fillId="0" borderId="121" xfId="2" applyNumberFormat="1" applyFont="1" applyFill="1" applyBorder="1" applyAlignment="1">
      <alignment horizontal="center" vertical="center"/>
    </xf>
    <xf numFmtId="178" fontId="57" fillId="0" borderId="610" xfId="2" applyNumberFormat="1" applyFont="1" applyFill="1" applyBorder="1" applyAlignment="1">
      <alignment horizontal="center" vertical="center"/>
    </xf>
    <xf numFmtId="177" fontId="28" fillId="7" borderId="271" xfId="0" applyNumberFormat="1" applyFont="1" applyFill="1" applyBorder="1" applyAlignment="1">
      <alignment horizontal="center" vertical="center"/>
    </xf>
    <xf numFmtId="223" fontId="28" fillId="0" borderId="615" xfId="0" applyNumberFormat="1" applyFont="1" applyBorder="1" applyAlignment="1">
      <alignment horizontal="center" vertical="center"/>
    </xf>
    <xf numFmtId="187" fontId="28" fillId="0" borderId="616" xfId="0" applyNumberFormat="1" applyFont="1" applyBorder="1" applyAlignment="1">
      <alignment horizontal="center" vertical="center"/>
    </xf>
    <xf numFmtId="177" fontId="176" fillId="125" borderId="616" xfId="0" applyNumberFormat="1" applyFont="1" applyFill="1" applyBorder="1" applyAlignment="1">
      <alignment horizontal="center" vertical="center"/>
    </xf>
    <xf numFmtId="187" fontId="28" fillId="0" borderId="391" xfId="0" applyNumberFormat="1" applyFont="1" applyBorder="1" applyAlignment="1">
      <alignment horizontal="center" vertical="center"/>
    </xf>
    <xf numFmtId="187" fontId="28" fillId="0" borderId="59" xfId="0" applyNumberFormat="1" applyFont="1" applyBorder="1" applyAlignment="1">
      <alignment horizontal="center" vertical="center"/>
    </xf>
    <xf numFmtId="187" fontId="28" fillId="0" borderId="624" xfId="0" applyNumberFormat="1" applyFont="1" applyBorder="1" applyAlignment="1">
      <alignment horizontal="center" vertical="center"/>
    </xf>
    <xf numFmtId="177" fontId="28" fillId="0" borderId="616" xfId="0" applyNumberFormat="1" applyFont="1" applyFill="1" applyBorder="1" applyAlignment="1">
      <alignment horizontal="center" vertical="center"/>
    </xf>
    <xf numFmtId="223" fontId="28" fillId="0" borderId="616" xfId="0" applyNumberFormat="1" applyFont="1" applyBorder="1" applyAlignment="1">
      <alignment horizontal="center" vertical="center"/>
    </xf>
    <xf numFmtId="223" fontId="28" fillId="0" borderId="624" xfId="0" applyNumberFormat="1" applyFont="1" applyBorder="1" applyAlignment="1">
      <alignment horizontal="center" vertical="center"/>
    </xf>
    <xf numFmtId="223" fontId="28" fillId="0" borderId="606" xfId="0" applyNumberFormat="1" applyFont="1" applyBorder="1" applyAlignment="1">
      <alignment horizontal="center" vertical="center"/>
    </xf>
    <xf numFmtId="223" fontId="28" fillId="0" borderId="624" xfId="0" applyNumberFormat="1" applyFont="1" applyFill="1" applyBorder="1" applyAlignment="1">
      <alignment horizontal="center" vertical="center"/>
    </xf>
    <xf numFmtId="223" fontId="28" fillId="125" borderId="616" xfId="0" applyNumberFormat="1" applyFont="1" applyFill="1" applyBorder="1" applyAlignment="1">
      <alignment horizontal="center" vertical="center"/>
    </xf>
    <xf numFmtId="223" fontId="28" fillId="0" borderId="609" xfId="0" applyNumberFormat="1" applyFont="1" applyBorder="1" applyAlignment="1">
      <alignment horizontal="center" vertical="center"/>
    </xf>
    <xf numFmtId="223" fontId="28" fillId="125" borderId="609" xfId="0" applyNumberFormat="1" applyFont="1" applyFill="1" applyBorder="1" applyAlignment="1">
      <alignment horizontal="center" vertical="center"/>
    </xf>
    <xf numFmtId="223" fontId="176" fillId="125" borderId="603" xfId="2" applyNumberFormat="1" applyFont="1" applyFill="1" applyBorder="1" applyAlignment="1">
      <alignment horizontal="center" vertical="center" wrapText="1"/>
    </xf>
    <xf numFmtId="223" fontId="28" fillId="0" borderId="609" xfId="2" applyNumberFormat="1" applyFont="1" applyFill="1" applyBorder="1" applyAlignment="1">
      <alignment horizontal="center" vertical="center" wrapText="1"/>
    </xf>
    <xf numFmtId="223" fontId="28" fillId="0" borderId="603" xfId="2" applyNumberFormat="1" applyFont="1" applyFill="1" applyBorder="1" applyAlignment="1">
      <alignment horizontal="center" vertical="center" wrapText="1"/>
    </xf>
    <xf numFmtId="223" fontId="28" fillId="0" borderId="122" xfId="0" applyNumberFormat="1" applyFont="1" applyBorder="1" applyAlignment="1">
      <alignment horizontal="center" vertical="center"/>
    </xf>
    <xf numFmtId="223" fontId="28" fillId="0" borderId="122" xfId="2" applyNumberFormat="1" applyFont="1" applyFill="1" applyBorder="1" applyAlignment="1">
      <alignment horizontal="center" vertical="center" wrapText="1"/>
    </xf>
    <xf numFmtId="223" fontId="176" fillId="125" borderId="5" xfId="2" applyNumberFormat="1" applyFont="1" applyFill="1" applyBorder="1" applyAlignment="1">
      <alignment horizontal="center" vertical="center" wrapText="1"/>
    </xf>
    <xf numFmtId="223" fontId="28" fillId="0" borderId="6" xfId="0" applyNumberFormat="1" applyFont="1" applyBorder="1" applyAlignment="1">
      <alignment horizontal="center" vertical="center"/>
    </xf>
    <xf numFmtId="223" fontId="176" fillId="125" borderId="230" xfId="2" applyNumberFormat="1" applyFont="1" applyFill="1" applyBorder="1" applyAlignment="1">
      <alignment horizontal="center" vertical="center" wrapText="1"/>
    </xf>
    <xf numFmtId="223" fontId="176" fillId="125" borderId="226" xfId="2" applyNumberFormat="1" applyFont="1" applyFill="1" applyBorder="1" applyAlignment="1">
      <alignment horizontal="center" vertical="center" wrapText="1"/>
    </xf>
    <xf numFmtId="177" fontId="0" fillId="0" borderId="110" xfId="0" applyNumberFormat="1" applyFont="1" applyBorder="1" applyAlignment="1">
      <alignment horizontal="center" vertical="center"/>
    </xf>
    <xf numFmtId="177" fontId="0" fillId="0" borderId="48" xfId="0" applyNumberFormat="1" applyFont="1" applyBorder="1" applyAlignment="1">
      <alignment horizontal="center" vertical="center"/>
    </xf>
    <xf numFmtId="223" fontId="28" fillId="0" borderId="48" xfId="0" applyNumberFormat="1" applyFont="1" applyBorder="1" applyAlignment="1">
      <alignment horizontal="center" vertical="center"/>
    </xf>
    <xf numFmtId="223" fontId="28" fillId="0" borderId="23" xfId="0" applyNumberFormat="1" applyFont="1" applyBorder="1" applyAlignment="1">
      <alignment horizontal="center" vertical="center"/>
    </xf>
    <xf numFmtId="223" fontId="28" fillId="0" borderId="37" xfId="0" applyNumberFormat="1" applyFont="1" applyBorder="1" applyAlignment="1">
      <alignment horizontal="center" vertical="center"/>
    </xf>
    <xf numFmtId="223" fontId="34" fillId="0" borderId="37" xfId="2" applyNumberFormat="1" applyFont="1" applyFill="1" applyBorder="1" applyAlignment="1">
      <alignment horizontal="center" vertical="center" wrapText="1"/>
    </xf>
    <xf numFmtId="238" fontId="28" fillId="0" borderId="23" xfId="0" applyNumberFormat="1" applyFont="1" applyBorder="1" applyAlignment="1">
      <alignment horizontal="center" vertical="center"/>
    </xf>
    <xf numFmtId="238" fontId="28" fillId="0" borderId="616" xfId="0" applyNumberFormat="1" applyFont="1" applyBorder="1" applyAlignment="1">
      <alignment horizontal="center" vertical="center"/>
    </xf>
    <xf numFmtId="238" fontId="28" fillId="125" borderId="616" xfId="0" applyNumberFormat="1" applyFont="1" applyFill="1" applyBorder="1" applyAlignment="1">
      <alignment horizontal="center" vertical="center"/>
    </xf>
    <xf numFmtId="223" fontId="176" fillId="125" borderId="605" xfId="0" applyNumberFormat="1" applyFont="1" applyFill="1" applyBorder="1" applyAlignment="1">
      <alignment horizontal="center" vertical="center"/>
    </xf>
    <xf numFmtId="223" fontId="28" fillId="0" borderId="59" xfId="0" applyNumberFormat="1" applyFont="1" applyBorder="1" applyAlignment="1">
      <alignment horizontal="center" vertical="center"/>
    </xf>
    <xf numFmtId="223" fontId="176" fillId="125" borderId="606" xfId="0" applyNumberFormat="1" applyFont="1" applyFill="1" applyBorder="1" applyAlignment="1">
      <alignment horizontal="center" vertical="center"/>
    </xf>
    <xf numFmtId="223" fontId="28" fillId="0" borderId="59" xfId="0" applyNumberFormat="1" applyFont="1" applyFill="1" applyBorder="1" applyAlignment="1">
      <alignment horizontal="center" vertical="center"/>
    </xf>
    <xf numFmtId="223" fontId="28" fillId="0" borderId="606" xfId="0" applyNumberFormat="1" applyFont="1" applyFill="1" applyBorder="1" applyAlignment="1">
      <alignment horizontal="center" vertical="center"/>
    </xf>
    <xf numFmtId="223" fontId="176" fillId="125" borderId="391" xfId="0" applyNumberFormat="1" applyFont="1" applyFill="1" applyBorder="1" applyAlignment="1">
      <alignment horizontal="center" vertical="center"/>
    </xf>
    <xf numFmtId="223" fontId="176" fillId="125" borderId="624" xfId="0" applyNumberFormat="1" applyFont="1" applyFill="1" applyBorder="1" applyAlignment="1">
      <alignment horizontal="center" vertical="center"/>
    </xf>
    <xf numFmtId="223" fontId="28" fillId="0" borderId="626" xfId="0" applyNumberFormat="1" applyFont="1" applyFill="1" applyBorder="1" applyAlignment="1">
      <alignment horizontal="center" vertical="center"/>
    </xf>
    <xf numFmtId="223" fontId="171" fillId="0" borderId="40" xfId="2" applyNumberFormat="1" applyFont="1" applyFill="1" applyBorder="1" applyAlignment="1">
      <alignment horizontal="center" vertical="center"/>
    </xf>
    <xf numFmtId="223" fontId="34" fillId="0" borderId="608" xfId="0" applyNumberFormat="1" applyFont="1" applyBorder="1" applyAlignment="1">
      <alignment horizontal="center" vertical="center"/>
    </xf>
    <xf numFmtId="223" fontId="34" fillId="117" borderId="608" xfId="0" applyNumberFormat="1" applyFont="1" applyFill="1" applyBorder="1" applyAlignment="1">
      <alignment horizontal="center" vertical="center"/>
    </xf>
    <xf numFmtId="223" fontId="34" fillId="0" borderId="608" xfId="0" applyNumberFormat="1" applyFont="1" applyFill="1" applyBorder="1" applyAlignment="1">
      <alignment horizontal="center" vertical="center"/>
    </xf>
    <xf numFmtId="223" fontId="34" fillId="0" borderId="604" xfId="0" applyNumberFormat="1" applyFont="1" applyBorder="1" applyAlignment="1">
      <alignment horizontal="center" vertical="center"/>
    </xf>
    <xf numFmtId="223" fontId="232" fillId="0" borderId="47" xfId="0" applyNumberFormat="1" applyFont="1" applyFill="1" applyBorder="1" applyAlignment="1">
      <alignment horizontal="center" vertical="center"/>
    </xf>
    <xf numFmtId="223" fontId="171" fillId="7" borderId="40" xfId="2" applyNumberFormat="1" applyFont="1" applyFill="1" applyBorder="1" applyAlignment="1">
      <alignment horizontal="center" vertical="center"/>
    </xf>
    <xf numFmtId="223" fontId="232" fillId="0" borderId="465" xfId="0" applyNumberFormat="1" applyFont="1" applyBorder="1" applyAlignment="1">
      <alignment horizontal="center" vertical="center"/>
    </xf>
    <xf numFmtId="223" fontId="232" fillId="0" borderId="608" xfId="0" applyNumberFormat="1" applyFont="1" applyBorder="1" applyAlignment="1">
      <alignment horizontal="center" vertical="center"/>
    </xf>
    <xf numFmtId="223" fontId="232" fillId="0" borderId="595" xfId="0" applyNumberFormat="1" applyFont="1" applyBorder="1" applyAlignment="1">
      <alignment horizontal="center" vertical="center"/>
    </xf>
    <xf numFmtId="223" fontId="232" fillId="130" borderId="228" xfId="0" applyNumberFormat="1" applyFont="1" applyFill="1" applyBorder="1" applyAlignment="1">
      <alignment horizontal="center" vertical="center"/>
    </xf>
    <xf numFmtId="223" fontId="228" fillId="3" borderId="228" xfId="0" applyNumberFormat="1" applyFont="1" applyFill="1" applyBorder="1" applyAlignment="1">
      <alignment horizontal="center" vertical="center"/>
    </xf>
    <xf numFmtId="223" fontId="34" fillId="117" borderId="595" xfId="0" applyNumberFormat="1" applyFont="1" applyFill="1" applyBorder="1" applyAlignment="1">
      <alignment horizontal="center" vertical="center"/>
    </xf>
    <xf numFmtId="223" fontId="34" fillId="117" borderId="517" xfId="0" applyNumberFormat="1" applyFont="1" applyFill="1" applyBorder="1" applyAlignment="1">
      <alignment horizontal="center" vertical="center"/>
    </xf>
    <xf numFmtId="223" fontId="232" fillId="0" borderId="595" xfId="0" applyNumberFormat="1" applyFont="1" applyFill="1" applyBorder="1" applyAlignment="1">
      <alignment horizontal="center" vertical="center"/>
    </xf>
    <xf numFmtId="223" fontId="34" fillId="0" borderId="595" xfId="0" applyNumberFormat="1" applyFont="1" applyFill="1" applyBorder="1" applyAlignment="1">
      <alignment horizontal="center" vertical="center"/>
    </xf>
    <xf numFmtId="223" fontId="228" fillId="3" borderId="162" xfId="0" applyNumberFormat="1" applyFont="1" applyFill="1" applyBorder="1" applyAlignment="1">
      <alignment horizontal="center" vertical="center"/>
    </xf>
    <xf numFmtId="223" fontId="34" fillId="0" borderId="600" xfId="0" applyNumberFormat="1" applyFont="1" applyBorder="1" applyAlignment="1">
      <alignment horizontal="center" vertical="center"/>
    </xf>
    <xf numFmtId="223" fontId="34" fillId="0" borderId="517" xfId="0" applyNumberFormat="1" applyFont="1" applyBorder="1" applyAlignment="1">
      <alignment horizontal="center" vertical="center"/>
    </xf>
    <xf numFmtId="223" fontId="171" fillId="0" borderId="308" xfId="2" applyNumberFormat="1" applyFont="1" applyFill="1" applyBorder="1" applyAlignment="1">
      <alignment horizontal="center" vertical="center"/>
    </xf>
    <xf numFmtId="223" fontId="34" fillId="117" borderId="592" xfId="0" applyNumberFormat="1" applyFont="1" applyFill="1" applyBorder="1" applyAlignment="1">
      <alignment horizontal="center" vertical="center"/>
    </xf>
    <xf numFmtId="223" fontId="34" fillId="0" borderId="592" xfId="0" applyNumberFormat="1" applyFont="1" applyFill="1" applyBorder="1" applyAlignment="1">
      <alignment horizontal="center" vertical="center"/>
    </xf>
    <xf numFmtId="223" fontId="34" fillId="0" borderId="585" xfId="0" applyNumberFormat="1" applyFont="1" applyBorder="1" applyAlignment="1">
      <alignment horizontal="center" vertical="center"/>
    </xf>
    <xf numFmtId="223" fontId="232" fillId="0" borderId="124" xfId="0" applyNumberFormat="1" applyFont="1" applyFill="1" applyBorder="1" applyAlignment="1">
      <alignment horizontal="center" vertical="center"/>
    </xf>
    <xf numFmtId="223" fontId="171" fillId="7" borderId="308" xfId="2" applyNumberFormat="1" applyFont="1" applyFill="1" applyBorder="1" applyAlignment="1">
      <alignment horizontal="center" vertical="center"/>
    </xf>
    <xf numFmtId="223" fontId="232" fillId="0" borderId="597" xfId="0" applyNumberFormat="1" applyFont="1" applyBorder="1" applyAlignment="1">
      <alignment horizontal="center" vertical="center"/>
    </xf>
    <xf numFmtId="223" fontId="232" fillId="0" borderId="592" xfId="0" applyNumberFormat="1" applyFont="1" applyBorder="1" applyAlignment="1">
      <alignment horizontal="center" vertical="center"/>
    </xf>
    <xf numFmtId="223" fontId="232" fillId="130" borderId="289" xfId="0" applyNumberFormat="1" applyFont="1" applyFill="1" applyBorder="1" applyAlignment="1">
      <alignment horizontal="center" vertical="center"/>
    </xf>
    <xf numFmtId="223" fontId="228" fillId="3" borderId="289" xfId="0" applyNumberFormat="1" applyFont="1" applyFill="1" applyBorder="1" applyAlignment="1">
      <alignment horizontal="center" vertical="center"/>
    </xf>
    <xf numFmtId="223" fontId="34" fillId="117" borderId="585" xfId="0" applyNumberFormat="1" applyFont="1" applyFill="1" applyBorder="1" applyAlignment="1">
      <alignment horizontal="center" vertical="center"/>
    </xf>
    <xf numFmtId="223" fontId="232" fillId="0" borderId="592" xfId="0" applyNumberFormat="1" applyFont="1" applyFill="1" applyBorder="1" applyAlignment="1">
      <alignment horizontal="center" vertical="center"/>
    </xf>
    <xf numFmtId="223" fontId="34" fillId="0" borderId="597" xfId="0" applyNumberFormat="1" applyFont="1" applyBorder="1" applyAlignment="1">
      <alignment horizontal="center" vertical="center"/>
    </xf>
    <xf numFmtId="223" fontId="228" fillId="3" borderId="52" xfId="0" applyNumberFormat="1" applyFont="1" applyFill="1" applyBorder="1" applyAlignment="1">
      <alignment horizontal="center" vertical="center"/>
    </xf>
    <xf numFmtId="223" fontId="34" fillId="0" borderId="40" xfId="2" applyNumberFormat="1" applyFont="1" applyFill="1" applyBorder="1" applyAlignment="1">
      <alignment horizontal="center" vertical="center" wrapText="1"/>
    </xf>
    <xf numFmtId="41" fontId="177" fillId="127" borderId="608" xfId="2" applyFont="1" applyFill="1" applyBorder="1" applyAlignment="1">
      <alignment horizontal="center" vertical="center"/>
    </xf>
    <xf numFmtId="3" fontId="28" fillId="0" borderId="610" xfId="0" applyNumberFormat="1" applyFont="1" applyBorder="1" applyAlignment="1">
      <alignment horizontal="center" vertical="center"/>
    </xf>
    <xf numFmtId="0" fontId="227" fillId="127" borderId="608" xfId="0" applyFont="1" applyFill="1" applyBorder="1" applyAlignment="1">
      <alignment horizontal="center" vertical="center"/>
    </xf>
    <xf numFmtId="223" fontId="28" fillId="0" borderId="615" xfId="0" applyNumberFormat="1" applyFont="1" applyFill="1" applyBorder="1" applyAlignment="1">
      <alignment horizontal="center" vertical="center"/>
    </xf>
    <xf numFmtId="223" fontId="28" fillId="0" borderId="592" xfId="0" applyNumberFormat="1" applyFont="1" applyBorder="1" applyAlignment="1">
      <alignment horizontal="center" vertical="center"/>
    </xf>
    <xf numFmtId="223" fontId="34" fillId="136" borderId="287" xfId="0" applyNumberFormat="1" applyFont="1" applyFill="1" applyBorder="1" applyAlignment="1">
      <alignment horizontal="center" vertical="center"/>
    </xf>
    <xf numFmtId="223" fontId="232" fillId="130" borderId="287" xfId="0" applyNumberFormat="1" applyFont="1" applyFill="1" applyBorder="1" applyAlignment="1">
      <alignment horizontal="center" vertical="center"/>
    </xf>
    <xf numFmtId="223" fontId="176" fillId="125" borderId="289" xfId="0" applyNumberFormat="1" applyFont="1" applyFill="1" applyBorder="1" applyAlignment="1">
      <alignment horizontal="center" vertical="center"/>
    </xf>
    <xf numFmtId="223" fontId="171" fillId="0" borderId="64" xfId="2" applyNumberFormat="1" applyFont="1" applyFill="1" applyBorder="1" applyAlignment="1">
      <alignment horizontal="center" vertical="center"/>
    </xf>
    <xf numFmtId="223" fontId="171" fillId="0" borderId="406" xfId="2" applyNumberFormat="1" applyFont="1" applyFill="1" applyBorder="1" applyAlignment="1">
      <alignment horizontal="center" vertical="center"/>
    </xf>
    <xf numFmtId="223" fontId="34" fillId="0" borderId="599" xfId="0" applyNumberFormat="1" applyFont="1" applyBorder="1" applyAlignment="1">
      <alignment horizontal="center" vertical="center"/>
    </xf>
    <xf numFmtId="223" fontId="34" fillId="117" borderId="599" xfId="0" applyNumberFormat="1" applyFont="1" applyFill="1" applyBorder="1" applyAlignment="1">
      <alignment horizontal="center" vertical="center"/>
    </xf>
    <xf numFmtId="223" fontId="34" fillId="0" borderId="599" xfId="0" applyNumberFormat="1" applyFont="1" applyFill="1" applyBorder="1" applyAlignment="1">
      <alignment horizontal="center" vertical="center"/>
    </xf>
    <xf numFmtId="223" fontId="232" fillId="0" borderId="64" xfId="0" applyNumberFormat="1" applyFont="1" applyFill="1" applyBorder="1" applyAlignment="1">
      <alignment horizontal="center" vertical="center"/>
    </xf>
    <xf numFmtId="223" fontId="171" fillId="7" borderId="406" xfId="2" applyNumberFormat="1" applyFont="1" applyFill="1" applyBorder="1" applyAlignment="1">
      <alignment horizontal="center" vertical="center"/>
    </xf>
    <xf numFmtId="223" fontId="232" fillId="0" borderId="601" xfId="0" applyNumberFormat="1" applyFont="1" applyBorder="1" applyAlignment="1">
      <alignment horizontal="center" vertical="center"/>
    </xf>
    <xf numFmtId="223" fontId="232" fillId="0" borderId="599" xfId="0" applyNumberFormat="1" applyFont="1" applyBorder="1" applyAlignment="1">
      <alignment horizontal="center" vertical="center"/>
    </xf>
    <xf numFmtId="223" fontId="232" fillId="0" borderId="406" xfId="0" applyNumberFormat="1" applyFont="1" applyFill="1" applyBorder="1" applyAlignment="1">
      <alignment horizontal="center" vertical="center"/>
    </xf>
    <xf numFmtId="223" fontId="232" fillId="0" borderId="599" xfId="0" applyNumberFormat="1" applyFont="1" applyFill="1" applyBorder="1" applyAlignment="1">
      <alignment horizontal="center" vertical="center"/>
    </xf>
    <xf numFmtId="223" fontId="232" fillId="0" borderId="601" xfId="0" applyNumberFormat="1" applyFont="1" applyFill="1" applyBorder="1" applyAlignment="1">
      <alignment horizontal="center" vertical="center"/>
    </xf>
    <xf numFmtId="223" fontId="34" fillId="130" borderId="287" xfId="0" applyNumberFormat="1" applyFont="1" applyFill="1" applyBorder="1" applyAlignment="1">
      <alignment horizontal="center" vertical="center"/>
    </xf>
    <xf numFmtId="223" fontId="34" fillId="0" borderId="601" xfId="0" applyNumberFormat="1" applyFont="1" applyBorder="1" applyAlignment="1">
      <alignment horizontal="center" vertical="center"/>
    </xf>
    <xf numFmtId="178" fontId="27" fillId="7" borderId="0" xfId="0" applyNumberFormat="1" applyFont="1" applyFill="1" applyBorder="1" applyAlignment="1">
      <alignment horizontal="center" vertical="center"/>
    </xf>
    <xf numFmtId="1" fontId="0" fillId="0" borderId="616" xfId="0" applyNumberFormat="1" applyBorder="1" applyAlignment="1">
      <alignment horizontal="center" vertical="center"/>
    </xf>
    <xf numFmtId="178" fontId="28" fillId="0" borderId="609" xfId="0" applyNumberFormat="1" applyFont="1" applyBorder="1" applyAlignment="1">
      <alignment horizontal="center" vertical="center"/>
    </xf>
    <xf numFmtId="176" fontId="0" fillId="0" borderId="413" xfId="0" applyNumberFormat="1" applyBorder="1" applyAlignment="1">
      <alignment horizontal="center" vertical="center"/>
    </xf>
    <xf numFmtId="177" fontId="243" fillId="0" borderId="6" xfId="0" applyNumberFormat="1" applyFont="1" applyBorder="1" applyAlignment="1">
      <alignment horizontal="center" vertical="center"/>
    </xf>
    <xf numFmtId="177" fontId="212" fillId="0" borderId="6" xfId="0" applyNumberFormat="1" applyFont="1" applyBorder="1" applyAlignment="1">
      <alignment horizontal="center" vertical="center"/>
    </xf>
    <xf numFmtId="183" fontId="28" fillId="7" borderId="615" xfId="2" applyNumberFormat="1" applyFont="1" applyFill="1" applyBorder="1" applyAlignment="1">
      <alignment horizontal="center" vertical="center"/>
    </xf>
    <xf numFmtId="183" fontId="28" fillId="0" borderId="608" xfId="2" applyNumberFormat="1" applyFont="1" applyFill="1" applyBorder="1" applyAlignment="1">
      <alignment horizontal="center" vertical="center"/>
    </xf>
    <xf numFmtId="183" fontId="28" fillId="7" borderId="616" xfId="2" applyNumberFormat="1" applyFont="1" applyFill="1" applyBorder="1" applyAlignment="1">
      <alignment horizontal="center" vertical="center"/>
    </xf>
    <xf numFmtId="183" fontId="28" fillId="0" borderId="615" xfId="2" applyNumberFormat="1" applyFont="1" applyFill="1" applyBorder="1" applyAlignment="1">
      <alignment horizontal="center" vertical="center"/>
    </xf>
    <xf numFmtId="183" fontId="176" fillId="125" borderId="607" xfId="2" applyNumberFormat="1" applyFont="1" applyFill="1" applyBorder="1" applyAlignment="1">
      <alignment horizontal="center" vertical="center"/>
    </xf>
    <xf numFmtId="0" fontId="176" fillId="125" borderId="397" xfId="0" quotePrefix="1" applyFont="1" applyFill="1" applyBorder="1" applyAlignment="1">
      <alignment horizontal="center" vertical="center"/>
    </xf>
    <xf numFmtId="183" fontId="176" fillId="125" borderId="634" xfId="2" applyNumberFormat="1" applyFont="1" applyFill="1" applyBorder="1" applyAlignment="1">
      <alignment horizontal="center" vertical="center"/>
    </xf>
    <xf numFmtId="183" fontId="176" fillId="125" borderId="636" xfId="2" applyNumberFormat="1" applyFont="1" applyFill="1" applyBorder="1" applyAlignment="1">
      <alignment horizontal="center" vertical="center"/>
    </xf>
    <xf numFmtId="4" fontId="28" fillId="7" borderId="471" xfId="2" applyNumberFormat="1" applyFont="1" applyFill="1" applyBorder="1" applyAlignment="1">
      <alignment horizontal="center" vertical="center"/>
    </xf>
    <xf numFmtId="183" fontId="176" fillId="125" borderId="628" xfId="2" applyNumberFormat="1" applyFont="1" applyFill="1" applyBorder="1" applyAlignment="1">
      <alignment horizontal="center" vertical="center"/>
    </xf>
    <xf numFmtId="227" fontId="28" fillId="117" borderId="467" xfId="2" applyNumberFormat="1" applyFont="1" applyFill="1" applyBorder="1" applyAlignment="1">
      <alignment horizontal="center" vertical="center"/>
    </xf>
    <xf numFmtId="178" fontId="28" fillId="117" borderId="472" xfId="2" applyNumberFormat="1" applyFont="1" applyFill="1" applyBorder="1" applyAlignment="1">
      <alignment horizontal="center" vertical="center"/>
    </xf>
    <xf numFmtId="178" fontId="28" fillId="117" borderId="609" xfId="2" applyNumberFormat="1" applyFont="1" applyFill="1" applyBorder="1" applyAlignment="1">
      <alignment horizontal="center" vertical="center"/>
    </xf>
    <xf numFmtId="227" fontId="28" fillId="117" borderId="570" xfId="2" applyNumberFormat="1" applyFont="1" applyFill="1" applyBorder="1" applyAlignment="1">
      <alignment horizontal="center" vertical="center"/>
    </xf>
    <xf numFmtId="38" fontId="28" fillId="117" borderId="570" xfId="2" applyNumberFormat="1" applyFont="1" applyFill="1" applyBorder="1" applyAlignment="1">
      <alignment horizontal="center" vertical="center"/>
    </xf>
    <xf numFmtId="3" fontId="57" fillId="7" borderId="608" xfId="2" applyNumberFormat="1" applyFont="1" applyFill="1" applyBorder="1" applyAlignment="1">
      <alignment horizontal="center" vertical="center"/>
    </xf>
    <xf numFmtId="183" fontId="28" fillId="0" borderId="604" xfId="2" applyNumberFormat="1" applyFont="1" applyFill="1" applyBorder="1" applyAlignment="1">
      <alignment horizontal="center" vertical="center"/>
    </xf>
    <xf numFmtId="3" fontId="176" fillId="125" borderId="608" xfId="2" applyNumberFormat="1" applyFont="1" applyFill="1" applyBorder="1" applyAlignment="1">
      <alignment horizontal="center" vertical="center" wrapText="1"/>
    </xf>
    <xf numFmtId="227" fontId="28" fillId="7" borderId="615" xfId="2" applyNumberFormat="1" applyFont="1" applyFill="1" applyBorder="1" applyAlignment="1">
      <alignment horizontal="center" vertical="center"/>
    </xf>
    <xf numFmtId="183" fontId="28" fillId="0" borderId="607" xfId="2" applyNumberFormat="1" applyFont="1" applyFill="1" applyBorder="1" applyAlignment="1">
      <alignment horizontal="center" vertical="center"/>
    </xf>
    <xf numFmtId="3" fontId="176" fillId="125" borderId="288" xfId="2" applyNumberFormat="1" applyFont="1" applyFill="1" applyBorder="1" applyAlignment="1">
      <alignment horizontal="center" vertical="center" wrapText="1"/>
    </xf>
    <xf numFmtId="3" fontId="28" fillId="7" borderId="615" xfId="2" applyNumberFormat="1" applyFont="1" applyFill="1" applyBorder="1" applyAlignment="1">
      <alignment horizontal="center" vertical="center"/>
    </xf>
    <xf numFmtId="2" fontId="34" fillId="8" borderId="633" xfId="0" quotePrefix="1" applyNumberFormat="1" applyFont="1" applyFill="1" applyBorder="1" applyAlignment="1">
      <alignment horizontal="center" vertical="center"/>
    </xf>
    <xf numFmtId="183" fontId="28" fillId="0" borderId="636" xfId="2" applyNumberFormat="1" applyFont="1" applyFill="1" applyBorder="1" applyAlignment="1">
      <alignment horizontal="center" vertical="center"/>
    </xf>
    <xf numFmtId="3" fontId="176" fillId="125" borderId="637" xfId="2" applyNumberFormat="1" applyFont="1" applyFill="1" applyBorder="1" applyAlignment="1">
      <alignment horizontal="center" vertical="center" wrapText="1"/>
    </xf>
    <xf numFmtId="3" fontId="176" fillId="125" borderId="471" xfId="2" applyNumberFormat="1" applyFont="1" applyFill="1" applyBorder="1" applyAlignment="1">
      <alignment horizontal="center" vertical="center" wrapText="1"/>
    </xf>
    <xf numFmtId="3" fontId="176" fillId="125" borderId="634" xfId="2" applyNumberFormat="1" applyFont="1" applyFill="1" applyBorder="1" applyAlignment="1">
      <alignment horizontal="center" vertical="center" wrapText="1"/>
    </xf>
    <xf numFmtId="3" fontId="176" fillId="125" borderId="638" xfId="2" applyNumberFormat="1" applyFont="1" applyFill="1" applyBorder="1" applyAlignment="1">
      <alignment horizontal="center" vertical="center" wrapText="1"/>
    </xf>
    <xf numFmtId="183" fontId="57" fillId="7" borderId="610" xfId="2" applyNumberFormat="1" applyFont="1" applyFill="1" applyBorder="1" applyAlignment="1">
      <alignment horizontal="center" vertical="center"/>
    </xf>
    <xf numFmtId="9" fontId="176" fillId="125" borderId="226" xfId="2" applyNumberFormat="1" applyFont="1" applyFill="1" applyBorder="1" applyAlignment="1">
      <alignment horizontal="center" vertical="center"/>
    </xf>
    <xf numFmtId="0" fontId="176" fillId="125" borderId="512" xfId="0" quotePrefix="1" applyFont="1" applyFill="1" applyBorder="1" applyAlignment="1">
      <alignment horizontal="center" vertical="center"/>
    </xf>
    <xf numFmtId="183" fontId="28" fillId="7" borderId="615" xfId="2" applyNumberFormat="1" applyFont="1" applyFill="1" applyBorder="1" applyAlignment="1">
      <alignment horizontal="center" vertical="center" wrapText="1"/>
    </xf>
    <xf numFmtId="183" fontId="176" fillId="125" borderId="607" xfId="2" applyNumberFormat="1" applyFont="1" applyFill="1" applyBorder="1" applyAlignment="1">
      <alignment horizontal="center" vertical="center" wrapText="1"/>
    </xf>
    <xf numFmtId="183" fontId="57" fillId="7" borderId="616" xfId="2" applyNumberFormat="1" applyFont="1" applyFill="1" applyBorder="1" applyAlignment="1">
      <alignment horizontal="center" vertical="center"/>
    </xf>
    <xf numFmtId="177" fontId="28" fillId="7" borderId="615" xfId="0" applyNumberFormat="1" applyFont="1" applyFill="1" applyBorder="1" applyAlignment="1">
      <alignment horizontal="center" vertical="center"/>
    </xf>
    <xf numFmtId="177" fontId="28" fillId="7" borderId="607" xfId="0" applyNumberFormat="1" applyFont="1" applyFill="1" applyBorder="1" applyAlignment="1">
      <alignment horizontal="center" vertical="center"/>
    </xf>
    <xf numFmtId="183" fontId="176" fillId="125" borderId="48" xfId="2" applyNumberFormat="1" applyFont="1" applyFill="1" applyBorder="1" applyAlignment="1">
      <alignment horizontal="center" vertical="center"/>
    </xf>
    <xf numFmtId="0" fontId="176" fillId="125" borderId="639" xfId="0" quotePrefix="1" applyFont="1" applyFill="1" applyBorder="1" applyAlignment="1">
      <alignment horizontal="center" vertical="center"/>
    </xf>
    <xf numFmtId="183" fontId="176" fillId="125" borderId="636" xfId="2" applyNumberFormat="1" applyFont="1" applyFill="1" applyBorder="1" applyAlignment="1">
      <alignment horizontal="center" vertical="center" wrapText="1"/>
    </xf>
    <xf numFmtId="0" fontId="176" fillId="125" borderId="616" xfId="0" applyFont="1" applyFill="1" applyBorder="1" applyAlignment="1">
      <alignment horizontal="center" vertical="center" wrapText="1"/>
    </xf>
    <xf numFmtId="0" fontId="165" fillId="0" borderId="616" xfId="0" applyFont="1" applyBorder="1" applyAlignment="1">
      <alignment horizontal="center" vertical="center" wrapText="1"/>
    </xf>
    <xf numFmtId="0" fontId="176" fillId="125" borderId="616" xfId="0" applyFont="1" applyFill="1" applyBorder="1" applyAlignment="1">
      <alignment horizontal="center" vertical="center"/>
    </xf>
    <xf numFmtId="228" fontId="28" fillId="0" borderId="608" xfId="0" applyNumberFormat="1" applyFont="1" applyBorder="1" applyAlignment="1">
      <alignment horizontal="center" vertical="center" wrapText="1"/>
    </xf>
    <xf numFmtId="10" fontId="28" fillId="0" borderId="608" xfId="0" applyNumberFormat="1" applyFont="1" applyBorder="1" applyAlignment="1">
      <alignment horizontal="center" vertical="center" wrapText="1"/>
    </xf>
    <xf numFmtId="183" fontId="28" fillId="0" borderId="608" xfId="0" applyNumberFormat="1" applyFont="1" applyBorder="1" applyAlignment="1">
      <alignment horizontal="center" vertical="center" wrapText="1"/>
    </xf>
    <xf numFmtId="228" fontId="176" fillId="125" borderId="477" xfId="0" applyNumberFormat="1" applyFont="1" applyFill="1" applyBorder="1" applyAlignment="1">
      <alignment horizontal="center" vertical="center"/>
    </xf>
    <xf numFmtId="230" fontId="165" fillId="0" borderId="40" xfId="0" applyNumberFormat="1" applyFont="1" applyBorder="1" applyAlignment="1">
      <alignment horizontal="center" vertical="center" wrapText="1"/>
    </xf>
    <xf numFmtId="230" fontId="165" fillId="0" borderId="608" xfId="0" applyNumberFormat="1" applyFont="1" applyBorder="1" applyAlignment="1">
      <alignment horizontal="center" vertical="center" wrapText="1"/>
    </xf>
    <xf numFmtId="230" fontId="176" fillId="125" borderId="228" xfId="0" applyNumberFormat="1" applyFont="1" applyFill="1" applyBorder="1" applyAlignment="1">
      <alignment horizontal="center" vertical="center"/>
    </xf>
    <xf numFmtId="185" fontId="176" fillId="125" borderId="477" xfId="0" applyNumberFormat="1" applyFont="1" applyFill="1" applyBorder="1" applyAlignment="1">
      <alignment horizontal="center" vertical="center"/>
    </xf>
    <xf numFmtId="228" fontId="165" fillId="0" borderId="608" xfId="0" applyNumberFormat="1" applyFont="1" applyBorder="1" applyAlignment="1">
      <alignment horizontal="center" vertical="center" wrapText="1"/>
    </xf>
    <xf numFmtId="230" fontId="34" fillId="6" borderId="477" xfId="0" applyNumberFormat="1" applyFont="1" applyFill="1" applyBorder="1" applyAlignment="1">
      <alignment horizontal="center" vertical="center"/>
    </xf>
    <xf numFmtId="228" fontId="165" fillId="0" borderId="604" xfId="0" applyNumberFormat="1" applyFont="1" applyBorder="1" applyAlignment="1">
      <alignment horizontal="center" vertical="center" wrapText="1"/>
    </xf>
    <xf numFmtId="0" fontId="176" fillId="125" borderId="615" xfId="0" applyFont="1" applyFill="1" applyBorder="1" applyAlignment="1">
      <alignment horizontal="center" vertical="center" wrapText="1"/>
    </xf>
    <xf numFmtId="10" fontId="165" fillId="0" borderId="615" xfId="0" applyNumberFormat="1" applyFont="1" applyBorder="1" applyAlignment="1">
      <alignment horizontal="center" vertical="center" wrapText="1"/>
    </xf>
    <xf numFmtId="183" fontId="165" fillId="0" borderId="615" xfId="0" applyNumberFormat="1" applyFont="1" applyBorder="1" applyAlignment="1">
      <alignment horizontal="center" vertical="center" wrapText="1"/>
    </xf>
    <xf numFmtId="0" fontId="165" fillId="0" borderId="615" xfId="0" applyFont="1" applyBorder="1" applyAlignment="1">
      <alignment horizontal="center" vertical="center" wrapText="1"/>
    </xf>
    <xf numFmtId="0" fontId="28" fillId="0" borderId="616" xfId="0" applyFont="1" applyBorder="1" applyAlignment="1">
      <alignment horizontal="center" vertical="center" wrapText="1"/>
    </xf>
    <xf numFmtId="0" fontId="178" fillId="15" borderId="616" xfId="0" applyFont="1" applyFill="1" applyBorder="1" applyAlignment="1">
      <alignment horizontal="center" vertical="center" wrapText="1"/>
    </xf>
    <xf numFmtId="0" fontId="34" fillId="6" borderId="616" xfId="0" applyFont="1" applyFill="1" applyBorder="1" applyAlignment="1">
      <alignment horizontal="center" vertical="center"/>
    </xf>
    <xf numFmtId="0" fontId="176" fillId="125" borderId="627" xfId="0" applyFont="1" applyFill="1" applyBorder="1" applyAlignment="1">
      <alignment horizontal="center" vertical="center" wrapText="1"/>
    </xf>
    <xf numFmtId="10" fontId="165" fillId="0" borderId="471" xfId="0" applyNumberFormat="1" applyFont="1" applyBorder="1" applyAlignment="1">
      <alignment horizontal="center" vertical="center" wrapText="1"/>
    </xf>
    <xf numFmtId="183" fontId="165" fillId="0" borderId="471" xfId="0" applyNumberFormat="1" applyFont="1" applyBorder="1" applyAlignment="1">
      <alignment horizontal="center" vertical="center" wrapText="1"/>
    </xf>
    <xf numFmtId="0" fontId="165" fillId="0" borderId="471" xfId="0" applyFont="1" applyBorder="1" applyAlignment="1">
      <alignment horizontal="center" vertical="center" wrapText="1"/>
    </xf>
    <xf numFmtId="0" fontId="176" fillId="125" borderId="628" xfId="0" applyFont="1" applyFill="1" applyBorder="1" applyAlignment="1">
      <alignment horizontal="center" vertical="center"/>
    </xf>
    <xf numFmtId="183" fontId="176" fillId="125" borderId="628" xfId="0" applyNumberFormat="1" applyFont="1" applyFill="1" applyBorder="1" applyAlignment="1">
      <alignment horizontal="center" vertical="center"/>
    </xf>
    <xf numFmtId="0" fontId="28" fillId="0" borderId="471" xfId="0" applyFont="1" applyBorder="1" applyAlignment="1">
      <alignment horizontal="center" vertical="center" wrapText="1"/>
    </xf>
    <xf numFmtId="238" fontId="28" fillId="125" borderId="0" xfId="0" applyNumberFormat="1" applyFont="1" applyFill="1" applyBorder="1" applyAlignment="1">
      <alignment horizontal="center" vertical="center"/>
    </xf>
    <xf numFmtId="223" fontId="34" fillId="136" borderId="0" xfId="0" applyNumberFormat="1" applyFont="1" applyFill="1" applyBorder="1" applyAlignment="1">
      <alignment horizontal="center" vertical="center"/>
    </xf>
    <xf numFmtId="223" fontId="232" fillId="0" borderId="0" xfId="0" applyNumberFormat="1" applyFont="1" applyBorder="1" applyAlignment="1">
      <alignment horizontal="center" vertical="center"/>
    </xf>
    <xf numFmtId="223" fontId="228" fillId="3" borderId="0" xfId="0" applyNumberFormat="1" applyFont="1" applyFill="1" applyBorder="1" applyAlignment="1">
      <alignment horizontal="center" vertical="center"/>
    </xf>
    <xf numFmtId="223" fontId="0" fillId="0" borderId="6" xfId="0" applyNumberFormat="1" applyFont="1" applyBorder="1" applyAlignment="1">
      <alignment horizontal="center" vertical="center"/>
    </xf>
    <xf numFmtId="223" fontId="221" fillId="125" borderId="609" xfId="0" applyNumberFormat="1" applyFont="1" applyFill="1" applyBorder="1" applyAlignment="1">
      <alignment horizontal="center" vertical="center"/>
    </xf>
    <xf numFmtId="223" fontId="221" fillId="125" borderId="603" xfId="0" applyNumberFormat="1" applyFont="1" applyFill="1" applyBorder="1" applyAlignment="1">
      <alignment horizontal="center" vertical="center"/>
    </xf>
    <xf numFmtId="223" fontId="0" fillId="0" borderId="226" xfId="0" applyNumberFormat="1" applyFont="1" applyBorder="1" applyAlignment="1">
      <alignment horizontal="center" vertical="center"/>
    </xf>
    <xf numFmtId="223" fontId="0" fillId="0" borderId="122" xfId="0" applyNumberFormat="1" applyFont="1" applyBorder="1" applyAlignment="1">
      <alignment horizontal="center" vertical="center"/>
    </xf>
    <xf numFmtId="223" fontId="0" fillId="0" borderId="609" xfId="0" applyNumberFormat="1" applyFont="1" applyBorder="1" applyAlignment="1">
      <alignment horizontal="center" vertical="center"/>
    </xf>
    <xf numFmtId="223" fontId="176" fillId="125" borderId="609" xfId="2" applyNumberFormat="1" applyFont="1" applyFill="1" applyBorder="1" applyAlignment="1">
      <alignment horizontal="center" vertical="center" wrapText="1"/>
    </xf>
    <xf numFmtId="223" fontId="0" fillId="0" borderId="609" xfId="0" applyNumberFormat="1" applyFont="1" applyFill="1" applyBorder="1" applyAlignment="1">
      <alignment horizontal="center" vertical="center"/>
    </xf>
    <xf numFmtId="223" fontId="0" fillId="117" borderId="609" xfId="0" applyNumberFormat="1" applyFont="1" applyFill="1" applyBorder="1" applyAlignment="1">
      <alignment horizontal="center" vertical="center"/>
    </xf>
    <xf numFmtId="223" fontId="176" fillId="125" borderId="122" xfId="0" applyNumberFormat="1" applyFont="1" applyFill="1" applyBorder="1" applyAlignment="1">
      <alignment horizontal="center" vertical="center"/>
    </xf>
    <xf numFmtId="223" fontId="176" fillId="125" borderId="6" xfId="2" applyNumberFormat="1" applyFont="1" applyFill="1" applyBorder="1" applyAlignment="1">
      <alignment horizontal="center" vertical="center" wrapText="1"/>
    </xf>
    <xf numFmtId="223" fontId="28" fillId="117" borderId="609" xfId="2" applyNumberFormat="1" applyFont="1" applyFill="1" applyBorder="1" applyAlignment="1">
      <alignment horizontal="center" vertical="center" wrapText="1"/>
    </xf>
    <xf numFmtId="223" fontId="0" fillId="125" borderId="6" xfId="0" applyNumberFormat="1" applyFont="1" applyFill="1" applyBorder="1" applyAlignment="1">
      <alignment horizontal="center" vertical="center"/>
    </xf>
    <xf numFmtId="223" fontId="0" fillId="125" borderId="609" xfId="0" applyNumberFormat="1" applyFont="1" applyFill="1" applyBorder="1" applyAlignment="1">
      <alignment horizontal="center" vertical="center"/>
    </xf>
    <xf numFmtId="223" fontId="176" fillId="125" borderId="616" xfId="0" applyNumberFormat="1" applyFont="1" applyFill="1" applyBorder="1" applyAlignment="1">
      <alignment horizontal="center" vertical="center"/>
    </xf>
    <xf numFmtId="223" fontId="28" fillId="125" borderId="0" xfId="0" applyNumberFormat="1" applyFont="1" applyFill="1" applyBorder="1" applyAlignment="1">
      <alignment horizontal="center" vertical="center"/>
    </xf>
    <xf numFmtId="223" fontId="28" fillId="0" borderId="391" xfId="0" applyNumberFormat="1" applyFont="1" applyBorder="1" applyAlignment="1">
      <alignment horizontal="center" vertical="center"/>
    </xf>
    <xf numFmtId="223" fontId="28" fillId="0" borderId="616" xfId="0" applyNumberFormat="1" applyFont="1" applyFill="1" applyBorder="1" applyAlignment="1">
      <alignment horizontal="center" vertical="center"/>
    </xf>
    <xf numFmtId="179" fontId="171" fillId="15" borderId="599" xfId="2" applyNumberFormat="1" applyFont="1" applyFill="1" applyBorder="1" applyAlignment="1">
      <alignment horizontal="center" vertical="center"/>
    </xf>
    <xf numFmtId="179" fontId="171" fillId="15" borderId="521" xfId="2" applyNumberFormat="1" applyFont="1" applyFill="1" applyBorder="1" applyAlignment="1">
      <alignment horizontal="center" vertical="center"/>
    </xf>
    <xf numFmtId="179" fontId="57" fillId="0" borderId="121" xfId="2" applyNumberFormat="1" applyFont="1" applyFill="1" applyBorder="1" applyAlignment="1">
      <alignment horizontal="center" vertical="center"/>
    </xf>
    <xf numFmtId="179" fontId="57" fillId="0" borderId="610" xfId="2" applyNumberFormat="1" applyFont="1" applyFill="1" applyBorder="1" applyAlignment="1">
      <alignment horizontal="center" vertical="center"/>
    </xf>
    <xf numFmtId="187" fontId="238" fillId="4" borderId="228" xfId="0" applyNumberFormat="1" applyFont="1" applyFill="1" applyBorder="1" applyAlignment="1">
      <alignment horizontal="center" vertical="center"/>
    </xf>
    <xf numFmtId="179" fontId="232" fillId="117" borderId="604" xfId="0" applyNumberFormat="1" applyFont="1" applyFill="1" applyBorder="1" applyAlignment="1">
      <alignment horizontal="center" vertical="center"/>
    </xf>
    <xf numFmtId="0" fontId="221" fillId="125" borderId="288" xfId="0" applyFont="1" applyFill="1" applyBorder="1" applyAlignment="1">
      <alignment horizontal="center" vertical="center" wrapText="1"/>
    </xf>
    <xf numFmtId="0" fontId="221" fillId="125" borderId="226" xfId="0" applyFont="1" applyFill="1" applyBorder="1" applyAlignment="1">
      <alignment horizontal="center" vertical="center" wrapText="1"/>
    </xf>
    <xf numFmtId="187" fontId="34" fillId="117" borderId="608" xfId="0" applyNumberFormat="1" applyFont="1" applyFill="1" applyBorder="1" applyAlignment="1">
      <alignment horizontal="center" vertical="center"/>
    </xf>
    <xf numFmtId="187" fontId="34" fillId="0" borderId="607" xfId="0" applyNumberFormat="1" applyFont="1" applyFill="1" applyBorder="1" applyAlignment="1">
      <alignment horizontal="center" vertical="center"/>
    </xf>
    <xf numFmtId="176" fontId="232" fillId="0" borderId="47" xfId="0" applyNumberFormat="1" applyFont="1" applyFill="1" applyBorder="1" applyAlignment="1">
      <alignment horizontal="center" vertical="center"/>
    </xf>
    <xf numFmtId="183" fontId="171" fillId="0" borderId="40" xfId="2" applyNumberFormat="1" applyFont="1" applyFill="1" applyBorder="1" applyAlignment="1">
      <alignment horizontal="center" vertical="center"/>
    </xf>
    <xf numFmtId="179" fontId="232" fillId="0" borderId="604" xfId="0" applyNumberFormat="1" applyFont="1" applyFill="1" applyBorder="1" applyAlignment="1">
      <alignment horizontal="center" vertical="center"/>
    </xf>
    <xf numFmtId="177" fontId="232" fillId="0" borderId="608" xfId="0" applyNumberFormat="1" applyFont="1" applyFill="1" applyBorder="1" applyAlignment="1">
      <alignment horizontal="center" vertical="center"/>
    </xf>
    <xf numFmtId="176" fontId="232" fillId="0" borderId="330" xfId="0" applyNumberFormat="1" applyFont="1" applyFill="1" applyBorder="1" applyAlignment="1">
      <alignment horizontal="center" vertical="center"/>
    </xf>
    <xf numFmtId="179" fontId="232" fillId="0" borderId="608" xfId="0" applyNumberFormat="1" applyFont="1" applyFill="1" applyBorder="1" applyAlignment="1">
      <alignment horizontal="center" vertical="center"/>
    </xf>
    <xf numFmtId="187" fontId="232" fillId="0" borderId="604" xfId="0" applyNumberFormat="1" applyFont="1" applyFill="1" applyBorder="1" applyAlignment="1">
      <alignment horizontal="center" vertical="center"/>
    </xf>
    <xf numFmtId="187" fontId="232" fillId="0" borderId="603" xfId="0" applyNumberFormat="1" applyFont="1" applyFill="1" applyBorder="1" applyAlignment="1">
      <alignment horizontal="center" vertical="center"/>
    </xf>
    <xf numFmtId="187" fontId="34" fillId="0" borderId="608" xfId="0" applyNumberFormat="1" applyFont="1" applyFill="1" applyBorder="1" applyAlignment="1">
      <alignment horizontal="center" vertical="center"/>
    </xf>
    <xf numFmtId="176" fontId="232" fillId="0" borderId="40" xfId="0" applyNumberFormat="1" applyFont="1" applyFill="1" applyBorder="1" applyAlignment="1">
      <alignment horizontal="center" vertical="center"/>
    </xf>
    <xf numFmtId="183" fontId="34" fillId="0" borderId="608" xfId="0" applyNumberFormat="1" applyFont="1" applyFill="1" applyBorder="1" applyAlignment="1">
      <alignment horizontal="center" vertical="center"/>
    </xf>
    <xf numFmtId="183" fontId="34" fillId="0" borderId="604" xfId="0" applyNumberFormat="1" applyFont="1" applyFill="1" applyBorder="1" applyAlignment="1">
      <alignment horizontal="center" vertical="center"/>
    </xf>
    <xf numFmtId="3" fontId="34" fillId="0" borderId="608" xfId="0" applyNumberFormat="1" applyFont="1" applyFill="1" applyBorder="1" applyAlignment="1">
      <alignment horizontal="center" vertical="center"/>
    </xf>
    <xf numFmtId="183" fontId="232" fillId="0" borderId="615" xfId="0" applyNumberFormat="1" applyFont="1" applyFill="1" applyBorder="1" applyAlignment="1">
      <alignment horizontal="center" vertical="center"/>
    </xf>
    <xf numFmtId="177" fontId="232" fillId="0" borderId="604" xfId="0" applyNumberFormat="1" applyFont="1" applyFill="1" applyBorder="1" applyAlignment="1">
      <alignment horizontal="center" vertical="center"/>
    </xf>
    <xf numFmtId="3" fontId="34" fillId="0" borderId="615" xfId="0" applyNumberFormat="1" applyFont="1" applyFill="1" applyBorder="1" applyAlignment="1">
      <alignment horizontal="center" vertical="center"/>
    </xf>
    <xf numFmtId="183" fontId="232" fillId="0" borderId="40" xfId="0" applyNumberFormat="1" applyFont="1" applyFill="1" applyBorder="1" applyAlignment="1">
      <alignment horizontal="center" vertical="center"/>
    </xf>
    <xf numFmtId="183" fontId="232" fillId="0" borderId="604" xfId="0" applyNumberFormat="1" applyFont="1" applyFill="1" applyBorder="1" applyAlignment="1">
      <alignment horizontal="center" vertical="center"/>
    </xf>
    <xf numFmtId="3" fontId="28" fillId="0" borderId="609" xfId="0" applyNumberFormat="1" applyFont="1" applyBorder="1" applyAlignment="1">
      <alignment horizontal="center" vertical="center"/>
    </xf>
    <xf numFmtId="223" fontId="232" fillId="0" borderId="604" xfId="0" applyNumberFormat="1" applyFont="1" applyBorder="1" applyAlignment="1">
      <alignment horizontal="center" vertical="center"/>
    </xf>
    <xf numFmtId="223" fontId="57" fillId="0" borderId="122" xfId="0" applyNumberFormat="1" applyFont="1" applyBorder="1" applyAlignment="1">
      <alignment horizontal="center" vertical="center"/>
    </xf>
    <xf numFmtId="223" fontId="57" fillId="0" borderId="609" xfId="0" applyNumberFormat="1" applyFont="1" applyBorder="1" applyAlignment="1">
      <alignment horizontal="center" vertical="center"/>
    </xf>
    <xf numFmtId="223" fontId="57" fillId="0" borderId="603" xfId="0" applyNumberFormat="1" applyFont="1" applyBorder="1" applyAlignment="1">
      <alignment horizontal="center" vertical="center"/>
    </xf>
    <xf numFmtId="223" fontId="57" fillId="0" borderId="226" xfId="0" applyNumberFormat="1" applyFont="1" applyFill="1" applyBorder="1" applyAlignment="1">
      <alignment horizontal="center" vertical="center"/>
    </xf>
    <xf numFmtId="183" fontId="57" fillId="93" borderId="630" xfId="0" applyNumberFormat="1" applyFont="1" applyFill="1" applyBorder="1" applyAlignment="1">
      <alignment horizontal="center" vertical="center"/>
    </xf>
    <xf numFmtId="183" fontId="57" fillId="93" borderId="631" xfId="0" applyNumberFormat="1" applyFont="1" applyFill="1" applyBorder="1" applyAlignment="1">
      <alignment horizontal="center" vertical="center"/>
    </xf>
    <xf numFmtId="183" fontId="57" fillId="93" borderId="601" xfId="0" applyNumberFormat="1" applyFont="1" applyFill="1" applyBorder="1" applyAlignment="1">
      <alignment horizontal="center" vertical="center"/>
    </xf>
    <xf numFmtId="183" fontId="57" fillId="93" borderId="437" xfId="0" applyNumberFormat="1" applyFont="1" applyFill="1" applyBorder="1" applyAlignment="1">
      <alignment horizontal="center" vertical="center"/>
    </xf>
    <xf numFmtId="183" fontId="57" fillId="93" borderId="602" xfId="0" applyNumberFormat="1" applyFont="1" applyFill="1" applyBorder="1" applyAlignment="1">
      <alignment horizontal="center" vertical="center"/>
    </xf>
    <xf numFmtId="183" fontId="57" fillId="93" borderId="605" xfId="0" applyNumberFormat="1" applyFont="1" applyFill="1" applyBorder="1" applyAlignment="1">
      <alignment horizontal="center" vertical="center"/>
    </xf>
    <xf numFmtId="1" fontId="0" fillId="0" borderId="609" xfId="0" applyNumberFormat="1" applyBorder="1" applyAlignment="1">
      <alignment horizontal="center" vertical="center"/>
    </xf>
    <xf numFmtId="3" fontId="34" fillId="0" borderId="609" xfId="0" applyNumberFormat="1" applyFont="1" applyBorder="1" applyAlignment="1">
      <alignment horizontal="center" vertical="center"/>
    </xf>
    <xf numFmtId="187" fontId="208" fillId="0" borderId="0" xfId="0" applyNumberFormat="1" applyFont="1" applyFill="1" applyBorder="1" applyAlignment="1">
      <alignment horizontal="center" vertical="center"/>
    </xf>
    <xf numFmtId="41" fontId="37" fillId="11" borderId="0" xfId="2" applyFont="1" applyFill="1" applyBorder="1" applyAlignment="1" applyProtection="1">
      <alignment vertical="center"/>
      <protection locked="0"/>
    </xf>
    <xf numFmtId="180" fontId="37" fillId="0" borderId="216" xfId="0" applyNumberFormat="1" applyFont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177" fontId="37" fillId="11" borderId="0" xfId="0" applyNumberFormat="1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41" fontId="37" fillId="0" borderId="216" xfId="2" applyFont="1" applyBorder="1" applyAlignment="1" applyProtection="1">
      <alignment vertical="center"/>
      <protection locked="0"/>
    </xf>
    <xf numFmtId="183" fontId="176" fillId="125" borderId="615" xfId="2" applyNumberFormat="1" applyFont="1" applyFill="1" applyBorder="1" applyAlignment="1">
      <alignment horizontal="center" vertical="center"/>
    </xf>
    <xf numFmtId="183" fontId="176" fillId="125" borderId="471" xfId="2" applyNumberFormat="1" applyFont="1" applyFill="1" applyBorder="1" applyAlignment="1">
      <alignment horizontal="center" vertical="center"/>
    </xf>
    <xf numFmtId="183" fontId="188" fillId="7" borderId="599" xfId="2" applyNumberFormat="1" applyFont="1" applyFill="1" applyBorder="1" applyAlignment="1">
      <alignment horizontal="center" vertical="center"/>
    </xf>
    <xf numFmtId="183" fontId="188" fillId="7" borderId="608" xfId="2" applyNumberFormat="1" applyFont="1" applyFill="1" applyBorder="1" applyAlignment="1">
      <alignment horizontal="center" vertical="center"/>
    </xf>
    <xf numFmtId="183" fontId="188" fillId="7" borderId="604" xfId="2" applyNumberFormat="1" applyFont="1" applyFill="1" applyBorder="1" applyAlignment="1">
      <alignment horizontal="center" vertical="center"/>
    </xf>
    <xf numFmtId="183" fontId="187" fillId="7" borderId="47" xfId="2" applyNumberFormat="1" applyFont="1" applyFill="1" applyBorder="1" applyAlignment="1">
      <alignment horizontal="center" vertical="center"/>
    </xf>
    <xf numFmtId="183" fontId="187" fillId="7" borderId="517" xfId="2" applyNumberFormat="1" applyFont="1" applyFill="1" applyBorder="1" applyAlignment="1">
      <alignment horizontal="center" vertical="center"/>
    </xf>
    <xf numFmtId="183" fontId="188" fillId="0" borderId="516" xfId="0" applyNumberFormat="1" applyFont="1" applyBorder="1" applyAlignment="1">
      <alignment horizontal="center" vertical="center"/>
    </xf>
    <xf numFmtId="38" fontId="57" fillId="0" borderId="608" xfId="2" applyNumberFormat="1" applyFont="1" applyBorder="1" applyAlignment="1">
      <alignment horizontal="center" vertical="center"/>
    </xf>
    <xf numFmtId="38" fontId="57" fillId="0" borderId="517" xfId="2" applyNumberFormat="1" applyFont="1" applyFill="1" applyBorder="1" applyAlignment="1">
      <alignment horizontal="center" vertical="center"/>
    </xf>
    <xf numFmtId="38" fontId="28" fillId="7" borderId="609" xfId="2" applyNumberFormat="1" applyFont="1" applyFill="1" applyBorder="1" applyAlignment="1">
      <alignment horizontal="center" vertical="center"/>
    </xf>
    <xf numFmtId="223" fontId="28" fillId="7" borderId="467" xfId="2" applyNumberFormat="1" applyFont="1" applyFill="1" applyBorder="1" applyAlignment="1">
      <alignment horizontal="center" vertical="center"/>
    </xf>
    <xf numFmtId="0" fontId="176" fillId="125" borderId="609" xfId="0" applyFont="1" applyFill="1" applyBorder="1" applyAlignment="1">
      <alignment horizontal="center" vertical="center" wrapText="1"/>
    </xf>
    <xf numFmtId="0" fontId="165" fillId="0" borderId="609" xfId="0" applyFont="1" applyBorder="1" applyAlignment="1">
      <alignment horizontal="center" vertical="center" wrapText="1"/>
    </xf>
    <xf numFmtId="183" fontId="165" fillId="0" borderId="609" xfId="0" applyNumberFormat="1" applyFont="1" applyBorder="1" applyAlignment="1">
      <alignment horizontal="center" vertical="center" wrapText="1"/>
    </xf>
    <xf numFmtId="38" fontId="165" fillId="0" borderId="376" xfId="0" applyNumberFormat="1" applyFont="1" applyBorder="1" applyAlignment="1">
      <alignment horizontal="center" vertical="center" wrapText="1"/>
    </xf>
    <xf numFmtId="187" fontId="43" fillId="0" borderId="122" xfId="0" applyNumberFormat="1" applyFont="1" applyBorder="1" applyAlignment="1">
      <alignment horizontal="center" vertical="center"/>
    </xf>
    <xf numFmtId="223" fontId="43" fillId="4" borderId="122" xfId="0" applyNumberFormat="1" applyFont="1" applyFill="1" applyBorder="1" applyAlignment="1">
      <alignment horizontal="center" vertical="center"/>
    </xf>
    <xf numFmtId="177" fontId="232" fillId="4" borderId="609" xfId="2" applyNumberFormat="1" applyFont="1" applyFill="1" applyBorder="1" applyAlignment="1">
      <alignment horizontal="center" vertical="center"/>
    </xf>
    <xf numFmtId="226" fontId="198" fillId="0" borderId="609" xfId="1" applyNumberFormat="1" applyFont="1" applyFill="1" applyBorder="1" applyAlignment="1">
      <alignment horizontal="center" vertical="center"/>
    </xf>
    <xf numFmtId="226" fontId="198" fillId="0" borderId="611" xfId="1" applyNumberFormat="1" applyFont="1" applyFill="1" applyBorder="1" applyAlignment="1">
      <alignment horizontal="center" vertical="center"/>
    </xf>
    <xf numFmtId="177" fontId="0" fillId="0" borderId="599" xfId="0" applyNumberFormat="1" applyBorder="1" applyAlignment="1">
      <alignment horizontal="center" vertical="center"/>
    </xf>
    <xf numFmtId="10" fontId="232" fillId="141" borderId="599" xfId="1" applyNumberFormat="1" applyFont="1" applyFill="1" applyBorder="1" applyAlignment="1">
      <alignment horizontal="center" vertical="center"/>
    </xf>
    <xf numFmtId="177" fontId="0" fillId="0" borderId="601" xfId="0" applyNumberFormat="1" applyBorder="1" applyAlignment="1">
      <alignment horizontal="center" vertical="center"/>
    </xf>
    <xf numFmtId="177" fontId="0" fillId="0" borderId="608" xfId="0" applyNumberFormat="1" applyBorder="1" applyAlignment="1">
      <alignment horizontal="center" vertical="center"/>
    </xf>
    <xf numFmtId="10" fontId="232" fillId="141" borderId="608" xfId="1" applyNumberFormat="1" applyFont="1" applyFill="1" applyBorder="1" applyAlignment="1">
      <alignment horizontal="center" vertical="center"/>
    </xf>
    <xf numFmtId="177" fontId="0" fillId="0" borderId="517" xfId="0" applyNumberFormat="1" applyBorder="1" applyAlignment="1">
      <alignment horizontal="center" vertical="center"/>
    </xf>
    <xf numFmtId="10" fontId="232" fillId="141" borderId="47" xfId="1" applyNumberFormat="1" applyFont="1" applyFill="1" applyBorder="1" applyAlignment="1">
      <alignment horizontal="center" vertical="center"/>
    </xf>
    <xf numFmtId="226" fontId="210" fillId="0" borderId="137" xfId="4124" applyNumberFormat="1" applyFont="1" applyFill="1" applyBorder="1" applyAlignment="1">
      <alignment horizontal="center" vertical="center"/>
    </xf>
    <xf numFmtId="38" fontId="57" fillId="0" borderId="6" xfId="2" applyNumberFormat="1" applyFont="1" applyBorder="1" applyAlignment="1">
      <alignment horizontal="center" vertical="center"/>
    </xf>
    <xf numFmtId="178" fontId="57" fillId="0" borderId="609" xfId="0" applyNumberFormat="1" applyFont="1" applyFill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38" fontId="57" fillId="0" borderId="609" xfId="2" applyNumberFormat="1" applyFont="1" applyBorder="1" applyAlignment="1">
      <alignment horizontal="center" vertical="center"/>
    </xf>
    <xf numFmtId="38" fontId="57" fillId="0" borderId="604" xfId="2" applyNumberFormat="1" applyFont="1" applyBorder="1" applyAlignment="1">
      <alignment horizontal="center" vertical="center"/>
    </xf>
    <xf numFmtId="38" fontId="57" fillId="0" borderId="609" xfId="2" applyNumberFormat="1" applyFont="1" applyFill="1" applyBorder="1" applyAlignment="1">
      <alignment horizontal="center" vertical="center"/>
    </xf>
    <xf numFmtId="38" fontId="57" fillId="0" borderId="603" xfId="2" applyNumberFormat="1" applyFont="1" applyFill="1" applyBorder="1" applyAlignment="1">
      <alignment horizontal="center" vertical="center"/>
    </xf>
    <xf numFmtId="38" fontId="57" fillId="0" borderId="604" xfId="2" applyNumberFormat="1" applyFont="1" applyFill="1" applyBorder="1" applyAlignment="1">
      <alignment horizontal="center" vertical="center"/>
    </xf>
    <xf numFmtId="226" fontId="57" fillId="3" borderId="609" xfId="2" applyNumberFormat="1" applyFont="1" applyFill="1" applyBorder="1" applyAlignment="1">
      <alignment horizontal="center" vertical="center"/>
    </xf>
    <xf numFmtId="0" fontId="176" fillId="125" borderId="483" xfId="0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223" fontId="57" fillId="0" borderId="5" xfId="0" applyNumberFormat="1" applyFont="1" applyBorder="1" applyAlignment="1">
      <alignment horizontal="center" vertical="center"/>
    </xf>
    <xf numFmtId="223" fontId="57" fillId="0" borderId="6" xfId="0" applyNumberFormat="1" applyFont="1" applyBorder="1" applyAlignment="1">
      <alignment horizontal="center" vertical="center"/>
    </xf>
    <xf numFmtId="38" fontId="27" fillId="7" borderId="0" xfId="3" applyNumberFormat="1" applyFont="1" applyFill="1" applyBorder="1" applyAlignment="1">
      <alignment horizontal="left" vertical="center"/>
    </xf>
    <xf numFmtId="3" fontId="198" fillId="0" borderId="406" xfId="0" applyNumberFormat="1" applyFont="1" applyFill="1" applyBorder="1" applyAlignment="1">
      <alignment horizontal="center" vertical="center"/>
    </xf>
    <xf numFmtId="3" fontId="198" fillId="0" borderId="599" xfId="0" applyNumberFormat="1" applyFont="1" applyFill="1" applyBorder="1" applyAlignment="1">
      <alignment horizontal="center" vertical="center"/>
    </xf>
    <xf numFmtId="187" fontId="28" fillId="0" borderId="599" xfId="2" applyNumberFormat="1" applyFont="1" applyFill="1" applyBorder="1" applyAlignment="1">
      <alignment horizontal="center" vertical="center"/>
    </xf>
    <xf numFmtId="3" fontId="176" fillId="125" borderId="521" xfId="2" applyNumberFormat="1" applyFont="1" applyFill="1" applyBorder="1" applyAlignment="1">
      <alignment horizontal="center" vertical="center" wrapText="1"/>
    </xf>
    <xf numFmtId="187" fontId="28" fillId="0" borderId="406" xfId="2" applyNumberFormat="1" applyFont="1" applyFill="1" applyBorder="1" applyAlignment="1">
      <alignment horizontal="center" vertical="center"/>
    </xf>
    <xf numFmtId="3" fontId="28" fillId="0" borderId="64" xfId="2" applyNumberFormat="1" applyFont="1" applyFill="1" applyBorder="1" applyAlignment="1">
      <alignment horizontal="center" vertical="center" wrapText="1"/>
    </xf>
    <xf numFmtId="3" fontId="28" fillId="0" borderId="599" xfId="2" applyNumberFormat="1" applyFont="1" applyFill="1" applyBorder="1" applyAlignment="1">
      <alignment horizontal="center" vertical="center" wrapText="1"/>
    </xf>
    <xf numFmtId="231" fontId="28" fillId="0" borderId="599" xfId="2" applyNumberFormat="1" applyFont="1" applyFill="1" applyBorder="1" applyAlignment="1">
      <alignment horizontal="center" vertical="center"/>
    </xf>
    <xf numFmtId="231" fontId="28" fillId="0" borderId="521" xfId="2" applyNumberFormat="1" applyFont="1" applyFill="1" applyBorder="1" applyAlignment="1">
      <alignment horizontal="center" vertical="center"/>
    </xf>
    <xf numFmtId="187" fontId="176" fillId="125" borderId="64" xfId="2" applyNumberFormat="1" applyFont="1" applyFill="1" applyBorder="1" applyAlignment="1">
      <alignment horizontal="center" vertical="center"/>
    </xf>
    <xf numFmtId="187" fontId="176" fillId="125" borderId="599" xfId="2" applyNumberFormat="1" applyFont="1" applyFill="1" applyBorder="1" applyAlignment="1">
      <alignment horizontal="center" vertical="center"/>
    </xf>
    <xf numFmtId="187" fontId="176" fillId="125" borderId="601" xfId="2" applyNumberFormat="1" applyFont="1" applyFill="1" applyBorder="1" applyAlignment="1">
      <alignment horizontal="center" vertical="center"/>
    </xf>
    <xf numFmtId="178" fontId="57" fillId="0" borderId="64" xfId="2" applyNumberFormat="1" applyFont="1" applyFill="1" applyBorder="1" applyAlignment="1">
      <alignment horizontal="center" vertical="center"/>
    </xf>
    <xf numFmtId="178" fontId="57" fillId="0" borderId="599" xfId="2" applyNumberFormat="1" applyFont="1" applyFill="1" applyBorder="1" applyAlignment="1">
      <alignment horizontal="center" vertical="center"/>
    </xf>
    <xf numFmtId="179" fontId="57" fillId="0" borderId="64" xfId="2" applyNumberFormat="1" applyFont="1" applyFill="1" applyBorder="1" applyAlignment="1">
      <alignment horizontal="center" vertical="center"/>
    </xf>
    <xf numFmtId="179" fontId="57" fillId="0" borderId="599" xfId="2" applyNumberFormat="1" applyFont="1" applyFill="1" applyBorder="1" applyAlignment="1">
      <alignment horizontal="center" vertical="center"/>
    </xf>
    <xf numFmtId="179" fontId="57" fillId="0" borderId="521" xfId="2" applyNumberFormat="1" applyFont="1" applyFill="1" applyBorder="1" applyAlignment="1">
      <alignment horizontal="center" vertical="center"/>
    </xf>
    <xf numFmtId="179" fontId="28" fillId="0" borderId="64" xfId="2" applyNumberFormat="1" applyFont="1" applyFill="1" applyBorder="1" applyAlignment="1">
      <alignment horizontal="center" vertical="center" wrapText="1"/>
    </xf>
    <xf numFmtId="179" fontId="28" fillId="0" borderId="599" xfId="2" applyNumberFormat="1" applyFont="1" applyFill="1" applyBorder="1" applyAlignment="1">
      <alignment horizontal="center" vertical="center" wrapText="1"/>
    </xf>
    <xf numFmtId="179" fontId="28" fillId="0" borderId="601" xfId="2" applyNumberFormat="1" applyFont="1" applyFill="1" applyBorder="1" applyAlignment="1">
      <alignment horizontal="center" vertical="center" wrapText="1"/>
    </xf>
    <xf numFmtId="179" fontId="176" fillId="125" borderId="287" xfId="2" applyNumberFormat="1" applyFont="1" applyFill="1" applyBorder="1" applyAlignment="1">
      <alignment horizontal="center" vertical="center" wrapText="1"/>
    </xf>
    <xf numFmtId="183" fontId="57" fillId="0" borderId="309" xfId="2" applyNumberFormat="1" applyFont="1" applyFill="1" applyBorder="1" applyAlignment="1">
      <alignment horizontal="center" vertical="center"/>
    </xf>
    <xf numFmtId="183" fontId="57" fillId="0" borderId="599" xfId="2" applyNumberFormat="1" applyFont="1" applyFill="1" applyBorder="1" applyAlignment="1">
      <alignment horizontal="center" vertical="center"/>
    </xf>
    <xf numFmtId="183" fontId="57" fillId="0" borderId="406" xfId="2" applyNumberFormat="1" applyFont="1" applyFill="1" applyBorder="1" applyAlignment="1">
      <alignment horizontal="center" vertical="center"/>
    </xf>
    <xf numFmtId="183" fontId="57" fillId="0" borderId="64" xfId="2" applyNumberFormat="1" applyFont="1" applyFill="1" applyBorder="1" applyAlignment="1">
      <alignment horizontal="center" vertical="center"/>
    </xf>
    <xf numFmtId="177" fontId="28" fillId="0" borderId="599" xfId="2" applyNumberFormat="1" applyFont="1" applyFill="1" applyBorder="1" applyAlignment="1">
      <alignment horizontal="center" vertical="center" wrapText="1"/>
    </xf>
    <xf numFmtId="187" fontId="28" fillId="0" borderId="64" xfId="2" applyNumberFormat="1" applyFont="1" applyFill="1" applyBorder="1" applyAlignment="1">
      <alignment horizontal="center" vertical="center" wrapText="1"/>
    </xf>
    <xf numFmtId="187" fontId="28" fillId="0" borderId="601" xfId="2" applyNumberFormat="1" applyFont="1" applyFill="1" applyBorder="1" applyAlignment="1">
      <alignment horizontal="center" vertical="center" wrapText="1"/>
    </xf>
    <xf numFmtId="187" fontId="221" fillId="125" borderId="615" xfId="0" applyNumberFormat="1" applyFont="1" applyFill="1" applyBorder="1" applyAlignment="1">
      <alignment horizontal="center" vertical="center"/>
    </xf>
    <xf numFmtId="187" fontId="221" fillId="125" borderId="607" xfId="0" applyNumberFormat="1" applyFont="1" applyFill="1" applyBorder="1" applyAlignment="1">
      <alignment horizontal="center" vertical="center"/>
    </xf>
    <xf numFmtId="187" fontId="176" fillId="125" borderId="609" xfId="2" applyNumberFormat="1" applyFont="1" applyFill="1" applyBorder="1" applyAlignment="1">
      <alignment horizontal="center" vertical="center" wrapText="1"/>
    </xf>
    <xf numFmtId="177" fontId="176" fillId="125" borderId="609" xfId="0" applyNumberFormat="1" applyFont="1" applyFill="1" applyBorder="1" applyAlignment="1">
      <alignment horizontal="center" vertical="center"/>
    </xf>
    <xf numFmtId="0" fontId="221" fillId="125" borderId="122" xfId="0" applyFont="1" applyFill="1" applyBorder="1" applyAlignment="1">
      <alignment horizontal="center" vertical="center" wrapText="1"/>
    </xf>
    <xf numFmtId="0" fontId="221" fillId="125" borderId="123" xfId="0" applyFont="1" applyFill="1" applyBorder="1" applyAlignment="1">
      <alignment horizontal="center" vertical="center" wrapText="1"/>
    </xf>
    <xf numFmtId="3" fontId="176" fillId="125" borderId="611" xfId="2" applyNumberFormat="1" applyFont="1" applyFill="1" applyBorder="1" applyAlignment="1">
      <alignment horizontal="center" vertical="center" wrapText="1"/>
    </xf>
    <xf numFmtId="187" fontId="32" fillId="0" borderId="611" xfId="2" applyNumberFormat="1" applyFont="1" applyFill="1" applyBorder="1" applyAlignment="1">
      <alignment horizontal="center" vertical="center" wrapText="1"/>
    </xf>
    <xf numFmtId="187" fontId="28" fillId="0" borderId="609" xfId="0" applyNumberFormat="1" applyFont="1" applyBorder="1" applyAlignment="1">
      <alignment horizontal="center" vertical="center"/>
    </xf>
    <xf numFmtId="0" fontId="28" fillId="125" borderId="603" xfId="0" applyFont="1" applyFill="1" applyBorder="1" applyAlignment="1">
      <alignment horizontal="center" vertical="center"/>
    </xf>
    <xf numFmtId="187" fontId="28" fillId="0" borderId="229" xfId="0" applyNumberFormat="1" applyFont="1" applyBorder="1" applyAlignment="1">
      <alignment horizontal="center" vertical="center"/>
    </xf>
    <xf numFmtId="238" fontId="28" fillId="0" borderId="6" xfId="0" applyNumberFormat="1" applyFont="1" applyBorder="1" applyAlignment="1">
      <alignment horizontal="center" vertical="center"/>
    </xf>
    <xf numFmtId="238" fontId="28" fillId="0" borderId="609" xfId="0" applyNumberFormat="1" applyFont="1" applyBorder="1" applyAlignment="1">
      <alignment horizontal="center" vertical="center"/>
    </xf>
    <xf numFmtId="0" fontId="28" fillId="125" borderId="609" xfId="0" applyFont="1" applyFill="1" applyBorder="1" applyAlignment="1">
      <alignment horizontal="center" vertical="center"/>
    </xf>
    <xf numFmtId="177" fontId="28" fillId="0" borderId="609" xfId="0" applyNumberFormat="1" applyFont="1" applyFill="1" applyBorder="1" applyAlignment="1">
      <alignment horizontal="center" vertical="center"/>
    </xf>
    <xf numFmtId="177" fontId="28" fillId="117" borderId="609" xfId="0" applyNumberFormat="1" applyFont="1" applyFill="1" applyBorder="1" applyAlignment="1">
      <alignment horizontal="center" vertical="center"/>
    </xf>
    <xf numFmtId="0" fontId="28" fillId="125" borderId="6" xfId="0" applyFont="1" applyFill="1" applyBorder="1" applyAlignment="1">
      <alignment horizontal="center" vertical="center"/>
    </xf>
    <xf numFmtId="238" fontId="28" fillId="125" borderId="609" xfId="0" applyNumberFormat="1" applyFont="1" applyFill="1" applyBorder="1" applyAlignment="1">
      <alignment horizontal="center" vertical="center"/>
    </xf>
    <xf numFmtId="223" fontId="176" fillId="125" borderId="603" xfId="0" applyNumberFormat="1" applyFont="1" applyFill="1" applyBorder="1" applyAlignment="1">
      <alignment horizontal="center" vertical="center"/>
    </xf>
    <xf numFmtId="223" fontId="28" fillId="0" borderId="123" xfId="0" applyNumberFormat="1" applyFont="1" applyBorder="1" applyAlignment="1">
      <alignment horizontal="center" vertical="center"/>
    </xf>
    <xf numFmtId="223" fontId="176" fillId="125" borderId="594" xfId="0" applyNumberFormat="1" applyFont="1" applyFill="1" applyBorder="1" applyAlignment="1">
      <alignment horizontal="center" vertical="center"/>
    </xf>
    <xf numFmtId="223" fontId="28" fillId="0" borderId="123" xfId="0" applyNumberFormat="1" applyFont="1" applyFill="1" applyBorder="1" applyAlignment="1">
      <alignment horizontal="center" vertical="center"/>
    </xf>
    <xf numFmtId="223" fontId="28" fillId="0" borderId="611" xfId="0" applyNumberFormat="1" applyFont="1" applyFill="1" applyBorder="1" applyAlignment="1">
      <alignment horizontal="center" vertical="center"/>
    </xf>
    <xf numFmtId="223" fontId="28" fillId="0" borderId="594" xfId="0" applyNumberFormat="1" applyFont="1" applyFill="1" applyBorder="1" applyAlignment="1">
      <alignment horizontal="center" vertical="center"/>
    </xf>
    <xf numFmtId="223" fontId="176" fillId="125" borderId="229" xfId="0" applyNumberFormat="1" applyFont="1" applyFill="1" applyBorder="1" applyAlignment="1">
      <alignment horizontal="center" vertical="center"/>
    </xf>
    <xf numFmtId="223" fontId="176" fillId="125" borderId="611" xfId="0" applyNumberFormat="1" applyFont="1" applyFill="1" applyBorder="1" applyAlignment="1">
      <alignment horizontal="center" vertical="center"/>
    </xf>
    <xf numFmtId="223" fontId="28" fillId="0" borderId="594" xfId="0" applyNumberFormat="1" applyFont="1" applyBorder="1" applyAlignment="1">
      <alignment horizontal="center" vertical="center"/>
    </xf>
    <xf numFmtId="223" fontId="28" fillId="0" borderId="518" xfId="0" applyNumberFormat="1" applyFont="1" applyFill="1" applyBorder="1" applyAlignment="1">
      <alignment horizontal="center" vertical="center"/>
    </xf>
    <xf numFmtId="179" fontId="57" fillId="0" borderId="515" xfId="2" applyNumberFormat="1" applyFont="1" applyFill="1" applyBorder="1" applyAlignment="1">
      <alignment horizontal="center" vertical="center"/>
    </xf>
    <xf numFmtId="187" fontId="219" fillId="125" borderId="225" xfId="2" applyNumberFormat="1" applyFont="1" applyFill="1" applyBorder="1" applyAlignment="1">
      <alignment horizontal="center" vertical="center" wrapText="1"/>
    </xf>
    <xf numFmtId="0" fontId="221" fillId="125" borderId="352" xfId="0" applyFont="1" applyFill="1" applyBorder="1" applyAlignment="1">
      <alignment horizontal="center" vertical="center" wrapText="1"/>
    </xf>
    <xf numFmtId="223" fontId="176" fillId="125" borderId="516" xfId="2" applyNumberFormat="1" applyFont="1" applyFill="1" applyBorder="1" applyAlignment="1">
      <alignment horizontal="center" vertical="center" wrapText="1"/>
    </xf>
    <xf numFmtId="223" fontId="176" fillId="125" borderId="516" xfId="0" applyNumberFormat="1" applyFont="1" applyFill="1" applyBorder="1" applyAlignment="1">
      <alignment horizontal="center" vertical="center"/>
    </xf>
    <xf numFmtId="223" fontId="34" fillId="0" borderId="6" xfId="2" applyNumberFormat="1" applyFont="1" applyFill="1" applyBorder="1" applyAlignment="1">
      <alignment horizontal="center" vertical="center" wrapText="1"/>
    </xf>
    <xf numFmtId="223" fontId="57" fillId="0" borderId="608" xfId="0" applyNumberFormat="1" applyFont="1" applyBorder="1" applyAlignment="1">
      <alignment horizontal="center" vertical="center"/>
    </xf>
    <xf numFmtId="223" fontId="57" fillId="15" borderId="516" xfId="0" quotePrefix="1" applyNumberFormat="1" applyFont="1" applyFill="1" applyBorder="1" applyAlignment="1">
      <alignment horizontal="center" vertical="center"/>
    </xf>
    <xf numFmtId="223" fontId="57" fillId="15" borderId="609" xfId="0" quotePrefix="1" applyNumberFormat="1" applyFont="1" applyFill="1" applyBorder="1" applyAlignment="1">
      <alignment horizontal="center" vertical="center"/>
    </xf>
    <xf numFmtId="223" fontId="57" fillId="5" borderId="516" xfId="0" applyNumberFormat="1" applyFont="1" applyFill="1" applyBorder="1" applyAlignment="1">
      <alignment horizontal="center" vertical="center"/>
    </xf>
    <xf numFmtId="223" fontId="57" fillId="0" borderId="122" xfId="0" applyNumberFormat="1" applyFont="1" applyFill="1" applyBorder="1" applyAlignment="1">
      <alignment horizontal="center" vertical="center"/>
    </xf>
    <xf numFmtId="223" fontId="57" fillId="0" borderId="609" xfId="0" applyNumberFormat="1" applyFont="1" applyFill="1" applyBorder="1" applyAlignment="1">
      <alignment horizontal="center" vertical="center"/>
    </xf>
    <xf numFmtId="223" fontId="57" fillId="0" borderId="226" xfId="0" applyNumberFormat="1" applyFont="1" applyBorder="1" applyAlignment="1">
      <alignment horizontal="center" vertical="center"/>
    </xf>
    <xf numFmtId="223" fontId="57" fillId="15" borderId="230" xfId="0" applyNumberFormat="1" applyFont="1" applyFill="1" applyBorder="1" applyAlignment="1">
      <alignment horizontal="center" vertical="center"/>
    </xf>
    <xf numFmtId="223" fontId="57" fillId="15" borderId="334" xfId="0" applyNumberFormat="1" applyFont="1" applyFill="1" applyBorder="1" applyAlignment="1">
      <alignment horizontal="center" vertical="center"/>
    </xf>
    <xf numFmtId="38" fontId="34" fillId="6" borderId="609" xfId="0" applyNumberFormat="1" applyFont="1" applyFill="1" applyBorder="1" applyAlignment="1">
      <alignment horizontal="center" vertical="center"/>
    </xf>
    <xf numFmtId="38" fontId="28" fillId="0" borderId="609" xfId="0" applyNumberFormat="1" applyFont="1" applyBorder="1" applyAlignment="1">
      <alignment horizontal="center" vertical="center"/>
    </xf>
    <xf numFmtId="9" fontId="28" fillId="115" borderId="609" xfId="1" applyFont="1" applyFill="1" applyBorder="1" applyAlignment="1">
      <alignment horizontal="center" vertical="center"/>
    </xf>
    <xf numFmtId="9" fontId="188" fillId="0" borderId="604" xfId="1" applyFont="1" applyBorder="1" applyAlignment="1">
      <alignment horizontal="center" vertical="center"/>
    </xf>
    <xf numFmtId="9" fontId="188" fillId="7" borderId="228" xfId="1" applyFont="1" applyFill="1" applyBorder="1" applyAlignment="1">
      <alignment horizontal="center" vertical="center"/>
    </xf>
    <xf numFmtId="9" fontId="188" fillId="7" borderId="593" xfId="1" applyFont="1" applyFill="1" applyBorder="1" applyAlignment="1">
      <alignment horizontal="center" vertical="center"/>
    </xf>
    <xf numFmtId="9" fontId="188" fillId="7" borderId="595" xfId="1" applyFont="1" applyFill="1" applyBorder="1" applyAlignment="1">
      <alignment horizontal="center" vertical="center"/>
    </xf>
    <xf numFmtId="9" fontId="188" fillId="7" borderId="604" xfId="1" applyFont="1" applyFill="1" applyBorder="1" applyAlignment="1">
      <alignment horizontal="center" vertical="center"/>
    </xf>
    <xf numFmtId="9" fontId="188" fillId="7" borderId="135" xfId="1" applyFont="1" applyFill="1" applyBorder="1" applyAlignment="1">
      <alignment horizontal="center" vertical="center"/>
    </xf>
    <xf numFmtId="9" fontId="188" fillId="7" borderId="595" xfId="1" applyNumberFormat="1" applyFont="1" applyFill="1" applyBorder="1" applyAlignment="1">
      <alignment horizontal="center" vertical="center"/>
    </xf>
    <xf numFmtId="9" fontId="188" fillId="0" borderId="595" xfId="1" applyFont="1" applyFill="1" applyBorder="1" applyAlignment="1">
      <alignment horizontal="center" vertical="center"/>
    </xf>
    <xf numFmtId="179" fontId="0" fillId="11" borderId="0" xfId="0" applyNumberFormat="1" applyFill="1" applyAlignment="1" applyProtection="1">
      <protection locked="0"/>
    </xf>
    <xf numFmtId="3" fontId="28" fillId="0" borderId="608" xfId="2" applyNumberFormat="1" applyFont="1" applyFill="1" applyBorder="1" applyAlignment="1">
      <alignment horizontal="center" vertical="center" wrapText="1"/>
    </xf>
    <xf numFmtId="3" fontId="28" fillId="117" borderId="608" xfId="2" applyNumberFormat="1" applyFont="1" applyFill="1" applyBorder="1" applyAlignment="1">
      <alignment horizontal="center" vertical="center" wrapText="1"/>
    </xf>
    <xf numFmtId="2" fontId="171" fillId="8" borderId="123" xfId="0" applyNumberFormat="1" applyFont="1" applyFill="1" applyBorder="1" applyAlignment="1">
      <alignment horizontal="center" vertical="center"/>
    </xf>
    <xf numFmtId="2" fontId="176" fillId="125" borderId="626" xfId="0" applyNumberFormat="1" applyFont="1" applyFill="1" applyBorder="1" applyAlignment="1">
      <alignment horizontal="center" vertical="center"/>
    </xf>
    <xf numFmtId="186" fontId="57" fillId="7" borderId="202" xfId="2" applyNumberFormat="1" applyFont="1" applyFill="1" applyBorder="1" applyAlignment="1">
      <alignment horizontal="center" vertical="center"/>
    </xf>
    <xf numFmtId="3" fontId="57" fillId="7" borderId="610" xfId="2" applyNumberFormat="1" applyFont="1" applyFill="1" applyBorder="1" applyAlignment="1">
      <alignment horizontal="center" vertical="center"/>
    </xf>
    <xf numFmtId="3" fontId="57" fillId="7" borderId="611" xfId="2" applyNumberFormat="1" applyFont="1" applyFill="1" applyBorder="1" applyAlignment="1">
      <alignment horizontal="center" vertical="center"/>
    </xf>
    <xf numFmtId="4" fontId="176" fillId="125" borderId="518" xfId="2" applyNumberFormat="1" applyFont="1" applyFill="1" applyBorder="1" applyAlignment="1">
      <alignment horizontal="center" vertical="center" wrapText="1"/>
    </xf>
    <xf numFmtId="183" fontId="28" fillId="0" borderId="610" xfId="2" applyNumberFormat="1" applyFont="1" applyFill="1" applyBorder="1" applyAlignment="1">
      <alignment horizontal="center" vertical="center"/>
    </xf>
    <xf numFmtId="186" fontId="176" fillId="125" borderId="594" xfId="2" applyNumberFormat="1" applyFont="1" applyFill="1" applyBorder="1" applyAlignment="1">
      <alignment horizontal="center" vertical="center" wrapText="1"/>
    </xf>
    <xf numFmtId="3" fontId="176" fillId="125" borderId="225" xfId="2" applyNumberFormat="1" applyFont="1" applyFill="1" applyBorder="1" applyAlignment="1">
      <alignment horizontal="center" vertical="center" wrapText="1"/>
    </xf>
    <xf numFmtId="3" fontId="176" fillId="125" borderId="229" xfId="2" applyNumberFormat="1" applyFont="1" applyFill="1" applyBorder="1" applyAlignment="1">
      <alignment horizontal="center" vertical="center" wrapText="1"/>
    </xf>
    <xf numFmtId="186" fontId="28" fillId="0" borderId="202" xfId="2" applyNumberFormat="1" applyFont="1" applyFill="1" applyBorder="1" applyAlignment="1">
      <alignment horizontal="center" vertical="center" wrapText="1"/>
    </xf>
    <xf numFmtId="186" fontId="28" fillId="0" borderId="611" xfId="2" applyNumberFormat="1" applyFont="1" applyFill="1" applyBorder="1" applyAlignment="1">
      <alignment horizontal="center" vertical="center" wrapText="1"/>
    </xf>
    <xf numFmtId="3" fontId="176" fillId="125" borderId="597" xfId="2" applyNumberFormat="1" applyFont="1" applyFill="1" applyBorder="1" applyAlignment="1">
      <alignment horizontal="center" vertical="center" wrapText="1"/>
    </xf>
    <xf numFmtId="186" fontId="28" fillId="0" borderId="123" xfId="2" applyNumberFormat="1" applyFont="1" applyFill="1" applyBorder="1" applyAlignment="1">
      <alignment horizontal="center" vertical="center" wrapText="1"/>
    </xf>
    <xf numFmtId="3" fontId="28" fillId="117" borderId="610" xfId="2" applyNumberFormat="1" applyFont="1" applyFill="1" applyBorder="1" applyAlignment="1">
      <alignment horizontal="center" vertical="center" wrapText="1"/>
    </xf>
    <xf numFmtId="186" fontId="28" fillId="117" borderId="611" xfId="2" applyNumberFormat="1" applyFont="1" applyFill="1" applyBorder="1" applyAlignment="1">
      <alignment horizontal="center" vertical="center" wrapText="1"/>
    </xf>
    <xf numFmtId="186" fontId="176" fillId="125" borderId="518" xfId="2" applyNumberFormat="1" applyFont="1" applyFill="1" applyBorder="1" applyAlignment="1">
      <alignment horizontal="center" vertical="center" wrapText="1"/>
    </xf>
    <xf numFmtId="186" fontId="176" fillId="125" borderId="163" xfId="2" applyNumberFormat="1" applyFont="1" applyFill="1" applyBorder="1" applyAlignment="1">
      <alignment horizontal="center" vertical="center" wrapText="1"/>
    </xf>
    <xf numFmtId="3" fontId="176" fillId="125" borderId="287" xfId="2" applyNumberFormat="1" applyFont="1" applyFill="1" applyBorder="1" applyAlignment="1">
      <alignment horizontal="center" vertical="center" wrapText="1"/>
    </xf>
    <xf numFmtId="4" fontId="28" fillId="7" borderId="608" xfId="2" applyNumberFormat="1" applyFont="1" applyFill="1" applyBorder="1" applyAlignment="1">
      <alignment horizontal="center" vertical="center"/>
    </xf>
    <xf numFmtId="183" fontId="28" fillId="7" borderId="608" xfId="2" applyNumberFormat="1" applyFont="1" applyFill="1" applyBorder="1" applyAlignment="1">
      <alignment horizontal="center" vertical="center"/>
    </xf>
    <xf numFmtId="187" fontId="176" fillId="125" borderId="604" xfId="2" applyNumberFormat="1" applyFont="1" applyFill="1" applyBorder="1" applyAlignment="1">
      <alignment horizontal="center" vertical="center" wrapText="1"/>
    </xf>
    <xf numFmtId="4" fontId="57" fillId="7" borderId="137" xfId="2" applyNumberFormat="1" applyFont="1" applyFill="1" applyBorder="1" applyAlignment="1">
      <alignment horizontal="center" vertical="center"/>
    </xf>
    <xf numFmtId="4" fontId="28" fillId="7" borderId="610" xfId="2" applyNumberFormat="1" applyFont="1" applyFill="1" applyBorder="1" applyAlignment="1">
      <alignment horizontal="center" vertical="center"/>
    </xf>
    <xf numFmtId="183" fontId="28" fillId="7" borderId="610" xfId="2" applyNumberFormat="1" applyFont="1" applyFill="1" applyBorder="1" applyAlignment="1">
      <alignment horizontal="center" vertical="center"/>
    </xf>
    <xf numFmtId="4" fontId="57" fillId="7" borderId="202" xfId="2" applyNumberFormat="1" applyFont="1" applyFill="1" applyBorder="1" applyAlignment="1">
      <alignment horizontal="center" vertical="center"/>
    </xf>
    <xf numFmtId="4" fontId="176" fillId="125" borderId="202" xfId="2" applyNumberFormat="1" applyFont="1" applyFill="1" applyBorder="1" applyAlignment="1">
      <alignment horizontal="center" vertical="center"/>
    </xf>
    <xf numFmtId="228" fontId="176" fillId="125" borderId="601" xfId="2" applyNumberFormat="1" applyFont="1" applyFill="1" applyBorder="1" applyAlignment="1">
      <alignment horizontal="center" vertical="center" wrapText="1"/>
    </xf>
    <xf numFmtId="228" fontId="176" fillId="125" borderId="611" xfId="2" applyNumberFormat="1" applyFont="1" applyFill="1" applyBorder="1" applyAlignment="1">
      <alignment horizontal="center" vertical="center" wrapText="1"/>
    </xf>
    <xf numFmtId="187" fontId="176" fillId="125" borderId="602" xfId="2" applyNumberFormat="1" applyFont="1" applyFill="1" applyBorder="1" applyAlignment="1">
      <alignment horizontal="center" vertical="center" wrapText="1"/>
    </xf>
    <xf numFmtId="228" fontId="176" fillId="125" borderId="594" xfId="2" applyNumberFormat="1" applyFont="1" applyFill="1" applyBorder="1" applyAlignment="1">
      <alignment horizontal="center" vertical="center" wrapText="1"/>
    </xf>
    <xf numFmtId="4" fontId="57" fillId="7" borderId="123" xfId="2" applyNumberFormat="1" applyFont="1" applyFill="1" applyBorder="1" applyAlignment="1">
      <alignment horizontal="center" vertical="center"/>
    </xf>
    <xf numFmtId="183" fontId="57" fillId="7" borderId="123" xfId="2" applyNumberFormat="1" applyFont="1" applyFill="1" applyBorder="1" applyAlignment="1">
      <alignment horizontal="center" vertical="center" wrapText="1"/>
    </xf>
    <xf numFmtId="183" fontId="57" fillId="7" borderId="610" xfId="2" applyNumberFormat="1" applyFont="1" applyFill="1" applyBorder="1" applyAlignment="1">
      <alignment horizontal="center" vertical="center" wrapText="1"/>
    </xf>
    <xf numFmtId="183" fontId="57" fillId="7" borderId="202" xfId="2" applyNumberFormat="1" applyFont="1" applyFill="1" applyBorder="1" applyAlignment="1">
      <alignment horizontal="center" vertical="center" wrapText="1"/>
    </xf>
    <xf numFmtId="183" fontId="176" fillId="125" borderId="602" xfId="2" applyNumberFormat="1" applyFont="1" applyFill="1" applyBorder="1" applyAlignment="1">
      <alignment horizontal="center" vertical="center" wrapText="1"/>
    </xf>
    <xf numFmtId="183" fontId="176" fillId="125" borderId="594" xfId="2" applyNumberFormat="1" applyFont="1" applyFill="1" applyBorder="1" applyAlignment="1">
      <alignment horizontal="center" vertical="center" wrapText="1"/>
    </xf>
    <xf numFmtId="183" fontId="57" fillId="7" borderId="137" xfId="2" applyNumberFormat="1" applyFont="1" applyFill="1" applyBorder="1" applyAlignment="1">
      <alignment horizontal="center" vertical="center" wrapText="1"/>
    </xf>
    <xf numFmtId="183" fontId="57" fillId="7" borderId="611" xfId="2" applyNumberFormat="1" applyFont="1" applyFill="1" applyBorder="1" applyAlignment="1">
      <alignment horizontal="center" vertical="center" wrapText="1"/>
    </xf>
    <xf numFmtId="187" fontId="57" fillId="0" borderId="602" xfId="2" applyNumberFormat="1" applyFont="1" applyFill="1" applyBorder="1" applyAlignment="1">
      <alignment horizontal="center" vertical="center"/>
    </xf>
    <xf numFmtId="187" fontId="57" fillId="0" borderId="594" xfId="2" applyNumberFormat="1" applyFont="1" applyFill="1" applyBorder="1" applyAlignment="1">
      <alignment horizontal="center" vertical="center"/>
    </xf>
    <xf numFmtId="183" fontId="176" fillId="125" borderId="229" xfId="2" applyNumberFormat="1" applyFont="1" applyFill="1" applyBorder="1" applyAlignment="1">
      <alignment horizontal="center" vertical="center"/>
    </xf>
    <xf numFmtId="187" fontId="28" fillId="0" borderId="216" xfId="0" applyNumberFormat="1" applyFont="1" applyBorder="1" applyAlignment="1">
      <alignment horizontal="center" vertical="center"/>
    </xf>
    <xf numFmtId="187" fontId="28" fillId="0" borderId="56" xfId="0" applyNumberFormat="1" applyFont="1" applyBorder="1" applyAlignment="1">
      <alignment horizontal="center" vertical="center" wrapText="1"/>
    </xf>
    <xf numFmtId="187" fontId="165" fillId="0" borderId="56" xfId="0" applyNumberFormat="1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/>
    </xf>
    <xf numFmtId="9" fontId="57" fillId="0" borderId="6" xfId="1" applyFont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/>
    </xf>
    <xf numFmtId="0" fontId="29" fillId="7" borderId="29" xfId="0" applyFont="1" applyFill="1" applyBorder="1" applyAlignment="1">
      <alignment horizontal="center" vertical="center"/>
    </xf>
    <xf numFmtId="0" fontId="29" fillId="7" borderId="451" xfId="0" applyFont="1" applyFill="1" applyBorder="1" applyAlignment="1">
      <alignment horizontal="center" vertical="center"/>
    </xf>
    <xf numFmtId="0" fontId="29" fillId="7" borderId="642" xfId="0" applyFont="1" applyFill="1" applyBorder="1" applyAlignment="1">
      <alignment horizontal="center" vertical="center"/>
    </xf>
    <xf numFmtId="0" fontId="29" fillId="7" borderId="44" xfId="0" applyFont="1" applyFill="1" applyBorder="1" applyAlignment="1">
      <alignment horizontal="center" vertical="center"/>
    </xf>
    <xf numFmtId="0" fontId="29" fillId="7" borderId="643" xfId="0" applyFont="1" applyFill="1" applyBorder="1" applyAlignment="1">
      <alignment horizontal="center" vertical="center"/>
    </xf>
    <xf numFmtId="0" fontId="29" fillId="4" borderId="644" xfId="0" applyFont="1" applyFill="1" applyBorder="1" applyAlignment="1">
      <alignment horizontal="center" vertical="center"/>
    </xf>
    <xf numFmtId="0" fontId="29" fillId="4" borderId="645" xfId="0" applyFont="1" applyFill="1" applyBorder="1" applyAlignment="1">
      <alignment horizontal="center" vertical="center"/>
    </xf>
    <xf numFmtId="41" fontId="29" fillId="4" borderId="646" xfId="2" applyFont="1" applyFill="1" applyBorder="1" applyAlignment="1">
      <alignment horizontal="center" vertical="center"/>
    </xf>
    <xf numFmtId="0" fontId="29" fillId="4" borderId="647" xfId="0" applyFont="1" applyFill="1" applyBorder="1" applyAlignment="1">
      <alignment horizontal="center" vertical="center"/>
    </xf>
    <xf numFmtId="0" fontId="29" fillId="4" borderId="648" xfId="0" applyFont="1" applyFill="1" applyBorder="1" applyAlignment="1">
      <alignment horizontal="center" vertical="center"/>
    </xf>
    <xf numFmtId="0" fontId="29" fillId="4" borderId="344" xfId="0" applyFont="1" applyFill="1" applyBorder="1" applyAlignment="1">
      <alignment horizontal="center" vertical="center"/>
    </xf>
    <xf numFmtId="0" fontId="29" fillId="4" borderId="641" xfId="0" applyFont="1" applyFill="1" applyBorder="1" applyAlignment="1">
      <alignment horizontal="center" vertical="center"/>
    </xf>
    <xf numFmtId="0" fontId="29" fillId="4" borderId="355" xfId="0" applyFont="1" applyFill="1" applyBorder="1" applyAlignment="1">
      <alignment horizontal="center" vertical="center"/>
    </xf>
    <xf numFmtId="177" fontId="253" fillId="116" borderId="6" xfId="0" applyNumberFormat="1" applyFont="1" applyFill="1" applyBorder="1" applyAlignment="1">
      <alignment horizontal="center" vertical="center"/>
    </xf>
    <xf numFmtId="177" fontId="253" fillId="116" borderId="609" xfId="0" applyNumberFormat="1" applyFont="1" applyFill="1" applyBorder="1" applyAlignment="1">
      <alignment horizontal="center" vertical="center"/>
    </xf>
    <xf numFmtId="177" fontId="253" fillId="116" borderId="516" xfId="0" applyNumberFormat="1" applyFont="1" applyFill="1" applyBorder="1" applyAlignment="1">
      <alignment horizontal="center" vertical="center"/>
    </xf>
    <xf numFmtId="3" fontId="254" fillId="116" borderId="202" xfId="3799" applyNumberFormat="1" applyFont="1" applyFill="1" applyBorder="1" applyAlignment="1">
      <alignment horizontal="center" vertical="center" wrapText="1"/>
    </xf>
    <xf numFmtId="3" fontId="254" fillId="116" borderId="611" xfId="3799" applyNumberFormat="1" applyFont="1" applyFill="1" applyBorder="1" applyAlignment="1">
      <alignment horizontal="center" vertical="center" wrapText="1"/>
    </xf>
    <xf numFmtId="3" fontId="254" fillId="116" borderId="518" xfId="3799" applyNumberFormat="1" applyFont="1" applyFill="1" applyBorder="1" applyAlignment="1">
      <alignment horizontal="center" vertical="center" wrapText="1"/>
    </xf>
    <xf numFmtId="0" fontId="255" fillId="0" borderId="0" xfId="0" applyFont="1">
      <alignment vertical="center"/>
    </xf>
    <xf numFmtId="3" fontId="28" fillId="0" borderId="216" xfId="0" applyNumberFormat="1" applyFont="1" applyBorder="1" applyAlignment="1">
      <alignment horizontal="center" vertical="center"/>
    </xf>
    <xf numFmtId="223" fontId="34" fillId="0" borderId="330" xfId="2" applyNumberFormat="1" applyFont="1" applyFill="1" applyBorder="1" applyAlignment="1">
      <alignment horizontal="center" vertical="center" wrapText="1"/>
    </xf>
    <xf numFmtId="223" fontId="34" fillId="0" borderId="5" xfId="2" applyNumberFormat="1" applyFont="1" applyFill="1" applyBorder="1" applyAlignment="1">
      <alignment horizontal="center" vertical="center" wrapText="1"/>
    </xf>
    <xf numFmtId="223" fontId="34" fillId="0" borderId="0" xfId="2" applyNumberFormat="1" applyFont="1" applyFill="1" applyBorder="1" applyAlignment="1">
      <alignment horizontal="center" vertical="center" wrapText="1"/>
    </xf>
    <xf numFmtId="223" fontId="187" fillId="0" borderId="592" xfId="0" applyNumberFormat="1" applyFont="1" applyBorder="1" applyAlignment="1">
      <alignment horizontal="center" vertical="center"/>
    </xf>
    <xf numFmtId="223" fontId="187" fillId="0" borderId="124" xfId="0" applyNumberFormat="1" applyFont="1" applyBorder="1" applyAlignment="1">
      <alignment horizontal="center" vertical="center"/>
    </xf>
    <xf numFmtId="223" fontId="176" fillId="125" borderId="225" xfId="2" applyNumberFormat="1" applyFont="1" applyFill="1" applyBorder="1" applyAlignment="1">
      <alignment horizontal="center" vertical="center" wrapText="1"/>
    </xf>
    <xf numFmtId="223" fontId="176" fillId="125" borderId="287" xfId="2" applyNumberFormat="1" applyFont="1" applyFill="1" applyBorder="1" applyAlignment="1">
      <alignment horizontal="center" vertical="center" wrapText="1"/>
    </xf>
    <xf numFmtId="187" fontId="176" fillId="125" borderId="229" xfId="2" applyNumberFormat="1" applyFont="1" applyFill="1" applyBorder="1" applyAlignment="1">
      <alignment horizontal="center" vertical="center" wrapText="1"/>
    </xf>
    <xf numFmtId="187" fontId="176" fillId="125" borderId="110" xfId="2" applyNumberFormat="1" applyFont="1" applyFill="1" applyBorder="1" applyAlignment="1">
      <alignment horizontal="center" vertical="center" wrapText="1"/>
    </xf>
    <xf numFmtId="242" fontId="28" fillId="0" borderId="447" xfId="1" applyNumberFormat="1" applyFont="1" applyFill="1" applyBorder="1" applyAlignment="1">
      <alignment horizontal="center" vertical="center"/>
    </xf>
    <xf numFmtId="9" fontId="188" fillId="0" borderId="499" xfId="2" applyNumberFormat="1" applyFont="1" applyFill="1" applyBorder="1" applyAlignment="1">
      <alignment horizontal="center" vertical="center"/>
    </xf>
    <xf numFmtId="9" fontId="188" fillId="7" borderId="570" xfId="1" applyFont="1" applyFill="1" applyBorder="1" applyAlignment="1">
      <alignment horizontal="center" vertical="center"/>
    </xf>
    <xf numFmtId="9" fontId="188" fillId="7" borderId="6" xfId="1" applyFont="1" applyFill="1" applyBorder="1" applyAlignment="1">
      <alignment horizontal="center" vertical="center"/>
    </xf>
    <xf numFmtId="9" fontId="188" fillId="7" borderId="499" xfId="1" applyFont="1" applyFill="1" applyBorder="1" applyAlignment="1">
      <alignment horizontal="center" vertical="center"/>
    </xf>
    <xf numFmtId="10" fontId="165" fillId="0" borderId="609" xfId="0" applyNumberFormat="1" applyFont="1" applyBorder="1" applyAlignment="1">
      <alignment horizontal="center" vertical="center" wrapText="1"/>
    </xf>
    <xf numFmtId="0" fontId="165" fillId="0" borderId="640" xfId="0" applyFont="1" applyBorder="1" applyAlignment="1">
      <alignment horizontal="center" vertical="center" wrapText="1"/>
    </xf>
    <xf numFmtId="0" fontId="176" fillId="125" borderId="640" xfId="0" applyFont="1" applyFill="1" applyBorder="1" applyAlignment="1">
      <alignment horizontal="center" vertical="center" wrapText="1"/>
    </xf>
    <xf numFmtId="10" fontId="165" fillId="0" borderId="640" xfId="0" applyNumberFormat="1" applyFont="1" applyBorder="1" applyAlignment="1">
      <alignment horizontal="center" vertical="center" wrapText="1"/>
    </xf>
    <xf numFmtId="183" fontId="165" fillId="0" borderId="640" xfId="0" applyNumberFormat="1" applyFont="1" applyBorder="1" applyAlignment="1">
      <alignment horizontal="center" vertical="center" wrapText="1"/>
    </xf>
    <xf numFmtId="0" fontId="28" fillId="0" borderId="640" xfId="0" applyFont="1" applyBorder="1" applyAlignment="1">
      <alignment horizontal="center" vertical="center" wrapText="1"/>
    </xf>
    <xf numFmtId="185" fontId="28" fillId="0" borderId="221" xfId="0" applyNumberFormat="1" applyFont="1" applyBorder="1" applyAlignment="1">
      <alignment horizontal="center" vertical="center" wrapText="1"/>
    </xf>
    <xf numFmtId="228" fontId="28" fillId="0" borderId="40" xfId="0" applyNumberFormat="1" applyFont="1" applyBorder="1" applyAlignment="1">
      <alignment horizontal="center" vertical="center" wrapText="1"/>
    </xf>
    <xf numFmtId="0" fontId="165" fillId="0" borderId="23" xfId="0" applyFont="1" applyBorder="1" applyAlignment="1">
      <alignment horizontal="center" vertical="center" wrapText="1"/>
    </xf>
    <xf numFmtId="0" fontId="176" fillId="125" borderId="650" xfId="0" applyFont="1" applyFill="1" applyBorder="1" applyAlignment="1">
      <alignment horizontal="center" vertical="center" wrapText="1"/>
    </xf>
    <xf numFmtId="0" fontId="176" fillId="125" borderId="639" xfId="0" applyFont="1" applyFill="1" applyBorder="1" applyAlignment="1">
      <alignment horizontal="center" vertical="center" wrapText="1"/>
    </xf>
    <xf numFmtId="0" fontId="176" fillId="125" borderId="519" xfId="0" applyFont="1" applyFill="1" applyBorder="1" applyAlignment="1">
      <alignment horizontal="center" vertical="center" wrapText="1"/>
    </xf>
    <xf numFmtId="41" fontId="177" fillId="127" borderId="604" xfId="2" applyFont="1" applyFill="1" applyBorder="1" applyAlignment="1">
      <alignment horizontal="center" vertical="center"/>
    </xf>
    <xf numFmtId="187" fontId="198" fillId="0" borderId="603" xfId="0" applyNumberFormat="1" applyFont="1" applyFill="1" applyBorder="1" applyAlignment="1">
      <alignment horizontal="center" vertical="center"/>
    </xf>
    <xf numFmtId="187" fontId="232" fillId="4" borderId="603" xfId="0" applyNumberFormat="1" applyFont="1" applyFill="1" applyBorder="1" applyAlignment="1">
      <alignment horizontal="center" vertical="center"/>
    </xf>
    <xf numFmtId="41" fontId="177" fillId="127" borderId="607" xfId="2" applyFont="1" applyFill="1" applyBorder="1" applyAlignment="1">
      <alignment horizontal="center" vertical="center"/>
    </xf>
    <xf numFmtId="187" fontId="198" fillId="0" borderId="607" xfId="0" applyNumberFormat="1" applyFont="1" applyFill="1" applyBorder="1" applyAlignment="1">
      <alignment horizontal="center" vertical="center"/>
    </xf>
    <xf numFmtId="187" fontId="198" fillId="0" borderId="512" xfId="0" applyNumberFormat="1" applyFont="1" applyFill="1" applyBorder="1" applyAlignment="1">
      <alignment horizontal="center" vertical="center"/>
    </xf>
    <xf numFmtId="187" fontId="232" fillId="117" borderId="517" xfId="0" applyNumberFormat="1" applyFont="1" applyFill="1" applyBorder="1" applyAlignment="1">
      <alignment horizontal="center" vertical="center"/>
    </xf>
    <xf numFmtId="177" fontId="28" fillId="0" borderId="47" xfId="0" applyNumberFormat="1" applyFont="1" applyFill="1" applyBorder="1" applyAlignment="1">
      <alignment horizontal="center" vertical="center"/>
    </xf>
    <xf numFmtId="177" fontId="28" fillId="0" borderId="608" xfId="0" applyNumberFormat="1" applyFont="1" applyFill="1" applyBorder="1" applyAlignment="1">
      <alignment horizontal="center" vertical="center"/>
    </xf>
    <xf numFmtId="177" fontId="28" fillId="117" borderId="608" xfId="0" applyNumberFormat="1" applyFont="1" applyFill="1" applyBorder="1" applyAlignment="1">
      <alignment horizontal="center" vertical="center"/>
    </xf>
    <xf numFmtId="223" fontId="28" fillId="0" borderId="48" xfId="0" applyNumberFormat="1" applyFont="1" applyFill="1" applyBorder="1" applyAlignment="1">
      <alignment horizontal="center" vertical="center"/>
    </xf>
    <xf numFmtId="223" fontId="28" fillId="0" borderId="512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29" borderId="0" xfId="0" applyFill="1">
      <alignment vertical="center"/>
    </xf>
    <xf numFmtId="223" fontId="256" fillId="0" borderId="0" xfId="0" applyNumberFormat="1" applyFont="1" applyFill="1" applyBorder="1" applyAlignment="1">
      <alignment horizontal="center" vertical="center"/>
    </xf>
    <xf numFmtId="223" fontId="256" fillId="0" borderId="0" xfId="0" applyNumberFormat="1" applyFont="1" applyFill="1" applyBorder="1" applyAlignment="1">
      <alignment vertical="center"/>
    </xf>
    <xf numFmtId="243" fontId="256" fillId="0" borderId="0" xfId="0" applyNumberFormat="1" applyFont="1" applyFill="1" applyBorder="1" applyAlignment="1">
      <alignment vertical="center"/>
    </xf>
    <xf numFmtId="243" fontId="256" fillId="0" borderId="0" xfId="0" applyNumberFormat="1" applyFont="1" applyFill="1" applyBorder="1" applyAlignment="1">
      <alignment horizontal="center" vertical="center"/>
    </xf>
    <xf numFmtId="223" fontId="256" fillId="0" borderId="605" xfId="0" applyNumberFormat="1" applyFont="1" applyBorder="1" applyAlignment="1">
      <alignment horizontal="center" vertical="center"/>
    </xf>
    <xf numFmtId="223" fontId="256" fillId="0" borderId="608" xfId="0" applyNumberFormat="1" applyFont="1" applyBorder="1" applyAlignment="1">
      <alignment vertical="center"/>
    </xf>
    <xf numFmtId="223" fontId="256" fillId="0" borderId="616" xfId="0" applyNumberFormat="1" applyFont="1" applyBorder="1" applyAlignment="1">
      <alignment vertical="center"/>
    </xf>
    <xf numFmtId="223" fontId="256" fillId="0" borderId="609" xfId="0" applyNumberFormat="1" applyFont="1" applyBorder="1" applyAlignment="1">
      <alignment vertical="center"/>
    </xf>
    <xf numFmtId="223" fontId="256" fillId="0" borderId="627" xfId="0" applyNumberFormat="1" applyFont="1" applyBorder="1" applyAlignment="1">
      <alignment vertical="center"/>
    </xf>
    <xf numFmtId="223" fontId="256" fillId="0" borderId="0" xfId="0" applyNumberFormat="1" applyFont="1" applyFill="1" applyBorder="1" applyAlignment="1">
      <alignment horizontal="right" vertical="center"/>
    </xf>
    <xf numFmtId="223" fontId="256" fillId="0" borderId="86" xfId="0" applyNumberFormat="1" applyFont="1" applyBorder="1" applyAlignment="1">
      <alignment horizontal="center" vertical="center"/>
    </xf>
    <xf numFmtId="223" fontId="256" fillId="0" borderId="603" xfId="0" applyNumberFormat="1" applyFont="1" applyBorder="1" applyAlignment="1">
      <alignment vertical="center"/>
    </xf>
    <xf numFmtId="223" fontId="256" fillId="0" borderId="604" xfId="0" applyNumberFormat="1" applyFont="1" applyBorder="1" applyAlignment="1">
      <alignment vertical="center"/>
    </xf>
    <xf numFmtId="223" fontId="256" fillId="0" borderId="636" xfId="0" applyNumberFormat="1" applyFont="1" applyBorder="1" applyAlignment="1">
      <alignment vertical="center"/>
    </xf>
    <xf numFmtId="223" fontId="256" fillId="0" borderId="5" xfId="0" applyNumberFormat="1" applyFont="1" applyBorder="1" applyAlignment="1">
      <alignment vertical="center"/>
    </xf>
    <xf numFmtId="223" fontId="256" fillId="0" borderId="330" xfId="0" applyNumberFormat="1" applyFont="1" applyBorder="1" applyAlignment="1">
      <alignment vertical="center"/>
    </xf>
    <xf numFmtId="223" fontId="256" fillId="0" borderId="635" xfId="0" applyNumberFormat="1" applyFont="1" applyBorder="1" applyAlignment="1">
      <alignment vertical="center"/>
    </xf>
    <xf numFmtId="223" fontId="256" fillId="0" borderId="471" xfId="0" applyNumberFormat="1" applyFont="1" applyBorder="1" applyAlignment="1">
      <alignment vertical="center"/>
    </xf>
    <xf numFmtId="223" fontId="256" fillId="0" borderId="6" xfId="0" applyNumberFormat="1" applyFont="1" applyBorder="1" applyAlignment="1">
      <alignment vertical="center"/>
    </xf>
    <xf numFmtId="223" fontId="257" fillId="0" borderId="6" xfId="0" applyNumberFormat="1" applyFont="1" applyBorder="1" applyAlignment="1">
      <alignment vertical="center"/>
    </xf>
    <xf numFmtId="243" fontId="257" fillId="0" borderId="6" xfId="0" applyNumberFormat="1" applyFont="1" applyBorder="1" applyAlignment="1">
      <alignment vertical="center"/>
    </xf>
    <xf numFmtId="243" fontId="257" fillId="0" borderId="40" xfId="0" applyNumberFormat="1" applyFont="1" applyBorder="1" applyAlignment="1">
      <alignment vertical="center"/>
    </xf>
    <xf numFmtId="243" fontId="257" fillId="0" borderId="635" xfId="0" applyNumberFormat="1" applyFont="1" applyBorder="1" applyAlignment="1">
      <alignment vertical="center"/>
    </xf>
    <xf numFmtId="243" fontId="257" fillId="0" borderId="0" xfId="0" applyNumberFormat="1" applyFont="1" applyFill="1" applyBorder="1" applyAlignment="1">
      <alignment vertical="center"/>
    </xf>
    <xf numFmtId="223" fontId="256" fillId="0" borderId="40" xfId="0" applyNumberFormat="1" applyFont="1" applyBorder="1" applyAlignment="1">
      <alignment vertical="center"/>
    </xf>
    <xf numFmtId="223" fontId="256" fillId="0" borderId="23" xfId="0" applyNumberFormat="1" applyFont="1" applyBorder="1" applyAlignment="1">
      <alignment horizontal="center" vertical="center"/>
    </xf>
    <xf numFmtId="223" fontId="257" fillId="116" borderId="608" xfId="0" applyNumberFormat="1" applyFont="1" applyFill="1" applyBorder="1" applyAlignment="1">
      <alignment vertical="center"/>
    </xf>
    <xf numFmtId="223" fontId="257" fillId="116" borderId="616" xfId="0" applyNumberFormat="1" applyFont="1" applyFill="1" applyBorder="1" applyAlignment="1">
      <alignment vertical="center"/>
    </xf>
    <xf numFmtId="243" fontId="257" fillId="116" borderId="609" xfId="0" applyNumberFormat="1" applyFont="1" applyFill="1" applyBorder="1" applyAlignment="1">
      <alignment vertical="center"/>
    </xf>
    <xf numFmtId="243" fontId="257" fillId="116" borderId="608" xfId="0" applyNumberFormat="1" applyFont="1" applyFill="1" applyBorder="1" applyAlignment="1">
      <alignment vertical="center"/>
    </xf>
    <xf numFmtId="243" fontId="257" fillId="116" borderId="471" xfId="0" applyNumberFormat="1" applyFont="1" applyFill="1" applyBorder="1" applyAlignment="1">
      <alignment vertical="center"/>
    </xf>
    <xf numFmtId="177" fontId="256" fillId="0" borderId="628" xfId="0" applyNumberFormat="1" applyFont="1" applyFill="1" applyBorder="1" applyAlignment="1">
      <alignment vertical="center"/>
    </xf>
    <xf numFmtId="226" fontId="167" fillId="137" borderId="121" xfId="2" applyNumberFormat="1" applyFont="1" applyFill="1" applyBorder="1" applyAlignment="1">
      <alignment horizontal="center" vertical="center"/>
    </xf>
    <xf numFmtId="226" fontId="167" fillId="137" borderId="122" xfId="2" applyNumberFormat="1" applyFont="1" applyFill="1" applyBorder="1" applyAlignment="1">
      <alignment horizontal="center" vertical="center"/>
    </xf>
    <xf numFmtId="179" fontId="232" fillId="118" borderId="64" xfId="1" applyNumberFormat="1" applyFont="1" applyFill="1" applyBorder="1" applyAlignment="1">
      <alignment horizontal="center" vertical="center"/>
    </xf>
    <xf numFmtId="187" fontId="43" fillId="0" borderId="609" xfId="0" applyNumberFormat="1" applyFont="1" applyBorder="1" applyAlignment="1">
      <alignment horizontal="center" vertical="center"/>
    </xf>
    <xf numFmtId="187" fontId="43" fillId="0" borderId="49" xfId="0" applyNumberFormat="1" applyFont="1" applyBorder="1" applyAlignment="1">
      <alignment horizontal="center" vertical="center"/>
    </xf>
    <xf numFmtId="226" fontId="57" fillId="0" borderId="133" xfId="2" applyNumberFormat="1" applyFont="1" applyBorder="1" applyAlignment="1">
      <alignment horizontal="center" vertical="center"/>
    </xf>
    <xf numFmtId="226" fontId="57" fillId="0" borderId="138" xfId="2" applyNumberFormat="1" applyFont="1" applyFill="1" applyBorder="1" applyAlignment="1">
      <alignment horizontal="center" vertical="center"/>
    </xf>
    <xf numFmtId="177" fontId="232" fillId="0" borderId="596" xfId="0" applyNumberFormat="1" applyFont="1" applyBorder="1" applyAlignment="1">
      <alignment horizontal="center" vertical="center"/>
    </xf>
    <xf numFmtId="41" fontId="31" fillId="0" borderId="0" xfId="2" applyFont="1" applyFill="1" applyBorder="1" applyAlignment="1">
      <alignment horizontal="center" vertical="center" wrapText="1"/>
    </xf>
    <xf numFmtId="41" fontId="258" fillId="0" borderId="0" xfId="2" applyFont="1">
      <alignment vertical="center"/>
    </xf>
    <xf numFmtId="177" fontId="0" fillId="0" borderId="406" xfId="0" applyNumberFormat="1" applyBorder="1" applyAlignment="1">
      <alignment horizontal="center" vertical="center"/>
    </xf>
    <xf numFmtId="177" fontId="0" fillId="0" borderId="23" xfId="0" applyNumberFormat="1" applyBorder="1" applyAlignment="1">
      <alignment horizontal="center" vertical="center"/>
    </xf>
    <xf numFmtId="177" fontId="0" fillId="0" borderId="605" xfId="0" applyNumberFormat="1" applyBorder="1" applyAlignment="1">
      <alignment horizontal="center" vertical="center"/>
    </xf>
    <xf numFmtId="177" fontId="0" fillId="0" borderId="122" xfId="0" applyNumberFormat="1" applyBorder="1" applyAlignment="1">
      <alignment horizontal="center" vertical="center"/>
    </xf>
    <xf numFmtId="177" fontId="0" fillId="0" borderId="516" xfId="0" applyNumberFormat="1" applyBorder="1" applyAlignment="1">
      <alignment horizontal="center" vertical="center"/>
    </xf>
    <xf numFmtId="177" fontId="0" fillId="0" borderId="616" xfId="0" applyNumberFormat="1" applyBorder="1" applyAlignment="1">
      <alignment horizontal="center" vertical="center"/>
    </xf>
    <xf numFmtId="240" fontId="34" fillId="137" borderId="97" xfId="0" applyNumberFormat="1" applyFont="1" applyFill="1" applyBorder="1" applyAlignment="1">
      <alignment horizontal="center" vertical="center"/>
    </xf>
    <xf numFmtId="177" fontId="198" fillId="0" borderId="406" xfId="0" applyNumberFormat="1" applyFont="1" applyBorder="1" applyAlignment="1">
      <alignment horizontal="center" vertical="center"/>
    </xf>
    <xf numFmtId="177" fontId="198" fillId="0" borderId="122" xfId="0" applyNumberFormat="1" applyFont="1" applyBorder="1" applyAlignment="1">
      <alignment horizontal="center" vertical="center"/>
    </xf>
    <xf numFmtId="177" fontId="198" fillId="0" borderId="202" xfId="0" applyNumberFormat="1" applyFont="1" applyBorder="1" applyAlignment="1">
      <alignment horizontal="center" vertical="center"/>
    </xf>
    <xf numFmtId="177" fontId="198" fillId="0" borderId="594" xfId="0" applyNumberFormat="1" applyFont="1" applyBorder="1" applyAlignment="1">
      <alignment horizontal="center" vertical="center"/>
    </xf>
    <xf numFmtId="226" fontId="228" fillId="137" borderId="121" xfId="2" applyNumberFormat="1" applyFont="1" applyFill="1" applyBorder="1" applyAlignment="1">
      <alignment horizontal="center" vertical="center"/>
    </xf>
    <xf numFmtId="226" fontId="228" fillId="137" borderId="122" xfId="2" applyNumberFormat="1" applyFont="1" applyFill="1" applyBorder="1" applyAlignment="1">
      <alignment horizontal="center" vertical="center"/>
    </xf>
    <xf numFmtId="240" fontId="232" fillId="137" borderId="610" xfId="0" applyNumberFormat="1" applyFont="1" applyFill="1" applyBorder="1" applyAlignment="1">
      <alignment horizontal="center" vertical="center"/>
    </xf>
    <xf numFmtId="240" fontId="232" fillId="137" borderId="609" xfId="0" applyNumberFormat="1" applyFont="1" applyFill="1" applyBorder="1" applyAlignment="1">
      <alignment horizontal="center" vertical="center"/>
    </xf>
    <xf numFmtId="240" fontId="232" fillId="137" borderId="611" xfId="0" applyNumberFormat="1" applyFont="1" applyFill="1" applyBorder="1" applyAlignment="1">
      <alignment horizontal="center" vertical="center"/>
    </xf>
    <xf numFmtId="177" fontId="198" fillId="0" borderId="6" xfId="0" applyNumberFormat="1" applyFont="1" applyBorder="1" applyAlignment="1">
      <alignment horizontal="center" vertical="center"/>
    </xf>
    <xf numFmtId="177" fontId="198" fillId="0" borderId="64" xfId="0" applyNumberFormat="1" applyFont="1" applyBorder="1" applyAlignment="1">
      <alignment horizontal="center" vertical="center"/>
    </xf>
    <xf numFmtId="223" fontId="256" fillId="0" borderId="608" xfId="0" applyNumberFormat="1" applyFont="1" applyBorder="1" applyAlignment="1">
      <alignment horizontal="center" vertical="center"/>
    </xf>
    <xf numFmtId="223" fontId="256" fillId="0" borderId="616" xfId="0" applyNumberFormat="1" applyFont="1" applyBorder="1" applyAlignment="1">
      <alignment horizontal="center" vertical="center"/>
    </xf>
    <xf numFmtId="223" fontId="256" fillId="0" borderId="609" xfId="0" applyNumberFormat="1" applyFont="1" applyBorder="1" applyAlignment="1">
      <alignment horizontal="center" vertical="center"/>
    </xf>
    <xf numFmtId="223" fontId="256" fillId="0" borderId="5" xfId="0" applyNumberFormat="1" applyFont="1" applyBorder="1" applyAlignment="1">
      <alignment horizontal="center" vertical="center"/>
    </xf>
    <xf numFmtId="223" fontId="256" fillId="0" borderId="330" xfId="0" applyNumberFormat="1" applyFont="1" applyBorder="1" applyAlignment="1">
      <alignment horizontal="center" vertical="center"/>
    </xf>
    <xf numFmtId="223" fontId="256" fillId="0" borderId="635" xfId="0" applyNumberFormat="1" applyFont="1" applyBorder="1" applyAlignment="1">
      <alignment horizontal="center" vertical="center"/>
    </xf>
    <xf numFmtId="223" fontId="256" fillId="0" borderId="471" xfId="0" applyNumberFormat="1" applyFont="1" applyBorder="1" applyAlignment="1">
      <alignment horizontal="center" vertical="center"/>
    </xf>
    <xf numFmtId="243" fontId="257" fillId="0" borderId="6" xfId="0" applyNumberFormat="1" applyFont="1" applyBorder="1" applyAlignment="1">
      <alignment horizontal="center" vertical="center"/>
    </xf>
    <xf numFmtId="243" fontId="257" fillId="0" borderId="40" xfId="0" applyNumberFormat="1" applyFont="1" applyBorder="1" applyAlignment="1">
      <alignment horizontal="center" vertical="center"/>
    </xf>
    <xf numFmtId="177" fontId="256" fillId="0" borderId="628" xfId="0" applyNumberFormat="1" applyFont="1" applyFill="1" applyBorder="1" applyAlignment="1">
      <alignment horizontal="center" vertical="center"/>
    </xf>
    <xf numFmtId="223" fontId="259" fillId="0" borderId="609" xfId="0" applyNumberFormat="1" applyFont="1" applyBorder="1" applyAlignment="1">
      <alignment horizontal="center" vertical="center"/>
    </xf>
    <xf numFmtId="223" fontId="257" fillId="0" borderId="609" xfId="0" applyNumberFormat="1" applyFont="1" applyBorder="1" applyAlignment="1">
      <alignment horizontal="center" vertical="center"/>
    </xf>
    <xf numFmtId="0" fontId="29" fillId="130" borderId="352" xfId="0" applyFont="1" applyFill="1" applyBorder="1" applyAlignment="1">
      <alignment horizontal="center" vertical="center"/>
    </xf>
    <xf numFmtId="187" fontId="198" fillId="0" borderId="616" xfId="1" applyNumberFormat="1" applyFont="1" applyFill="1" applyBorder="1" applyAlignment="1">
      <alignment horizontal="center" vertical="center"/>
    </xf>
    <xf numFmtId="241" fontId="232" fillId="4" borderId="616" xfId="1" applyNumberFormat="1" applyFont="1" applyFill="1" applyBorder="1" applyAlignment="1">
      <alignment horizontal="center" vertical="center"/>
    </xf>
    <xf numFmtId="226" fontId="198" fillId="0" borderId="616" xfId="1" applyNumberFormat="1" applyFont="1" applyFill="1" applyBorder="1" applyAlignment="1">
      <alignment horizontal="center" vertical="center"/>
    </xf>
    <xf numFmtId="9" fontId="29" fillId="130" borderId="519" xfId="1" applyFont="1" applyFill="1" applyBorder="1" applyAlignment="1">
      <alignment horizontal="center" vertical="center"/>
    </xf>
    <xf numFmtId="183" fontId="198" fillId="0" borderId="616" xfId="1" applyNumberFormat="1" applyFont="1" applyFill="1" applyBorder="1" applyAlignment="1">
      <alignment horizontal="center" vertical="center"/>
    </xf>
    <xf numFmtId="0" fontId="0" fillId="0" borderId="611" xfId="0" applyBorder="1">
      <alignment vertical="center"/>
    </xf>
    <xf numFmtId="231" fontId="228" fillId="137" borderId="123" xfId="2" applyNumberFormat="1" applyFont="1" applyFill="1" applyBorder="1" applyAlignment="1">
      <alignment horizontal="center" vertical="center"/>
    </xf>
    <xf numFmtId="223" fontId="256" fillId="137" borderId="609" xfId="0" applyNumberFormat="1" applyFont="1" applyFill="1" applyBorder="1" applyAlignment="1">
      <alignment horizontal="center" vertical="center"/>
    </xf>
    <xf numFmtId="223" fontId="256" fillId="137" borderId="608" xfId="0" applyNumberFormat="1" applyFont="1" applyFill="1" applyBorder="1" applyAlignment="1">
      <alignment horizontal="center" vertical="center"/>
    </xf>
    <xf numFmtId="223" fontId="259" fillId="0" borderId="6" xfId="0" applyNumberFormat="1" applyFont="1" applyBorder="1" applyAlignment="1">
      <alignment horizontal="center" vertical="center"/>
    </xf>
    <xf numFmtId="223" fontId="256" fillId="137" borderId="471" xfId="0" applyNumberFormat="1" applyFont="1" applyFill="1" applyBorder="1" applyAlignment="1">
      <alignment horizontal="center" vertical="center"/>
    </xf>
    <xf numFmtId="243" fontId="257" fillId="3" borderId="635" xfId="0" applyNumberFormat="1" applyFont="1" applyFill="1" applyBorder="1" applyAlignment="1">
      <alignment horizontal="center" vertical="center"/>
    </xf>
    <xf numFmtId="223" fontId="256" fillId="0" borderId="615" xfId="0" applyNumberFormat="1" applyFont="1" applyBorder="1" applyAlignment="1">
      <alignment vertical="center"/>
    </xf>
    <xf numFmtId="223" fontId="259" fillId="137" borderId="609" xfId="0" applyNumberFormat="1" applyFont="1" applyFill="1" applyBorder="1" applyAlignment="1">
      <alignment horizontal="center" vertical="center"/>
    </xf>
    <xf numFmtId="243" fontId="256" fillId="137" borderId="609" xfId="0" applyNumberFormat="1" applyFont="1" applyFill="1" applyBorder="1" applyAlignment="1">
      <alignment horizontal="center" vertical="center"/>
    </xf>
    <xf numFmtId="243" fontId="256" fillId="137" borderId="608" xfId="0" applyNumberFormat="1" applyFont="1" applyFill="1" applyBorder="1" applyAlignment="1">
      <alignment horizontal="center" vertical="center"/>
    </xf>
    <xf numFmtId="243" fontId="259" fillId="137" borderId="627" xfId="0" applyNumberFormat="1" applyFont="1" applyFill="1" applyBorder="1" applyAlignment="1">
      <alignment horizontal="center" vertical="center"/>
    </xf>
    <xf numFmtId="0" fontId="261" fillId="0" borderId="0" xfId="0" applyFont="1" applyAlignment="1"/>
    <xf numFmtId="0" fontId="261" fillId="0" borderId="0" xfId="0" applyFont="1" applyBorder="1" applyAlignment="1"/>
    <xf numFmtId="0" fontId="44" fillId="0" borderId="309" xfId="0" applyFont="1" applyBorder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212" fillId="0" borderId="0" xfId="0" applyFont="1">
      <alignment vertical="center"/>
    </xf>
    <xf numFmtId="0" fontId="123" fillId="0" borderId="0" xfId="0" applyFont="1" applyBorder="1" applyAlignment="1">
      <alignment horizontal="center" vertical="center"/>
    </xf>
    <xf numFmtId="244" fontId="27" fillId="7" borderId="0" xfId="0" applyNumberFormat="1" applyFont="1" applyFill="1" applyBorder="1" applyAlignment="1">
      <alignment horizontal="center" vertical="center"/>
    </xf>
    <xf numFmtId="0" fontId="44" fillId="0" borderId="125" xfId="0" applyFont="1" applyBorder="1" applyAlignment="1">
      <alignment horizontal="center" vertical="center" wrapText="1"/>
    </xf>
    <xf numFmtId="183" fontId="43" fillId="0" borderId="132" xfId="0" applyNumberFormat="1" applyFont="1" applyFill="1" applyBorder="1" applyAlignment="1">
      <alignment horizontal="center" vertical="center"/>
    </xf>
    <xf numFmtId="183" fontId="43" fillId="0" borderId="141" xfId="0" applyNumberFormat="1" applyFont="1" applyFill="1" applyBorder="1" applyAlignment="1">
      <alignment horizontal="center" vertical="center"/>
    </xf>
    <xf numFmtId="183" fontId="43" fillId="0" borderId="145" xfId="0" applyNumberFormat="1" applyFont="1" applyFill="1" applyBorder="1" applyAlignment="1">
      <alignment horizontal="center" vertical="center"/>
    </xf>
    <xf numFmtId="183" fontId="188" fillId="7" borderId="48" xfId="2" applyNumberFormat="1" applyFont="1" applyFill="1" applyBorder="1" applyAlignment="1">
      <alignment horizontal="center" vertical="center" wrapText="1"/>
    </xf>
    <xf numFmtId="183" fontId="188" fillId="7" borderId="615" xfId="2" applyNumberFormat="1" applyFont="1" applyFill="1" applyBorder="1" applyAlignment="1">
      <alignment horizontal="center" vertical="center" wrapText="1"/>
    </xf>
    <xf numFmtId="183" fontId="187" fillId="7" borderId="615" xfId="2" applyNumberFormat="1" applyFont="1" applyFill="1" applyBorder="1" applyAlignment="1">
      <alignment horizontal="center" vertical="center" wrapText="1"/>
    </xf>
    <xf numFmtId="183" fontId="187" fillId="7" borderId="48" xfId="2" applyNumberFormat="1" applyFont="1" applyFill="1" applyBorder="1" applyAlignment="1">
      <alignment horizontal="center" vertical="center" wrapText="1"/>
    </xf>
    <xf numFmtId="4" fontId="188" fillId="7" borderId="48" xfId="2" applyNumberFormat="1" applyFont="1" applyFill="1" applyBorder="1" applyAlignment="1">
      <alignment horizontal="center" vertical="center"/>
    </xf>
    <xf numFmtId="3" fontId="188" fillId="7" borderId="615" xfId="2" applyNumberFormat="1" applyFont="1" applyFill="1" applyBorder="1" applyAlignment="1">
      <alignment horizontal="center" vertical="center"/>
    </xf>
    <xf numFmtId="4" fontId="57" fillId="7" borderId="615" xfId="2" applyNumberFormat="1" applyFont="1" applyFill="1" applyBorder="1" applyAlignment="1">
      <alignment horizontal="center" vertical="center"/>
    </xf>
    <xf numFmtId="4" fontId="188" fillId="7" borderId="615" xfId="2" applyNumberFormat="1" applyFont="1" applyFill="1" applyBorder="1" applyAlignment="1">
      <alignment horizontal="center" vertical="center"/>
    </xf>
    <xf numFmtId="4" fontId="187" fillId="7" borderId="615" xfId="2" applyNumberFormat="1" applyFont="1" applyFill="1" applyBorder="1" applyAlignment="1">
      <alignment horizontal="center" vertical="center"/>
    </xf>
    <xf numFmtId="4" fontId="176" fillId="125" borderId="615" xfId="2" applyNumberFormat="1" applyFont="1" applyFill="1" applyBorder="1" applyAlignment="1">
      <alignment horizontal="center" vertical="center" wrapText="1"/>
    </xf>
    <xf numFmtId="3" fontId="176" fillId="125" borderId="48" xfId="2" applyNumberFormat="1" applyFont="1" applyFill="1" applyBorder="1" applyAlignment="1">
      <alignment horizontal="center" vertical="center" wrapText="1"/>
    </xf>
    <xf numFmtId="183" fontId="188" fillId="7" borderId="615" xfId="2" applyNumberFormat="1" applyFont="1" applyFill="1" applyBorder="1" applyAlignment="1">
      <alignment horizontal="center" vertical="center"/>
    </xf>
    <xf numFmtId="183" fontId="187" fillId="7" borderId="615" xfId="2" applyNumberFormat="1" applyFont="1" applyFill="1" applyBorder="1" applyAlignment="1">
      <alignment horizontal="center" vertical="center"/>
    </xf>
    <xf numFmtId="4" fontId="187" fillId="0" borderId="37" xfId="2" applyNumberFormat="1" applyFont="1" applyFill="1" applyBorder="1" applyAlignment="1">
      <alignment horizontal="center" vertical="center"/>
    </xf>
    <xf numFmtId="4" fontId="187" fillId="0" borderId="615" xfId="2" applyNumberFormat="1" applyFont="1" applyFill="1" applyBorder="1" applyAlignment="1">
      <alignment horizontal="center" vertical="center"/>
    </xf>
    <xf numFmtId="183" fontId="187" fillId="0" borderId="615" xfId="2" applyNumberFormat="1" applyFont="1" applyFill="1" applyBorder="1" applyAlignment="1">
      <alignment horizontal="center" vertical="center"/>
    </xf>
    <xf numFmtId="4" fontId="187" fillId="7" borderId="48" xfId="2" applyNumberFormat="1" applyFont="1" applyFill="1" applyBorder="1" applyAlignment="1">
      <alignment horizontal="center" vertical="center"/>
    </xf>
    <xf numFmtId="4" fontId="188" fillId="7" borderId="37" xfId="2" applyNumberFormat="1" applyFont="1" applyFill="1" applyBorder="1" applyAlignment="1">
      <alignment horizontal="center" vertical="center"/>
    </xf>
    <xf numFmtId="0" fontId="176" fillId="125" borderId="650" xfId="0" quotePrefix="1" applyFont="1" applyFill="1" applyBorder="1" applyAlignment="1">
      <alignment horizontal="center" vertical="center"/>
    </xf>
    <xf numFmtId="183" fontId="176" fillId="125" borderId="652" xfId="2" applyNumberFormat="1" applyFont="1" applyFill="1" applyBorder="1" applyAlignment="1">
      <alignment horizontal="center" vertical="center" wrapText="1"/>
    </xf>
    <xf numFmtId="183" fontId="176" fillId="125" borderId="650" xfId="2" applyNumberFormat="1" applyFont="1" applyFill="1" applyBorder="1" applyAlignment="1">
      <alignment horizontal="center" vertical="center"/>
    </xf>
    <xf numFmtId="177" fontId="28" fillId="7" borderId="640" xfId="0" applyNumberFormat="1" applyFont="1" applyFill="1" applyBorder="1" applyAlignment="1">
      <alignment horizontal="center" vertical="center"/>
    </xf>
    <xf numFmtId="177" fontId="28" fillId="7" borderId="652" xfId="0" applyNumberFormat="1" applyFont="1" applyFill="1" applyBorder="1" applyAlignment="1">
      <alignment horizontal="center" vertical="center"/>
    </xf>
    <xf numFmtId="0" fontId="176" fillId="125" borderId="652" xfId="0" quotePrefix="1" applyFont="1" applyFill="1" applyBorder="1" applyAlignment="1">
      <alignment horizontal="center" vertical="center"/>
    </xf>
    <xf numFmtId="2" fontId="34" fillId="8" borderId="651" xfId="0" quotePrefix="1" applyNumberFormat="1" applyFont="1" applyFill="1" applyBorder="1" applyAlignment="1">
      <alignment horizontal="center" vertical="center"/>
    </xf>
    <xf numFmtId="4" fontId="28" fillId="7" borderId="640" xfId="2" applyNumberFormat="1" applyFont="1" applyFill="1" applyBorder="1" applyAlignment="1">
      <alignment horizontal="center" vertical="center"/>
    </xf>
    <xf numFmtId="183" fontId="28" fillId="0" borderId="652" xfId="2" applyNumberFormat="1" applyFont="1" applyFill="1" applyBorder="1" applyAlignment="1">
      <alignment horizontal="center" vertical="center"/>
    </xf>
    <xf numFmtId="183" fontId="176" fillId="125" borderId="652" xfId="2" applyNumberFormat="1" applyFont="1" applyFill="1" applyBorder="1" applyAlignment="1">
      <alignment horizontal="center" vertical="center"/>
    </xf>
    <xf numFmtId="3" fontId="176" fillId="125" borderId="653" xfId="2" applyNumberFormat="1" applyFont="1" applyFill="1" applyBorder="1" applyAlignment="1">
      <alignment horizontal="center" vertical="center" wrapText="1"/>
    </xf>
    <xf numFmtId="3" fontId="176" fillId="125" borderId="640" xfId="2" applyNumberFormat="1" applyFont="1" applyFill="1" applyBorder="1" applyAlignment="1">
      <alignment horizontal="center" vertical="center" wrapText="1"/>
    </xf>
    <xf numFmtId="3" fontId="176" fillId="125" borderId="650" xfId="2" applyNumberFormat="1" applyFont="1" applyFill="1" applyBorder="1" applyAlignment="1">
      <alignment horizontal="center" vertical="center" wrapText="1"/>
    </xf>
    <xf numFmtId="183" fontId="176" fillId="125" borderId="640" xfId="2" applyNumberFormat="1" applyFont="1" applyFill="1" applyBorder="1" applyAlignment="1">
      <alignment horizontal="center" vertical="center"/>
    </xf>
    <xf numFmtId="38" fontId="57" fillId="0" borderId="517" xfId="2" applyNumberFormat="1" applyFont="1" applyBorder="1" applyAlignment="1">
      <alignment horizontal="center" vertical="center"/>
    </xf>
    <xf numFmtId="3" fontId="57" fillId="15" borderId="603" xfId="2" quotePrefix="1" applyNumberFormat="1" applyFont="1" applyFill="1" applyBorder="1" applyAlignment="1">
      <alignment horizontal="center" vertical="center"/>
    </xf>
    <xf numFmtId="223" fontId="57" fillId="15" borderId="603" xfId="0" applyNumberFormat="1" applyFont="1" applyFill="1" applyBorder="1" applyAlignment="1">
      <alignment horizontal="center" vertical="center"/>
    </xf>
    <xf numFmtId="9" fontId="57" fillId="15" borderId="603" xfId="1" applyFont="1" applyFill="1" applyBorder="1" applyAlignment="1">
      <alignment horizontal="center" vertical="center"/>
    </xf>
    <xf numFmtId="3" fontId="57" fillId="15" borderId="609" xfId="2" quotePrefix="1" applyNumberFormat="1" applyFont="1" applyFill="1" applyBorder="1" applyAlignment="1">
      <alignment horizontal="center" vertical="center"/>
    </xf>
    <xf numFmtId="187" fontId="57" fillId="0" borderId="608" xfId="2" applyNumberFormat="1" applyFont="1" applyBorder="1" applyAlignment="1">
      <alignment horizontal="center" vertical="center"/>
    </xf>
    <xf numFmtId="226" fontId="57" fillId="0" borderId="608" xfId="2" applyNumberFormat="1" applyFont="1" applyBorder="1" applyAlignment="1">
      <alignment horizontal="center" vertical="center"/>
    </xf>
    <xf numFmtId="226" fontId="57" fillId="5" borderId="608" xfId="2" applyNumberFormat="1" applyFont="1" applyFill="1" applyBorder="1" applyAlignment="1">
      <alignment horizontal="center" vertical="center"/>
    </xf>
    <xf numFmtId="187" fontId="57" fillId="0" borderId="40" xfId="2" applyNumberFormat="1" applyFont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0" fontId="57" fillId="0" borderId="329" xfId="0" applyFont="1" applyFill="1" applyBorder="1" applyAlignment="1">
      <alignment horizontal="center" vertical="center"/>
    </xf>
    <xf numFmtId="223" fontId="171" fillId="7" borderId="228" xfId="0" applyNumberFormat="1" applyFont="1" applyFill="1" applyBorder="1" applyAlignment="1">
      <alignment horizontal="center" vertical="center"/>
    </xf>
    <xf numFmtId="223" fontId="171" fillId="15" borderId="228" xfId="0" applyNumberFormat="1" applyFont="1" applyFill="1" applyBorder="1" applyAlignment="1">
      <alignment horizontal="center" vertical="center"/>
    </xf>
    <xf numFmtId="187" fontId="57" fillId="7" borderId="64" xfId="2" applyNumberFormat="1" applyFont="1" applyFill="1" applyBorder="1" applyAlignment="1">
      <alignment horizontal="center" vertical="center"/>
    </xf>
    <xf numFmtId="187" fontId="57" fillId="7" borderId="47" xfId="2" applyNumberFormat="1" applyFont="1" applyFill="1" applyBorder="1" applyAlignment="1">
      <alignment horizontal="center" vertical="center"/>
    </xf>
    <xf numFmtId="223" fontId="171" fillId="0" borderId="226" xfId="0" applyNumberFormat="1" applyFont="1" applyBorder="1" applyAlignment="1">
      <alignment horizontal="center" vertical="center"/>
    </xf>
    <xf numFmtId="2" fontId="28" fillId="0" borderId="40" xfId="0" applyNumberFormat="1" applyFont="1" applyBorder="1" applyAlignment="1">
      <alignment horizontal="center" vertical="center"/>
    </xf>
    <xf numFmtId="4" fontId="57" fillId="0" borderId="608" xfId="2" applyNumberFormat="1" applyFont="1" applyBorder="1" applyAlignment="1">
      <alignment horizontal="center" vertical="center"/>
    </xf>
    <xf numFmtId="38" fontId="57" fillId="15" borderId="610" xfId="2" applyNumberFormat="1" applyFont="1" applyFill="1" applyBorder="1" applyAlignment="1">
      <alignment horizontal="center" vertical="center"/>
    </xf>
    <xf numFmtId="38" fontId="57" fillId="0" borderId="610" xfId="2" applyNumberFormat="1" applyFont="1" applyBorder="1" applyAlignment="1">
      <alignment horizontal="center" vertical="center"/>
    </xf>
    <xf numFmtId="38" fontId="57" fillId="0" borderId="602" xfId="2" applyNumberFormat="1" applyFont="1" applyBorder="1" applyAlignment="1">
      <alignment horizontal="center" vertical="center"/>
    </xf>
    <xf numFmtId="38" fontId="57" fillId="15" borderId="515" xfId="2" applyNumberFormat="1" applyFont="1" applyFill="1" applyBorder="1" applyAlignment="1">
      <alignment horizontal="center" vertical="center"/>
    </xf>
    <xf numFmtId="38" fontId="57" fillId="15" borderId="221" xfId="2" applyNumberFormat="1" applyFont="1" applyFill="1" applyBorder="1" applyAlignment="1">
      <alignment horizontal="center" vertical="center"/>
    </xf>
    <xf numFmtId="38" fontId="57" fillId="15" borderId="97" xfId="2" applyNumberFormat="1" applyFont="1" applyFill="1" applyBorder="1" applyAlignment="1">
      <alignment horizontal="center" vertical="center"/>
    </xf>
    <xf numFmtId="38" fontId="57" fillId="0" borderId="602" xfId="2" applyNumberFormat="1" applyFont="1" applyFill="1" applyBorder="1" applyAlignment="1">
      <alignment horizontal="center" vertical="center"/>
    </xf>
    <xf numFmtId="38" fontId="57" fillId="7" borderId="610" xfId="2" applyNumberFormat="1" applyFont="1" applyFill="1" applyBorder="1" applyAlignment="1">
      <alignment horizontal="center" vertical="center"/>
    </xf>
    <xf numFmtId="38" fontId="57" fillId="15" borderId="602" xfId="2" applyNumberFormat="1" applyFont="1" applyFill="1" applyBorder="1" applyAlignment="1">
      <alignment horizontal="center" vertical="center"/>
    </xf>
    <xf numFmtId="38" fontId="57" fillId="7" borderId="602" xfId="2" applyNumberFormat="1" applyFont="1" applyFill="1" applyBorder="1" applyAlignment="1">
      <alignment horizontal="center" vertical="center"/>
    </xf>
    <xf numFmtId="226" fontId="57" fillId="7" borderId="604" xfId="2" applyNumberFormat="1" applyFont="1" applyFill="1" applyBorder="1" applyAlignment="1">
      <alignment horizontal="center" vertical="center"/>
    </xf>
    <xf numFmtId="226" fontId="57" fillId="7" borderId="517" xfId="2" applyNumberFormat="1" applyFont="1" applyFill="1" applyBorder="1" applyAlignment="1">
      <alignment horizontal="center" vertical="center"/>
    </xf>
    <xf numFmtId="226" fontId="57" fillId="7" borderId="40" xfId="2" applyNumberFormat="1" applyFont="1" applyFill="1" applyBorder="1" applyAlignment="1">
      <alignment horizontal="center" vertical="center"/>
    </xf>
    <xf numFmtId="226" fontId="57" fillId="7" borderId="608" xfId="2" applyNumberFormat="1" applyFont="1" applyFill="1" applyBorder="1" applyAlignment="1">
      <alignment horizontal="center" vertical="center"/>
    </xf>
    <xf numFmtId="183" fontId="57" fillId="93" borderId="604" xfId="0" applyNumberFormat="1" applyFont="1" applyFill="1" applyBorder="1" applyAlignment="1">
      <alignment horizontal="center" vertical="center"/>
    </xf>
    <xf numFmtId="187" fontId="57" fillId="15" borderId="610" xfId="2" applyNumberFormat="1" applyFont="1" applyFill="1" applyBorder="1" applyAlignment="1">
      <alignment horizontal="center" vertical="center"/>
    </xf>
    <xf numFmtId="38" fontId="57" fillId="7" borderId="121" xfId="2" applyNumberFormat="1" applyFont="1" applyFill="1" applyBorder="1" applyAlignment="1">
      <alignment horizontal="center" vertical="center"/>
    </xf>
    <xf numFmtId="38" fontId="57" fillId="15" borderId="263" xfId="2" applyNumberFormat="1" applyFont="1" applyFill="1" applyBorder="1" applyAlignment="1">
      <alignment horizontal="center" vertical="center"/>
    </xf>
    <xf numFmtId="183" fontId="57" fillId="15" borderId="610" xfId="2" applyNumberFormat="1" applyFont="1" applyFill="1" applyBorder="1" applyAlignment="1">
      <alignment horizontal="center" vertical="center"/>
    </xf>
    <xf numFmtId="38" fontId="57" fillId="0" borderId="515" xfId="2" applyNumberFormat="1" applyFont="1" applyFill="1" applyBorder="1" applyAlignment="1">
      <alignment horizontal="center" vertical="center"/>
    </xf>
    <xf numFmtId="187" fontId="57" fillId="15" borderId="263" xfId="2" applyNumberFormat="1" applyFont="1" applyFill="1" applyBorder="1" applyAlignment="1">
      <alignment horizontal="center" vertical="center"/>
    </xf>
    <xf numFmtId="38" fontId="57" fillId="7" borderId="97" xfId="2" applyNumberFormat="1" applyFont="1" applyFill="1" applyBorder="1" applyAlignment="1">
      <alignment horizontal="center" vertical="center"/>
    </xf>
    <xf numFmtId="223" fontId="171" fillId="7" borderId="225" xfId="0" applyNumberFormat="1" applyFont="1" applyFill="1" applyBorder="1" applyAlignment="1">
      <alignment horizontal="center" vertical="center"/>
    </xf>
    <xf numFmtId="178" fontId="176" fillId="125" borderId="610" xfId="0" applyNumberFormat="1" applyFont="1" applyFill="1" applyBorder="1" applyAlignment="1">
      <alignment horizontal="center" vertical="center"/>
    </xf>
    <xf numFmtId="223" fontId="57" fillId="15" borderId="610" xfId="0" applyNumberFormat="1" applyFont="1" applyFill="1" applyBorder="1" applyAlignment="1">
      <alignment horizontal="center" vertical="center"/>
    </xf>
    <xf numFmtId="223" fontId="57" fillId="0" borderId="97" xfId="0" applyNumberFormat="1" applyFont="1" applyBorder="1" applyAlignment="1">
      <alignment horizontal="center" vertical="center"/>
    </xf>
    <xf numFmtId="223" fontId="57" fillId="0" borderId="602" xfId="0" applyNumberFormat="1" applyFont="1" applyBorder="1" applyAlignment="1">
      <alignment horizontal="center" vertical="center"/>
    </xf>
    <xf numFmtId="223" fontId="57" fillId="0" borderId="121" xfId="0" applyNumberFormat="1" applyFont="1" applyBorder="1" applyAlignment="1">
      <alignment horizontal="center" vertical="center"/>
    </xf>
    <xf numFmtId="223" fontId="57" fillId="15" borderId="515" xfId="0" quotePrefix="1" applyNumberFormat="1" applyFont="1" applyFill="1" applyBorder="1" applyAlignment="1">
      <alignment horizontal="center" vertical="center"/>
    </xf>
    <xf numFmtId="223" fontId="57" fillId="15" borderId="610" xfId="0" quotePrefix="1" applyNumberFormat="1" applyFont="1" applyFill="1" applyBorder="1" applyAlignment="1">
      <alignment horizontal="center" vertical="center"/>
    </xf>
    <xf numFmtId="223" fontId="57" fillId="5" borderId="515" xfId="0" applyNumberFormat="1" applyFont="1" applyFill="1" applyBorder="1" applyAlignment="1">
      <alignment horizontal="center" vertical="center"/>
    </xf>
    <xf numFmtId="223" fontId="57" fillId="0" borderId="121" xfId="0" applyNumberFormat="1" applyFont="1" applyFill="1" applyBorder="1" applyAlignment="1">
      <alignment horizontal="center" vertical="center"/>
    </xf>
    <xf numFmtId="223" fontId="57" fillId="0" borderId="610" xfId="0" applyNumberFormat="1" applyFont="1" applyFill="1" applyBorder="1" applyAlignment="1">
      <alignment horizontal="center" vertical="center"/>
    </xf>
    <xf numFmtId="223" fontId="57" fillId="0" borderId="515" xfId="0" applyNumberFormat="1" applyFont="1" applyFill="1" applyBorder="1" applyAlignment="1">
      <alignment horizontal="center" vertical="center"/>
    </xf>
    <xf numFmtId="223" fontId="57" fillId="0" borderId="221" xfId="0" applyNumberFormat="1" applyFont="1" applyBorder="1" applyAlignment="1">
      <alignment horizontal="center" vertical="center"/>
    </xf>
    <xf numFmtId="223" fontId="57" fillId="0" borderId="610" xfId="0" applyNumberFormat="1" applyFont="1" applyBorder="1" applyAlignment="1">
      <alignment horizontal="center" vertical="center"/>
    </xf>
    <xf numFmtId="223" fontId="57" fillId="0" borderId="515" xfId="0" applyNumberFormat="1" applyFont="1" applyBorder="1" applyAlignment="1">
      <alignment horizontal="center" vertical="center"/>
    </xf>
    <xf numFmtId="223" fontId="57" fillId="0" borderId="225" xfId="0" applyNumberFormat="1" applyFont="1" applyFill="1" applyBorder="1" applyAlignment="1">
      <alignment horizontal="center" vertical="center"/>
    </xf>
    <xf numFmtId="223" fontId="57" fillId="15" borderId="263" xfId="0" applyNumberFormat="1" applyFont="1" applyFill="1" applyBorder="1" applyAlignment="1">
      <alignment horizontal="center" vertical="center"/>
    </xf>
    <xf numFmtId="223" fontId="57" fillId="15" borderId="515" xfId="0" applyNumberFormat="1" applyFont="1" applyFill="1" applyBorder="1" applyAlignment="1">
      <alignment horizontal="center" vertical="center"/>
    </xf>
    <xf numFmtId="223" fontId="171" fillId="15" borderId="225" xfId="0" applyNumberFormat="1" applyFont="1" applyFill="1" applyBorder="1" applyAlignment="1">
      <alignment horizontal="center" vertical="center"/>
    </xf>
    <xf numFmtId="226" fontId="57" fillId="0" borderId="604" xfId="2" applyNumberFormat="1" applyFont="1" applyBorder="1" applyAlignment="1">
      <alignment horizontal="center" vertical="center"/>
    </xf>
    <xf numFmtId="38" fontId="57" fillId="0" borderId="610" xfId="2" applyNumberFormat="1" applyFont="1" applyFill="1" applyBorder="1" applyAlignment="1">
      <alignment horizontal="center" vertical="center"/>
    </xf>
    <xf numFmtId="38" fontId="57" fillId="15" borderId="121" xfId="2" applyNumberFormat="1" applyFont="1" applyFill="1" applyBorder="1" applyAlignment="1">
      <alignment horizontal="center" vertical="center"/>
    </xf>
    <xf numFmtId="0" fontId="176" fillId="125" borderId="604" xfId="0" quotePrefix="1" applyFont="1" applyFill="1" applyBorder="1" applyAlignment="1">
      <alignment horizontal="center" vertical="center"/>
    </xf>
    <xf numFmtId="38" fontId="57" fillId="0" borderId="221" xfId="2" applyNumberFormat="1" applyFont="1" applyBorder="1" applyAlignment="1">
      <alignment horizontal="center" vertical="center"/>
    </xf>
    <xf numFmtId="38" fontId="171" fillId="0" borderId="225" xfId="2" applyNumberFormat="1" applyFont="1" applyBorder="1" applyAlignment="1">
      <alignment horizontal="center" vertical="center"/>
    </xf>
    <xf numFmtId="0" fontId="57" fillId="0" borderId="611" xfId="0" applyFont="1" applyFill="1" applyBorder="1" applyAlignment="1">
      <alignment horizontal="center" vertical="center" wrapText="1"/>
    </xf>
    <xf numFmtId="0" fontId="176" fillId="125" borderId="121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31" fontId="171" fillId="0" borderId="206" xfId="0" applyNumberFormat="1" applyFont="1" applyBorder="1" applyAlignment="1">
      <alignment horizontal="right" vertical="center"/>
    </xf>
    <xf numFmtId="0" fontId="57" fillId="0" borderId="329" xfId="0" applyFont="1" applyFill="1" applyBorder="1" applyAlignment="1">
      <alignment horizontal="center" vertical="center"/>
    </xf>
    <xf numFmtId="0" fontId="176" fillId="125" borderId="283" xfId="0" applyFont="1" applyFill="1" applyBorder="1" applyAlignment="1">
      <alignment horizontal="center" vertical="center"/>
    </xf>
    <xf numFmtId="0" fontId="177" fillId="127" borderId="137" xfId="0" applyFont="1" applyFill="1" applyBorder="1" applyAlignment="1">
      <alignment horizontal="center" vertical="center"/>
    </xf>
    <xf numFmtId="0" fontId="177" fillId="127" borderId="202" xfId="0" applyFont="1" applyFill="1" applyBorder="1" applyAlignment="1">
      <alignment horizontal="center" vertical="center"/>
    </xf>
    <xf numFmtId="0" fontId="177" fillId="127" borderId="245" xfId="0" applyFont="1" applyFill="1" applyBorder="1" applyAlignment="1">
      <alignment horizontal="center" vertical="center"/>
    </xf>
    <xf numFmtId="0" fontId="177" fillId="127" borderId="97" xfId="0" applyFont="1" applyFill="1" applyBorder="1" applyAlignment="1">
      <alignment horizontal="center" vertical="center"/>
    </xf>
    <xf numFmtId="9" fontId="57" fillId="0" borderId="6" xfId="1" applyFont="1" applyBorder="1" applyAlignment="1">
      <alignment horizontal="center" vertical="center"/>
    </xf>
    <xf numFmtId="9" fontId="57" fillId="0" borderId="5" xfId="1" applyFont="1" applyBorder="1" applyAlignment="1">
      <alignment horizontal="center" vertical="center"/>
    </xf>
    <xf numFmtId="223" fontId="57" fillId="0" borderId="5" xfId="0" applyNumberFormat="1" applyFont="1" applyBorder="1" applyAlignment="1">
      <alignment horizontal="center" vertical="center"/>
    </xf>
    <xf numFmtId="223" fontId="57" fillId="0" borderId="6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57" fillId="15" borderId="5" xfId="0" applyFont="1" applyFill="1" applyBorder="1" applyAlignment="1">
      <alignment horizontal="center" vertical="center"/>
    </xf>
    <xf numFmtId="226" fontId="57" fillId="0" borderId="654" xfId="2" applyNumberFormat="1" applyFont="1" applyBorder="1" applyAlignment="1">
      <alignment horizontal="center" vertical="center"/>
    </xf>
    <xf numFmtId="187" fontId="57" fillId="0" borderId="655" xfId="2" applyNumberFormat="1" applyFont="1" applyBorder="1" applyAlignment="1">
      <alignment horizontal="center" vertical="center"/>
    </xf>
    <xf numFmtId="183" fontId="57" fillId="3" borderId="337" xfId="2" applyNumberFormat="1" applyFont="1" applyFill="1" applyBorder="1" applyAlignment="1">
      <alignment horizontal="center" vertical="center"/>
    </xf>
    <xf numFmtId="183" fontId="57" fillId="3" borderId="497" xfId="2" applyNumberFormat="1" applyFont="1" applyFill="1" applyBorder="1" applyAlignment="1">
      <alignment horizontal="center" vertical="center"/>
    </xf>
    <xf numFmtId="183" fontId="57" fillId="3" borderId="579" xfId="2" applyNumberFormat="1" applyFont="1" applyFill="1" applyBorder="1" applyAlignment="1">
      <alignment horizontal="center" vertical="center"/>
    </xf>
    <xf numFmtId="183" fontId="57" fillId="3" borderId="580" xfId="2" applyNumberFormat="1" applyFont="1" applyFill="1" applyBorder="1" applyAlignment="1">
      <alignment horizontal="center" vertical="center"/>
    </xf>
    <xf numFmtId="2" fontId="57" fillId="3" borderId="608" xfId="0" applyNumberFormat="1" applyFont="1" applyFill="1" applyBorder="1" applyAlignment="1">
      <alignment horizontal="center" vertical="center"/>
    </xf>
    <xf numFmtId="223" fontId="57" fillId="3" borderId="609" xfId="0" applyNumberFormat="1" applyFont="1" applyFill="1" applyBorder="1" applyAlignment="1">
      <alignment horizontal="center" vertical="center"/>
    </xf>
    <xf numFmtId="9" fontId="57" fillId="3" borderId="609" xfId="1" applyFont="1" applyFill="1" applyBorder="1" applyAlignment="1">
      <alignment horizontal="center" vertical="center"/>
    </xf>
    <xf numFmtId="0" fontId="57" fillId="3" borderId="611" xfId="0" applyFont="1" applyFill="1" applyBorder="1" applyAlignment="1">
      <alignment horizontal="center" vertical="center"/>
    </xf>
    <xf numFmtId="0" fontId="27" fillId="7" borderId="609" xfId="0" applyFont="1" applyFill="1" applyBorder="1" applyAlignment="1">
      <alignment horizontal="center" vertical="center"/>
    </xf>
    <xf numFmtId="179" fontId="27" fillId="5" borderId="609" xfId="3" applyNumberFormat="1" applyFont="1" applyFill="1" applyBorder="1" applyAlignment="1">
      <alignment horizontal="center" vertical="center"/>
    </xf>
    <xf numFmtId="179" fontId="27" fillId="3" borderId="609" xfId="3" applyNumberFormat="1" applyFont="1" applyFill="1" applyBorder="1" applyAlignment="1">
      <alignment horizontal="center" vertical="center"/>
    </xf>
    <xf numFmtId="38" fontId="27" fillId="7" borderId="609" xfId="3" applyNumberFormat="1" applyFont="1" applyFill="1" applyBorder="1" applyAlignment="1">
      <alignment horizontal="center" vertical="center"/>
    </xf>
    <xf numFmtId="38" fontId="27" fillId="7" borderId="609" xfId="3" quotePrefix="1" applyNumberFormat="1" applyFont="1" applyFill="1" applyBorder="1" applyAlignment="1">
      <alignment horizontal="center" vertical="center"/>
    </xf>
    <xf numFmtId="38" fontId="27" fillId="7" borderId="609" xfId="2" quotePrefix="1" applyNumberFormat="1" applyFont="1" applyFill="1" applyBorder="1" applyAlignment="1">
      <alignment horizontal="center" vertical="center"/>
    </xf>
    <xf numFmtId="223" fontId="27" fillId="7" borderId="216" xfId="2" quotePrefix="1" applyNumberFormat="1" applyFont="1" applyFill="1" applyBorder="1" applyAlignment="1">
      <alignment horizontal="center" vertical="center"/>
    </xf>
    <xf numFmtId="0" fontId="36" fillId="3" borderId="0" xfId="0" applyFont="1" applyFill="1" applyBorder="1" applyAlignment="1">
      <alignment horizontal="left" vertical="center"/>
    </xf>
    <xf numFmtId="0" fontId="27" fillId="3" borderId="0" xfId="0" applyFont="1" applyFill="1" applyBorder="1" applyAlignment="1">
      <alignment horizontal="center" vertical="center"/>
    </xf>
    <xf numFmtId="0" fontId="220" fillId="3" borderId="0" xfId="0" applyFont="1" applyFill="1" applyBorder="1" applyAlignment="1">
      <alignment horizontal="left" vertical="center"/>
    </xf>
    <xf numFmtId="223" fontId="57" fillId="3" borderId="610" xfId="0" applyNumberFormat="1" applyFont="1" applyFill="1" applyBorder="1" applyAlignment="1">
      <alignment horizontal="center" vertical="center"/>
    </xf>
    <xf numFmtId="0" fontId="176" fillId="125" borderId="287" xfId="0" applyFont="1" applyFill="1" applyBorder="1" applyAlignment="1">
      <alignment horizontal="center" vertical="center"/>
    </xf>
    <xf numFmtId="0" fontId="176" fillId="125" borderId="287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0" fontId="176" fillId="125" borderId="608" xfId="0" applyFont="1" applyFill="1" applyBorder="1" applyAlignment="1">
      <alignment horizontal="center" vertical="center" wrapText="1"/>
    </xf>
    <xf numFmtId="10" fontId="165" fillId="0" borderId="608" xfId="0" applyNumberFormat="1" applyFont="1" applyBorder="1" applyAlignment="1">
      <alignment horizontal="center" vertical="center" wrapText="1"/>
    </xf>
    <xf numFmtId="183" fontId="165" fillId="0" borderId="608" xfId="0" applyNumberFormat="1" applyFont="1" applyBorder="1" applyAlignment="1">
      <alignment horizontal="center" vertical="center" wrapText="1"/>
    </xf>
    <xf numFmtId="0" fontId="165" fillId="0" borderId="608" xfId="0" applyFont="1" applyBorder="1" applyAlignment="1">
      <alignment horizontal="center" vertical="center" wrapText="1"/>
    </xf>
    <xf numFmtId="0" fontId="176" fillId="125" borderId="608" xfId="0" applyFont="1" applyFill="1" applyBorder="1" applyAlignment="1">
      <alignment horizontal="center" vertical="center"/>
    </xf>
    <xf numFmtId="183" fontId="28" fillId="0" borderId="608" xfId="0" applyNumberFormat="1" applyFont="1" applyBorder="1" applyAlignment="1">
      <alignment horizontal="center" vertical="center"/>
    </xf>
    <xf numFmtId="183" fontId="176" fillId="125" borderId="608" xfId="0" applyNumberFormat="1" applyFont="1" applyFill="1" applyBorder="1" applyAlignment="1">
      <alignment horizontal="center" vertical="center"/>
    </xf>
    <xf numFmtId="0" fontId="28" fillId="0" borderId="608" xfId="0" applyFont="1" applyBorder="1" applyAlignment="1">
      <alignment horizontal="center" vertical="center" wrapText="1"/>
    </xf>
    <xf numFmtId="0" fontId="178" fillId="15" borderId="608" xfId="0" applyFont="1" applyFill="1" applyBorder="1" applyAlignment="1">
      <alignment horizontal="center" vertical="center" wrapText="1"/>
    </xf>
    <xf numFmtId="0" fontId="34" fillId="6" borderId="608" xfId="0" applyFont="1" applyFill="1" applyBorder="1" applyAlignment="1">
      <alignment horizontal="center" vertical="center"/>
    </xf>
    <xf numFmtId="0" fontId="178" fillId="15" borderId="609" xfId="0" applyFont="1" applyFill="1" applyBorder="1" applyAlignment="1">
      <alignment horizontal="center" vertical="center" wrapText="1"/>
    </xf>
    <xf numFmtId="0" fontId="34" fillId="6" borderId="609" xfId="0" applyFont="1" applyFill="1" applyBorder="1" applyAlignment="1">
      <alignment horizontal="center" vertical="center"/>
    </xf>
    <xf numFmtId="226" fontId="210" fillId="0" borderId="656" xfId="4124" applyNumberFormat="1" applyFont="1" applyFill="1" applyBorder="1" applyAlignment="1">
      <alignment horizontal="center" vertical="center"/>
    </xf>
    <xf numFmtId="226" fontId="210" fillId="0" borderId="518" xfId="4124" applyNumberFormat="1" applyFont="1" applyFill="1" applyBorder="1" applyAlignment="1">
      <alignment horizontal="center" vertical="center"/>
    </xf>
    <xf numFmtId="187" fontId="208" fillId="0" borderId="0" xfId="0" applyNumberFormat="1" applyFont="1" applyFill="1" applyBorder="1" applyAlignment="1">
      <alignment horizontal="left" vertical="center"/>
    </xf>
    <xf numFmtId="177" fontId="30" fillId="140" borderId="329" xfId="0" applyNumberFormat="1" applyFont="1" applyFill="1" applyBorder="1" applyAlignment="1">
      <alignment horizontal="center" vertical="center"/>
    </xf>
    <xf numFmtId="177" fontId="262" fillId="140" borderId="5" xfId="1" applyNumberFormat="1" applyFont="1" applyFill="1" applyBorder="1" applyAlignment="1">
      <alignment horizontal="center" vertical="center"/>
    </xf>
    <xf numFmtId="177" fontId="197" fillId="0" borderId="0" xfId="0" applyNumberFormat="1" applyFont="1" applyAlignment="1">
      <alignment horizontal="center" vertical="center"/>
    </xf>
    <xf numFmtId="4" fontId="28" fillId="0" borderId="608" xfId="2" applyNumberFormat="1" applyFont="1" applyFill="1" applyBorder="1" applyAlignment="1">
      <alignment horizontal="center" vertical="center"/>
    </xf>
    <xf numFmtId="183" fontId="176" fillId="125" borderId="608" xfId="2" applyNumberFormat="1" applyFont="1" applyFill="1" applyBorder="1" applyAlignment="1">
      <alignment horizontal="center" vertical="center"/>
    </xf>
    <xf numFmtId="178" fontId="176" fillId="125" borderId="516" xfId="2" applyNumberFormat="1" applyFont="1" applyFill="1" applyBorder="1" applyAlignment="1">
      <alignment horizontal="center" vertical="center"/>
    </xf>
    <xf numFmtId="9" fontId="188" fillId="7" borderId="467" xfId="1" applyFont="1" applyFill="1" applyBorder="1" applyAlignment="1">
      <alignment horizontal="center" vertical="center"/>
    </xf>
    <xf numFmtId="9" fontId="188" fillId="7" borderId="122" xfId="1" applyFont="1" applyFill="1" applyBorder="1" applyAlignment="1">
      <alignment horizontal="center" vertical="center"/>
    </xf>
    <xf numFmtId="0" fontId="176" fillId="125" borderId="228" xfId="0" applyFont="1" applyFill="1" applyBorder="1" applyAlignment="1">
      <alignment horizontal="center" vertical="center"/>
    </xf>
    <xf numFmtId="0" fontId="176" fillId="125" borderId="228" xfId="0" applyFont="1" applyFill="1" applyBorder="1" applyAlignment="1">
      <alignment horizontal="center" vertical="center" wrapText="1"/>
    </xf>
    <xf numFmtId="0" fontId="176" fillId="125" borderId="229" xfId="0" applyFont="1" applyFill="1" applyBorder="1" applyAlignment="1">
      <alignment horizontal="center" vertical="center" wrapText="1"/>
    </xf>
    <xf numFmtId="0" fontId="221" fillId="125" borderId="289" xfId="0" applyFont="1" applyFill="1" applyBorder="1" applyAlignment="1">
      <alignment horizontal="center" vertical="center" wrapText="1"/>
    </xf>
    <xf numFmtId="188" fontId="25" fillId="0" borderId="0" xfId="0" applyNumberFormat="1" applyFont="1">
      <alignment vertical="center"/>
    </xf>
    <xf numFmtId="185" fontId="57" fillId="0" borderId="334" xfId="0" applyNumberFormat="1" applyFont="1" applyFill="1" applyBorder="1" applyAlignment="1">
      <alignment horizontal="center" vertical="center"/>
    </xf>
    <xf numFmtId="187" fontId="176" fillId="125" borderId="376" xfId="0" applyNumberFormat="1" applyFont="1" applyFill="1" applyBorder="1" applyAlignment="1">
      <alignment horizontal="center" vertical="center"/>
    </xf>
    <xf numFmtId="187" fontId="176" fillId="125" borderId="216" xfId="0" applyNumberFormat="1" applyFont="1" applyFill="1" applyBorder="1" applyAlignment="1">
      <alignment horizontal="center" vertical="center"/>
    </xf>
    <xf numFmtId="183" fontId="187" fillId="7" borderId="608" xfId="2" applyNumberFormat="1" applyFont="1" applyFill="1" applyBorder="1" applyAlignment="1">
      <alignment horizontal="center" vertical="center" wrapText="1"/>
    </xf>
    <xf numFmtId="183" fontId="188" fillId="7" borderId="608" xfId="2" applyNumberFormat="1" applyFont="1" applyFill="1" applyBorder="1" applyAlignment="1">
      <alignment horizontal="center" vertical="center" wrapText="1"/>
    </xf>
    <xf numFmtId="183" fontId="176" fillId="125" borderId="604" xfId="2" applyNumberFormat="1" applyFont="1" applyFill="1" applyBorder="1" applyAlignment="1">
      <alignment horizontal="center" vertical="center" wrapText="1"/>
    </xf>
    <xf numFmtId="4" fontId="187" fillId="7" borderId="47" xfId="2" applyNumberFormat="1" applyFont="1" applyFill="1" applyBorder="1" applyAlignment="1">
      <alignment horizontal="center" vertical="center"/>
    </xf>
    <xf numFmtId="3" fontId="188" fillId="7" borderId="608" xfId="2" applyNumberFormat="1" applyFont="1" applyFill="1" applyBorder="1" applyAlignment="1">
      <alignment horizontal="center" vertical="center"/>
    </xf>
    <xf numFmtId="4" fontId="188" fillId="7" borderId="608" xfId="2" applyNumberFormat="1" applyFont="1" applyFill="1" applyBorder="1" applyAlignment="1">
      <alignment horizontal="center" vertical="center"/>
    </xf>
    <xf numFmtId="4" fontId="187" fillId="7" borderId="657" xfId="2" applyNumberFormat="1" applyFont="1" applyFill="1" applyBorder="1" applyAlignment="1">
      <alignment horizontal="center" vertical="center"/>
    </xf>
    <xf numFmtId="177" fontId="28" fillId="7" borderId="608" xfId="0" applyNumberFormat="1" applyFont="1" applyFill="1" applyBorder="1" applyAlignment="1">
      <alignment horizontal="center" vertical="center"/>
    </xf>
    <xf numFmtId="177" fontId="28" fillId="7" borderId="604" xfId="0" applyNumberFormat="1" applyFont="1" applyFill="1" applyBorder="1" applyAlignment="1">
      <alignment horizontal="center" vertical="center"/>
    </xf>
    <xf numFmtId="4" fontId="187" fillId="7" borderId="608" xfId="2" applyNumberFormat="1" applyFont="1" applyFill="1" applyBorder="1" applyAlignment="1">
      <alignment horizontal="center" vertical="center"/>
    </xf>
    <xf numFmtId="227" fontId="28" fillId="7" borderId="608" xfId="2" applyNumberFormat="1" applyFont="1" applyFill="1" applyBorder="1" applyAlignment="1">
      <alignment horizontal="center" vertical="center"/>
    </xf>
    <xf numFmtId="4" fontId="176" fillId="125" borderId="608" xfId="2" applyNumberFormat="1" applyFont="1" applyFill="1" applyBorder="1" applyAlignment="1">
      <alignment horizontal="center" vertical="center" wrapText="1"/>
    </xf>
    <xf numFmtId="183" fontId="176" fillId="125" borderId="604" xfId="2" applyNumberFormat="1" applyFont="1" applyFill="1" applyBorder="1" applyAlignment="1">
      <alignment horizontal="center" vertical="center"/>
    </xf>
    <xf numFmtId="3" fontId="187" fillId="7" borderId="47" xfId="2" applyNumberFormat="1" applyFont="1" applyFill="1" applyBorder="1" applyAlignment="1">
      <alignment horizontal="center" vertical="center"/>
    </xf>
    <xf numFmtId="3" fontId="187" fillId="7" borderId="608" xfId="2" applyNumberFormat="1" applyFont="1" applyFill="1" applyBorder="1" applyAlignment="1">
      <alignment horizontal="center" vertical="center"/>
    </xf>
    <xf numFmtId="3" fontId="28" fillId="7" borderId="608" xfId="2" applyNumberFormat="1" applyFont="1" applyFill="1" applyBorder="1" applyAlignment="1">
      <alignment horizontal="center" vertical="center"/>
    </xf>
    <xf numFmtId="183" fontId="187" fillId="7" borderId="608" xfId="2" applyNumberFormat="1" applyFont="1" applyFill="1" applyBorder="1" applyAlignment="1">
      <alignment horizontal="center" vertical="center"/>
    </xf>
    <xf numFmtId="4" fontId="187" fillId="0" borderId="40" xfId="2" applyNumberFormat="1" applyFont="1" applyFill="1" applyBorder="1" applyAlignment="1">
      <alignment horizontal="center" vertical="center"/>
    </xf>
    <xf numFmtId="4" fontId="187" fillId="0" borderId="608" xfId="2" applyNumberFormat="1" applyFont="1" applyFill="1" applyBorder="1" applyAlignment="1">
      <alignment horizontal="center" vertical="center"/>
    </xf>
    <xf numFmtId="4" fontId="188" fillId="0" borderId="608" xfId="2" applyNumberFormat="1" applyFont="1" applyFill="1" applyBorder="1" applyAlignment="1">
      <alignment horizontal="center" vertical="center"/>
    </xf>
    <xf numFmtId="183" fontId="187" fillId="0" borderId="608" xfId="2" applyNumberFormat="1" applyFont="1" applyFill="1" applyBorder="1" applyAlignment="1">
      <alignment horizontal="center" vertical="center"/>
    </xf>
    <xf numFmtId="4" fontId="188" fillId="7" borderId="40" xfId="2" applyNumberFormat="1" applyFont="1" applyFill="1" applyBorder="1" applyAlignment="1">
      <alignment horizontal="center" vertical="center"/>
    </xf>
    <xf numFmtId="2" fontId="57" fillId="3" borderId="609" xfId="0" applyNumberFormat="1" applyFont="1" applyFill="1" applyBorder="1" applyAlignment="1">
      <alignment horizontal="center" vertical="center"/>
    </xf>
    <xf numFmtId="0" fontId="176" fillId="125" borderId="517" xfId="0" applyFont="1" applyFill="1" applyBorder="1" applyAlignment="1">
      <alignment horizontal="center" vertical="center" wrapText="1"/>
    </xf>
    <xf numFmtId="0" fontId="165" fillId="0" borderId="635" xfId="0" applyFont="1" applyBorder="1" applyAlignment="1">
      <alignment horizontal="center" vertical="center" wrapText="1"/>
    </xf>
    <xf numFmtId="0" fontId="176" fillId="125" borderId="40" xfId="0" applyFont="1" applyFill="1" applyBorder="1" applyAlignment="1">
      <alignment horizontal="center" vertical="center"/>
    </xf>
    <xf numFmtId="0" fontId="188" fillId="0" borderId="0" xfId="0" applyFont="1" applyFill="1">
      <alignment vertical="center"/>
    </xf>
    <xf numFmtId="0" fontId="28" fillId="0" borderId="0" xfId="0" applyFont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185" fontId="28" fillId="0" borderId="0" xfId="0" applyNumberFormat="1" applyFont="1" applyAlignment="1">
      <alignment horizontal="center" vertical="center"/>
    </xf>
    <xf numFmtId="178" fontId="28" fillId="0" borderId="0" xfId="0" applyNumberFormat="1" applyFont="1" applyAlignment="1">
      <alignment horizontal="center" vertical="center"/>
    </xf>
    <xf numFmtId="0" fontId="28" fillId="0" borderId="609" xfId="0" applyFont="1" applyBorder="1" applyAlignment="1">
      <alignment horizontal="center" vertical="center"/>
    </xf>
    <xf numFmtId="0" fontId="176" fillId="125" borderId="518" xfId="0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3" fontId="34" fillId="0" borderId="608" xfId="0" applyNumberFormat="1" applyFont="1" applyBorder="1" applyAlignment="1">
      <alignment horizontal="center" vertical="center"/>
    </xf>
    <xf numFmtId="223" fontId="232" fillId="0" borderId="608" xfId="0" applyNumberFormat="1" applyFont="1" applyFill="1" applyBorder="1" applyAlignment="1">
      <alignment horizontal="center" vertical="center"/>
    </xf>
    <xf numFmtId="223" fontId="232" fillId="0" borderId="604" xfId="0" applyNumberFormat="1" applyFont="1" applyFill="1" applyBorder="1" applyAlignment="1">
      <alignment horizontal="center" vertical="center"/>
    </xf>
    <xf numFmtId="10" fontId="28" fillId="0" borderId="615" xfId="0" applyNumberFormat="1" applyFont="1" applyBorder="1" applyAlignment="1">
      <alignment horizontal="center" vertical="center" wrapText="1"/>
    </xf>
    <xf numFmtId="10" fontId="28" fillId="0" borderId="610" xfId="0" applyNumberFormat="1" applyFont="1" applyFill="1" applyBorder="1" applyAlignment="1">
      <alignment horizontal="center" vertical="center" wrapText="1"/>
    </xf>
    <xf numFmtId="10" fontId="28" fillId="0" borderId="611" xfId="0" applyNumberFormat="1" applyFont="1" applyFill="1" applyBorder="1" applyAlignment="1">
      <alignment horizontal="center" vertical="center" wrapText="1"/>
    </xf>
    <xf numFmtId="183" fontId="28" fillId="0" borderId="610" xfId="0" applyNumberFormat="1" applyFont="1" applyFill="1" applyBorder="1" applyAlignment="1">
      <alignment horizontal="center" vertical="center" wrapText="1"/>
    </xf>
    <xf numFmtId="183" fontId="28" fillId="0" borderId="611" xfId="0" applyNumberFormat="1" applyFont="1" applyFill="1" applyBorder="1" applyAlignment="1">
      <alignment horizontal="center" vertical="center" wrapText="1"/>
    </xf>
    <xf numFmtId="183" fontId="176" fillId="125" borderId="518" xfId="0" applyNumberFormat="1" applyFont="1" applyFill="1" applyBorder="1" applyAlignment="1">
      <alignment horizontal="center" vertical="center"/>
    </xf>
    <xf numFmtId="0" fontId="177" fillId="127" borderId="609" xfId="0" applyFont="1" applyFill="1" applyBorder="1" applyAlignment="1">
      <alignment horizontal="center" vertical="center"/>
    </xf>
    <xf numFmtId="183" fontId="28" fillId="0" borderId="609" xfId="0" applyNumberFormat="1" applyFont="1" applyBorder="1" applyAlignment="1">
      <alignment horizontal="center" vertical="center"/>
    </xf>
    <xf numFmtId="178" fontId="176" fillId="125" borderId="516" xfId="0" applyNumberFormat="1" applyFont="1" applyFill="1" applyBorder="1" applyAlignment="1">
      <alignment horizontal="center" vertical="center"/>
    </xf>
    <xf numFmtId="178" fontId="176" fillId="125" borderId="517" xfId="0" applyNumberFormat="1" applyFont="1" applyFill="1" applyBorder="1" applyAlignment="1">
      <alignment horizontal="center" vertical="center"/>
    </xf>
    <xf numFmtId="178" fontId="176" fillId="125" borderId="512" xfId="0" applyNumberFormat="1" applyFont="1" applyFill="1" applyBorder="1" applyAlignment="1">
      <alignment horizontal="center" vertical="center"/>
    </xf>
    <xf numFmtId="3" fontId="176" fillId="125" borderId="519" xfId="0" applyNumberFormat="1" applyFont="1" applyFill="1" applyBorder="1" applyAlignment="1">
      <alignment horizontal="center" vertical="center"/>
    </xf>
    <xf numFmtId="38" fontId="176" fillId="125" borderId="516" xfId="0" applyNumberFormat="1" applyFont="1" applyFill="1" applyBorder="1" applyAlignment="1">
      <alignment horizontal="center" vertical="center"/>
    </xf>
    <xf numFmtId="178" fontId="28" fillId="0" borderId="610" xfId="0" applyNumberFormat="1" applyFont="1" applyBorder="1" applyAlignment="1">
      <alignment horizontal="center" vertical="center" wrapText="1"/>
    </xf>
    <xf numFmtId="223" fontId="165" fillId="0" borderId="616" xfId="0" applyNumberFormat="1" applyFont="1" applyBorder="1" applyAlignment="1">
      <alignment horizontal="center" vertical="center" wrapText="1"/>
    </xf>
    <xf numFmtId="223" fontId="165" fillId="0" borderId="609" xfId="0" applyNumberFormat="1" applyFont="1" applyBorder="1" applyAlignment="1">
      <alignment horizontal="center" vertical="center" wrapText="1"/>
    </xf>
    <xf numFmtId="225" fontId="57" fillId="0" borderId="611" xfId="0" applyNumberFormat="1" applyFont="1" applyBorder="1" applyAlignment="1">
      <alignment horizontal="center" vertical="center"/>
    </xf>
    <xf numFmtId="0" fontId="176" fillId="125" borderId="517" xfId="0" applyFont="1" applyFill="1" applyBorder="1" applyAlignment="1">
      <alignment horizontal="center" vertical="center"/>
    </xf>
    <xf numFmtId="0" fontId="176" fillId="125" borderId="512" xfId="0" applyFont="1" applyFill="1" applyBorder="1" applyAlignment="1">
      <alignment horizontal="center" vertical="center"/>
    </xf>
    <xf numFmtId="223" fontId="176" fillId="125" borderId="519" xfId="0" applyNumberFormat="1" applyFont="1" applyFill="1" applyBorder="1" applyAlignment="1">
      <alignment horizontal="center" vertical="center"/>
    </xf>
    <xf numFmtId="228" fontId="28" fillId="0" borderId="611" xfId="0" applyNumberFormat="1" applyFont="1" applyBorder="1" applyAlignment="1">
      <alignment horizontal="center" vertical="center" wrapText="1"/>
    </xf>
    <xf numFmtId="230" fontId="176" fillId="125" borderId="518" xfId="0" applyNumberFormat="1" applyFont="1" applyFill="1" applyBorder="1" applyAlignment="1">
      <alignment horizontal="center" vertical="center"/>
    </xf>
    <xf numFmtId="223" fontId="57" fillId="0" borderId="601" xfId="0" applyNumberFormat="1" applyFont="1" applyBorder="1" applyAlignment="1">
      <alignment horizontal="center" vertical="center"/>
    </xf>
    <xf numFmtId="9" fontId="176" fillId="128" borderId="207" xfId="1" applyFont="1" applyFill="1" applyBorder="1" applyAlignment="1">
      <alignment horizontal="center" vertical="center" wrapText="1"/>
    </xf>
    <xf numFmtId="9" fontId="188" fillId="0" borderId="260" xfId="1" applyFont="1" applyBorder="1" applyAlignment="1">
      <alignment horizontal="center" vertical="center" wrapText="1"/>
    </xf>
    <xf numFmtId="3" fontId="28" fillId="0" borderId="84" xfId="0" applyNumberFormat="1" applyFont="1" applyBorder="1" applyAlignment="1">
      <alignment horizontal="center" vertical="center" wrapText="1"/>
    </xf>
    <xf numFmtId="9" fontId="187" fillId="0" borderId="260" xfId="1" applyFont="1" applyBorder="1" applyAlignment="1">
      <alignment horizontal="center" vertical="center" wrapText="1"/>
    </xf>
    <xf numFmtId="187" fontId="43" fillId="0" borderId="616" xfId="0" applyNumberFormat="1" applyFont="1" applyBorder="1" applyAlignment="1">
      <alignment horizontal="center"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183" fontId="57" fillId="7" borderId="471" xfId="2" applyNumberFormat="1" applyFont="1" applyFill="1" applyBorder="1" applyAlignment="1">
      <alignment horizontal="center" vertical="center"/>
    </xf>
    <xf numFmtId="4" fontId="188" fillId="7" borderId="47" xfId="2" applyNumberFormat="1" applyFont="1" applyFill="1" applyBorder="1" applyAlignment="1">
      <alignment horizontal="center" vertical="center"/>
    </xf>
    <xf numFmtId="227" fontId="188" fillId="7" borderId="608" xfId="2" applyNumberFormat="1" applyFont="1" applyFill="1" applyBorder="1" applyAlignment="1">
      <alignment horizontal="center" vertical="center"/>
    </xf>
    <xf numFmtId="183" fontId="188" fillId="0" borderId="608" xfId="2" applyNumberFormat="1" applyFont="1" applyFill="1" applyBorder="1" applyAlignment="1">
      <alignment horizontal="center" vertical="center"/>
    </xf>
    <xf numFmtId="183" fontId="188" fillId="0" borderId="40" xfId="2" applyNumberFormat="1" applyFont="1" applyFill="1" applyBorder="1" applyAlignment="1">
      <alignment horizontal="center" vertical="center"/>
    </xf>
    <xf numFmtId="183" fontId="187" fillId="0" borderId="47" xfId="2" applyNumberFormat="1" applyFont="1" applyFill="1" applyBorder="1" applyAlignment="1">
      <alignment horizontal="center" vertical="center"/>
    </xf>
    <xf numFmtId="4" fontId="187" fillId="7" borderId="40" xfId="2" applyNumberFormat="1" applyFont="1" applyFill="1" applyBorder="1" applyAlignment="1">
      <alignment horizontal="center" vertical="center"/>
    </xf>
    <xf numFmtId="3" fontId="28" fillId="0" borderId="608" xfId="2" applyNumberFormat="1" applyFont="1" applyBorder="1" applyAlignment="1">
      <alignment horizontal="center" vertical="center"/>
    </xf>
    <xf numFmtId="183" fontId="28" fillId="0" borderId="608" xfId="2" applyNumberFormat="1" applyFont="1" applyBorder="1" applyAlignment="1">
      <alignment horizontal="center" vertical="center"/>
    </xf>
    <xf numFmtId="187" fontId="171" fillId="0" borderId="288" xfId="0" applyNumberFormat="1" applyFont="1" applyBorder="1" applyAlignment="1">
      <alignment horizontal="center" vertical="center"/>
    </xf>
    <xf numFmtId="0" fontId="176" fillId="125" borderId="627" xfId="0" quotePrefix="1" applyFont="1" applyFill="1" applyBorder="1" applyAlignment="1">
      <alignment horizontal="center" vertical="center"/>
    </xf>
    <xf numFmtId="3" fontId="57" fillId="0" borderId="471" xfId="2" applyNumberFormat="1" applyFont="1" applyBorder="1" applyAlignment="1">
      <alignment horizontal="center" vertical="center"/>
    </xf>
    <xf numFmtId="183" fontId="57" fillId="0" borderId="471" xfId="2" applyNumberFormat="1" applyFont="1" applyBorder="1" applyAlignment="1">
      <alignment horizontal="center" vertical="center"/>
    </xf>
    <xf numFmtId="183" fontId="57" fillId="0" borderId="636" xfId="2" applyNumberFormat="1" applyFont="1" applyBorder="1" applyAlignment="1">
      <alignment horizontal="center" vertical="center"/>
    </xf>
    <xf numFmtId="183" fontId="57" fillId="0" borderId="633" xfId="2" applyNumberFormat="1" applyFont="1" applyBorder="1" applyAlignment="1">
      <alignment horizontal="center" vertical="center"/>
    </xf>
    <xf numFmtId="183" fontId="57" fillId="0" borderId="634" xfId="2" applyNumberFormat="1" applyFont="1" applyBorder="1" applyAlignment="1">
      <alignment horizontal="center" vertical="center"/>
    </xf>
    <xf numFmtId="183" fontId="57" fillId="0" borderId="635" xfId="0" applyNumberFormat="1" applyFont="1" applyBorder="1" applyAlignment="1">
      <alignment horizontal="center" vertical="center"/>
    </xf>
    <xf numFmtId="183" fontId="57" fillId="0" borderId="471" xfId="0" applyNumberFormat="1" applyFont="1" applyBorder="1" applyAlignment="1">
      <alignment horizontal="center" vertical="center"/>
    </xf>
    <xf numFmtId="178" fontId="57" fillId="0" borderId="471" xfId="2" applyNumberFormat="1" applyFont="1" applyBorder="1" applyAlignment="1">
      <alignment horizontal="center" vertical="center"/>
    </xf>
    <xf numFmtId="2" fontId="57" fillId="0" borderId="636" xfId="0" applyNumberFormat="1" applyFont="1" applyBorder="1" applyAlignment="1">
      <alignment horizontal="center" vertical="center"/>
    </xf>
    <xf numFmtId="2" fontId="57" fillId="5" borderId="636" xfId="0" applyNumberFormat="1" applyFont="1" applyFill="1" applyBorder="1" applyAlignment="1">
      <alignment horizontal="center" vertical="center"/>
    </xf>
    <xf numFmtId="183" fontId="57" fillId="7" borderId="637" xfId="2" applyNumberFormat="1" applyFont="1" applyFill="1" applyBorder="1" applyAlignment="1">
      <alignment horizontal="center" vertical="center"/>
    </xf>
    <xf numFmtId="183" fontId="57" fillId="0" borderId="636" xfId="2" applyNumberFormat="1" applyFont="1" applyFill="1" applyBorder="1" applyAlignment="1">
      <alignment horizontal="center" vertical="center"/>
    </xf>
    <xf numFmtId="178" fontId="57" fillId="0" borderId="636" xfId="2" applyNumberFormat="1" applyFont="1" applyFill="1" applyBorder="1" applyAlignment="1">
      <alignment horizontal="center" vertical="center" wrapText="1"/>
    </xf>
    <xf numFmtId="183" fontId="57" fillId="0" borderId="636" xfId="2" applyNumberFormat="1" applyFont="1" applyFill="1" applyBorder="1" applyAlignment="1">
      <alignment horizontal="center" vertical="center" wrapText="1"/>
    </xf>
    <xf numFmtId="187" fontId="57" fillId="7" borderId="471" xfId="2" applyNumberFormat="1" applyFont="1" applyFill="1" applyBorder="1" applyAlignment="1">
      <alignment horizontal="center" vertical="center"/>
    </xf>
    <xf numFmtId="187" fontId="57" fillId="7" borderId="634" xfId="2" applyNumberFormat="1" applyFont="1" applyFill="1" applyBorder="1" applyAlignment="1">
      <alignment horizontal="center" vertical="center"/>
    </xf>
    <xf numFmtId="183" fontId="57" fillId="7" borderId="635" xfId="2" applyNumberFormat="1" applyFont="1" applyFill="1" applyBorder="1" applyAlignment="1">
      <alignment horizontal="center" vertical="center"/>
    </xf>
    <xf numFmtId="178" fontId="57" fillId="7" borderId="471" xfId="2" applyNumberFormat="1" applyFont="1" applyFill="1" applyBorder="1" applyAlignment="1">
      <alignment horizontal="center" vertical="center"/>
    </xf>
    <xf numFmtId="187" fontId="57" fillId="0" borderId="471" xfId="2" applyNumberFormat="1" applyFont="1" applyFill="1" applyBorder="1" applyAlignment="1">
      <alignment horizontal="center" vertical="center"/>
    </xf>
    <xf numFmtId="178" fontId="57" fillId="7" borderId="636" xfId="2" applyNumberFormat="1" applyFont="1" applyFill="1" applyBorder="1" applyAlignment="1">
      <alignment horizontal="center" vertical="center"/>
    </xf>
    <xf numFmtId="178" fontId="57" fillId="7" borderId="637" xfId="2" applyNumberFormat="1" applyFont="1" applyFill="1" applyBorder="1" applyAlignment="1">
      <alignment horizontal="center" vertical="center"/>
    </xf>
    <xf numFmtId="187" fontId="57" fillId="7" borderId="633" xfId="2" applyNumberFormat="1" applyFont="1" applyFill="1" applyBorder="1" applyAlignment="1">
      <alignment horizontal="center" vertical="center"/>
    </xf>
    <xf numFmtId="187" fontId="57" fillId="7" borderId="658" xfId="2" applyNumberFormat="1" applyFont="1" applyFill="1" applyBorder="1" applyAlignment="1">
      <alignment horizontal="center" vertical="center"/>
    </xf>
    <xf numFmtId="183" fontId="57" fillId="93" borderId="607" xfId="0" applyNumberFormat="1" applyFont="1" applyFill="1" applyBorder="1" applyAlignment="1">
      <alignment horizontal="center" vertical="center"/>
    </xf>
    <xf numFmtId="187" fontId="57" fillId="7" borderId="616" xfId="2" applyNumberFormat="1" applyFont="1" applyFill="1" applyBorder="1" applyAlignment="1">
      <alignment horizontal="center" vertical="center"/>
    </xf>
    <xf numFmtId="183" fontId="57" fillId="0" borderId="519" xfId="0" applyNumberFormat="1" applyFont="1" applyBorder="1" applyAlignment="1">
      <alignment horizontal="center" vertical="center"/>
    </xf>
    <xf numFmtId="183" fontId="57" fillId="7" borderId="636" xfId="2" applyNumberFormat="1" applyFont="1" applyFill="1" applyBorder="1" applyAlignment="1">
      <alignment horizontal="center" vertical="center"/>
    </xf>
    <xf numFmtId="183" fontId="57" fillId="7" borderId="633" xfId="2" applyNumberFormat="1" applyFont="1" applyFill="1" applyBorder="1" applyAlignment="1">
      <alignment horizontal="center" vertical="center"/>
    </xf>
    <xf numFmtId="183" fontId="57" fillId="7" borderId="634" xfId="2" applyNumberFormat="1" applyFont="1" applyFill="1" applyBorder="1" applyAlignment="1">
      <alignment horizontal="center" vertical="center"/>
    </xf>
    <xf numFmtId="183" fontId="57" fillId="0" borderId="659" xfId="0" applyNumberFormat="1" applyFont="1" applyBorder="1" applyAlignment="1">
      <alignment horizontal="center" vertical="center"/>
    </xf>
    <xf numFmtId="183" fontId="57" fillId="7" borderId="658" xfId="2" applyNumberFormat="1" applyFont="1" applyFill="1" applyBorder="1" applyAlignment="1">
      <alignment horizontal="center" vertical="center"/>
    </xf>
    <xf numFmtId="183" fontId="57" fillId="93" borderId="636" xfId="0" applyNumberFormat="1" applyFont="1" applyFill="1" applyBorder="1" applyAlignment="1">
      <alignment horizontal="center" vertical="center"/>
    </xf>
    <xf numFmtId="183" fontId="57" fillId="0" borderId="634" xfId="0" applyNumberFormat="1" applyFont="1" applyBorder="1" applyAlignment="1">
      <alignment horizontal="center" vertical="center"/>
    </xf>
    <xf numFmtId="185" fontId="57" fillId="0" borderId="658" xfId="0" applyNumberFormat="1" applyFont="1" applyFill="1" applyBorder="1" applyAlignment="1">
      <alignment horizontal="center" vertical="center"/>
    </xf>
    <xf numFmtId="2" fontId="57" fillId="0" borderId="636" xfId="0" applyNumberFormat="1" applyFont="1" applyFill="1" applyBorder="1" applyAlignment="1">
      <alignment horizontal="center" vertical="center"/>
    </xf>
    <xf numFmtId="185" fontId="57" fillId="0" borderId="636" xfId="0" applyNumberFormat="1" applyFont="1" applyFill="1" applyBorder="1" applyAlignment="1">
      <alignment horizontal="center" vertical="center"/>
    </xf>
    <xf numFmtId="2" fontId="28" fillId="0" borderId="634" xfId="0" applyNumberFormat="1" applyFont="1" applyFill="1" applyBorder="1" applyAlignment="1">
      <alignment horizontal="center" vertical="center"/>
    </xf>
    <xf numFmtId="187" fontId="57" fillId="7" borderId="660" xfId="2" applyNumberFormat="1" applyFont="1" applyFill="1" applyBorder="1" applyAlignment="1">
      <alignment horizontal="center" vertical="center"/>
    </xf>
    <xf numFmtId="183" fontId="57" fillId="7" borderId="661" xfId="2" applyNumberFormat="1" applyFont="1" applyFill="1" applyBorder="1" applyAlignment="1">
      <alignment horizontal="center" vertical="center"/>
    </xf>
    <xf numFmtId="178" fontId="57" fillId="7" borderId="662" xfId="0" applyNumberFormat="1" applyFont="1" applyFill="1" applyBorder="1" applyAlignment="1">
      <alignment horizontal="center" vertical="center"/>
    </xf>
    <xf numFmtId="187" fontId="57" fillId="7" borderId="659" xfId="0" applyNumberFormat="1" applyFont="1" applyFill="1" applyBorder="1" applyAlignment="1">
      <alignment horizontal="center" vertical="center"/>
    </xf>
    <xf numFmtId="226" fontId="57" fillId="7" borderId="661" xfId="2" applyNumberFormat="1" applyFont="1" applyFill="1" applyBorder="1" applyAlignment="1">
      <alignment horizontal="center" vertical="center"/>
    </xf>
    <xf numFmtId="226" fontId="57" fillId="0" borderId="636" xfId="2" applyNumberFormat="1" applyFont="1" applyFill="1" applyBorder="1" applyAlignment="1">
      <alignment horizontal="center" vertical="center"/>
    </xf>
    <xf numFmtId="187" fontId="57" fillId="0" borderId="634" xfId="2" applyNumberFormat="1" applyFont="1" applyFill="1" applyBorder="1" applyAlignment="1">
      <alignment horizontal="center" vertical="center"/>
    </xf>
    <xf numFmtId="223" fontId="171" fillId="7" borderId="638" xfId="0" applyNumberFormat="1" applyFont="1" applyFill="1" applyBorder="1" applyAlignment="1">
      <alignment horizontal="center" vertical="center"/>
    </xf>
    <xf numFmtId="3" fontId="57" fillId="0" borderId="471" xfId="0" applyNumberFormat="1" applyFont="1" applyBorder="1" applyAlignment="1">
      <alignment horizontal="center" vertical="center"/>
    </xf>
    <xf numFmtId="2" fontId="57" fillId="0" borderId="471" xfId="0" applyNumberFormat="1" applyFont="1" applyBorder="1" applyAlignment="1">
      <alignment horizontal="center" vertical="center"/>
    </xf>
    <xf numFmtId="2" fontId="57" fillId="0" borderId="633" xfId="0" applyNumberFormat="1" applyFont="1" applyBorder="1" applyAlignment="1">
      <alignment horizontal="center" vertical="center"/>
    </xf>
    <xf numFmtId="4" fontId="57" fillId="0" borderId="634" xfId="0" applyNumberFormat="1" applyFont="1" applyBorder="1" applyAlignment="1">
      <alignment horizontal="center" vertical="center"/>
    </xf>
    <xf numFmtId="2" fontId="28" fillId="0" borderId="471" xfId="0" applyNumberFormat="1" applyFont="1" applyBorder="1" applyAlignment="1">
      <alignment horizontal="center" vertical="center"/>
    </xf>
    <xf numFmtId="2" fontId="28" fillId="0" borderId="471" xfId="0" applyNumberFormat="1" applyFont="1" applyFill="1" applyBorder="1" applyAlignment="1">
      <alignment horizontal="center" vertical="center"/>
    </xf>
    <xf numFmtId="187" fontId="57" fillId="0" borderId="471" xfId="0" applyNumberFormat="1" applyFont="1" applyBorder="1" applyAlignment="1">
      <alignment horizontal="center" vertical="center"/>
    </xf>
    <xf numFmtId="2" fontId="28" fillId="5" borderId="634" xfId="0" applyNumberFormat="1" applyFont="1" applyFill="1" applyBorder="1" applyAlignment="1">
      <alignment horizontal="center" vertical="center"/>
    </xf>
    <xf numFmtId="1" fontId="57" fillId="0" borderId="635" xfId="0" applyNumberFormat="1" applyFont="1" applyFill="1" applyBorder="1" applyAlignment="1">
      <alignment horizontal="center" vertical="center"/>
    </xf>
    <xf numFmtId="2" fontId="57" fillId="0" borderId="471" xfId="0" applyNumberFormat="1" applyFont="1" applyFill="1" applyBorder="1" applyAlignment="1">
      <alignment horizontal="center" vertical="center"/>
    </xf>
    <xf numFmtId="1" fontId="57" fillId="0" borderId="471" xfId="0" applyNumberFormat="1" applyFont="1" applyFill="1" applyBorder="1" applyAlignment="1">
      <alignment horizontal="center" vertical="center"/>
    </xf>
    <xf numFmtId="176" fontId="57" fillId="0" borderId="471" xfId="0" applyNumberFormat="1" applyFont="1" applyFill="1" applyBorder="1" applyAlignment="1">
      <alignment horizontal="center" vertical="center"/>
    </xf>
    <xf numFmtId="176" fontId="57" fillId="0" borderId="634" xfId="0" applyNumberFormat="1" applyFont="1" applyFill="1" applyBorder="1" applyAlignment="1">
      <alignment horizontal="center" vertical="center"/>
    </xf>
    <xf numFmtId="2" fontId="57" fillId="0" borderId="635" xfId="0" applyNumberFormat="1" applyFont="1" applyBorder="1" applyAlignment="1">
      <alignment horizontal="center" vertical="center"/>
    </xf>
    <xf numFmtId="177" fontId="57" fillId="0" borderId="471" xfId="0" applyNumberFormat="1" applyFont="1" applyBorder="1" applyAlignment="1">
      <alignment horizontal="center" vertical="center"/>
    </xf>
    <xf numFmtId="2" fontId="57" fillId="0" borderId="634" xfId="0" applyNumberFormat="1" applyFont="1" applyBorder="1" applyAlignment="1">
      <alignment horizontal="center" vertical="center"/>
    </xf>
    <xf numFmtId="2" fontId="57" fillId="0" borderId="658" xfId="0" applyNumberFormat="1" applyFont="1" applyFill="1" applyBorder="1" applyAlignment="1">
      <alignment horizontal="center" vertical="center"/>
    </xf>
    <xf numFmtId="3" fontId="57" fillId="0" borderId="637" xfId="0" applyNumberFormat="1" applyFont="1" applyFill="1" applyBorder="1" applyAlignment="1">
      <alignment horizontal="center" vertical="center"/>
    </xf>
    <xf numFmtId="3" fontId="57" fillId="0" borderId="636" xfId="0" applyNumberFormat="1" applyFont="1" applyBorder="1" applyAlignment="1">
      <alignment horizontal="center" vertical="center"/>
    </xf>
    <xf numFmtId="3" fontId="57" fillId="0" borderId="659" xfId="0" applyNumberFormat="1" applyFont="1" applyBorder="1" applyAlignment="1">
      <alignment horizontal="center" vertical="center"/>
    </xf>
    <xf numFmtId="3" fontId="57" fillId="0" borderId="634" xfId="0" applyNumberFormat="1" applyFont="1" applyBorder="1" applyAlignment="1">
      <alignment horizontal="center" vertical="center"/>
    </xf>
    <xf numFmtId="2" fontId="57" fillId="0" borderId="228" xfId="0" applyNumberFormat="1" applyFont="1" applyBorder="1" applyAlignment="1">
      <alignment horizontal="center" vertical="center"/>
    </xf>
    <xf numFmtId="2" fontId="57" fillId="3" borderId="616" xfId="0" applyNumberFormat="1" applyFont="1" applyFill="1" applyBorder="1" applyAlignment="1">
      <alignment horizontal="center" vertical="center"/>
    </xf>
    <xf numFmtId="2" fontId="57" fillId="3" borderId="471" xfId="0" applyNumberFormat="1" applyFont="1" applyFill="1" applyBorder="1" applyAlignment="1">
      <alignment horizontal="center" vertical="center"/>
    </xf>
    <xf numFmtId="178" fontId="57" fillId="0" borderId="604" xfId="0" applyNumberFormat="1" applyFont="1" applyFill="1" applyBorder="1" applyAlignment="1">
      <alignment horizontal="center" vertical="center"/>
    </xf>
    <xf numFmtId="226" fontId="57" fillId="0" borderId="615" xfId="2" applyNumberFormat="1" applyFont="1" applyBorder="1" applyAlignment="1">
      <alignment horizontal="center" vertical="center"/>
    </xf>
    <xf numFmtId="226" fontId="28" fillId="7" borderId="616" xfId="2" applyNumberFormat="1" applyFont="1" applyFill="1" applyBorder="1" applyAlignment="1">
      <alignment horizontal="center" vertical="center"/>
    </xf>
    <xf numFmtId="187" fontId="57" fillId="0" borderId="471" xfId="2" applyNumberFormat="1" applyFont="1" applyBorder="1" applyAlignment="1">
      <alignment horizontal="center" vertical="center"/>
    </xf>
    <xf numFmtId="226" fontId="57" fillId="0" borderId="471" xfId="2" applyNumberFormat="1" applyFont="1" applyBorder="1" applyAlignment="1">
      <alignment horizontal="center" vertical="center"/>
    </xf>
    <xf numFmtId="226" fontId="57" fillId="0" borderId="636" xfId="2" applyNumberFormat="1" applyFont="1" applyBorder="1" applyAlignment="1">
      <alignment horizontal="center" vertical="center"/>
    </xf>
    <xf numFmtId="226" fontId="57" fillId="0" borderId="633" xfId="2" applyNumberFormat="1" applyFont="1" applyBorder="1" applyAlignment="1">
      <alignment horizontal="center" vertical="center"/>
    </xf>
    <xf numFmtId="226" fontId="57" fillId="0" borderId="634" xfId="2" applyNumberFormat="1" applyFont="1" applyBorder="1" applyAlignment="1">
      <alignment horizontal="center" vertical="center"/>
    </xf>
    <xf numFmtId="2" fontId="57" fillId="5" borderId="633" xfId="0" applyNumberFormat="1" applyFont="1" applyFill="1" applyBorder="1" applyAlignment="1">
      <alignment horizontal="center" vertical="center"/>
    </xf>
    <xf numFmtId="2" fontId="57" fillId="0" borderId="635" xfId="0" applyNumberFormat="1" applyFont="1" applyFill="1" applyBorder="1" applyAlignment="1">
      <alignment horizontal="center" vertical="center"/>
    </xf>
    <xf numFmtId="226" fontId="57" fillId="7" borderId="471" xfId="2" applyNumberFormat="1" applyFont="1" applyFill="1" applyBorder="1" applyAlignment="1">
      <alignment horizontal="center" vertical="center"/>
    </xf>
    <xf numFmtId="226" fontId="28" fillId="7" borderId="471" xfId="2" applyNumberFormat="1" applyFont="1" applyFill="1" applyBorder="1" applyAlignment="1">
      <alignment horizontal="center" vertical="center"/>
    </xf>
    <xf numFmtId="178" fontId="57" fillId="0" borderId="636" xfId="0" applyNumberFormat="1" applyFont="1" applyFill="1" applyBorder="1" applyAlignment="1">
      <alignment horizontal="center" vertical="center"/>
    </xf>
    <xf numFmtId="226" fontId="57" fillId="7" borderId="659" xfId="2" applyNumberFormat="1" applyFont="1" applyFill="1" applyBorder="1" applyAlignment="1">
      <alignment horizontal="center" vertical="center"/>
    </xf>
    <xf numFmtId="187" fontId="57" fillId="0" borderId="635" xfId="2" applyNumberFormat="1" applyFont="1" applyFill="1" applyBorder="1" applyAlignment="1">
      <alignment horizontal="center" vertical="center"/>
    </xf>
    <xf numFmtId="187" fontId="57" fillId="0" borderId="658" xfId="2" applyNumberFormat="1" applyFont="1" applyFill="1" applyBorder="1" applyAlignment="1">
      <alignment horizontal="center" vertical="center"/>
    </xf>
    <xf numFmtId="226" fontId="57" fillId="0" borderId="663" xfId="2" applyNumberFormat="1" applyFont="1" applyBorder="1" applyAlignment="1">
      <alignment horizontal="center" vertical="center"/>
    </xf>
    <xf numFmtId="187" fontId="57" fillId="0" borderId="660" xfId="2" applyNumberFormat="1" applyFont="1" applyBorder="1" applyAlignment="1">
      <alignment horizontal="center" vertical="center"/>
    </xf>
    <xf numFmtId="226" fontId="57" fillId="0" borderId="661" xfId="2" applyNumberFormat="1" applyFont="1" applyBorder="1" applyAlignment="1">
      <alignment horizontal="center" vertical="center"/>
    </xf>
    <xf numFmtId="187" fontId="57" fillId="0" borderId="664" xfId="2" applyNumberFormat="1" applyFont="1" applyBorder="1" applyAlignment="1">
      <alignment horizontal="center" vertical="center"/>
    </xf>
    <xf numFmtId="187" fontId="57" fillId="0" borderId="634" xfId="2" applyNumberFormat="1" applyFont="1" applyBorder="1" applyAlignment="1">
      <alignment horizontal="center" vertical="center"/>
    </xf>
    <xf numFmtId="223" fontId="57" fillId="0" borderId="638" xfId="2" applyNumberFormat="1" applyFont="1" applyBorder="1" applyAlignment="1">
      <alignment horizontal="center" vertical="center"/>
    </xf>
    <xf numFmtId="2" fontId="57" fillId="5" borderId="608" xfId="0" applyNumberFormat="1" applyFont="1" applyFill="1" applyBorder="1" applyAlignment="1">
      <alignment horizontal="center" vertical="center"/>
    </xf>
    <xf numFmtId="185" fontId="57" fillId="0" borderId="608" xfId="0" applyNumberFormat="1" applyFont="1" applyFill="1" applyBorder="1" applyAlignment="1">
      <alignment horizontal="center" vertical="center"/>
    </xf>
    <xf numFmtId="226" fontId="57" fillId="0" borderId="616" xfId="2" applyNumberFormat="1" applyFont="1" applyBorder="1" applyAlignment="1">
      <alignment horizontal="center" vertical="center"/>
    </xf>
    <xf numFmtId="2" fontId="57" fillId="0" borderId="616" xfId="0" applyNumberFormat="1" applyFont="1" applyFill="1" applyBorder="1" applyAlignment="1">
      <alignment horizontal="center" vertical="center"/>
    </xf>
    <xf numFmtId="187" fontId="57" fillId="0" borderId="633" xfId="2" applyNumberFormat="1" applyFont="1" applyBorder="1" applyAlignment="1">
      <alignment horizontal="center" vertical="center"/>
    </xf>
    <xf numFmtId="226" fontId="57" fillId="0" borderId="635" xfId="2" applyNumberFormat="1" applyFont="1" applyBorder="1" applyAlignment="1">
      <alignment horizontal="center" vertical="center"/>
    </xf>
    <xf numFmtId="226" fontId="57" fillId="5" borderId="633" xfId="2" applyNumberFormat="1" applyFont="1" applyFill="1" applyBorder="1" applyAlignment="1">
      <alignment horizontal="center" vertical="center"/>
    </xf>
    <xf numFmtId="2" fontId="57" fillId="5" borderId="471" xfId="0" applyNumberFormat="1" applyFont="1" applyFill="1" applyBorder="1" applyAlignment="1">
      <alignment horizontal="center" vertical="center"/>
    </xf>
    <xf numFmtId="226" fontId="57" fillId="5" borderId="471" xfId="2" applyNumberFormat="1" applyFont="1" applyFill="1" applyBorder="1" applyAlignment="1">
      <alignment horizontal="center" vertical="center"/>
    </xf>
    <xf numFmtId="2" fontId="57" fillId="0" borderId="634" xfId="0" applyNumberFormat="1" applyFont="1" applyFill="1" applyBorder="1" applyAlignment="1">
      <alignment horizontal="center" vertical="center"/>
    </xf>
    <xf numFmtId="185" fontId="57" fillId="0" borderId="633" xfId="0" applyNumberFormat="1" applyFont="1" applyFill="1" applyBorder="1" applyAlignment="1">
      <alignment horizontal="center" vertical="center"/>
    </xf>
    <xf numFmtId="185" fontId="57" fillId="0" borderId="471" xfId="0" applyNumberFormat="1" applyFont="1" applyFill="1" applyBorder="1" applyAlignment="1">
      <alignment horizontal="center" vertical="center"/>
    </xf>
    <xf numFmtId="226" fontId="57" fillId="7" borderId="633" xfId="2" applyNumberFormat="1" applyFont="1" applyFill="1" applyBorder="1" applyAlignment="1">
      <alignment horizontal="center" vertical="center"/>
    </xf>
    <xf numFmtId="187" fontId="57" fillId="0" borderId="636" xfId="2" applyNumberFormat="1" applyFont="1" applyFill="1" applyBorder="1" applyAlignment="1">
      <alignment horizontal="center" vertical="center"/>
    </xf>
    <xf numFmtId="38" fontId="171" fillId="0" borderId="638" xfId="2" applyNumberFormat="1" applyFont="1" applyBorder="1" applyAlignment="1">
      <alignment horizontal="center" vertical="center"/>
    </xf>
    <xf numFmtId="226" fontId="57" fillId="3" borderId="608" xfId="2" applyNumberFormat="1" applyFont="1" applyFill="1" applyBorder="1" applyAlignment="1">
      <alignment horizontal="center" vertical="center"/>
    </xf>
    <xf numFmtId="178" fontId="176" fillId="125" borderId="628" xfId="0" applyNumberFormat="1" applyFont="1" applyFill="1" applyBorder="1" applyAlignment="1">
      <alignment horizontal="center" vertical="center"/>
    </xf>
    <xf numFmtId="0" fontId="187" fillId="0" borderId="40" xfId="0" applyFont="1" applyBorder="1" applyAlignment="1">
      <alignment horizontal="center" vertical="center" wrapText="1"/>
    </xf>
    <xf numFmtId="0" fontId="187" fillId="0" borderId="608" xfId="0" applyFont="1" applyBorder="1" applyAlignment="1">
      <alignment horizontal="center" vertical="center" wrapText="1"/>
    </xf>
    <xf numFmtId="10" fontId="187" fillId="0" borderId="608" xfId="0" applyNumberFormat="1" applyFont="1" applyBorder="1" applyAlignment="1">
      <alignment horizontal="center" vertical="center" wrapText="1"/>
    </xf>
    <xf numFmtId="183" fontId="187" fillId="0" borderId="608" xfId="0" applyNumberFormat="1" applyFont="1" applyBorder="1" applyAlignment="1">
      <alignment horizontal="center" vertical="center" wrapText="1"/>
    </xf>
    <xf numFmtId="183" fontId="187" fillId="0" borderId="608" xfId="0" applyNumberFormat="1" applyFont="1" applyBorder="1" applyAlignment="1">
      <alignment horizontal="center" vertical="center"/>
    </xf>
    <xf numFmtId="0" fontId="165" fillId="0" borderId="649" xfId="0" applyFont="1" applyBorder="1" applyAlignment="1">
      <alignment horizontal="center" vertical="center" wrapText="1"/>
    </xf>
    <xf numFmtId="187" fontId="57" fillId="7" borderId="607" xfId="2" applyNumberFormat="1" applyFont="1" applyFill="1" applyBorder="1" applyAlignment="1">
      <alignment horizontal="center" vertical="center"/>
    </xf>
    <xf numFmtId="187" fontId="57" fillId="3" borderId="334" xfId="2" applyNumberFormat="1" applyFont="1" applyFill="1" applyBorder="1" applyAlignment="1">
      <alignment horizontal="center" vertical="center"/>
    </xf>
    <xf numFmtId="187" fontId="57" fillId="0" borderId="518" xfId="2" applyNumberFormat="1" applyFont="1" applyBorder="1" applyAlignment="1">
      <alignment horizontal="center" vertical="center"/>
    </xf>
    <xf numFmtId="0" fontId="28" fillId="0" borderId="0" xfId="0" applyFont="1" applyFill="1">
      <alignment vertical="center"/>
    </xf>
    <xf numFmtId="187" fontId="57" fillId="3" borderId="47" xfId="2" applyNumberFormat="1" applyFont="1" applyFill="1" applyBorder="1" applyAlignment="1">
      <alignment horizontal="center" vertical="center"/>
    </xf>
    <xf numFmtId="187" fontId="57" fillId="3" borderId="0" xfId="2" applyNumberFormat="1" applyFont="1" applyFill="1" applyBorder="1" applyAlignment="1">
      <alignment horizontal="center" vertical="center"/>
    </xf>
    <xf numFmtId="3" fontId="57" fillId="3" borderId="368" xfId="0" applyNumberFormat="1" applyFont="1" applyFill="1" applyBorder="1" applyAlignment="1">
      <alignment horizontal="center" vertical="center"/>
    </xf>
    <xf numFmtId="3" fontId="57" fillId="3" borderId="334" xfId="0" applyNumberFormat="1" applyFont="1" applyFill="1" applyBorder="1" applyAlignment="1">
      <alignment horizontal="center" vertical="center"/>
    </xf>
    <xf numFmtId="187" fontId="57" fillId="3" borderId="368" xfId="2" applyNumberFormat="1" applyFont="1" applyFill="1" applyBorder="1" applyAlignment="1">
      <alignment horizontal="center" vertical="center"/>
    </xf>
    <xf numFmtId="38" fontId="204" fillId="0" borderId="379" xfId="0" applyNumberFormat="1" applyFont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10" fontId="0" fillId="0" borderId="599" xfId="0" applyNumberFormat="1" applyBorder="1" applyAlignment="1">
      <alignment horizontal="center" vertical="center"/>
    </xf>
    <xf numFmtId="10" fontId="0" fillId="140" borderId="599" xfId="0" applyNumberFormat="1" applyFill="1" applyBorder="1" applyAlignment="1">
      <alignment horizontal="center" vertical="center"/>
    </xf>
    <xf numFmtId="240" fontId="29" fillId="139" borderId="521" xfId="0" applyNumberFormat="1" applyFont="1" applyFill="1" applyBorder="1" applyAlignment="1">
      <alignment horizontal="center" vertical="center"/>
    </xf>
    <xf numFmtId="10" fontId="0" fillId="0" borderId="47" xfId="0" applyNumberFormat="1" applyBorder="1" applyAlignment="1">
      <alignment horizontal="center" vertical="center"/>
    </xf>
    <xf numFmtId="10" fontId="0" fillId="0" borderId="608" xfId="0" applyNumberFormat="1" applyBorder="1" applyAlignment="1">
      <alignment horizontal="center" vertical="center"/>
    </xf>
    <xf numFmtId="10" fontId="0" fillId="140" borderId="608" xfId="0" applyNumberFormat="1" applyFill="1" applyBorder="1" applyAlignment="1">
      <alignment horizontal="center" vertical="center"/>
    </xf>
    <xf numFmtId="240" fontId="29" fillId="139" borderId="517" xfId="0" applyNumberFormat="1" applyFont="1" applyFill="1" applyBorder="1" applyAlignment="1">
      <alignment horizontal="center" vertical="center"/>
    </xf>
    <xf numFmtId="0" fontId="232" fillId="139" borderId="517" xfId="0" applyFont="1" applyFill="1" applyBorder="1" applyAlignment="1">
      <alignment horizontal="center" vertical="center"/>
    </xf>
    <xf numFmtId="10" fontId="0" fillId="0" borderId="40" xfId="0" applyNumberFormat="1" applyBorder="1" applyAlignment="1">
      <alignment horizontal="center" vertical="center"/>
    </xf>
    <xf numFmtId="0" fontId="232" fillId="139" borderId="515" xfId="0" applyFont="1" applyFill="1" applyBorder="1" applyAlignment="1">
      <alignment horizontal="center" vertical="center"/>
    </xf>
    <xf numFmtId="181" fontId="126" fillId="0" borderId="98" xfId="4124" applyNumberFormat="1" applyFont="1" applyFill="1" applyBorder="1" applyAlignment="1">
      <alignment horizontal="center" vertical="center"/>
    </xf>
    <xf numFmtId="183" fontId="57" fillId="15" borderId="450" xfId="0" applyNumberFormat="1" applyFont="1" applyFill="1" applyBorder="1" applyAlignment="1">
      <alignment horizontal="center" vertical="center"/>
    </xf>
    <xf numFmtId="2" fontId="57" fillId="15" borderId="450" xfId="0" applyNumberFormat="1" applyFont="1" applyFill="1" applyBorder="1" applyAlignment="1">
      <alignment horizontal="center" vertical="center"/>
    </xf>
    <xf numFmtId="2" fontId="57" fillId="15" borderId="482" xfId="0" applyNumberFormat="1" applyFont="1" applyFill="1" applyBorder="1" applyAlignment="1">
      <alignment horizontal="center" vertical="center"/>
    </xf>
    <xf numFmtId="2" fontId="57" fillId="15" borderId="446" xfId="0" applyNumberFormat="1" applyFont="1" applyFill="1" applyBorder="1" applyAlignment="1">
      <alignment horizontal="center" vertical="center"/>
    </xf>
    <xf numFmtId="2" fontId="57" fillId="15" borderId="478" xfId="0" applyNumberFormat="1" applyFont="1" applyFill="1" applyBorder="1" applyAlignment="1">
      <alignment horizontal="center" vertical="center"/>
    </xf>
    <xf numFmtId="2" fontId="57" fillId="15" borderId="438" xfId="0" applyNumberFormat="1" applyFont="1" applyFill="1" applyBorder="1" applyAlignment="1">
      <alignment horizontal="center" vertical="center"/>
    </xf>
    <xf numFmtId="2" fontId="57" fillId="15" borderId="517" xfId="0" applyNumberFormat="1" applyFont="1" applyFill="1" applyBorder="1" applyAlignment="1">
      <alignment horizontal="center" vertical="center"/>
    </xf>
    <xf numFmtId="2" fontId="57" fillId="15" borderId="634" xfId="0" applyNumberFormat="1" applyFont="1" applyFill="1" applyBorder="1" applyAlignment="1">
      <alignment horizontal="center" vertical="center"/>
    </xf>
    <xf numFmtId="2" fontId="57" fillId="15" borderId="519" xfId="0" applyNumberFormat="1" applyFont="1" applyFill="1" applyBorder="1" applyAlignment="1">
      <alignment horizontal="center" vertical="center"/>
    </xf>
    <xf numFmtId="176" fontId="28" fillId="15" borderId="438" xfId="0" applyNumberFormat="1" applyFont="1" applyFill="1" applyBorder="1" applyAlignment="1">
      <alignment horizontal="center" vertical="center"/>
    </xf>
    <xf numFmtId="176" fontId="28" fillId="15" borderId="517" xfId="0" applyNumberFormat="1" applyFont="1" applyFill="1" applyBorder="1" applyAlignment="1">
      <alignment horizontal="center" vertical="center"/>
    </xf>
    <xf numFmtId="2" fontId="28" fillId="15" borderId="521" xfId="0" applyNumberFormat="1" applyFont="1" applyFill="1" applyBorder="1" applyAlignment="1">
      <alignment horizontal="center" vertical="center"/>
    </xf>
    <xf numFmtId="183" fontId="57" fillId="15" borderId="437" xfId="2" applyNumberFormat="1" applyFont="1" applyFill="1" applyBorder="1" applyAlignment="1">
      <alignment horizontal="center" vertical="center"/>
    </xf>
    <xf numFmtId="2" fontId="28" fillId="15" borderId="517" xfId="0" applyNumberFormat="1" applyFont="1" applyFill="1" applyBorder="1" applyAlignment="1">
      <alignment horizontal="center" vertical="center"/>
    </xf>
    <xf numFmtId="2" fontId="28" fillId="15" borderId="634" xfId="0" applyNumberFormat="1" applyFont="1" applyFill="1" applyBorder="1" applyAlignment="1">
      <alignment horizontal="center" vertical="center"/>
    </xf>
    <xf numFmtId="177" fontId="57" fillId="0" borderId="604" xfId="0" applyNumberFormat="1" applyFont="1" applyBorder="1" applyAlignment="1">
      <alignment horizontal="center"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183" fontId="57" fillId="7" borderId="659" xfId="2" applyNumberFormat="1" applyFont="1" applyFill="1" applyBorder="1" applyAlignment="1">
      <alignment horizontal="center" vertical="center"/>
    </xf>
    <xf numFmtId="0" fontId="176" fillId="125" borderId="640" xfId="0" quotePrefix="1" applyFont="1" applyFill="1" applyBorder="1" applyAlignment="1">
      <alignment horizontal="center" vertical="center"/>
    </xf>
    <xf numFmtId="3" fontId="57" fillId="0" borderId="640" xfId="2" applyNumberFormat="1" applyFont="1" applyBorder="1" applyAlignment="1">
      <alignment horizontal="center" vertical="center"/>
    </xf>
    <xf numFmtId="183" fontId="57" fillId="0" borderId="640" xfId="2" applyNumberFormat="1" applyFont="1" applyBorder="1" applyAlignment="1">
      <alignment horizontal="center" vertical="center"/>
    </xf>
    <xf numFmtId="183" fontId="57" fillId="0" borderId="652" xfId="2" applyNumberFormat="1" applyFont="1" applyBorder="1" applyAlignment="1">
      <alignment horizontal="center" vertical="center"/>
    </xf>
    <xf numFmtId="183" fontId="57" fillId="0" borderId="651" xfId="2" applyNumberFormat="1" applyFont="1" applyBorder="1" applyAlignment="1">
      <alignment horizontal="center" vertical="center"/>
    </xf>
    <xf numFmtId="183" fontId="57" fillId="0" borderId="650" xfId="2" applyNumberFormat="1" applyFont="1" applyBorder="1" applyAlignment="1">
      <alignment horizontal="center" vertical="center"/>
    </xf>
    <xf numFmtId="183" fontId="57" fillId="0" borderId="649" xfId="0" applyNumberFormat="1" applyFont="1" applyBorder="1" applyAlignment="1">
      <alignment horizontal="center" vertical="center"/>
    </xf>
    <xf numFmtId="183" fontId="57" fillId="0" borderId="640" xfId="0" applyNumberFormat="1" applyFont="1" applyBorder="1" applyAlignment="1">
      <alignment horizontal="center" vertical="center"/>
    </xf>
    <xf numFmtId="178" fontId="57" fillId="0" borderId="640" xfId="2" applyNumberFormat="1" applyFont="1" applyBorder="1" applyAlignment="1">
      <alignment horizontal="center" vertical="center"/>
    </xf>
    <xf numFmtId="2" fontId="57" fillId="0" borderId="652" xfId="0" applyNumberFormat="1" applyFont="1" applyBorder="1" applyAlignment="1">
      <alignment horizontal="center" vertical="center"/>
    </xf>
    <xf numFmtId="2" fontId="57" fillId="5" borderId="652" xfId="0" applyNumberFormat="1" applyFont="1" applyFill="1" applyBorder="1" applyAlignment="1">
      <alignment horizontal="center" vertical="center"/>
    </xf>
    <xf numFmtId="183" fontId="57" fillId="7" borderId="653" xfId="2" applyNumberFormat="1" applyFont="1" applyFill="1" applyBorder="1" applyAlignment="1">
      <alignment horizontal="center" vertical="center"/>
    </xf>
    <xf numFmtId="183" fontId="57" fillId="0" borderId="652" xfId="2" applyNumberFormat="1" applyFont="1" applyFill="1" applyBorder="1" applyAlignment="1">
      <alignment horizontal="center" vertical="center"/>
    </xf>
    <xf numFmtId="178" fontId="57" fillId="0" borderId="652" xfId="2" applyNumberFormat="1" applyFont="1" applyFill="1" applyBorder="1" applyAlignment="1">
      <alignment horizontal="center" vertical="center" wrapText="1"/>
    </xf>
    <xf numFmtId="183" fontId="57" fillId="0" borderId="652" xfId="2" applyNumberFormat="1" applyFont="1" applyFill="1" applyBorder="1" applyAlignment="1">
      <alignment horizontal="center" vertical="center" wrapText="1"/>
    </xf>
    <xf numFmtId="187" fontId="57" fillId="7" borderId="640" xfId="2" applyNumberFormat="1" applyFont="1" applyFill="1" applyBorder="1" applyAlignment="1">
      <alignment horizontal="center" vertical="center"/>
    </xf>
    <xf numFmtId="183" fontId="57" fillId="7" borderId="640" xfId="2" applyNumberFormat="1" applyFont="1" applyFill="1" applyBorder="1" applyAlignment="1">
      <alignment horizontal="center" vertical="center"/>
    </xf>
    <xf numFmtId="187" fontId="57" fillId="7" borderId="650" xfId="2" applyNumberFormat="1" applyFont="1" applyFill="1" applyBorder="1" applyAlignment="1">
      <alignment horizontal="center" vertical="center"/>
    </xf>
    <xf numFmtId="183" fontId="57" fillId="7" borderId="649" xfId="2" applyNumberFormat="1" applyFont="1" applyFill="1" applyBorder="1" applyAlignment="1">
      <alignment horizontal="center" vertical="center"/>
    </xf>
    <xf numFmtId="178" fontId="57" fillId="7" borderId="640" xfId="2" applyNumberFormat="1" applyFont="1" applyFill="1" applyBorder="1" applyAlignment="1">
      <alignment horizontal="center" vertical="center"/>
    </xf>
    <xf numFmtId="187" fontId="57" fillId="0" borderId="640" xfId="2" applyNumberFormat="1" applyFont="1" applyFill="1" applyBorder="1" applyAlignment="1">
      <alignment horizontal="center" vertical="center"/>
    </xf>
    <xf numFmtId="178" fontId="57" fillId="7" borderId="652" xfId="2" applyNumberFormat="1" applyFont="1" applyFill="1" applyBorder="1" applyAlignment="1">
      <alignment horizontal="center" vertical="center"/>
    </xf>
    <xf numFmtId="178" fontId="57" fillId="7" borderId="653" xfId="2" applyNumberFormat="1" applyFont="1" applyFill="1" applyBorder="1" applyAlignment="1">
      <alignment horizontal="center" vertical="center"/>
    </xf>
    <xf numFmtId="187" fontId="57" fillId="7" borderId="651" xfId="2" applyNumberFormat="1" applyFont="1" applyFill="1" applyBorder="1" applyAlignment="1">
      <alignment horizontal="center" vertical="center"/>
    </xf>
    <xf numFmtId="187" fontId="57" fillId="7" borderId="665" xfId="2" applyNumberFormat="1" applyFont="1" applyFill="1" applyBorder="1" applyAlignment="1">
      <alignment horizontal="center" vertical="center"/>
    </xf>
    <xf numFmtId="187" fontId="57" fillId="7" borderId="659" xfId="2" applyNumberFormat="1" applyFont="1" applyFill="1" applyBorder="1" applyAlignment="1">
      <alignment horizontal="center" vertical="center"/>
    </xf>
    <xf numFmtId="183" fontId="57" fillId="7" borderId="652" xfId="2" applyNumberFormat="1" applyFont="1" applyFill="1" applyBorder="1" applyAlignment="1">
      <alignment horizontal="center" vertical="center"/>
    </xf>
    <xf numFmtId="183" fontId="57" fillId="7" borderId="651" xfId="2" applyNumberFormat="1" applyFont="1" applyFill="1" applyBorder="1" applyAlignment="1">
      <alignment horizontal="center" vertical="center"/>
    </xf>
    <xf numFmtId="183" fontId="57" fillId="7" borderId="650" xfId="2" applyNumberFormat="1" applyFont="1" applyFill="1" applyBorder="1" applyAlignment="1">
      <alignment horizontal="center" vertical="center"/>
    </xf>
    <xf numFmtId="183" fontId="57" fillId="0" borderId="666" xfId="0" applyNumberFormat="1" applyFont="1" applyBorder="1" applyAlignment="1">
      <alignment horizontal="center" vertical="center"/>
    </xf>
    <xf numFmtId="183" fontId="57" fillId="7" borderId="665" xfId="2" applyNumberFormat="1" applyFont="1" applyFill="1" applyBorder="1" applyAlignment="1">
      <alignment horizontal="center" vertical="center"/>
    </xf>
    <xf numFmtId="183" fontId="57" fillId="93" borderId="652" xfId="0" applyNumberFormat="1" applyFont="1" applyFill="1" applyBorder="1" applyAlignment="1">
      <alignment horizontal="center" vertical="center"/>
    </xf>
    <xf numFmtId="183" fontId="57" fillId="0" borderId="650" xfId="0" applyNumberFormat="1" applyFont="1" applyBorder="1" applyAlignment="1">
      <alignment horizontal="center" vertical="center"/>
    </xf>
    <xf numFmtId="185" fontId="57" fillId="0" borderId="665" xfId="0" applyNumberFormat="1" applyFont="1" applyFill="1" applyBorder="1" applyAlignment="1">
      <alignment horizontal="center" vertical="center"/>
    </xf>
    <xf numFmtId="2" fontId="57" fillId="0" borderId="652" xfId="0" applyNumberFormat="1" applyFont="1" applyFill="1" applyBorder="1" applyAlignment="1">
      <alignment horizontal="center" vertical="center"/>
    </xf>
    <xf numFmtId="185" fontId="57" fillId="0" borderId="652" xfId="0" applyNumberFormat="1" applyFont="1" applyFill="1" applyBorder="1" applyAlignment="1">
      <alignment horizontal="center" vertical="center"/>
    </xf>
    <xf numFmtId="2" fontId="28" fillId="0" borderId="650" xfId="0" applyNumberFormat="1" applyFont="1" applyFill="1" applyBorder="1" applyAlignment="1">
      <alignment horizontal="center" vertical="center"/>
    </xf>
    <xf numFmtId="187" fontId="57" fillId="7" borderId="667" xfId="2" applyNumberFormat="1" applyFont="1" applyFill="1" applyBorder="1" applyAlignment="1">
      <alignment horizontal="center" vertical="center"/>
    </xf>
    <xf numFmtId="183" fontId="57" fillId="7" borderId="668" xfId="2" applyNumberFormat="1" applyFont="1" applyFill="1" applyBorder="1" applyAlignment="1">
      <alignment horizontal="center" vertical="center"/>
    </xf>
    <xf numFmtId="178" fontId="57" fillId="7" borderId="669" xfId="0" applyNumberFormat="1" applyFont="1" applyFill="1" applyBorder="1" applyAlignment="1">
      <alignment horizontal="center" vertical="center"/>
    </xf>
    <xf numFmtId="187" fontId="57" fillId="7" borderId="666" xfId="0" applyNumberFormat="1" applyFont="1" applyFill="1" applyBorder="1" applyAlignment="1">
      <alignment horizontal="center" vertical="center"/>
    </xf>
    <xf numFmtId="226" fontId="57" fillId="7" borderId="668" xfId="2" applyNumberFormat="1" applyFont="1" applyFill="1" applyBorder="1" applyAlignment="1">
      <alignment horizontal="center" vertical="center"/>
    </xf>
    <xf numFmtId="226" fontId="57" fillId="0" borderId="652" xfId="2" applyNumberFormat="1" applyFont="1" applyFill="1" applyBorder="1" applyAlignment="1">
      <alignment horizontal="center" vertical="center"/>
    </xf>
    <xf numFmtId="187" fontId="57" fillId="0" borderId="650" xfId="2" applyNumberFormat="1" applyFont="1" applyFill="1" applyBorder="1" applyAlignment="1">
      <alignment horizontal="center" vertical="center"/>
    </xf>
    <xf numFmtId="3" fontId="57" fillId="0" borderId="640" xfId="0" applyNumberFormat="1" applyFont="1" applyBorder="1" applyAlignment="1">
      <alignment horizontal="center" vertical="center"/>
    </xf>
    <xf numFmtId="2" fontId="57" fillId="0" borderId="640" xfId="0" applyNumberFormat="1" applyFont="1" applyBorder="1" applyAlignment="1">
      <alignment horizontal="center" vertical="center"/>
    </xf>
    <xf numFmtId="2" fontId="57" fillId="0" borderId="651" xfId="0" applyNumberFormat="1" applyFont="1" applyBorder="1" applyAlignment="1">
      <alignment horizontal="center" vertical="center"/>
    </xf>
    <xf numFmtId="4" fontId="57" fillId="0" borderId="650" xfId="0" applyNumberFormat="1" applyFont="1" applyBorder="1" applyAlignment="1">
      <alignment horizontal="center" vertical="center"/>
    </xf>
    <xf numFmtId="2" fontId="28" fillId="0" borderId="640" xfId="0" applyNumberFormat="1" applyFont="1" applyBorder="1" applyAlignment="1">
      <alignment horizontal="center" vertical="center"/>
    </xf>
    <xf numFmtId="2" fontId="28" fillId="0" borderId="640" xfId="0" applyNumberFormat="1" applyFont="1" applyFill="1" applyBorder="1" applyAlignment="1">
      <alignment horizontal="center" vertical="center"/>
    </xf>
    <xf numFmtId="187" fontId="57" fillId="0" borderId="640" xfId="0" applyNumberFormat="1" applyFont="1" applyBorder="1" applyAlignment="1">
      <alignment horizontal="center" vertical="center"/>
    </xf>
    <xf numFmtId="2" fontId="28" fillId="0" borderId="652" xfId="0" applyNumberFormat="1" applyFont="1" applyBorder="1" applyAlignment="1">
      <alignment horizontal="center" vertical="center"/>
    </xf>
    <xf numFmtId="2" fontId="28" fillId="15" borderId="650" xfId="0" applyNumberFormat="1" applyFont="1" applyFill="1" applyBorder="1" applyAlignment="1">
      <alignment horizontal="center" vertical="center"/>
    </xf>
    <xf numFmtId="1" fontId="57" fillId="0" borderId="649" xfId="0" applyNumberFormat="1" applyFont="1" applyFill="1" applyBorder="1" applyAlignment="1">
      <alignment horizontal="center" vertical="center"/>
    </xf>
    <xf numFmtId="2" fontId="57" fillId="0" borderId="640" xfId="0" applyNumberFormat="1" applyFont="1" applyFill="1" applyBorder="1" applyAlignment="1">
      <alignment horizontal="center" vertical="center"/>
    </xf>
    <xf numFmtId="1" fontId="57" fillId="0" borderId="640" xfId="0" applyNumberFormat="1" applyFont="1" applyFill="1" applyBorder="1" applyAlignment="1">
      <alignment horizontal="center" vertical="center"/>
    </xf>
    <xf numFmtId="176" fontId="57" fillId="0" borderId="640" xfId="0" applyNumberFormat="1" applyFont="1" applyFill="1" applyBorder="1" applyAlignment="1">
      <alignment horizontal="center" vertical="center"/>
    </xf>
    <xf numFmtId="176" fontId="57" fillId="0" borderId="650" xfId="0" applyNumberFormat="1" applyFont="1" applyFill="1" applyBorder="1" applyAlignment="1">
      <alignment horizontal="center" vertical="center"/>
    </xf>
    <xf numFmtId="2" fontId="57" fillId="0" borderId="649" xfId="0" applyNumberFormat="1" applyFont="1" applyBorder="1" applyAlignment="1">
      <alignment horizontal="center" vertical="center"/>
    </xf>
    <xf numFmtId="177" fontId="57" fillId="0" borderId="640" xfId="0" applyNumberFormat="1" applyFont="1" applyBorder="1" applyAlignment="1">
      <alignment horizontal="center" vertical="center"/>
    </xf>
    <xf numFmtId="2" fontId="57" fillId="0" borderId="650" xfId="0" applyNumberFormat="1" applyFont="1" applyBorder="1" applyAlignment="1">
      <alignment horizontal="center" vertical="center"/>
    </xf>
    <xf numFmtId="2" fontId="57" fillId="0" borderId="665" xfId="0" applyNumberFormat="1" applyFont="1" applyFill="1" applyBorder="1" applyAlignment="1">
      <alignment horizontal="center" vertical="center"/>
    </xf>
    <xf numFmtId="3" fontId="57" fillId="0" borderId="653" xfId="0" applyNumberFormat="1" applyFont="1" applyFill="1" applyBorder="1" applyAlignment="1">
      <alignment horizontal="center" vertical="center"/>
    </xf>
    <xf numFmtId="3" fontId="57" fillId="0" borderId="652" xfId="0" applyNumberFormat="1" applyFont="1" applyBorder="1" applyAlignment="1">
      <alignment horizontal="center" vertical="center"/>
    </xf>
    <xf numFmtId="3" fontId="57" fillId="0" borderId="650" xfId="0" applyNumberFormat="1" applyFont="1" applyBorder="1" applyAlignment="1">
      <alignment horizontal="center" vertical="center"/>
    </xf>
    <xf numFmtId="187" fontId="57" fillId="0" borderId="640" xfId="2" applyNumberFormat="1" applyFont="1" applyBorder="1" applyAlignment="1">
      <alignment horizontal="center" vertical="center"/>
    </xf>
    <xf numFmtId="226" fontId="57" fillId="0" borderId="640" xfId="2" applyNumberFormat="1" applyFont="1" applyBorder="1" applyAlignment="1">
      <alignment horizontal="center" vertical="center"/>
    </xf>
    <xf numFmtId="226" fontId="57" fillId="0" borderId="652" xfId="2" applyNumberFormat="1" applyFont="1" applyBorder="1" applyAlignment="1">
      <alignment horizontal="center" vertical="center"/>
    </xf>
    <xf numFmtId="226" fontId="57" fillId="0" borderId="651" xfId="2" applyNumberFormat="1" applyFont="1" applyBorder="1" applyAlignment="1">
      <alignment horizontal="center" vertical="center"/>
    </xf>
    <xf numFmtId="226" fontId="57" fillId="0" borderId="650" xfId="2" applyNumberFormat="1" applyFont="1" applyBorder="1" applyAlignment="1">
      <alignment horizontal="center" vertical="center"/>
    </xf>
    <xf numFmtId="2" fontId="57" fillId="5" borderId="651" xfId="0" applyNumberFormat="1" applyFont="1" applyFill="1" applyBorder="1" applyAlignment="1">
      <alignment horizontal="center" vertical="center"/>
    </xf>
    <xf numFmtId="2" fontId="57" fillId="0" borderId="649" xfId="0" applyNumberFormat="1" applyFont="1" applyFill="1" applyBorder="1" applyAlignment="1">
      <alignment horizontal="center" vertical="center"/>
    </xf>
    <xf numFmtId="226" fontId="57" fillId="7" borderId="640" xfId="2" applyNumberFormat="1" applyFont="1" applyFill="1" applyBorder="1" applyAlignment="1">
      <alignment horizontal="center" vertical="center"/>
    </xf>
    <xf numFmtId="226" fontId="28" fillId="7" borderId="640" xfId="2" applyNumberFormat="1" applyFont="1" applyFill="1" applyBorder="1" applyAlignment="1">
      <alignment horizontal="center" vertical="center"/>
    </xf>
    <xf numFmtId="2" fontId="57" fillId="15" borderId="650" xfId="0" applyNumberFormat="1" applyFont="1" applyFill="1" applyBorder="1" applyAlignment="1">
      <alignment horizontal="center" vertical="center"/>
    </xf>
    <xf numFmtId="178" fontId="57" fillId="0" borderId="652" xfId="0" applyNumberFormat="1" applyFont="1" applyFill="1" applyBorder="1" applyAlignment="1">
      <alignment horizontal="center" vertical="center"/>
    </xf>
    <xf numFmtId="226" fontId="57" fillId="7" borderId="666" xfId="2" applyNumberFormat="1" applyFont="1" applyFill="1" applyBorder="1" applyAlignment="1">
      <alignment horizontal="center" vertical="center"/>
    </xf>
    <xf numFmtId="187" fontId="57" fillId="0" borderId="649" xfId="2" applyNumberFormat="1" applyFont="1" applyFill="1" applyBorder="1" applyAlignment="1">
      <alignment horizontal="center" vertical="center"/>
    </xf>
    <xf numFmtId="187" fontId="57" fillId="0" borderId="665" xfId="2" applyNumberFormat="1" applyFont="1" applyFill="1" applyBorder="1" applyAlignment="1">
      <alignment horizontal="center" vertical="center"/>
    </xf>
    <xf numFmtId="226" fontId="57" fillId="0" borderId="670" xfId="2" applyNumberFormat="1" applyFont="1" applyBorder="1" applyAlignment="1">
      <alignment horizontal="center" vertical="center"/>
    </xf>
    <xf numFmtId="187" fontId="57" fillId="0" borderId="667" xfId="2" applyNumberFormat="1" applyFont="1" applyBorder="1" applyAlignment="1">
      <alignment horizontal="center" vertical="center"/>
    </xf>
    <xf numFmtId="226" fontId="57" fillId="0" borderId="668" xfId="2" applyNumberFormat="1" applyFont="1" applyBorder="1" applyAlignment="1">
      <alignment horizontal="center" vertical="center"/>
    </xf>
    <xf numFmtId="187" fontId="57" fillId="0" borderId="671" xfId="2" applyNumberFormat="1" applyFont="1" applyBorder="1" applyAlignment="1">
      <alignment horizontal="center" vertical="center"/>
    </xf>
    <xf numFmtId="187" fontId="57" fillId="0" borderId="650" xfId="2" applyNumberFormat="1" applyFont="1" applyBorder="1" applyAlignment="1">
      <alignment horizontal="center" vertical="center"/>
    </xf>
    <xf numFmtId="223" fontId="57" fillId="0" borderId="653" xfId="2" applyNumberFormat="1" applyFont="1" applyBorder="1" applyAlignment="1">
      <alignment horizontal="center" vertical="center"/>
    </xf>
    <xf numFmtId="187" fontId="57" fillId="0" borderId="651" xfId="2" applyNumberFormat="1" applyFont="1" applyBorder="1" applyAlignment="1">
      <alignment horizontal="center" vertical="center"/>
    </xf>
    <xf numFmtId="226" fontId="57" fillId="0" borderId="649" xfId="2" applyNumberFormat="1" applyFont="1" applyBorder="1" applyAlignment="1">
      <alignment horizontal="center" vertical="center"/>
    </xf>
    <xf numFmtId="226" fontId="57" fillId="5" borderId="651" xfId="2" applyNumberFormat="1" applyFont="1" applyFill="1" applyBorder="1" applyAlignment="1">
      <alignment horizontal="center" vertical="center"/>
    </xf>
    <xf numFmtId="2" fontId="57" fillId="5" borderId="640" xfId="0" applyNumberFormat="1" applyFont="1" applyFill="1" applyBorder="1" applyAlignment="1">
      <alignment horizontal="center" vertical="center"/>
    </xf>
    <xf numFmtId="226" fontId="57" fillId="5" borderId="640" xfId="2" applyNumberFormat="1" applyFont="1" applyFill="1" applyBorder="1" applyAlignment="1">
      <alignment horizontal="center" vertical="center"/>
    </xf>
    <xf numFmtId="2" fontId="57" fillId="0" borderId="650" xfId="0" applyNumberFormat="1" applyFont="1" applyFill="1" applyBorder="1" applyAlignment="1">
      <alignment horizontal="center" vertical="center"/>
    </xf>
    <xf numFmtId="185" fontId="57" fillId="0" borderId="651" xfId="0" applyNumberFormat="1" applyFont="1" applyFill="1" applyBorder="1" applyAlignment="1">
      <alignment horizontal="center" vertical="center"/>
    </xf>
    <xf numFmtId="185" fontId="57" fillId="0" borderId="640" xfId="0" applyNumberFormat="1" applyFont="1" applyFill="1" applyBorder="1" applyAlignment="1">
      <alignment horizontal="center" vertical="center"/>
    </xf>
    <xf numFmtId="187" fontId="57" fillId="0" borderId="652" xfId="2" applyNumberFormat="1" applyFont="1" applyFill="1" applyBorder="1" applyAlignment="1">
      <alignment horizontal="center" vertical="center"/>
    </xf>
    <xf numFmtId="187" fontId="57" fillId="0" borderId="652" xfId="2" applyNumberFormat="1" applyFont="1" applyBorder="1" applyAlignment="1">
      <alignment horizontal="center" vertical="center"/>
    </xf>
    <xf numFmtId="38" fontId="171" fillId="0" borderId="653" xfId="2" applyNumberFormat="1" applyFont="1" applyBorder="1" applyAlignment="1">
      <alignment horizontal="center" vertical="center"/>
    </xf>
    <xf numFmtId="177" fontId="28" fillId="7" borderId="471" xfId="0" applyNumberFormat="1" applyFont="1" applyFill="1" applyBorder="1" applyAlignment="1">
      <alignment horizontal="center" vertical="center"/>
    </xf>
    <xf numFmtId="177" fontId="28" fillId="7" borderId="636" xfId="0" applyNumberFormat="1" applyFont="1" applyFill="1" applyBorder="1" applyAlignment="1">
      <alignment horizontal="center" vertical="center"/>
    </xf>
    <xf numFmtId="183" fontId="176" fillId="125" borderId="638" xfId="2" applyNumberFormat="1" applyFont="1" applyFill="1" applyBorder="1" applyAlignment="1">
      <alignment horizontal="center" vertical="center"/>
    </xf>
    <xf numFmtId="183" fontId="188" fillId="0" borderId="47" xfId="2" applyNumberFormat="1" applyFont="1" applyFill="1" applyBorder="1" applyAlignment="1">
      <alignment horizontal="center" vertical="center"/>
    </xf>
    <xf numFmtId="2" fontId="57" fillId="3" borderId="640" xfId="0" applyNumberFormat="1" applyFont="1" applyFill="1" applyBorder="1" applyAlignment="1">
      <alignment horizontal="center" vertical="center"/>
    </xf>
    <xf numFmtId="2" fontId="28" fillId="5" borderId="650" xfId="0" applyNumberFormat="1" applyFont="1" applyFill="1" applyBorder="1" applyAlignment="1">
      <alignment horizontal="center" vertical="center"/>
    </xf>
    <xf numFmtId="3" fontId="57" fillId="0" borderId="666" xfId="0" applyNumberFormat="1" applyFont="1" applyBorder="1" applyAlignment="1">
      <alignment horizontal="center" vertical="center"/>
    </xf>
    <xf numFmtId="178" fontId="176" fillId="125" borderId="608" xfId="0" applyNumberFormat="1" applyFont="1" applyFill="1" applyBorder="1" applyAlignment="1">
      <alignment horizontal="center" vertical="center"/>
    </xf>
    <xf numFmtId="176" fontId="34" fillId="7" borderId="238" xfId="0" applyNumberFormat="1" applyFont="1" applyFill="1" applyBorder="1" applyAlignment="1">
      <alignment horizontal="center" vertical="center"/>
    </xf>
    <xf numFmtId="176" fontId="34" fillId="7" borderId="609" xfId="0" applyNumberFormat="1" applyFont="1" applyFill="1" applyBorder="1" applyAlignment="1">
      <alignment horizontal="center" vertical="center"/>
    </xf>
    <xf numFmtId="226" fontId="28" fillId="7" borderId="216" xfId="0" applyNumberFormat="1" applyFont="1" applyFill="1" applyBorder="1" applyAlignment="1">
      <alignment horizontal="center" vertical="center" readingOrder="1"/>
    </xf>
    <xf numFmtId="183" fontId="46" fillId="0" borderId="394" xfId="4124" applyNumberFormat="1" applyFont="1" applyFill="1" applyBorder="1" applyAlignment="1">
      <alignment horizontal="center" vertical="center"/>
    </xf>
    <xf numFmtId="0" fontId="47" fillId="0" borderId="92" xfId="0" applyNumberFormat="1" applyFont="1" applyFill="1" applyBorder="1" applyAlignment="1">
      <alignment horizontal="center" vertical="center"/>
    </xf>
    <xf numFmtId="183" fontId="44" fillId="0" borderId="109" xfId="0" applyNumberFormat="1" applyFont="1" applyFill="1" applyBorder="1" applyAlignment="1">
      <alignment horizontal="center" vertical="center"/>
    </xf>
    <xf numFmtId="183" fontId="28" fillId="7" borderId="40" xfId="0" applyNumberFormat="1" applyFont="1" applyFill="1" applyBorder="1" applyAlignment="1">
      <alignment horizontal="center" vertical="center"/>
    </xf>
    <xf numFmtId="181" fontId="57" fillId="0" borderId="47" xfId="2" applyNumberFormat="1" applyFont="1" applyBorder="1" applyAlignment="1">
      <alignment horizontal="center" vertical="center"/>
    </xf>
    <xf numFmtId="179" fontId="27" fillId="6" borderId="609" xfId="3" applyNumberFormat="1" applyFont="1" applyFill="1" applyBorder="1" applyAlignment="1">
      <alignment horizontal="center" vertical="center"/>
    </xf>
    <xf numFmtId="0" fontId="176" fillId="125" borderId="216" xfId="0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177" fontId="43" fillId="4" borderId="122" xfId="0" applyNumberFormat="1" applyFont="1" applyFill="1" applyBorder="1" applyAlignment="1">
      <alignment horizontal="center" vertical="center"/>
    </xf>
    <xf numFmtId="10" fontId="29" fillId="130" borderId="515" xfId="1" applyNumberFormat="1" applyFont="1" applyFill="1" applyBorder="1" applyAlignment="1">
      <alignment horizontal="center" vertical="center"/>
    </xf>
    <xf numFmtId="10" fontId="29" fillId="130" borderId="516" xfId="1" applyNumberFormat="1" applyFont="1" applyFill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187" fontId="0" fillId="0" borderId="515" xfId="0" applyNumberFormat="1" applyBorder="1" applyAlignment="1">
      <alignment horizontal="center" vertical="center"/>
    </xf>
    <xf numFmtId="223" fontId="232" fillId="130" borderId="334" xfId="0" applyNumberFormat="1" applyFont="1" applyFill="1" applyBorder="1" applyAlignment="1">
      <alignment horizontal="center" vertical="center"/>
    </xf>
    <xf numFmtId="223" fontId="232" fillId="0" borderId="611" xfId="0" applyNumberFormat="1" applyFont="1" applyBorder="1" applyAlignment="1">
      <alignment horizontal="center" vertical="center"/>
    </xf>
    <xf numFmtId="223" fontId="34" fillId="0" borderId="611" xfId="0" applyNumberFormat="1" applyFont="1" applyBorder="1" applyAlignment="1">
      <alignment horizontal="center" vertical="center"/>
    </xf>
    <xf numFmtId="178" fontId="45" fillId="3" borderId="378" xfId="0" applyNumberFormat="1" applyFont="1" applyFill="1" applyBorder="1" applyAlignment="1">
      <alignment horizontal="center" vertical="center"/>
    </xf>
    <xf numFmtId="178" fontId="45" fillId="3" borderId="124" xfId="0" applyNumberFormat="1" applyFont="1" applyFill="1" applyBorder="1" applyAlignment="1">
      <alignment horizontal="center" vertical="center"/>
    </xf>
    <xf numFmtId="178" fontId="45" fillId="3" borderId="308" xfId="0" applyNumberFormat="1" applyFont="1" applyFill="1" applyBorder="1" applyAlignment="1">
      <alignment horizontal="center" vertical="center"/>
    </xf>
    <xf numFmtId="223" fontId="232" fillId="0" borderId="616" xfId="0" applyNumberFormat="1" applyFont="1" applyBorder="1" applyAlignment="1">
      <alignment horizontal="center" vertical="center"/>
    </xf>
    <xf numFmtId="3" fontId="28" fillId="0" borderId="609" xfId="2" applyNumberFormat="1" applyFont="1" applyFill="1" applyBorder="1" applyAlignment="1">
      <alignment horizontal="center" vertical="center"/>
    </xf>
    <xf numFmtId="187" fontId="34" fillId="4" borderId="616" xfId="0" applyNumberFormat="1" applyFont="1" applyFill="1" applyBorder="1" applyAlignment="1">
      <alignment horizontal="center" vertical="center"/>
    </xf>
    <xf numFmtId="187" fontId="28" fillId="117" borderId="609" xfId="2" quotePrefix="1" applyNumberFormat="1" applyFont="1" applyFill="1" applyBorder="1" applyAlignment="1">
      <alignment horizontal="center" vertical="center"/>
    </xf>
    <xf numFmtId="187" fontId="28" fillId="0" borderId="609" xfId="2" applyNumberFormat="1" applyFont="1" applyFill="1" applyBorder="1" applyAlignment="1">
      <alignment horizontal="center" vertical="center"/>
    </xf>
    <xf numFmtId="3" fontId="28" fillId="0" borderId="609" xfId="0" applyNumberFormat="1" applyFont="1" applyFill="1" applyBorder="1" applyAlignment="1">
      <alignment horizontal="center" vertical="center"/>
    </xf>
    <xf numFmtId="3" fontId="198" fillId="0" borderId="610" xfId="0" applyNumberFormat="1" applyFont="1" applyBorder="1" applyAlignment="1">
      <alignment horizontal="center" vertical="center"/>
    </xf>
    <xf numFmtId="3" fontId="198" fillId="0" borderId="609" xfId="0" applyNumberFormat="1" applyFont="1" applyBorder="1" applyAlignment="1">
      <alignment horizontal="center" vertical="center"/>
    </xf>
    <xf numFmtId="3" fontId="198" fillId="0" borderId="609" xfId="0" applyNumberFormat="1" applyFont="1" applyFill="1" applyBorder="1" applyAlignment="1">
      <alignment horizontal="center" vertical="center"/>
    </xf>
    <xf numFmtId="3" fontId="198" fillId="0" borderId="603" xfId="0" applyNumberFormat="1" applyFont="1" applyBorder="1" applyAlignment="1">
      <alignment horizontal="center" vertical="center"/>
    </xf>
    <xf numFmtId="187" fontId="34" fillId="4" borderId="605" xfId="0" applyNumberFormat="1" applyFont="1" applyFill="1" applyBorder="1" applyAlignment="1">
      <alignment horizontal="center" vertical="center"/>
    </xf>
    <xf numFmtId="179" fontId="198" fillId="0" borderId="603" xfId="0" applyNumberFormat="1" applyFont="1" applyBorder="1" applyAlignment="1">
      <alignment horizontal="center" vertical="center"/>
    </xf>
    <xf numFmtId="177" fontId="198" fillId="0" borderId="609" xfId="0" applyNumberFormat="1" applyFont="1" applyBorder="1" applyAlignment="1">
      <alignment horizontal="center" vertical="center"/>
    </xf>
    <xf numFmtId="179" fontId="198" fillId="117" borderId="603" xfId="0" applyNumberFormat="1" applyFont="1" applyFill="1" applyBorder="1" applyAlignment="1">
      <alignment horizontal="center" vertical="center"/>
    </xf>
    <xf numFmtId="179" fontId="198" fillId="117" borderId="604" xfId="0" applyNumberFormat="1" applyFont="1" applyFill="1" applyBorder="1" applyAlignment="1">
      <alignment horizontal="center" vertical="center"/>
    </xf>
    <xf numFmtId="223" fontId="232" fillId="0" borderId="519" xfId="0" applyNumberFormat="1" applyFont="1" applyBorder="1" applyAlignment="1">
      <alignment horizontal="center" vertical="center"/>
    </xf>
    <xf numFmtId="3" fontId="28" fillId="117" borderId="609" xfId="2" applyNumberFormat="1" applyFont="1" applyFill="1" applyBorder="1" applyAlignment="1">
      <alignment horizontal="center" vertical="center"/>
    </xf>
    <xf numFmtId="3" fontId="198" fillId="117" borderId="610" xfId="0" applyNumberFormat="1" applyFont="1" applyFill="1" applyBorder="1" applyAlignment="1">
      <alignment horizontal="center" vertical="center"/>
    </xf>
    <xf numFmtId="3" fontId="198" fillId="117" borderId="609" xfId="0" applyNumberFormat="1" applyFont="1" applyFill="1" applyBorder="1" applyAlignment="1">
      <alignment horizontal="center" vertical="center"/>
    </xf>
    <xf numFmtId="3" fontId="198" fillId="117" borderId="608" xfId="0" applyNumberFormat="1" applyFont="1" applyFill="1" applyBorder="1" applyAlignment="1">
      <alignment horizontal="center" vertical="center"/>
    </xf>
    <xf numFmtId="3" fontId="228" fillId="117" borderId="609" xfId="0" applyNumberFormat="1" applyFont="1" applyFill="1" applyBorder="1" applyAlignment="1">
      <alignment horizontal="center" vertical="center"/>
    </xf>
    <xf numFmtId="179" fontId="232" fillId="4" borderId="609" xfId="0" applyNumberFormat="1" applyFont="1" applyFill="1" applyBorder="1" applyAlignment="1">
      <alignment horizontal="center" vertical="center"/>
    </xf>
    <xf numFmtId="187" fontId="213" fillId="0" borderId="516" xfId="0" applyNumberFormat="1" applyFont="1" applyBorder="1" applyAlignment="1">
      <alignment horizontal="center" vertical="center"/>
    </xf>
    <xf numFmtId="187" fontId="167" fillId="0" borderId="516" xfId="0" applyNumberFormat="1" applyFont="1" applyBorder="1" applyAlignment="1">
      <alignment horizontal="center" vertical="center"/>
    </xf>
    <xf numFmtId="187" fontId="213" fillId="0" borderId="609" xfId="0" applyNumberFormat="1" applyFont="1" applyBorder="1" applyAlignment="1">
      <alignment horizontal="center" vertical="center"/>
    </xf>
    <xf numFmtId="41" fontId="30" fillId="7" borderId="0" xfId="2" applyFont="1" applyFill="1" applyAlignment="1">
      <alignment vertical="center"/>
    </xf>
    <xf numFmtId="177" fontId="0" fillId="0" borderId="6" xfId="0" applyNumberFormat="1" applyFont="1" applyBorder="1" applyAlignment="1">
      <alignment horizontal="center" vertical="center"/>
    </xf>
    <xf numFmtId="187" fontId="221" fillId="125" borderId="609" xfId="0" applyNumberFormat="1" applyFont="1" applyFill="1" applyBorder="1" applyAlignment="1">
      <alignment horizontal="center" vertical="center"/>
    </xf>
    <xf numFmtId="187" fontId="221" fillId="125" borderId="603" xfId="0" applyNumberFormat="1" applyFont="1" applyFill="1" applyBorder="1" applyAlignment="1">
      <alignment horizontal="center" vertical="center"/>
    </xf>
    <xf numFmtId="177" fontId="0" fillId="0" borderId="226" xfId="0" applyNumberFormat="1" applyFont="1" applyBorder="1" applyAlignment="1">
      <alignment horizontal="center" vertical="center"/>
    </xf>
    <xf numFmtId="177" fontId="0" fillId="0" borderId="122" xfId="0" applyNumberFormat="1" applyFont="1" applyBorder="1" applyAlignment="1">
      <alignment horizontal="center" vertical="center"/>
    </xf>
    <xf numFmtId="177" fontId="0" fillId="0" borderId="609" xfId="0" applyNumberFormat="1" applyFont="1" applyBorder="1" applyAlignment="1">
      <alignment horizontal="center" vertical="center"/>
    </xf>
    <xf numFmtId="177" fontId="0" fillId="0" borderId="609" xfId="0" applyNumberFormat="1" applyFont="1" applyFill="1" applyBorder="1" applyAlignment="1">
      <alignment horizontal="center" vertical="center"/>
    </xf>
    <xf numFmtId="177" fontId="0" fillId="117" borderId="609" xfId="0" applyNumberFormat="1" applyFont="1" applyFill="1" applyBorder="1" applyAlignment="1">
      <alignment horizontal="center" vertical="center"/>
    </xf>
    <xf numFmtId="177" fontId="176" fillId="125" borderId="122" xfId="0" applyNumberFormat="1" applyFont="1" applyFill="1" applyBorder="1" applyAlignment="1">
      <alignment horizontal="center" vertical="center"/>
    </xf>
    <xf numFmtId="3" fontId="176" fillId="125" borderId="603" xfId="2" applyNumberFormat="1" applyFont="1" applyFill="1" applyBorder="1" applyAlignment="1">
      <alignment horizontal="center" vertical="center" wrapText="1"/>
    </xf>
    <xf numFmtId="3" fontId="28" fillId="0" borderId="609" xfId="2" applyNumberFormat="1" applyFont="1" applyFill="1" applyBorder="1" applyAlignment="1">
      <alignment horizontal="center" vertical="center" wrapText="1"/>
    </xf>
    <xf numFmtId="3" fontId="28" fillId="117" borderId="609" xfId="2" applyNumberFormat="1" applyFont="1" applyFill="1" applyBorder="1" applyAlignment="1">
      <alignment horizontal="center" vertical="center" wrapText="1"/>
    </xf>
    <xf numFmtId="177" fontId="0" fillId="125" borderId="6" xfId="0" applyNumberFormat="1" applyFont="1" applyFill="1" applyBorder="1" applyAlignment="1">
      <alignment horizontal="center" vertical="center"/>
    </xf>
    <xf numFmtId="177" fontId="0" fillId="125" borderId="609" xfId="0" applyNumberFormat="1" applyFont="1" applyFill="1" applyBorder="1" applyAlignment="1">
      <alignment horizontal="center" vertical="center"/>
    </xf>
    <xf numFmtId="177" fontId="28" fillId="0" borderId="122" xfId="0" applyNumberFormat="1" applyFont="1" applyBorder="1" applyAlignment="1">
      <alignment horizontal="center" vertical="center"/>
    </xf>
    <xf numFmtId="177" fontId="28" fillId="0" borderId="5" xfId="0" applyNumberFormat="1" applyFont="1" applyBorder="1" applyAlignment="1">
      <alignment horizontal="center" vertical="center"/>
    </xf>
    <xf numFmtId="223" fontId="28" fillId="0" borderId="212" xfId="0" applyNumberFormat="1" applyFont="1" applyBorder="1" applyAlignment="1">
      <alignment horizontal="center" vertical="center"/>
    </xf>
    <xf numFmtId="177" fontId="28" fillId="0" borderId="6" xfId="0" applyNumberFormat="1" applyFont="1" applyBorder="1" applyAlignment="1">
      <alignment horizontal="center" vertical="center"/>
    </xf>
    <xf numFmtId="177" fontId="28" fillId="15" borderId="6" xfId="0" applyNumberFormat="1" applyFont="1" applyFill="1" applyBorder="1" applyAlignment="1">
      <alignment horizontal="center" vertical="center"/>
    </xf>
    <xf numFmtId="38" fontId="28" fillId="0" borderId="230" xfId="2" applyNumberFormat="1" applyFont="1" applyFill="1" applyBorder="1" applyAlignment="1">
      <alignment horizontal="center" vertical="center" wrapText="1"/>
    </xf>
    <xf numFmtId="38" fontId="28" fillId="0" borderId="609" xfId="2" applyNumberFormat="1" applyFont="1" applyFill="1" applyBorder="1" applyAlignment="1">
      <alignment horizontal="center" vertical="center" wrapText="1"/>
    </xf>
    <xf numFmtId="38" fontId="28" fillId="0" borderId="5" xfId="2" applyNumberFormat="1" applyFont="1" applyFill="1" applyBorder="1" applyAlignment="1">
      <alignment horizontal="center" vertical="center" wrapText="1"/>
    </xf>
    <xf numFmtId="223" fontId="176" fillId="125" borderId="268" xfId="0" applyNumberFormat="1" applyFont="1" applyFill="1" applyBorder="1" applyAlignment="1">
      <alignment horizontal="center" vertical="center"/>
    </xf>
    <xf numFmtId="223" fontId="176" fillId="125" borderId="518" xfId="0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left" vertical="center"/>
    </xf>
    <xf numFmtId="2" fontId="57" fillId="0" borderId="518" xfId="0" applyNumberFormat="1" applyFont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34" fillId="3" borderId="609" xfId="0" applyFont="1" applyFill="1" applyBorder="1" applyAlignment="1">
      <alignment horizontal="center" vertical="center"/>
    </xf>
    <xf numFmtId="2" fontId="34" fillId="7" borderId="609" xfId="0" applyNumberFormat="1" applyFont="1" applyFill="1" applyBorder="1" applyAlignment="1">
      <alignment horizontal="center" vertical="center"/>
    </xf>
    <xf numFmtId="38" fontId="28" fillId="7" borderId="609" xfId="0" applyNumberFormat="1" applyFont="1" applyFill="1" applyBorder="1" applyAlignment="1">
      <alignment horizontal="center" vertical="center"/>
    </xf>
    <xf numFmtId="3" fontId="204" fillId="0" borderId="609" xfId="0" applyNumberFormat="1" applyFont="1" applyBorder="1" applyAlignment="1">
      <alignment horizontal="center" vertical="center"/>
    </xf>
    <xf numFmtId="187" fontId="28" fillId="7" borderId="609" xfId="0" applyNumberFormat="1" applyFont="1" applyFill="1" applyBorder="1" applyAlignment="1">
      <alignment horizontal="center" vertical="center" readingOrder="1"/>
    </xf>
    <xf numFmtId="38" fontId="28" fillId="7" borderId="609" xfId="0" applyNumberFormat="1" applyFont="1" applyFill="1" applyBorder="1" applyAlignment="1">
      <alignment horizontal="center" vertical="center" readingOrder="1"/>
    </xf>
    <xf numFmtId="38" fontId="34" fillId="7" borderId="609" xfId="0" applyNumberFormat="1" applyFont="1" applyFill="1" applyBorder="1" applyAlignment="1">
      <alignment horizontal="center" vertical="center"/>
    </xf>
    <xf numFmtId="3" fontId="178" fillId="3" borderId="609" xfId="0" applyNumberFormat="1" applyFont="1" applyFill="1" applyBorder="1" applyAlignment="1">
      <alignment horizontal="center" vertical="center" wrapText="1" readingOrder="1"/>
    </xf>
    <xf numFmtId="187" fontId="28" fillId="7" borderId="609" xfId="0" applyNumberFormat="1" applyFont="1" applyFill="1" applyBorder="1" applyAlignment="1">
      <alignment horizontal="center" vertical="center"/>
    </xf>
    <xf numFmtId="187" fontId="28" fillId="7" borderId="0" xfId="0" applyNumberFormat="1" applyFont="1" applyFill="1" applyBorder="1" applyAlignment="1">
      <alignment horizontal="center" vertical="center"/>
    </xf>
    <xf numFmtId="0" fontId="34" fillId="0" borderId="607" xfId="0" applyFont="1" applyFill="1" applyBorder="1" applyAlignment="1">
      <alignment horizontal="center" vertical="center"/>
    </xf>
    <xf numFmtId="3" fontId="178" fillId="3" borderId="603" xfId="0" applyNumberFormat="1" applyFont="1" applyFill="1" applyBorder="1" applyAlignment="1">
      <alignment horizontal="center" vertical="center" wrapText="1" readingOrder="1"/>
    </xf>
    <xf numFmtId="187" fontId="171" fillId="0" borderId="607" xfId="0" applyNumberFormat="1" applyFont="1" applyBorder="1" applyAlignment="1">
      <alignment horizontal="center" vertical="center"/>
    </xf>
    <xf numFmtId="2" fontId="176" fillId="125" borderId="672" xfId="0" applyNumberFormat="1" applyFont="1" applyFill="1" applyBorder="1" applyAlignment="1">
      <alignment horizontal="center" vertical="center"/>
    </xf>
    <xf numFmtId="2" fontId="176" fillId="125" borderId="609" xfId="0" applyNumberFormat="1" applyFont="1" applyFill="1" applyBorder="1" applyAlignment="1">
      <alignment horizontal="center" vertical="center"/>
    </xf>
    <xf numFmtId="3" fontId="187" fillId="7" borderId="615" xfId="2" applyNumberFormat="1" applyFont="1" applyFill="1" applyBorder="1" applyAlignment="1">
      <alignment horizontal="center" vertical="center"/>
    </xf>
    <xf numFmtId="0" fontId="176" fillId="127" borderId="602" xfId="0" applyFont="1" applyFill="1" applyBorder="1" applyAlignment="1">
      <alignment horizontal="center" vertical="center"/>
    </xf>
    <xf numFmtId="0" fontId="176" fillId="127" borderId="603" xfId="0" applyFont="1" applyFill="1" applyBorder="1" applyAlignment="1">
      <alignment horizontal="center" vertical="center"/>
    </xf>
    <xf numFmtId="0" fontId="176" fillId="127" borderId="610" xfId="0" applyFont="1" applyFill="1" applyBorder="1" applyAlignment="1">
      <alignment horizontal="center" vertical="center"/>
    </xf>
    <xf numFmtId="0" fontId="177" fillId="127" borderId="263" xfId="0" applyFont="1" applyFill="1" applyBorder="1" applyAlignment="1">
      <alignment horizontal="center" vertical="center"/>
    </xf>
    <xf numFmtId="0" fontId="177" fillId="127" borderId="202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85" fontId="28" fillId="0" borderId="0" xfId="0" applyNumberFormat="1" applyFont="1">
      <alignment vertical="center"/>
    </xf>
    <xf numFmtId="0" fontId="28" fillId="0" borderId="0" xfId="0" applyFont="1" applyAlignment="1">
      <alignment horizontal="center" vertical="center" wrapText="1"/>
    </xf>
    <xf numFmtId="223" fontId="57" fillId="15" borderId="6" xfId="0" applyNumberFormat="1" applyFont="1" applyFill="1" applyBorder="1" applyAlignment="1">
      <alignment horizontal="center" vertical="center"/>
    </xf>
    <xf numFmtId="0" fontId="25" fillId="0" borderId="516" xfId="0" applyFont="1" applyBorder="1" applyAlignment="1">
      <alignment horizontal="center" vertical="center"/>
    </xf>
    <xf numFmtId="177" fontId="28" fillId="0" borderId="260" xfId="1" applyNumberFormat="1" applyFont="1" applyBorder="1" applyAlignment="1">
      <alignment horizontal="center" vertical="center" wrapText="1"/>
    </xf>
    <xf numFmtId="177" fontId="187" fillId="0" borderId="260" xfId="1" applyNumberFormat="1" applyFont="1" applyBorder="1" applyAlignment="1">
      <alignment horizontal="center" vertical="center" wrapText="1"/>
    </xf>
    <xf numFmtId="177" fontId="176" fillId="125" borderId="260" xfId="1" applyNumberFormat="1" applyFont="1" applyFill="1" applyBorder="1" applyAlignment="1">
      <alignment horizontal="center" vertical="center" wrapText="1"/>
    </xf>
    <xf numFmtId="177" fontId="176" fillId="125" borderId="261" xfId="1" applyNumberFormat="1" applyFont="1" applyFill="1" applyBorder="1" applyAlignment="1">
      <alignment horizontal="center" vertical="center" wrapText="1"/>
    </xf>
    <xf numFmtId="177" fontId="176" fillId="128" borderId="207" xfId="1" applyNumberFormat="1" applyFont="1" applyFill="1" applyBorder="1" applyAlignment="1">
      <alignment horizontal="center" vertical="center" wrapText="1"/>
    </xf>
    <xf numFmtId="177" fontId="28" fillId="3" borderId="673" xfId="1" applyNumberFormat="1" applyFont="1" applyFill="1" applyBorder="1" applyAlignment="1">
      <alignment horizontal="center" vertical="center" wrapText="1"/>
    </xf>
    <xf numFmtId="0" fontId="177" fillId="126" borderId="609" xfId="0" applyFont="1" applyFill="1" applyBorder="1" applyAlignment="1">
      <alignment horizontal="center" vertical="center"/>
    </xf>
    <xf numFmtId="0" fontId="171" fillId="0" borderId="0" xfId="0" applyFont="1" applyAlignment="1">
      <alignment horizontal="left" vertical="center"/>
    </xf>
    <xf numFmtId="0" fontId="176" fillId="126" borderId="226" xfId="0" applyFont="1" applyFill="1" applyBorder="1" applyAlignment="1">
      <alignment horizontal="center" vertical="center"/>
    </xf>
    <xf numFmtId="0" fontId="177" fillId="126" borderId="603" xfId="0" applyFont="1" applyFill="1" applyBorder="1" applyAlignment="1">
      <alignment horizontal="center" vertical="center"/>
    </xf>
    <xf numFmtId="38" fontId="176" fillId="126" borderId="226" xfId="0" applyNumberFormat="1" applyFont="1" applyFill="1" applyBorder="1" applyAlignment="1">
      <alignment horizontal="center" vertical="center"/>
    </xf>
    <xf numFmtId="223" fontId="167" fillId="3" borderId="229" xfId="0" applyNumberFormat="1" applyFont="1" applyFill="1" applyBorder="1" applyAlignment="1">
      <alignment horizontal="center" vertical="center"/>
    </xf>
    <xf numFmtId="38" fontId="167" fillId="3" borderId="229" xfId="2" applyNumberFormat="1" applyFont="1" applyFill="1" applyBorder="1" applyAlignment="1">
      <alignment horizontal="center" vertical="center"/>
    </xf>
    <xf numFmtId="223" fontId="188" fillId="3" borderId="229" xfId="2" applyNumberFormat="1" applyFont="1" applyFill="1" applyBorder="1" applyAlignment="1">
      <alignment horizontal="center" vertical="center"/>
    </xf>
    <xf numFmtId="223" fontId="57" fillId="0" borderId="611" xfId="2" applyNumberFormat="1" applyFont="1" applyBorder="1" applyAlignment="1">
      <alignment horizontal="center" vertical="center"/>
    </xf>
    <xf numFmtId="178" fontId="57" fillId="15" borderId="611" xfId="2" applyNumberFormat="1" applyFont="1" applyFill="1" applyBorder="1" applyAlignment="1">
      <alignment horizontal="center" vertical="center"/>
    </xf>
    <xf numFmtId="187" fontId="57" fillId="15" borderId="611" xfId="2" applyNumberFormat="1" applyFont="1" applyFill="1" applyBorder="1" applyAlignment="1">
      <alignment horizontal="center" vertical="center"/>
    </xf>
    <xf numFmtId="223" fontId="57" fillId="0" borderId="594" xfId="2" applyNumberFormat="1" applyFont="1" applyBorder="1" applyAlignment="1">
      <alignment horizontal="center" vertical="center"/>
    </xf>
    <xf numFmtId="38" fontId="57" fillId="7" borderId="611" xfId="2" applyNumberFormat="1" applyFont="1" applyFill="1" applyBorder="1" applyAlignment="1">
      <alignment horizontal="center" vertical="center"/>
    </xf>
    <xf numFmtId="38" fontId="57" fillId="0" borderId="611" xfId="2" applyNumberFormat="1" applyFont="1" applyFill="1" applyBorder="1" applyAlignment="1">
      <alignment horizontal="center" vertical="center"/>
    </xf>
    <xf numFmtId="38" fontId="57" fillId="0" borderId="594" xfId="2" applyNumberFormat="1" applyFont="1" applyFill="1" applyBorder="1" applyAlignment="1">
      <alignment horizontal="center" vertical="center"/>
    </xf>
    <xf numFmtId="0" fontId="177" fillId="127" borderId="602" xfId="0" applyFont="1" applyFill="1" applyBorder="1" applyAlignment="1">
      <alignment horizontal="center" vertical="center"/>
    </xf>
    <xf numFmtId="0" fontId="177" fillId="127" borderId="594" xfId="0" applyFont="1" applyFill="1" applyBorder="1" applyAlignment="1">
      <alignment horizontal="center" vertical="center"/>
    </xf>
    <xf numFmtId="223" fontId="57" fillId="0" borderId="518" xfId="0" applyNumberFormat="1" applyFont="1" applyBorder="1" applyAlignment="1">
      <alignment horizontal="center" vertical="center"/>
    </xf>
    <xf numFmtId="223" fontId="57" fillId="0" borderId="202" xfId="0" applyNumberFormat="1" applyFont="1" applyBorder="1" applyAlignment="1">
      <alignment horizontal="center" vertical="center"/>
    </xf>
    <xf numFmtId="223" fontId="57" fillId="0" borderId="594" xfId="0" applyNumberFormat="1" applyFont="1" applyBorder="1" applyAlignment="1">
      <alignment horizontal="center" vertical="center"/>
    </xf>
    <xf numFmtId="0" fontId="177" fillId="127" borderId="611" xfId="0" applyFont="1" applyFill="1" applyBorder="1" applyAlignment="1">
      <alignment horizontal="center" vertical="center"/>
    </xf>
    <xf numFmtId="223" fontId="57" fillId="0" borderId="611" xfId="0" applyNumberFormat="1" applyFont="1" applyBorder="1" applyAlignment="1">
      <alignment horizontal="center" vertical="center"/>
    </xf>
    <xf numFmtId="0" fontId="177" fillId="127" borderId="518" xfId="0" applyFont="1" applyFill="1" applyBorder="1" applyAlignment="1">
      <alignment horizontal="center" vertical="center"/>
    </xf>
    <xf numFmtId="223" fontId="57" fillId="0" borderId="229" xfId="0" applyNumberFormat="1" applyFont="1" applyBorder="1" applyAlignment="1">
      <alignment horizontal="center" vertical="center"/>
    </xf>
    <xf numFmtId="223" fontId="57" fillId="0" borderId="611" xfId="0" applyNumberFormat="1" applyFont="1" applyFill="1" applyBorder="1" applyAlignment="1">
      <alignment horizontal="center" vertical="center"/>
    </xf>
    <xf numFmtId="223" fontId="57" fillId="0" borderId="594" xfId="0" applyNumberFormat="1" applyFont="1" applyFill="1" applyBorder="1" applyAlignment="1">
      <alignment horizontal="center" vertical="center"/>
    </xf>
    <xf numFmtId="0" fontId="177" fillId="127" borderId="202" xfId="0" applyFont="1" applyFill="1" applyBorder="1" applyAlignment="1">
      <alignment horizontal="center" vertical="center" wrapText="1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2" fontId="176" fillId="125" borderId="616" xfId="0" applyNumberFormat="1" applyFont="1" applyFill="1" applyBorder="1" applyAlignment="1">
      <alignment horizontal="center" vertical="center"/>
    </xf>
    <xf numFmtId="2" fontId="176" fillId="125" borderId="471" xfId="0" applyNumberFormat="1" applyFont="1" applyFill="1" applyBorder="1" applyAlignment="1">
      <alignment horizontal="center" vertical="center"/>
    </xf>
    <xf numFmtId="183" fontId="28" fillId="0" borderId="471" xfId="2" applyNumberFormat="1" applyFont="1" applyFill="1" applyBorder="1" applyAlignment="1">
      <alignment horizontal="center" vertical="center"/>
    </xf>
    <xf numFmtId="183" fontId="28" fillId="7" borderId="608" xfId="2" applyNumberFormat="1" applyFont="1" applyFill="1" applyBorder="1" applyAlignment="1">
      <alignment horizontal="center" vertical="center" wrapText="1"/>
    </xf>
    <xf numFmtId="2" fontId="176" fillId="125" borderId="608" xfId="0" applyNumberFormat="1" applyFont="1" applyFill="1" applyBorder="1" applyAlignment="1">
      <alignment horizontal="center" vertical="center"/>
    </xf>
    <xf numFmtId="183" fontId="187" fillId="0" borderId="40" xfId="2" applyNumberFormat="1" applyFont="1" applyFill="1" applyBorder="1" applyAlignment="1">
      <alignment horizontal="center" vertical="center"/>
    </xf>
    <xf numFmtId="187" fontId="57" fillId="7" borderId="666" xfId="2" applyNumberFormat="1" applyFont="1" applyFill="1" applyBorder="1" applyAlignment="1">
      <alignment horizontal="center" vertical="center"/>
    </xf>
    <xf numFmtId="4" fontId="57" fillId="7" borderId="334" xfId="2" applyNumberFormat="1" applyFont="1" applyFill="1" applyBorder="1" applyAlignment="1">
      <alignment horizontal="center" vertical="center"/>
    </xf>
    <xf numFmtId="183" fontId="57" fillId="7" borderId="666" xfId="2" applyNumberFormat="1" applyFont="1" applyFill="1" applyBorder="1" applyAlignment="1">
      <alignment horizontal="center" vertical="center"/>
    </xf>
    <xf numFmtId="223" fontId="171" fillId="15" borderId="638" xfId="0" applyNumberFormat="1" applyFont="1" applyFill="1" applyBorder="1" applyAlignment="1">
      <alignment horizontal="center" vertical="center"/>
    </xf>
    <xf numFmtId="187" fontId="57" fillId="0" borderId="658" xfId="2" applyNumberFormat="1" applyFont="1" applyBorder="1" applyAlignment="1">
      <alignment horizontal="center" vertical="center"/>
    </xf>
    <xf numFmtId="187" fontId="57" fillId="0" borderId="659" xfId="2" applyNumberFormat="1" applyFont="1" applyBorder="1" applyAlignment="1">
      <alignment horizontal="center" vertical="center"/>
    </xf>
    <xf numFmtId="183" fontId="28" fillId="0" borderId="471" xfId="0" applyNumberFormat="1" applyFont="1" applyBorder="1" applyAlignment="1">
      <alignment horizontal="center" vertical="center"/>
    </xf>
    <xf numFmtId="178" fontId="28" fillId="0" borderId="615" xfId="0" applyNumberFormat="1" applyFont="1" applyBorder="1" applyAlignment="1">
      <alignment horizontal="center" vertical="center"/>
    </xf>
    <xf numFmtId="0" fontId="28" fillId="5" borderId="609" xfId="0" applyFont="1" applyFill="1" applyBorder="1" applyAlignment="1">
      <alignment horizontal="center" vertical="center" wrapText="1"/>
    </xf>
    <xf numFmtId="176" fontId="47" fillId="0" borderId="72" xfId="0" applyNumberFormat="1" applyFont="1" applyFill="1" applyBorder="1" applyAlignment="1">
      <alignment horizontal="center" vertical="center"/>
    </xf>
    <xf numFmtId="186" fontId="210" fillId="3" borderId="155" xfId="0" applyNumberFormat="1" applyFont="1" applyFill="1" applyBorder="1" applyAlignment="1">
      <alignment horizontal="right" vertical="center"/>
    </xf>
    <xf numFmtId="186" fontId="210" fillId="3" borderId="67" xfId="0" applyNumberFormat="1" applyFont="1" applyFill="1" applyBorder="1" applyAlignment="1">
      <alignment horizontal="right" vertical="center"/>
    </xf>
    <xf numFmtId="0" fontId="221" fillId="127" borderId="110" xfId="0" applyFont="1" applyFill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4" fontId="169" fillId="7" borderId="0" xfId="0" applyNumberFormat="1" applyFont="1" applyFill="1" applyAlignment="1">
      <alignment horizontal="center" vertical="center"/>
    </xf>
    <xf numFmtId="183" fontId="169" fillId="7" borderId="0" xfId="0" applyNumberFormat="1" applyFont="1" applyFill="1" applyAlignment="1">
      <alignment horizontal="center" vertical="center"/>
    </xf>
    <xf numFmtId="9" fontId="188" fillId="0" borderId="122" xfId="2" applyNumberFormat="1" applyFont="1" applyFill="1" applyBorder="1" applyAlignment="1">
      <alignment horizontal="center" vertical="center"/>
    </xf>
    <xf numFmtId="9" fontId="188" fillId="0" borderId="6" xfId="2" applyNumberFormat="1" applyFont="1" applyFill="1" applyBorder="1" applyAlignment="1">
      <alignment horizontal="center" vertical="center"/>
    </xf>
    <xf numFmtId="38" fontId="57" fillId="7" borderId="516" xfId="2" applyNumberFormat="1" applyFont="1" applyFill="1" applyBorder="1" applyAlignment="1">
      <alignment horizontal="center" vertical="center"/>
    </xf>
    <xf numFmtId="38" fontId="57" fillId="7" borderId="609" xfId="2" applyNumberFormat="1" applyFont="1" applyFill="1" applyBorder="1" applyAlignment="1">
      <alignment horizontal="center" vertical="center"/>
    </xf>
    <xf numFmtId="38" fontId="57" fillId="15" borderId="616" xfId="2" applyNumberFormat="1" applyFont="1" applyFill="1" applyBorder="1" applyAlignment="1">
      <alignment horizontal="center" vertical="center"/>
    </xf>
    <xf numFmtId="38" fontId="57" fillId="0" borderId="616" xfId="2" applyNumberFormat="1" applyFont="1" applyBorder="1" applyAlignment="1">
      <alignment horizontal="center" vertical="center"/>
    </xf>
    <xf numFmtId="38" fontId="57" fillId="0" borderId="49" xfId="2" applyNumberFormat="1" applyFont="1" applyBorder="1" applyAlignment="1">
      <alignment horizontal="center" vertical="center"/>
    </xf>
    <xf numFmtId="38" fontId="57" fillId="15" borderId="519" xfId="2" applyNumberFormat="1" applyFont="1" applyFill="1" applyBorder="1" applyAlignment="1">
      <alignment horizontal="center" vertical="center"/>
    </xf>
    <xf numFmtId="38" fontId="57" fillId="15" borderId="23" xfId="2" applyNumberFormat="1" applyFont="1" applyFill="1" applyBorder="1" applyAlignment="1">
      <alignment horizontal="center" vertical="center"/>
    </xf>
    <xf numFmtId="183" fontId="57" fillId="15" borderId="605" xfId="2" applyNumberFormat="1" applyFont="1" applyFill="1" applyBorder="1" applyAlignment="1">
      <alignment horizontal="center" vertical="center"/>
    </xf>
    <xf numFmtId="38" fontId="57" fillId="15" borderId="86" xfId="2" applyNumberFormat="1" applyFont="1" applyFill="1" applyBorder="1" applyAlignment="1">
      <alignment horizontal="center" vertical="center"/>
    </xf>
    <xf numFmtId="0" fontId="57" fillId="15" borderId="605" xfId="2" applyNumberFormat="1" applyFont="1" applyFill="1" applyBorder="1" applyAlignment="1">
      <alignment vertical="center"/>
    </xf>
    <xf numFmtId="223" fontId="57" fillId="0" borderId="605" xfId="2" applyNumberFormat="1" applyFont="1" applyFill="1" applyBorder="1" applyAlignment="1">
      <alignment horizontal="center" vertical="center"/>
    </xf>
    <xf numFmtId="38" fontId="57" fillId="15" borderId="616" xfId="2" applyNumberFormat="1" applyFont="1" applyFill="1" applyBorder="1" applyAlignment="1">
      <alignment vertical="center"/>
    </xf>
    <xf numFmtId="223" fontId="57" fillId="0" borderId="86" xfId="2" applyNumberFormat="1" applyFont="1" applyFill="1" applyBorder="1" applyAlignment="1">
      <alignment horizontal="center" vertical="center"/>
    </xf>
    <xf numFmtId="187" fontId="57" fillId="15" borderId="86" xfId="2" applyNumberFormat="1" applyFont="1" applyFill="1" applyBorder="1" applyAlignment="1">
      <alignment horizontal="center" vertical="center"/>
    </xf>
    <xf numFmtId="38" fontId="57" fillId="7" borderId="616" xfId="2" applyNumberFormat="1" applyFont="1" applyFill="1" applyBorder="1" applyAlignment="1">
      <alignment horizontal="center" vertical="center"/>
    </xf>
    <xf numFmtId="187" fontId="57" fillId="15" borderId="519" xfId="2" applyNumberFormat="1" applyFont="1" applyFill="1" applyBorder="1" applyAlignment="1">
      <alignment horizontal="center" vertical="center"/>
    </xf>
    <xf numFmtId="223" fontId="57" fillId="7" borderId="23" xfId="2" applyNumberFormat="1" applyFont="1" applyFill="1" applyBorder="1" applyAlignment="1">
      <alignment horizontal="center" vertical="center"/>
    </xf>
    <xf numFmtId="38" fontId="57" fillId="15" borderId="605" xfId="2" applyNumberFormat="1" applyFont="1" applyFill="1" applyBorder="1" applyAlignment="1">
      <alignment horizontal="center" vertical="center"/>
    </xf>
    <xf numFmtId="223" fontId="57" fillId="7" borderId="86" xfId="2" applyNumberFormat="1" applyFont="1" applyFill="1" applyBorder="1" applyAlignment="1">
      <alignment horizontal="center" vertical="center"/>
    </xf>
    <xf numFmtId="187" fontId="57" fillId="7" borderId="605" xfId="2" applyNumberFormat="1" applyFont="1" applyFill="1" applyBorder="1" applyAlignment="1">
      <alignment horizontal="center" vertical="center"/>
    </xf>
    <xf numFmtId="223" fontId="171" fillId="0" borderId="288" xfId="0" applyNumberFormat="1" applyFont="1" applyBorder="1" applyAlignment="1">
      <alignment horizontal="center" vertical="center"/>
    </xf>
    <xf numFmtId="176" fontId="57" fillId="0" borderId="122" xfId="2" applyNumberFormat="1" applyFont="1" applyBorder="1" applyAlignment="1">
      <alignment horizontal="center" vertical="center"/>
    </xf>
    <xf numFmtId="4" fontId="57" fillId="0" borderId="516" xfId="2" applyNumberFormat="1" applyFont="1" applyBorder="1" applyAlignment="1">
      <alignment horizontal="center" vertical="center"/>
    </xf>
    <xf numFmtId="183" fontId="57" fillId="0" borderId="6" xfId="2" applyNumberFormat="1" applyFont="1" applyBorder="1" applyAlignment="1">
      <alignment horizontal="center" vertical="center"/>
    </xf>
    <xf numFmtId="4" fontId="57" fillId="0" borderId="609" xfId="2" applyNumberFormat="1" applyFont="1" applyBorder="1" applyAlignment="1">
      <alignment horizontal="center" vertical="center"/>
    </xf>
    <xf numFmtId="2" fontId="57" fillId="5" borderId="516" xfId="0" applyNumberFormat="1" applyFont="1" applyFill="1" applyBorder="1" applyAlignment="1">
      <alignment horizontal="center" vertical="center"/>
    </xf>
    <xf numFmtId="4" fontId="57" fillId="0" borderId="226" xfId="2" applyNumberFormat="1" applyFont="1" applyBorder="1" applyAlignment="1">
      <alignment horizontal="center" vertical="center"/>
    </xf>
    <xf numFmtId="3" fontId="57" fillId="0" borderId="6" xfId="2" applyNumberFormat="1" applyFont="1" applyBorder="1" applyAlignment="1">
      <alignment horizontal="center" vertical="center"/>
    </xf>
    <xf numFmtId="178" fontId="57" fillId="0" borderId="609" xfId="2" applyNumberFormat="1" applyFont="1" applyFill="1" applyBorder="1" applyAlignment="1">
      <alignment horizontal="center" vertical="center" wrapText="1"/>
    </xf>
    <xf numFmtId="4" fontId="57" fillId="0" borderId="603" xfId="2" applyNumberFormat="1" applyFont="1" applyBorder="1" applyAlignment="1">
      <alignment horizontal="center" vertical="center"/>
    </xf>
    <xf numFmtId="178" fontId="57" fillId="0" borderId="516" xfId="2" applyNumberFormat="1" applyFont="1" applyBorder="1" applyAlignment="1">
      <alignment horizontal="center" vertical="center"/>
    </xf>
    <xf numFmtId="178" fontId="57" fillId="0" borderId="6" xfId="2" applyNumberFormat="1" applyFont="1" applyBorder="1" applyAlignment="1">
      <alignment horizontal="center" vertical="center"/>
    </xf>
    <xf numFmtId="178" fontId="57" fillId="0" borderId="603" xfId="2" applyNumberFormat="1" applyFont="1" applyBorder="1" applyAlignment="1">
      <alignment horizontal="center" vertical="center"/>
    </xf>
    <xf numFmtId="178" fontId="57" fillId="0" borderId="226" xfId="2" applyNumberFormat="1" applyFont="1" applyBorder="1" applyAlignment="1">
      <alignment horizontal="center" vertical="center"/>
    </xf>
    <xf numFmtId="4" fontId="57" fillId="0" borderId="122" xfId="2" applyNumberFormat="1" applyFont="1" applyBorder="1" applyAlignment="1">
      <alignment horizontal="center" vertical="center"/>
    </xf>
    <xf numFmtId="187" fontId="57" fillId="7" borderId="40" xfId="2" applyNumberFormat="1" applyFont="1" applyFill="1" applyBorder="1" applyAlignment="1">
      <alignment horizontal="center" vertical="center"/>
    </xf>
    <xf numFmtId="4" fontId="57" fillId="0" borderId="604" xfId="0" applyNumberFormat="1" applyFont="1" applyBorder="1" applyAlignment="1">
      <alignment horizontal="center" vertical="center"/>
    </xf>
    <xf numFmtId="187" fontId="57" fillId="15" borderId="616" xfId="2" applyNumberFormat="1" applyFont="1" applyFill="1" applyBorder="1" applyAlignment="1">
      <alignment horizontal="center" vertical="center"/>
    </xf>
    <xf numFmtId="38" fontId="57" fillId="0" borderId="616" xfId="2" applyNumberFormat="1" applyFont="1" applyFill="1" applyBorder="1" applyAlignment="1">
      <alignment horizontal="center" vertical="center"/>
    </xf>
    <xf numFmtId="38" fontId="57" fillId="5" borderId="352" xfId="2" applyNumberFormat="1" applyFont="1" applyFill="1" applyBorder="1" applyAlignment="1">
      <alignment horizontal="center" vertical="center"/>
    </xf>
    <xf numFmtId="38" fontId="57" fillId="15" borderId="49" xfId="2" applyNumberFormat="1" applyFont="1" applyFill="1" applyBorder="1" applyAlignment="1">
      <alignment horizontal="center" vertical="center"/>
    </xf>
    <xf numFmtId="10" fontId="188" fillId="3" borderId="0" xfId="0" applyNumberFormat="1" applyFont="1" applyFill="1" applyAlignment="1">
      <alignment horizontal="center" vertical="center"/>
    </xf>
    <xf numFmtId="226" fontId="28" fillId="0" borderId="228" xfId="2" applyNumberFormat="1" applyFont="1" applyFill="1" applyBorder="1" applyAlignment="1">
      <alignment horizontal="center" vertical="center" wrapText="1"/>
    </xf>
    <xf numFmtId="226" fontId="28" fillId="0" borderId="47" xfId="2" applyNumberFormat="1" applyFont="1" applyFill="1" applyBorder="1" applyAlignment="1">
      <alignment horizontal="center" vertical="center"/>
    </xf>
    <xf numFmtId="226" fontId="28" fillId="0" borderId="608" xfId="2" applyNumberFormat="1" applyFont="1" applyFill="1" applyBorder="1" applyAlignment="1">
      <alignment horizontal="center" vertical="center"/>
    </xf>
    <xf numFmtId="226" fontId="28" fillId="0" borderId="517" xfId="2" applyNumberFormat="1" applyFont="1" applyFill="1" applyBorder="1" applyAlignment="1">
      <alignment horizontal="center" vertical="center"/>
    </xf>
    <xf numFmtId="183" fontId="28" fillId="0" borderId="225" xfId="2" applyNumberFormat="1" applyFont="1" applyFill="1" applyBorder="1" applyAlignment="1">
      <alignment horizontal="center" vertical="center" wrapText="1"/>
    </xf>
    <xf numFmtId="183" fontId="28" fillId="0" borderId="515" xfId="2" applyNumberFormat="1" applyFont="1" applyFill="1" applyBorder="1" applyAlignment="1">
      <alignment horizontal="center" vertical="center"/>
    </xf>
    <xf numFmtId="183" fontId="176" fillId="125" borderId="121" xfId="2" applyNumberFormat="1" applyFont="1" applyFill="1" applyBorder="1" applyAlignment="1">
      <alignment horizontal="center" vertical="center" wrapText="1"/>
    </xf>
    <xf numFmtId="226" fontId="34" fillId="0" borderId="608" xfId="2" applyNumberFormat="1" applyFont="1" applyFill="1" applyBorder="1" applyAlignment="1">
      <alignment horizontal="center" vertical="center"/>
    </xf>
    <xf numFmtId="226" fontId="34" fillId="93" borderId="289" xfId="2" applyNumberFormat="1" applyFont="1" applyFill="1" applyBorder="1" applyAlignment="1">
      <alignment horizontal="center" vertical="center" wrapText="1"/>
    </xf>
    <xf numFmtId="226" fontId="34" fillId="93" borderId="287" xfId="2" applyNumberFormat="1" applyFont="1" applyFill="1" applyBorder="1" applyAlignment="1">
      <alignment horizontal="center" vertical="center" wrapText="1"/>
    </xf>
    <xf numFmtId="226" fontId="34" fillId="93" borderId="64" xfId="2" applyNumberFormat="1" applyFont="1" applyFill="1" applyBorder="1" applyAlignment="1">
      <alignment horizontal="center" vertical="center"/>
    </xf>
    <xf numFmtId="226" fontId="34" fillId="93" borderId="599" xfId="2" applyNumberFormat="1" applyFont="1" applyFill="1" applyBorder="1" applyAlignment="1">
      <alignment horizontal="center" vertical="center"/>
    </xf>
    <xf numFmtId="226" fontId="34" fillId="93" borderId="521" xfId="2" applyNumberFormat="1" applyFont="1" applyFill="1" applyBorder="1" applyAlignment="1">
      <alignment horizontal="center" vertical="center"/>
    </xf>
    <xf numFmtId="226" fontId="28" fillId="0" borderId="202" xfId="2" applyNumberFormat="1" applyFont="1" applyFill="1" applyBorder="1" applyAlignment="1">
      <alignment horizontal="center" vertical="center"/>
    </xf>
    <xf numFmtId="226" fontId="28" fillId="0" borderId="580" xfId="2" applyNumberFormat="1" applyFont="1" applyFill="1" applyBorder="1" applyAlignment="1">
      <alignment horizontal="center" vertical="center"/>
    </xf>
    <xf numFmtId="226" fontId="28" fillId="0" borderId="518" xfId="2" applyNumberFormat="1" applyFont="1" applyFill="1" applyBorder="1" applyAlignment="1">
      <alignment horizontal="center" vertical="center"/>
    </xf>
    <xf numFmtId="226" fontId="176" fillId="125" borderId="47" xfId="2" applyNumberFormat="1" applyFont="1" applyFill="1" applyBorder="1" applyAlignment="1">
      <alignment horizontal="center" vertical="center" wrapText="1"/>
    </xf>
    <xf numFmtId="226" fontId="176" fillId="125" borderId="64" xfId="2" applyNumberFormat="1" applyFont="1" applyFill="1" applyBorder="1" applyAlignment="1">
      <alignment horizontal="center" vertical="center" wrapText="1"/>
    </xf>
    <xf numFmtId="183" fontId="28" fillId="0" borderId="221" xfId="2" applyNumberFormat="1" applyFont="1" applyFill="1" applyBorder="1" applyAlignment="1">
      <alignment horizontal="center" vertical="center"/>
    </xf>
    <xf numFmtId="178" fontId="176" fillId="125" borderId="121" xfId="0" applyNumberFormat="1" applyFont="1" applyFill="1" applyBorder="1" applyAlignment="1">
      <alignment horizontal="center" vertical="center"/>
    </xf>
    <xf numFmtId="178" fontId="176" fillId="125" borderId="122" xfId="2" applyNumberFormat="1" applyFont="1" applyFill="1" applyBorder="1" applyAlignment="1">
      <alignment horizontal="center" vertical="center"/>
    </xf>
    <xf numFmtId="178" fontId="176" fillId="125" borderId="483" xfId="0" applyNumberFormat="1" applyFont="1" applyFill="1" applyBorder="1" applyAlignment="1">
      <alignment horizontal="center" vertical="center"/>
    </xf>
    <xf numFmtId="223" fontId="176" fillId="125" borderId="516" xfId="2" applyNumberFormat="1" applyFont="1" applyFill="1" applyBorder="1" applyAlignment="1">
      <alignment horizontal="center" vertical="center"/>
    </xf>
    <xf numFmtId="223" fontId="176" fillId="125" borderId="615" xfId="2" applyNumberFormat="1" applyFont="1" applyFill="1" applyBorder="1" applyAlignment="1">
      <alignment horizontal="center" vertical="center" wrapText="1"/>
    </xf>
    <xf numFmtId="183" fontId="176" fillId="125" borderId="122" xfId="2" applyNumberFormat="1" applyFont="1" applyFill="1" applyBorder="1" applyAlignment="1">
      <alignment horizontal="center" vertical="center" wrapText="1"/>
    </xf>
    <xf numFmtId="183" fontId="176" fillId="125" borderId="47" xfId="2" applyNumberFormat="1" applyFont="1" applyFill="1" applyBorder="1" applyAlignment="1">
      <alignment horizontal="center" vertical="center" wrapText="1"/>
    </xf>
    <xf numFmtId="183" fontId="176" fillId="125" borderId="64" xfId="2" applyNumberFormat="1" applyFont="1" applyFill="1" applyBorder="1" applyAlignment="1">
      <alignment horizontal="center" vertical="center" wrapText="1"/>
    </xf>
    <xf numFmtId="223" fontId="176" fillId="125" borderId="517" xfId="2" applyNumberFormat="1" applyFont="1" applyFill="1" applyBorder="1" applyAlignment="1">
      <alignment horizontal="center" vertical="center" wrapText="1"/>
    </xf>
    <xf numFmtId="243" fontId="176" fillId="125" borderId="438" xfId="2" applyNumberFormat="1" applyFont="1" applyFill="1" applyBorder="1" applyAlignment="1">
      <alignment horizontal="center" vertical="center" wrapText="1"/>
    </xf>
    <xf numFmtId="243" fontId="176" fillId="125" borderId="517" xfId="2" applyNumberFormat="1" applyFont="1" applyFill="1" applyBorder="1" applyAlignment="1">
      <alignment horizontal="center" vertical="center" wrapText="1"/>
    </xf>
    <xf numFmtId="183" fontId="57" fillId="0" borderId="593" xfId="2" applyNumberFormat="1" applyFont="1" applyFill="1" applyBorder="1" applyAlignment="1">
      <alignment horizontal="center" vertical="center"/>
    </xf>
    <xf numFmtId="183" fontId="57" fillId="0" borderId="595" xfId="2" applyNumberFormat="1" applyFont="1" applyFill="1" applyBorder="1" applyAlignment="1">
      <alignment horizontal="center" vertical="center"/>
    </xf>
    <xf numFmtId="183" fontId="213" fillId="15" borderId="592" xfId="2" applyNumberFormat="1" applyFont="1" applyFill="1" applyBorder="1" applyAlignment="1">
      <alignment horizontal="center" vertical="center"/>
    </xf>
    <xf numFmtId="226" fontId="34" fillId="0" borderId="334" xfId="2" applyNumberFormat="1" applyFont="1" applyFill="1" applyBorder="1" applyAlignment="1">
      <alignment horizontal="center" vertical="center"/>
    </xf>
    <xf numFmtId="226" fontId="34" fillId="0" borderId="330" xfId="2" applyNumberFormat="1" applyFont="1" applyFill="1" applyBorder="1" applyAlignment="1">
      <alignment horizontal="center" vertical="center"/>
    </xf>
    <xf numFmtId="226" fontId="176" fillId="125" borderId="47" xfId="2" applyNumberFormat="1" applyFont="1" applyFill="1" applyBorder="1" applyAlignment="1">
      <alignment horizontal="center" vertical="center"/>
    </xf>
    <xf numFmtId="179" fontId="176" fillId="125" borderId="64" xfId="0" applyNumberFormat="1" applyFont="1" applyFill="1" applyBorder="1" applyAlignment="1">
      <alignment horizontal="center" vertical="center"/>
    </xf>
    <xf numFmtId="226" fontId="34" fillId="0" borderId="40" xfId="2" applyNumberFormat="1" applyFont="1" applyFill="1" applyBorder="1" applyAlignment="1">
      <alignment horizontal="center" vertical="center"/>
    </xf>
    <xf numFmtId="226" fontId="34" fillId="0" borderId="604" xfId="2" applyNumberFormat="1" applyFont="1" applyFill="1" applyBorder="1" applyAlignment="1">
      <alignment horizontal="center" vertical="center"/>
    </xf>
    <xf numFmtId="226" fontId="28" fillId="0" borderId="40" xfId="2" applyNumberFormat="1" applyFont="1" applyFill="1" applyBorder="1" applyAlignment="1">
      <alignment horizontal="center" vertical="center"/>
    </xf>
    <xf numFmtId="226" fontId="34" fillId="117" borderId="608" xfId="2" applyNumberFormat="1" applyFont="1" applyFill="1" applyBorder="1" applyAlignment="1">
      <alignment horizontal="center" vertical="center"/>
    </xf>
    <xf numFmtId="183" fontId="176" fillId="125" borderId="48" xfId="2" applyNumberFormat="1" applyFont="1" applyFill="1" applyBorder="1" applyAlignment="1">
      <alignment horizontal="center" vertical="center" wrapText="1"/>
    </xf>
    <xf numFmtId="183" fontId="176" fillId="125" borderId="519" xfId="2" applyNumberFormat="1" applyFont="1" applyFill="1" applyBorder="1" applyAlignment="1">
      <alignment horizontal="center" vertical="center"/>
    </xf>
    <xf numFmtId="183" fontId="176" fillId="125" borderId="49" xfId="2" applyNumberFormat="1" applyFont="1" applyFill="1" applyBorder="1" applyAlignment="1">
      <alignment horizontal="center" vertical="center" wrapText="1"/>
    </xf>
    <xf numFmtId="243" fontId="176" fillId="125" borderId="519" xfId="2" applyNumberFormat="1" applyFont="1" applyFill="1" applyBorder="1" applyAlignment="1">
      <alignment horizontal="center" vertical="center" wrapText="1"/>
    </xf>
    <xf numFmtId="226" fontId="34" fillId="93" borderId="308" xfId="2" applyNumberFormat="1" applyFont="1" applyFill="1" applyBorder="1" applyAlignment="1">
      <alignment horizontal="center" vertical="center"/>
    </xf>
    <xf numFmtId="226" fontId="34" fillId="93" borderId="592" xfId="2" applyNumberFormat="1" applyFont="1" applyFill="1" applyBorder="1" applyAlignment="1">
      <alignment horizontal="center" vertical="center"/>
    </xf>
    <xf numFmtId="226" fontId="34" fillId="93" borderId="585" xfId="2" applyNumberFormat="1" applyFont="1" applyFill="1" applyBorder="1" applyAlignment="1">
      <alignment horizontal="center" vertical="center"/>
    </xf>
    <xf numFmtId="226" fontId="176" fillId="125" borderId="124" xfId="2" applyNumberFormat="1" applyFont="1" applyFill="1" applyBorder="1" applyAlignment="1">
      <alignment horizontal="center" vertical="center" wrapText="1"/>
    </xf>
    <xf numFmtId="226" fontId="34" fillId="93" borderId="368" xfId="2" applyNumberFormat="1" applyFont="1" applyFill="1" applyBorder="1" applyAlignment="1">
      <alignment horizontal="center" vertical="center"/>
    </xf>
    <xf numFmtId="226" fontId="34" fillId="93" borderId="309" xfId="2" applyNumberFormat="1" applyFont="1" applyFill="1" applyBorder="1" applyAlignment="1">
      <alignment horizontal="center" vertical="center"/>
    </xf>
    <xf numFmtId="179" fontId="176" fillId="125" borderId="124" xfId="0" applyNumberFormat="1" applyFont="1" applyFill="1" applyBorder="1" applyAlignment="1">
      <alignment horizontal="center" vertical="center"/>
    </xf>
    <xf numFmtId="226" fontId="34" fillId="93" borderId="406" xfId="2" applyNumberFormat="1" applyFont="1" applyFill="1" applyBorder="1" applyAlignment="1">
      <alignment horizontal="center" vertical="center"/>
    </xf>
    <xf numFmtId="226" fontId="34" fillId="117" borderId="599" xfId="2" applyNumberFormat="1" applyFont="1" applyFill="1" applyBorder="1" applyAlignment="1">
      <alignment horizontal="center" vertical="center"/>
    </xf>
    <xf numFmtId="183" fontId="176" fillId="125" borderId="521" xfId="2" applyNumberFormat="1" applyFont="1" applyFill="1" applyBorder="1" applyAlignment="1">
      <alignment horizontal="center" vertical="center"/>
    </xf>
    <xf numFmtId="243" fontId="176" fillId="125" borderId="521" xfId="2" applyNumberFormat="1" applyFont="1" applyFill="1" applyBorder="1" applyAlignment="1">
      <alignment horizontal="center" vertical="center" wrapText="1"/>
    </xf>
    <xf numFmtId="226" fontId="34" fillId="93" borderId="124" xfId="2" applyNumberFormat="1" applyFont="1" applyFill="1" applyBorder="1" applyAlignment="1">
      <alignment horizontal="center" vertical="center"/>
    </xf>
    <xf numFmtId="183" fontId="176" fillId="125" borderId="124" xfId="2" applyNumberFormat="1" applyFont="1" applyFill="1" applyBorder="1" applyAlignment="1">
      <alignment horizontal="center" vertical="center" wrapText="1"/>
    </xf>
    <xf numFmtId="183" fontId="176" fillId="125" borderId="585" xfId="2" applyNumberFormat="1" applyFont="1" applyFill="1" applyBorder="1" applyAlignment="1">
      <alignment horizontal="center" vertical="center"/>
    </xf>
    <xf numFmtId="243" fontId="176" fillId="125" borderId="585" xfId="2" applyNumberFormat="1" applyFont="1" applyFill="1" applyBorder="1" applyAlignment="1">
      <alignment horizontal="center" vertical="center" wrapText="1"/>
    </xf>
    <xf numFmtId="226" fontId="34" fillId="93" borderId="46" xfId="2" applyNumberFormat="1" applyFont="1" applyFill="1" applyBorder="1" applyAlignment="1">
      <alignment horizontal="center" vertical="center"/>
    </xf>
    <xf numFmtId="226" fontId="34" fillId="93" borderId="96" xfId="2" applyNumberFormat="1" applyFont="1" applyFill="1" applyBorder="1" applyAlignment="1">
      <alignment horizontal="center" vertical="center"/>
    </xf>
    <xf numFmtId="226" fontId="34" fillId="117" borderId="592" xfId="2" applyNumberFormat="1" applyFont="1" applyFill="1" applyBorder="1" applyAlignment="1">
      <alignment horizontal="center" vertical="center"/>
    </xf>
    <xf numFmtId="179" fontId="28" fillId="0" borderId="221" xfId="0" applyNumberFormat="1" applyFont="1" applyFill="1" applyBorder="1" applyAlignment="1">
      <alignment horizontal="center" vertical="center"/>
    </xf>
    <xf numFmtId="179" fontId="28" fillId="117" borderId="610" xfId="0" applyNumberFormat="1" applyFont="1" applyFill="1" applyBorder="1" applyAlignment="1">
      <alignment horizontal="center" vertical="center"/>
    </xf>
    <xf numFmtId="179" fontId="28" fillId="0" borderId="610" xfId="0" applyNumberFormat="1" applyFont="1" applyFill="1" applyBorder="1" applyAlignment="1">
      <alignment horizontal="center" vertical="center"/>
    </xf>
    <xf numFmtId="179" fontId="28" fillId="0" borderId="602" xfId="0" applyNumberFormat="1" applyFont="1" applyFill="1" applyBorder="1" applyAlignment="1">
      <alignment horizontal="center" vertical="center"/>
    </xf>
    <xf numFmtId="179" fontId="176" fillId="125" borderId="121" xfId="0" applyNumberFormat="1" applyFont="1" applyFill="1" applyBorder="1" applyAlignment="1">
      <alignment horizontal="center" vertical="center"/>
    </xf>
    <xf numFmtId="187" fontId="28" fillId="0" borderId="608" xfId="0" applyNumberFormat="1" applyFont="1" applyBorder="1" applyAlignment="1">
      <alignment horizontal="center" vertical="center"/>
    </xf>
    <xf numFmtId="223" fontId="28" fillId="0" borderId="124" xfId="0" applyNumberFormat="1" applyFont="1" applyBorder="1" applyAlignment="1">
      <alignment horizontal="center" vertical="center"/>
    </xf>
    <xf numFmtId="226" fontId="176" fillId="125" borderId="517" xfId="2" applyNumberFormat="1" applyFont="1" applyFill="1" applyBorder="1" applyAlignment="1">
      <alignment horizontal="center" vertical="center"/>
    </xf>
    <xf numFmtId="183" fontId="176" fillId="125" borderId="64" xfId="0" applyNumberFormat="1" applyFont="1" applyFill="1" applyBorder="1" applyAlignment="1">
      <alignment horizontal="center" vertical="center"/>
    </xf>
    <xf numFmtId="183" fontId="176" fillId="125" borderId="121" xfId="0" applyNumberFormat="1" applyFont="1" applyFill="1" applyBorder="1" applyAlignment="1">
      <alignment horizontal="center" vertical="center"/>
    </xf>
    <xf numFmtId="183" fontId="57" fillId="0" borderId="6" xfId="2" applyNumberFormat="1" applyFont="1" applyFill="1" applyBorder="1" applyAlignment="1">
      <alignment horizontal="center" vertical="center"/>
    </xf>
    <xf numFmtId="183" fontId="57" fillId="0" borderId="40" xfId="2" applyNumberFormat="1" applyFont="1" applyFill="1" applyBorder="1" applyAlignment="1">
      <alignment horizontal="center" vertical="center"/>
    </xf>
    <xf numFmtId="183" fontId="171" fillId="15" borderId="308" xfId="2" applyNumberFormat="1" applyFont="1" applyFill="1" applyBorder="1" applyAlignment="1">
      <alignment horizontal="center" vertical="center"/>
    </xf>
    <xf numFmtId="183" fontId="171" fillId="0" borderId="23" xfId="2" applyNumberFormat="1" applyFont="1" applyFill="1" applyBorder="1" applyAlignment="1">
      <alignment horizontal="center" vertical="center"/>
    </xf>
    <xf numFmtId="183" fontId="57" fillId="0" borderId="608" xfId="2" applyNumberFormat="1" applyFont="1" applyFill="1" applyBorder="1" applyAlignment="1">
      <alignment horizontal="center" vertical="center"/>
    </xf>
    <xf numFmtId="183" fontId="34" fillId="0" borderId="616" xfId="0" applyNumberFormat="1" applyFont="1" applyBorder="1" applyAlignment="1">
      <alignment horizontal="center" vertical="center"/>
    </xf>
    <xf numFmtId="183" fontId="57" fillId="117" borderId="593" xfId="2" applyNumberFormat="1" applyFont="1" applyFill="1" applyBorder="1" applyAlignment="1">
      <alignment horizontal="center" vertical="center"/>
    </xf>
    <xf numFmtId="183" fontId="57" fillId="117" borderId="608" xfId="2" applyNumberFormat="1" applyFont="1" applyFill="1" applyBorder="1" applyAlignment="1">
      <alignment horizontal="center" vertical="center"/>
    </xf>
    <xf numFmtId="183" fontId="213" fillId="117" borderId="592" xfId="2" quotePrefix="1" applyNumberFormat="1" applyFont="1" applyFill="1" applyBorder="1" applyAlignment="1">
      <alignment horizontal="center" vertical="center"/>
    </xf>
    <xf numFmtId="183" fontId="34" fillId="117" borderId="616" xfId="0" applyNumberFormat="1" applyFont="1" applyFill="1" applyBorder="1" applyAlignment="1">
      <alignment horizontal="center" vertical="center"/>
    </xf>
    <xf numFmtId="183" fontId="34" fillId="15" borderId="592" xfId="2" applyNumberFormat="1" applyFont="1" applyFill="1" applyBorder="1" applyAlignment="1">
      <alignment horizontal="center" vertical="center"/>
    </xf>
    <xf numFmtId="183" fontId="28" fillId="0" borderId="593" xfId="0" applyNumberFormat="1" applyFont="1" applyBorder="1" applyAlignment="1">
      <alignment horizontal="center" vertical="center"/>
    </xf>
    <xf numFmtId="183" fontId="34" fillId="15" borderId="592" xfId="0" applyNumberFormat="1" applyFont="1" applyFill="1" applyBorder="1" applyAlignment="1">
      <alignment horizontal="center" vertical="center"/>
    </xf>
    <xf numFmtId="183" fontId="57" fillId="117" borderId="595" xfId="2" applyNumberFormat="1" applyFont="1" applyFill="1" applyBorder="1" applyAlignment="1">
      <alignment horizontal="center" vertical="center"/>
    </xf>
    <xf numFmtId="183" fontId="57" fillId="117" borderId="592" xfId="2" applyNumberFormat="1" applyFont="1" applyFill="1" applyBorder="1" applyAlignment="1">
      <alignment horizontal="center" vertical="center"/>
    </xf>
    <xf numFmtId="183" fontId="34" fillId="117" borderId="615" xfId="0" applyNumberFormat="1" applyFont="1" applyFill="1" applyBorder="1" applyAlignment="1">
      <alignment horizontal="center" vertical="center"/>
    </xf>
    <xf numFmtId="183" fontId="171" fillId="0" borderId="596" xfId="2" applyNumberFormat="1" applyFont="1" applyFill="1" applyBorder="1" applyAlignment="1">
      <alignment horizontal="center" vertical="center"/>
    </xf>
    <xf numFmtId="183" fontId="57" fillId="0" borderId="589" xfId="2" applyNumberFormat="1" applyFont="1" applyFill="1" applyBorder="1" applyAlignment="1">
      <alignment horizontal="center" vertical="center"/>
    </xf>
    <xf numFmtId="183" fontId="34" fillId="0" borderId="596" xfId="0" applyNumberFormat="1" applyFont="1" applyFill="1" applyBorder="1" applyAlignment="1">
      <alignment horizontal="center" vertical="center"/>
    </xf>
    <xf numFmtId="226" fontId="171" fillId="0" borderId="37" xfId="2" applyNumberFormat="1" applyFont="1" applyFill="1" applyBorder="1" applyAlignment="1">
      <alignment horizontal="center" vertical="center"/>
    </xf>
    <xf numFmtId="226" fontId="34" fillId="0" borderId="615" xfId="0" applyNumberFormat="1" applyFont="1" applyFill="1" applyBorder="1" applyAlignment="1">
      <alignment horizontal="center" vertical="center"/>
    </xf>
    <xf numFmtId="226" fontId="34" fillId="117" borderId="615" xfId="0" applyNumberFormat="1" applyFont="1" applyFill="1" applyBorder="1" applyAlignment="1">
      <alignment horizontal="center" vertical="center"/>
    </xf>
    <xf numFmtId="231" fontId="171" fillId="0" borderId="49" xfId="2" applyNumberFormat="1" applyFont="1" applyFill="1" applyBorder="1" applyAlignment="1">
      <alignment horizontal="center" vertical="center"/>
    </xf>
    <xf numFmtId="183" fontId="171" fillId="0" borderId="608" xfId="2" applyNumberFormat="1" applyFont="1" applyFill="1" applyBorder="1" applyAlignment="1">
      <alignment horizontal="center" vertical="center"/>
    </xf>
    <xf numFmtId="223" fontId="232" fillId="15" borderId="585" xfId="0" applyNumberFormat="1" applyFont="1" applyFill="1" applyBorder="1" applyAlignment="1">
      <alignment horizontal="center" vertical="center"/>
    </xf>
    <xf numFmtId="231" fontId="34" fillId="0" borderId="615" xfId="0" applyNumberFormat="1" applyFont="1" applyFill="1" applyBorder="1" applyAlignment="1">
      <alignment horizontal="center" vertical="center"/>
    </xf>
    <xf numFmtId="231" fontId="34" fillId="0" borderId="607" xfId="0" applyNumberFormat="1" applyFont="1" applyFill="1" applyBorder="1" applyAlignment="1">
      <alignment horizontal="center" vertical="center"/>
    </xf>
    <xf numFmtId="227" fontId="176" fillId="125" borderId="368" xfId="2" applyNumberFormat="1" applyFont="1" applyFill="1" applyBorder="1" applyAlignment="1">
      <alignment horizontal="center" vertical="center"/>
    </xf>
    <xf numFmtId="227" fontId="232" fillId="15" borderId="406" xfId="0" applyNumberFormat="1" applyFont="1" applyFill="1" applyBorder="1" applyAlignment="1">
      <alignment horizontal="center" vertical="center"/>
    </xf>
    <xf numFmtId="227" fontId="232" fillId="15" borderId="599" xfId="0" applyNumberFormat="1" applyFont="1" applyFill="1" applyBorder="1" applyAlignment="1">
      <alignment horizontal="center" vertical="center"/>
    </xf>
    <xf numFmtId="177" fontId="57" fillId="0" borderId="229" xfId="0" applyNumberFormat="1" applyFont="1" applyBorder="1" applyAlignment="1">
      <alignment horizontal="center" vertical="center"/>
    </xf>
    <xf numFmtId="3" fontId="167" fillId="125" borderId="110" xfId="2" applyNumberFormat="1" applyFont="1" applyFill="1" applyBorder="1" applyAlignment="1">
      <alignment horizontal="center" vertical="center" wrapText="1"/>
    </xf>
    <xf numFmtId="3" fontId="167" fillId="125" borderId="226" xfId="2" applyNumberFormat="1" applyFont="1" applyFill="1" applyBorder="1" applyAlignment="1">
      <alignment horizontal="center" vertical="center" wrapText="1"/>
    </xf>
    <xf numFmtId="10" fontId="57" fillId="0" borderId="0" xfId="0" applyNumberFormat="1" applyFont="1" applyFill="1" applyBorder="1" applyAlignment="1">
      <alignment horizontal="center" vertical="center"/>
    </xf>
    <xf numFmtId="183" fontId="57" fillId="0" borderId="0" xfId="0" applyNumberFormat="1" applyFont="1" applyAlignment="1">
      <alignment horizontal="center" vertical="center"/>
    </xf>
    <xf numFmtId="10" fontId="57" fillId="0" borderId="0" xfId="1" applyNumberFormat="1" applyFont="1" applyAlignment="1">
      <alignment horizontal="center"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178" fontId="57" fillId="0" borderId="635" xfId="2" applyNumberFormat="1" applyFont="1" applyFill="1" applyBorder="1" applyAlignment="1">
      <alignment horizontal="center" vertical="center"/>
    </xf>
    <xf numFmtId="0" fontId="146" fillId="11" borderId="0" xfId="3846" applyFont="1" applyFill="1">
      <protection locked="0"/>
    </xf>
    <xf numFmtId="0" fontId="146" fillId="12" borderId="0" xfId="3846" applyFont="1" applyFill="1">
      <protection locked="0"/>
    </xf>
    <xf numFmtId="187" fontId="57" fillId="0" borderId="665" xfId="2" applyNumberFormat="1" applyFont="1" applyBorder="1" applyAlignment="1">
      <alignment horizontal="center" vertical="center"/>
    </xf>
    <xf numFmtId="183" fontId="28" fillId="0" borderId="633" xfId="2" applyNumberFormat="1" applyFont="1" applyFill="1" applyBorder="1" applyAlignment="1">
      <alignment horizontal="center" vertical="center"/>
    </xf>
    <xf numFmtId="2" fontId="176" fillId="125" borderId="604" xfId="0" applyNumberFormat="1" applyFont="1" applyFill="1" applyBorder="1" applyAlignment="1">
      <alignment horizontal="center" vertical="center"/>
    </xf>
    <xf numFmtId="227" fontId="187" fillId="7" borderId="608" xfId="2" applyNumberFormat="1" applyFont="1" applyFill="1" applyBorder="1" applyAlignment="1">
      <alignment horizontal="center" vertical="center"/>
    </xf>
    <xf numFmtId="3" fontId="188" fillId="7" borderId="47" xfId="2" applyNumberFormat="1" applyFont="1" applyFill="1" applyBorder="1" applyAlignment="1">
      <alignment horizontal="center" vertical="center"/>
    </xf>
    <xf numFmtId="4" fontId="187" fillId="7" borderId="40" xfId="12099" applyNumberFormat="1" applyFont="1" applyFill="1" applyBorder="1" applyAlignment="1">
      <alignment horizontal="center" vertical="center"/>
    </xf>
    <xf numFmtId="4" fontId="187" fillId="7" borderId="608" xfId="12099" applyNumberFormat="1" applyFont="1" applyFill="1" applyBorder="1" applyAlignment="1">
      <alignment horizontal="center" vertical="center"/>
    </xf>
    <xf numFmtId="4" fontId="188" fillId="7" borderId="608" xfId="12099" applyNumberFormat="1" applyFont="1" applyFill="1" applyBorder="1" applyAlignment="1">
      <alignment horizontal="center" vertical="center"/>
    </xf>
    <xf numFmtId="183" fontId="187" fillId="7" borderId="608" xfId="12099" applyNumberFormat="1" applyFont="1" applyFill="1" applyBorder="1" applyAlignment="1">
      <alignment horizontal="center" vertical="center"/>
    </xf>
    <xf numFmtId="183" fontId="176" fillId="125" borderId="651" xfId="2" applyNumberFormat="1" applyFont="1" applyFill="1" applyBorder="1" applyAlignment="1">
      <alignment horizontal="center" vertical="center"/>
    </xf>
    <xf numFmtId="2" fontId="176" fillId="125" borderId="640" xfId="0" applyNumberFormat="1" applyFont="1" applyFill="1" applyBorder="1" applyAlignment="1">
      <alignment horizontal="center" vertical="center"/>
    </xf>
    <xf numFmtId="183" fontId="28" fillId="0" borderId="640" xfId="2" applyNumberFormat="1" applyFont="1" applyFill="1" applyBorder="1" applyAlignment="1">
      <alignment horizontal="center" vertical="center"/>
    </xf>
    <xf numFmtId="3" fontId="176" fillId="125" borderId="651" xfId="2" applyNumberFormat="1" applyFont="1" applyFill="1" applyBorder="1" applyAlignment="1">
      <alignment horizontal="center" vertical="center" wrapText="1"/>
    </xf>
    <xf numFmtId="183" fontId="176" fillId="125" borderId="517" xfId="0" applyNumberFormat="1" applyFont="1" applyFill="1" applyBorder="1" applyAlignment="1">
      <alignment horizontal="center" vertical="center"/>
    </xf>
    <xf numFmtId="0" fontId="176" fillId="125" borderId="640" xfId="0" applyFont="1" applyFill="1" applyBorder="1" applyAlignment="1">
      <alignment horizontal="center" vertical="center"/>
    </xf>
    <xf numFmtId="183" fontId="176" fillId="125" borderId="640" xfId="0" applyNumberFormat="1" applyFont="1" applyFill="1" applyBorder="1" applyAlignment="1">
      <alignment horizontal="center" vertical="center"/>
    </xf>
    <xf numFmtId="183" fontId="28" fillId="0" borderId="640" xfId="0" applyNumberFormat="1" applyFont="1" applyBorder="1" applyAlignment="1">
      <alignment horizontal="center" vertical="center"/>
    </xf>
    <xf numFmtId="178" fontId="176" fillId="125" borderId="640" xfId="0" applyNumberFormat="1" applyFont="1" applyFill="1" applyBorder="1" applyAlignment="1">
      <alignment horizontal="center" vertical="center"/>
    </xf>
    <xf numFmtId="183" fontId="28" fillId="0" borderId="604" xfId="0" applyNumberFormat="1" applyFont="1" applyBorder="1" applyAlignment="1">
      <alignment horizontal="center" vertical="center"/>
    </xf>
    <xf numFmtId="183" fontId="176" fillId="125" borderId="516" xfId="0" applyNumberFormat="1" applyFont="1" applyFill="1" applyBorder="1" applyAlignment="1">
      <alignment horizontal="center" vertical="center"/>
    </xf>
    <xf numFmtId="223" fontId="176" fillId="125" borderId="216" xfId="0" applyNumberFormat="1" applyFont="1" applyFill="1" applyBorder="1" applyAlignment="1">
      <alignment horizontal="center" vertical="center"/>
    </xf>
    <xf numFmtId="9" fontId="176" fillId="125" borderId="216" xfId="1" applyNumberFormat="1" applyFont="1" applyFill="1" applyBorder="1" applyAlignment="1">
      <alignment horizontal="center" vertical="center"/>
    </xf>
    <xf numFmtId="0" fontId="57" fillId="15" borderId="229" xfId="0" applyFont="1" applyFill="1" applyBorder="1">
      <alignment vertical="center"/>
    </xf>
    <xf numFmtId="187" fontId="57" fillId="0" borderId="268" xfId="2" applyNumberFormat="1" applyFont="1" applyFill="1" applyBorder="1" applyAlignment="1">
      <alignment horizontal="center" vertical="center"/>
    </xf>
    <xf numFmtId="226" fontId="57" fillId="0" borderId="47" xfId="2" applyNumberFormat="1" applyFont="1" applyFill="1" applyBorder="1" applyAlignment="1">
      <alignment horizontal="center" vertical="center"/>
    </xf>
    <xf numFmtId="226" fontId="57" fillId="0" borderId="608" xfId="2" applyNumberFormat="1" applyFont="1" applyFill="1" applyBorder="1" applyAlignment="1">
      <alignment horizontal="center" vertical="center"/>
    </xf>
    <xf numFmtId="187" fontId="57" fillId="0" borderId="47" xfId="2" applyNumberFormat="1" applyFont="1" applyFill="1" applyBorder="1" applyAlignment="1">
      <alignment horizontal="center" vertical="center"/>
    </xf>
    <xf numFmtId="178" fontId="28" fillId="0" borderId="605" xfId="0" applyNumberFormat="1" applyFont="1" applyBorder="1" applyAlignment="1">
      <alignment horizontal="center" vertical="center"/>
    </xf>
    <xf numFmtId="2" fontId="28" fillId="0" borderId="23" xfId="0" applyNumberFormat="1" applyFont="1" applyBorder="1" applyAlignment="1">
      <alignment horizontal="center" vertical="center"/>
    </xf>
    <xf numFmtId="178" fontId="28" fillId="0" borderId="676" xfId="0" applyNumberFormat="1" applyFont="1" applyBorder="1" applyAlignment="1">
      <alignment horizontal="center" vertical="center"/>
    </xf>
    <xf numFmtId="178" fontId="28" fillId="0" borderId="677" xfId="0" applyNumberFormat="1" applyFont="1" applyBorder="1" applyAlignment="1">
      <alignment horizontal="center" vertical="center"/>
    </xf>
    <xf numFmtId="178" fontId="28" fillId="0" borderId="636" xfId="0" applyNumberFormat="1" applyFont="1" applyBorder="1" applyAlignment="1">
      <alignment horizontal="center" vertical="center"/>
    </xf>
    <xf numFmtId="178" fontId="28" fillId="0" borderId="678" xfId="0" applyNumberFormat="1" applyFont="1" applyBorder="1" applyAlignment="1">
      <alignment horizontal="center" vertical="center"/>
    </xf>
    <xf numFmtId="178" fontId="28" fillId="0" borderId="679" xfId="0" applyNumberFormat="1" applyFont="1" applyBorder="1" applyAlignment="1">
      <alignment horizontal="center" vertical="center"/>
    </xf>
    <xf numFmtId="0" fontId="28" fillId="5" borderId="640" xfId="0" applyFont="1" applyFill="1" applyBorder="1" applyAlignment="1">
      <alignment horizontal="center" vertical="center" wrapText="1"/>
    </xf>
    <xf numFmtId="178" fontId="28" fillId="0" borderId="640" xfId="0" applyNumberFormat="1" applyFont="1" applyBorder="1" applyAlignment="1">
      <alignment horizontal="center" vertical="center"/>
    </xf>
    <xf numFmtId="181" fontId="0" fillId="0" borderId="0" xfId="0" applyNumberFormat="1" applyAlignment="1"/>
    <xf numFmtId="226" fontId="210" fillId="0" borderId="594" xfId="4124" applyNumberFormat="1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0" fontId="176" fillId="127" borderId="137" xfId="0" applyFont="1" applyFill="1" applyBorder="1" applyAlignment="1">
      <alignment horizontal="center" vertical="center"/>
    </xf>
    <xf numFmtId="0" fontId="176" fillId="127" borderId="202" xfId="0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329" xfId="0" applyFont="1" applyFill="1" applyBorder="1" applyAlignment="1">
      <alignment horizontal="center" vertical="center"/>
    </xf>
    <xf numFmtId="0" fontId="57" fillId="0" borderId="202" xfId="0" applyFont="1" applyFill="1" applyBorder="1" applyAlignment="1">
      <alignment horizontal="center" vertical="center"/>
    </xf>
    <xf numFmtId="38" fontId="57" fillId="0" borderId="493" xfId="2" applyNumberFormat="1" applyFont="1" applyFill="1" applyBorder="1" applyAlignment="1">
      <alignment horizontal="center" vertical="center"/>
    </xf>
    <xf numFmtId="38" fontId="57" fillId="0" borderId="605" xfId="2" applyNumberFormat="1" applyFont="1" applyFill="1" applyBorder="1" applyAlignment="1">
      <alignment horizontal="center" vertical="center"/>
    </xf>
    <xf numFmtId="0" fontId="176" fillId="125" borderId="610" xfId="0" applyFont="1" applyFill="1" applyBorder="1" applyAlignment="1">
      <alignment horizontal="center" vertical="center"/>
    </xf>
    <xf numFmtId="183" fontId="27" fillId="7" borderId="609" xfId="2" applyNumberFormat="1" applyFont="1" applyFill="1" applyBorder="1" applyAlignment="1">
      <alignment horizontal="center" vertical="center"/>
    </xf>
    <xf numFmtId="183" fontId="27" fillId="3" borderId="609" xfId="0" applyNumberFormat="1" applyFont="1" applyFill="1" applyBorder="1" applyAlignment="1">
      <alignment horizontal="center" vertical="center"/>
    </xf>
    <xf numFmtId="179" fontId="27" fillId="7" borderId="609" xfId="2" applyNumberFormat="1" applyFont="1" applyFill="1" applyBorder="1" applyAlignment="1">
      <alignment horizontal="center" vertical="center"/>
    </xf>
    <xf numFmtId="181" fontId="27" fillId="7" borderId="609" xfId="2" applyNumberFormat="1" applyFont="1" applyFill="1" applyBorder="1" applyAlignment="1">
      <alignment horizontal="center" vertical="center"/>
    </xf>
    <xf numFmtId="181" fontId="27" fillId="3" borderId="609" xfId="2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171" fillId="15" borderId="121" xfId="0" applyFont="1" applyFill="1" applyBorder="1" applyAlignment="1">
      <alignment horizontal="center" vertical="center"/>
    </xf>
    <xf numFmtId="0" fontId="171" fillId="15" borderId="123" xfId="0" applyFont="1" applyFill="1" applyBorder="1" applyAlignment="1">
      <alignment horizontal="center" vertical="center"/>
    </xf>
    <xf numFmtId="181" fontId="27" fillId="6" borderId="609" xfId="2" applyNumberFormat="1" applyFont="1" applyFill="1" applyBorder="1" applyAlignment="1">
      <alignment horizontal="center" vertical="center"/>
    </xf>
    <xf numFmtId="223" fontId="27" fillId="7" borderId="609" xfId="2" quotePrefix="1" applyNumberFormat="1" applyFont="1" applyFill="1" applyBorder="1" applyAlignment="1">
      <alignment horizontal="center" vertical="center"/>
    </xf>
    <xf numFmtId="2" fontId="0" fillId="0" borderId="609" xfId="0" applyNumberFormat="1" applyBorder="1" applyAlignment="1">
      <alignment horizontal="center" vertical="center"/>
    </xf>
    <xf numFmtId="178" fontId="0" fillId="0" borderId="609" xfId="0" applyNumberFormat="1" applyBorder="1" applyAlignment="1">
      <alignment horizontal="center" vertical="center"/>
    </xf>
    <xf numFmtId="183" fontId="0" fillId="0" borderId="609" xfId="0" applyNumberFormat="1" applyBorder="1" applyAlignment="1">
      <alignment horizontal="center" vertical="center"/>
    </xf>
    <xf numFmtId="189" fontId="0" fillId="0" borderId="609" xfId="0" applyNumberFormat="1" applyBorder="1" applyAlignment="1">
      <alignment horizontal="center" vertical="center"/>
    </xf>
    <xf numFmtId="0" fontId="0" fillId="0" borderId="609" xfId="0" applyFill="1" applyBorder="1" applyAlignment="1">
      <alignment horizontal="center" vertical="center"/>
    </xf>
    <xf numFmtId="0" fontId="0" fillId="3" borderId="609" xfId="0" applyFill="1" applyBorder="1" applyAlignment="1">
      <alignment horizontal="center" vertical="center"/>
    </xf>
    <xf numFmtId="41" fontId="0" fillId="3" borderId="609" xfId="2" applyFont="1" applyFill="1" applyBorder="1" applyAlignment="1">
      <alignment horizontal="center" vertical="center"/>
    </xf>
    <xf numFmtId="41" fontId="0" fillId="3" borderId="609" xfId="0" applyNumberFormat="1" applyFill="1" applyBorder="1" applyAlignment="1">
      <alignment horizontal="center" vertical="center"/>
    </xf>
    <xf numFmtId="187" fontId="0" fillId="0" borderId="609" xfId="0" applyNumberFormat="1" applyBorder="1" applyAlignment="1">
      <alignment horizontal="center" vertical="center"/>
    </xf>
    <xf numFmtId="232" fontId="0" fillId="0" borderId="609" xfId="0" applyNumberFormat="1" applyBorder="1" applyAlignment="1">
      <alignment horizontal="center" vertical="center"/>
    </xf>
    <xf numFmtId="183" fontId="57" fillId="3" borderId="610" xfId="2" applyNumberFormat="1" applyFont="1" applyFill="1" applyBorder="1" applyAlignment="1">
      <alignment horizontal="center" vertical="center"/>
    </xf>
    <xf numFmtId="183" fontId="57" fillId="3" borderId="609" xfId="2" applyNumberFormat="1" applyFont="1" applyFill="1" applyBorder="1" applyAlignment="1">
      <alignment horizontal="center" vertical="center"/>
    </xf>
    <xf numFmtId="183" fontId="57" fillId="3" borderId="608" xfId="2" applyNumberFormat="1" applyFont="1" applyFill="1" applyBorder="1" applyAlignment="1">
      <alignment horizontal="center" vertical="center"/>
    </xf>
    <xf numFmtId="183" fontId="57" fillId="3" borderId="471" xfId="2" applyNumberFormat="1" applyFont="1" applyFill="1" applyBorder="1" applyAlignment="1">
      <alignment horizontal="center" vertical="center"/>
    </xf>
    <xf numFmtId="183" fontId="57" fillId="3" borderId="616" xfId="2" applyNumberFormat="1" applyFont="1" applyFill="1" applyBorder="1" applyAlignment="1">
      <alignment horizontal="center" vertical="center"/>
    </xf>
    <xf numFmtId="0" fontId="178" fillId="0" borderId="609" xfId="0" applyFont="1" applyFill="1" applyBorder="1" applyAlignment="1">
      <alignment horizontal="center" vertical="center" wrapText="1" readingOrder="1"/>
    </xf>
    <xf numFmtId="0" fontId="34" fillId="0" borderId="0" xfId="0" applyFont="1" applyFill="1" applyBorder="1" applyAlignment="1">
      <alignment horizontal="center" vertical="center"/>
    </xf>
    <xf numFmtId="0" fontId="34" fillId="0" borderId="609" xfId="0" applyFont="1" applyFill="1" applyBorder="1" applyAlignment="1">
      <alignment horizontal="center" vertical="center"/>
    </xf>
    <xf numFmtId="38" fontId="57" fillId="0" borderId="609" xfId="0" applyNumberFormat="1" applyFont="1" applyBorder="1" applyAlignment="1">
      <alignment horizontal="center" vertical="center"/>
    </xf>
    <xf numFmtId="223" fontId="193" fillId="0" borderId="609" xfId="2" applyNumberFormat="1" applyFont="1" applyFill="1" applyBorder="1" applyAlignment="1">
      <alignment horizontal="center" vertical="center" wrapText="1" readingOrder="1"/>
    </xf>
    <xf numFmtId="223" fontId="193" fillId="15" borderId="609" xfId="2" applyNumberFormat="1" applyFont="1" applyFill="1" applyBorder="1" applyAlignment="1">
      <alignment horizontal="center" vertical="center" wrapText="1" readingOrder="1"/>
    </xf>
    <xf numFmtId="223" fontId="0" fillId="15" borderId="609" xfId="0" applyNumberFormat="1" applyFill="1" applyBorder="1">
      <alignment vertical="center"/>
    </xf>
    <xf numFmtId="3" fontId="57" fillId="15" borderId="216" xfId="0" applyNumberFormat="1" applyFont="1" applyFill="1" applyBorder="1" applyAlignment="1">
      <alignment horizontal="center" vertical="center"/>
    </xf>
    <xf numFmtId="3" fontId="57" fillId="15" borderId="609" xfId="0" applyNumberFormat="1" applyFont="1" applyFill="1" applyBorder="1" applyAlignment="1">
      <alignment horizontal="center" vertical="center"/>
    </xf>
    <xf numFmtId="223" fontId="34" fillId="0" borderId="609" xfId="0" applyNumberFormat="1" applyFont="1" applyFill="1" applyBorder="1" applyAlignment="1">
      <alignment horizontal="center" vertical="center"/>
    </xf>
    <xf numFmtId="223" fontId="34" fillId="3" borderId="216" xfId="0" applyNumberFormat="1" applyFont="1" applyFill="1" applyBorder="1" applyAlignment="1">
      <alignment horizontal="center" vertical="center"/>
    </xf>
    <xf numFmtId="0" fontId="57" fillId="0" borderId="608" xfId="0" applyFont="1" applyBorder="1" applyAlignment="1">
      <alignment horizontal="center" vertical="center"/>
    </xf>
    <xf numFmtId="3" fontId="57" fillId="0" borderId="616" xfId="0" applyNumberFormat="1" applyFont="1" applyBorder="1" applyAlignment="1">
      <alignment horizontal="center" vertical="center"/>
    </xf>
    <xf numFmtId="2" fontId="57" fillId="0" borderId="616" xfId="0" applyNumberFormat="1" applyFont="1" applyBorder="1" applyAlignment="1">
      <alignment horizontal="center" vertical="center"/>
    </xf>
    <xf numFmtId="2" fontId="28" fillId="0" borderId="616" xfId="0" applyNumberFormat="1" applyFont="1" applyBorder="1" applyAlignment="1">
      <alignment horizontal="center" vertical="center"/>
    </xf>
    <xf numFmtId="187" fontId="57" fillId="0" borderId="599" xfId="2" applyNumberFormat="1" applyFont="1" applyBorder="1" applyAlignment="1">
      <alignment horizontal="center" vertical="center"/>
    </xf>
    <xf numFmtId="226" fontId="57" fillId="0" borderId="599" xfId="2" applyNumberFormat="1" applyFont="1" applyBorder="1" applyAlignment="1">
      <alignment horizontal="center" vertical="center"/>
    </xf>
    <xf numFmtId="226" fontId="57" fillId="0" borderId="611" xfId="2" applyNumberFormat="1" applyFont="1" applyBorder="1" applyAlignment="1">
      <alignment horizontal="center" vertical="center"/>
    </xf>
    <xf numFmtId="2" fontId="57" fillId="0" borderId="610" xfId="0" applyNumberFormat="1" applyFont="1" applyBorder="1" applyAlignment="1">
      <alignment horizontal="center" vertical="center"/>
    </xf>
    <xf numFmtId="2" fontId="57" fillId="0" borderId="611" xfId="0" applyNumberFormat="1" applyFont="1" applyBorder="1" applyAlignment="1">
      <alignment horizontal="center" vertical="center"/>
    </xf>
    <xf numFmtId="177" fontId="57" fillId="0" borderId="610" xfId="0" applyNumberFormat="1" applyFont="1" applyBorder="1" applyAlignment="1">
      <alignment horizontal="center" vertical="center"/>
    </xf>
    <xf numFmtId="185" fontId="57" fillId="0" borderId="611" xfId="0" applyNumberFormat="1" applyFont="1" applyBorder="1" applyAlignment="1">
      <alignment horizontal="center" vertical="center"/>
    </xf>
    <xf numFmtId="177" fontId="57" fillId="0" borderId="611" xfId="0" applyNumberFormat="1" applyFont="1" applyBorder="1" applyAlignment="1">
      <alignment horizontal="center" vertical="center"/>
    </xf>
    <xf numFmtId="177" fontId="57" fillId="0" borderId="515" xfId="0" applyNumberFormat="1" applyFont="1" applyBorder="1" applyAlignment="1">
      <alignment horizontal="center" vertical="center"/>
    </xf>
    <xf numFmtId="177" fontId="57" fillId="0" borderId="518" xfId="0" applyNumberFormat="1" applyFont="1" applyBorder="1" applyAlignment="1">
      <alignment horizontal="center" vertical="center"/>
    </xf>
    <xf numFmtId="0" fontId="57" fillId="15" borderId="519" xfId="0" applyFont="1" applyFill="1" applyBorder="1">
      <alignment vertical="center"/>
    </xf>
    <xf numFmtId="0" fontId="57" fillId="15" borderId="609" xfId="0" applyFont="1" applyFill="1" applyBorder="1" applyAlignment="1">
      <alignment horizontal="center" vertical="center"/>
    </xf>
    <xf numFmtId="38" fontId="40" fillId="0" borderId="216" xfId="0" applyNumberFormat="1" applyFont="1" applyBorder="1" applyAlignment="1">
      <alignment horizontal="center" vertical="center"/>
    </xf>
    <xf numFmtId="38" fontId="40" fillId="0" borderId="216" xfId="0" quotePrefix="1" applyNumberFormat="1" applyFont="1" applyBorder="1" applyAlignment="1">
      <alignment horizontal="center" vertical="center"/>
    </xf>
    <xf numFmtId="38" fontId="40" fillId="0" borderId="238" xfId="0" applyNumberFormat="1" applyFont="1" applyBorder="1" applyAlignment="1">
      <alignment horizontal="center" vertical="center"/>
    </xf>
    <xf numFmtId="38" fontId="35" fillId="15" borderId="224" xfId="0" applyNumberFormat="1" applyFont="1" applyFill="1" applyBorder="1" applyAlignment="1">
      <alignment horizontal="center" vertical="center"/>
    </xf>
    <xf numFmtId="177" fontId="28" fillId="0" borderId="259" xfId="1" applyNumberFormat="1" applyFont="1" applyBorder="1" applyAlignment="1">
      <alignment horizontal="center" vertical="center" wrapText="1"/>
    </xf>
    <xf numFmtId="0" fontId="176" fillId="127" borderId="137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223" fontId="57" fillId="0" borderId="609" xfId="2" applyNumberFormat="1" applyFont="1" applyBorder="1" applyAlignment="1">
      <alignment horizontal="center" vertical="center"/>
    </xf>
    <xf numFmtId="0" fontId="177" fillId="126" borderId="599" xfId="0" applyFont="1" applyFill="1" applyBorder="1" applyAlignment="1">
      <alignment horizontal="center" vertical="center"/>
    </xf>
    <xf numFmtId="226" fontId="57" fillId="0" borderId="613" xfId="0" applyNumberFormat="1" applyFont="1" applyBorder="1" applyAlignment="1">
      <alignment horizontal="center" vertical="center"/>
    </xf>
    <xf numFmtId="223" fontId="57" fillId="0" borderId="608" xfId="2" applyNumberFormat="1" applyFont="1" applyBorder="1" applyAlignment="1">
      <alignment horizontal="center" vertical="center"/>
    </xf>
    <xf numFmtId="9" fontId="57" fillId="0" borderId="608" xfId="1" applyFont="1" applyBorder="1" applyAlignment="1">
      <alignment horizontal="center" vertical="center"/>
    </xf>
    <xf numFmtId="223" fontId="57" fillId="0" borderId="516" xfId="2" applyNumberFormat="1" applyFont="1" applyBorder="1" applyAlignment="1">
      <alignment horizontal="center" vertical="center"/>
    </xf>
    <xf numFmtId="223" fontId="57" fillId="0" borderId="517" xfId="2" applyNumberFormat="1" applyFont="1" applyBorder="1" applyAlignment="1">
      <alignment horizontal="center" vertical="center"/>
    </xf>
    <xf numFmtId="0" fontId="177" fillId="126" borderId="601" xfId="0" applyFont="1" applyFill="1" applyBorder="1" applyAlignment="1">
      <alignment horizontal="center" vertical="center"/>
    </xf>
    <xf numFmtId="226" fontId="57" fillId="0" borderId="629" xfId="2" applyNumberFormat="1" applyFont="1" applyFill="1" applyBorder="1" applyAlignment="1">
      <alignment horizontal="center" vertical="center"/>
    </xf>
    <xf numFmtId="226" fontId="57" fillId="0" borderId="630" xfId="2" applyNumberFormat="1" applyFont="1" applyFill="1" applyBorder="1" applyAlignment="1">
      <alignment horizontal="center" vertical="center"/>
    </xf>
    <xf numFmtId="226" fontId="57" fillId="0" borderId="625" xfId="2" applyNumberFormat="1" applyFont="1" applyFill="1" applyBorder="1" applyAlignment="1">
      <alignment horizontal="center" vertical="center"/>
    </xf>
    <xf numFmtId="0" fontId="177" fillId="126" borderId="221" xfId="0" applyFont="1" applyFill="1" applyBorder="1" applyAlignment="1">
      <alignment horizontal="center" vertical="center"/>
    </xf>
    <xf numFmtId="187" fontId="57" fillId="0" borderId="39" xfId="2" applyNumberFormat="1" applyFont="1" applyFill="1" applyBorder="1" applyAlignment="1">
      <alignment horizontal="center" vertical="center"/>
    </xf>
    <xf numFmtId="187" fontId="57" fillId="7" borderId="515" xfId="2" applyNumberFormat="1" applyFont="1" applyFill="1" applyBorder="1" applyAlignment="1">
      <alignment horizontal="center" vertical="center"/>
    </xf>
    <xf numFmtId="187" fontId="57" fillId="7" borderId="518" xfId="2" applyNumberFormat="1" applyFont="1" applyFill="1" applyBorder="1" applyAlignment="1">
      <alignment horizontal="center" vertical="center"/>
    </xf>
    <xf numFmtId="187" fontId="57" fillId="15" borderId="6" xfId="2" applyNumberFormat="1" applyFont="1" applyFill="1" applyBorder="1" applyAlignment="1">
      <alignment horizontal="center" vertical="center"/>
    </xf>
    <xf numFmtId="183" fontId="28" fillId="0" borderId="202" xfId="2" applyNumberFormat="1" applyFont="1" applyFill="1" applyBorder="1" applyAlignment="1">
      <alignment horizontal="center" vertical="center"/>
    </xf>
    <xf numFmtId="187" fontId="57" fillId="3" borderId="40" xfId="2" applyNumberFormat="1" applyFont="1" applyFill="1" applyBorder="1" applyAlignment="1">
      <alignment horizontal="center" vertical="center"/>
    </xf>
    <xf numFmtId="0" fontId="177" fillId="126" borderId="64" xfId="0" applyFont="1" applyFill="1" applyBorder="1" applyAlignment="1">
      <alignment horizontal="center" vertical="center"/>
    </xf>
    <xf numFmtId="187" fontId="57" fillId="0" borderId="322" xfId="2" applyNumberFormat="1" applyFont="1" applyFill="1" applyBorder="1" applyAlignment="1">
      <alignment horizontal="center" vertical="center"/>
    </xf>
    <xf numFmtId="187" fontId="57" fillId="0" borderId="323" xfId="2" applyNumberFormat="1" applyFont="1" applyFill="1" applyBorder="1" applyAlignment="1">
      <alignment horizontal="center" vertical="center"/>
    </xf>
    <xf numFmtId="187" fontId="57" fillId="0" borderId="324" xfId="2" applyNumberFormat="1" applyFont="1" applyFill="1" applyBorder="1" applyAlignment="1">
      <alignment horizontal="center" vertical="center"/>
    </xf>
    <xf numFmtId="187" fontId="57" fillId="0" borderId="121" xfId="2" applyNumberFormat="1" applyFont="1" applyFill="1" applyBorder="1" applyAlignment="1">
      <alignment horizontal="center" vertical="center"/>
    </xf>
    <xf numFmtId="187" fontId="57" fillId="7" borderId="123" xfId="2" applyNumberFormat="1" applyFont="1" applyFill="1" applyBorder="1" applyAlignment="1">
      <alignment horizontal="center" vertical="center"/>
    </xf>
    <xf numFmtId="223" fontId="57" fillId="15" borderId="230" xfId="2" applyNumberFormat="1" applyFont="1" applyFill="1" applyBorder="1" applyAlignment="1">
      <alignment horizontal="center" vertical="center"/>
    </xf>
    <xf numFmtId="187" fontId="57" fillId="0" borderId="515" xfId="2" applyNumberFormat="1" applyFont="1" applyFill="1" applyBorder="1" applyAlignment="1">
      <alignment horizontal="center" vertical="center"/>
    </xf>
    <xf numFmtId="187" fontId="57" fillId="0" borderId="518" xfId="2" applyNumberFormat="1" applyFont="1" applyFill="1" applyBorder="1" applyAlignment="1">
      <alignment horizontal="center" vertical="center"/>
    </xf>
    <xf numFmtId="38" fontId="57" fillId="0" borderId="515" xfId="2" applyNumberFormat="1" applyFont="1" applyBorder="1" applyAlignment="1">
      <alignment horizontal="center" vertical="center"/>
    </xf>
    <xf numFmtId="187" fontId="57" fillId="0" borderId="636" xfId="2" applyNumberFormat="1" applyFont="1" applyBorder="1" applyAlignment="1">
      <alignment horizontal="center" vertical="center"/>
    </xf>
    <xf numFmtId="187" fontId="57" fillId="15" borderId="603" xfId="2" applyNumberFormat="1" applyFont="1" applyFill="1" applyBorder="1" applyAlignment="1">
      <alignment horizontal="center" vertical="center"/>
    </xf>
    <xf numFmtId="179" fontId="0" fillId="0" borderId="609" xfId="0" applyNumberFormat="1" applyBorder="1" applyAlignment="1">
      <alignment horizontal="center" vertical="center"/>
    </xf>
    <xf numFmtId="223" fontId="176" fillId="125" borderId="517" xfId="2" applyNumberFormat="1" applyFont="1" applyFill="1" applyBorder="1" applyAlignment="1">
      <alignment horizontal="center" vertical="center"/>
    </xf>
    <xf numFmtId="0" fontId="45" fillId="6" borderId="609" xfId="0" applyFont="1" applyFill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228" fontId="28" fillId="0" borderId="447" xfId="2" applyNumberFormat="1" applyFont="1" applyFill="1" applyBorder="1" applyAlignment="1">
      <alignment horizontal="center" vertical="center"/>
    </xf>
    <xf numFmtId="176" fontId="57" fillId="0" borderId="0" xfId="0" applyNumberFormat="1" applyFont="1" applyAlignment="1">
      <alignment horizontal="center" vertical="center"/>
    </xf>
    <xf numFmtId="3" fontId="198" fillId="3" borderId="221" xfId="0" applyNumberFormat="1" applyFont="1" applyFill="1" applyBorder="1" applyAlignment="1">
      <alignment horizontal="center" vertical="center"/>
    </xf>
    <xf numFmtId="3" fontId="198" fillId="3" borderId="610" xfId="0" applyNumberFormat="1" applyFont="1" applyFill="1" applyBorder="1" applyAlignment="1">
      <alignment horizontal="center" vertical="center"/>
    </xf>
    <xf numFmtId="183" fontId="28" fillId="3" borderId="225" xfId="2" applyNumberFormat="1" applyFont="1" applyFill="1" applyBorder="1" applyAlignment="1">
      <alignment horizontal="center" vertical="center" wrapText="1"/>
    </xf>
    <xf numFmtId="183" fontId="28" fillId="3" borderId="121" xfId="2" applyNumberFormat="1" applyFont="1" applyFill="1" applyBorder="1" applyAlignment="1">
      <alignment horizontal="center" vertical="center"/>
    </xf>
    <xf numFmtId="183" fontId="28" fillId="3" borderId="610" xfId="2" applyNumberFormat="1" applyFont="1" applyFill="1" applyBorder="1" applyAlignment="1">
      <alignment horizontal="center" vertical="center"/>
    </xf>
    <xf numFmtId="183" fontId="28" fillId="3" borderId="515" xfId="2" applyNumberFormat="1" applyFont="1" applyFill="1" applyBorder="1" applyAlignment="1">
      <alignment horizontal="center" vertical="center"/>
    </xf>
    <xf numFmtId="183" fontId="28" fillId="3" borderId="221" xfId="2" applyNumberFormat="1" applyFont="1" applyFill="1" applyBorder="1" applyAlignment="1">
      <alignment horizontal="center" vertical="center"/>
    </xf>
    <xf numFmtId="179" fontId="28" fillId="3" borderId="610" xfId="0" applyNumberFormat="1" applyFont="1" applyFill="1" applyBorder="1" applyAlignment="1">
      <alignment horizontal="center" vertical="center"/>
    </xf>
    <xf numFmtId="179" fontId="28" fillId="3" borderId="602" xfId="0" applyNumberFormat="1" applyFont="1" applyFill="1" applyBorder="1" applyAlignment="1">
      <alignment horizontal="center" vertical="center"/>
    </xf>
    <xf numFmtId="179" fontId="28" fillId="3" borderId="221" xfId="0" applyNumberFormat="1" applyFont="1" applyFill="1" applyBorder="1" applyAlignment="1">
      <alignment horizontal="center" vertical="center"/>
    </xf>
    <xf numFmtId="3" fontId="28" fillId="3" borderId="121" xfId="2" applyNumberFormat="1" applyFont="1" applyFill="1" applyBorder="1" applyAlignment="1">
      <alignment horizontal="center" vertical="center" wrapText="1"/>
    </xf>
    <xf numFmtId="3" fontId="28" fillId="3" borderId="610" xfId="2" applyNumberFormat="1" applyFont="1" applyFill="1" applyBorder="1" applyAlignment="1">
      <alignment horizontal="center" vertical="center" wrapText="1"/>
    </xf>
    <xf numFmtId="187" fontId="28" fillId="3" borderId="221" xfId="2" applyNumberFormat="1" applyFont="1" applyFill="1" applyBorder="1" applyAlignment="1">
      <alignment horizontal="center" vertical="center"/>
    </xf>
    <xf numFmtId="231" fontId="28" fillId="3" borderId="610" xfId="2" applyNumberFormat="1" applyFont="1" applyFill="1" applyBorder="1" applyAlignment="1">
      <alignment horizontal="center" vertical="center"/>
    </xf>
    <xf numFmtId="187" fontId="28" fillId="3" borderId="610" xfId="2" applyNumberFormat="1" applyFont="1" applyFill="1" applyBorder="1" applyAlignment="1">
      <alignment horizontal="center" vertical="center"/>
    </xf>
    <xf numFmtId="231" fontId="28" fillId="3" borderId="515" xfId="2" applyNumberFormat="1" applyFont="1" applyFill="1" applyBorder="1" applyAlignment="1">
      <alignment horizontal="center" vertical="center"/>
    </xf>
    <xf numFmtId="178" fontId="57" fillId="3" borderId="121" xfId="2" applyNumberFormat="1" applyFont="1" applyFill="1" applyBorder="1" applyAlignment="1">
      <alignment horizontal="center" vertical="center"/>
    </xf>
    <xf numFmtId="178" fontId="57" fillId="3" borderId="610" xfId="2" applyNumberFormat="1" applyFont="1" applyFill="1" applyBorder="1" applyAlignment="1">
      <alignment horizontal="center" vertical="center"/>
    </xf>
    <xf numFmtId="179" fontId="57" fillId="3" borderId="121" xfId="2" applyNumberFormat="1" applyFont="1" applyFill="1" applyBorder="1" applyAlignment="1">
      <alignment horizontal="center" vertical="center"/>
    </xf>
    <xf numFmtId="179" fontId="57" fillId="3" borderId="610" xfId="2" applyNumberFormat="1" applyFont="1" applyFill="1" applyBorder="1" applyAlignment="1">
      <alignment horizontal="center" vertical="center"/>
    </xf>
    <xf numFmtId="179" fontId="57" fillId="3" borderId="515" xfId="2" applyNumberFormat="1" applyFont="1" applyFill="1" applyBorder="1" applyAlignment="1">
      <alignment horizontal="center" vertical="center"/>
    </xf>
    <xf numFmtId="179" fontId="28" fillId="3" borderId="121" xfId="2" applyNumberFormat="1" applyFont="1" applyFill="1" applyBorder="1" applyAlignment="1">
      <alignment horizontal="center" vertical="center" wrapText="1"/>
    </xf>
    <xf numFmtId="179" fontId="28" fillId="3" borderId="610" xfId="2" applyNumberFormat="1" applyFont="1" applyFill="1" applyBorder="1" applyAlignment="1">
      <alignment horizontal="center" vertical="center" wrapText="1"/>
    </xf>
    <xf numFmtId="179" fontId="28" fillId="3" borderId="602" xfId="2" applyNumberFormat="1" applyFont="1" applyFill="1" applyBorder="1" applyAlignment="1">
      <alignment horizontal="center" vertical="center" wrapText="1"/>
    </xf>
    <xf numFmtId="183" fontId="57" fillId="3" borderId="97" xfId="2" applyNumberFormat="1" applyFont="1" applyFill="1" applyBorder="1" applyAlignment="1">
      <alignment horizontal="center" vertical="center"/>
    </xf>
    <xf numFmtId="183" fontId="57" fillId="3" borderId="221" xfId="2" applyNumberFormat="1" applyFont="1" applyFill="1" applyBorder="1" applyAlignment="1">
      <alignment horizontal="center" vertical="center"/>
    </xf>
    <xf numFmtId="183" fontId="57" fillId="3" borderId="121" xfId="2" applyNumberFormat="1" applyFont="1" applyFill="1" applyBorder="1" applyAlignment="1">
      <alignment horizontal="center" vertical="center"/>
    </xf>
    <xf numFmtId="177" fontId="28" fillId="3" borderId="610" xfId="2" applyNumberFormat="1" applyFont="1" applyFill="1" applyBorder="1" applyAlignment="1">
      <alignment horizontal="center" vertical="center" wrapText="1"/>
    </xf>
    <xf numFmtId="187" fontId="28" fillId="3" borderId="121" xfId="2" applyNumberFormat="1" applyFont="1" applyFill="1" applyBorder="1" applyAlignment="1">
      <alignment horizontal="center" vertical="center" wrapText="1"/>
    </xf>
    <xf numFmtId="187" fontId="28" fillId="3" borderId="610" xfId="2" applyNumberFormat="1" applyFont="1" applyFill="1" applyBorder="1" applyAlignment="1">
      <alignment horizontal="center" vertical="center" wrapText="1"/>
    </xf>
    <xf numFmtId="187" fontId="28" fillId="3" borderId="602" xfId="2" applyNumberFormat="1" applyFont="1" applyFill="1" applyBorder="1" applyAlignment="1">
      <alignment horizontal="center" vertical="center" wrapText="1"/>
    </xf>
    <xf numFmtId="228" fontId="171" fillId="0" borderId="48" xfId="2" applyNumberFormat="1" applyFont="1" applyFill="1" applyBorder="1" applyAlignment="1">
      <alignment horizontal="center" vertical="center"/>
    </xf>
    <xf numFmtId="228" fontId="171" fillId="0" borderId="47" xfId="2" applyNumberFormat="1" applyFont="1" applyFill="1" applyBorder="1" applyAlignment="1">
      <alignment horizontal="center" vertical="center"/>
    </xf>
    <xf numFmtId="231" fontId="34" fillId="0" borderId="608" xfId="0" applyNumberFormat="1" applyFont="1" applyFill="1" applyBorder="1" applyAlignment="1">
      <alignment horizontal="center" vertical="center"/>
    </xf>
    <xf numFmtId="9" fontId="28" fillId="0" borderId="609" xfId="1" applyFont="1" applyBorder="1" applyAlignment="1">
      <alignment horizontal="center" vertical="center"/>
    </xf>
    <xf numFmtId="0" fontId="29" fillId="130" borderId="121" xfId="0" applyFont="1" applyFill="1" applyBorder="1" applyAlignment="1">
      <alignment horizontal="center" vertical="center"/>
    </xf>
    <xf numFmtId="0" fontId="29" fillId="130" borderId="122" xfId="0" applyFont="1" applyFill="1" applyBorder="1" applyAlignment="1">
      <alignment horizontal="center" vertical="center"/>
    </xf>
    <xf numFmtId="0" fontId="29" fillId="130" borderId="123" xfId="0" applyFont="1" applyFill="1" applyBorder="1" applyAlignment="1">
      <alignment horizontal="center" vertical="center"/>
    </xf>
    <xf numFmtId="10" fontId="228" fillId="133" borderId="122" xfId="1" applyNumberFormat="1" applyFont="1" applyFill="1" applyBorder="1" applyAlignment="1">
      <alignment horizontal="center" vertical="center"/>
    </xf>
    <xf numFmtId="10" fontId="215" fillId="140" borderId="608" xfId="0" applyNumberFormat="1" applyFont="1" applyFill="1" applyBorder="1" applyAlignment="1">
      <alignment horizontal="center" vertical="center"/>
    </xf>
    <xf numFmtId="10" fontId="263" fillId="130" borderId="516" xfId="1" applyNumberFormat="1" applyFont="1" applyFill="1" applyBorder="1" applyAlignment="1">
      <alignment horizontal="center" vertical="center"/>
    </xf>
    <xf numFmtId="179" fontId="264" fillId="0" borderId="6" xfId="0" applyNumberFormat="1" applyFont="1" applyFill="1" applyBorder="1" applyAlignment="1">
      <alignment horizontal="center" vertical="center"/>
    </xf>
    <xf numFmtId="10" fontId="215" fillId="0" borderId="40" xfId="0" applyNumberFormat="1" applyFont="1" applyBorder="1" applyAlignment="1">
      <alignment horizontal="center" vertical="center"/>
    </xf>
    <xf numFmtId="10" fontId="215" fillId="0" borderId="608" xfId="0" applyNumberFormat="1" applyFont="1" applyBorder="1" applyAlignment="1">
      <alignment horizontal="center" vertical="center"/>
    </xf>
    <xf numFmtId="10" fontId="215" fillId="0" borderId="47" xfId="0" applyNumberFormat="1" applyFont="1" applyBorder="1" applyAlignment="1">
      <alignment horizontal="center" vertical="center"/>
    </xf>
    <xf numFmtId="10" fontId="215" fillId="0" borderId="406" xfId="0" applyNumberFormat="1" applyFont="1" applyBorder="1" applyAlignment="1">
      <alignment horizontal="center" vertical="center"/>
    </xf>
    <xf numFmtId="10" fontId="215" fillId="0" borderId="599" xfId="0" applyNumberFormat="1" applyFont="1" applyBorder="1" applyAlignment="1">
      <alignment horizontal="center" vertical="center"/>
    </xf>
    <xf numFmtId="226" fontId="213" fillId="137" borderId="121" xfId="2" applyNumberFormat="1" applyFont="1" applyFill="1" applyBorder="1" applyAlignment="1">
      <alignment horizontal="center" vertical="center"/>
    </xf>
    <xf numFmtId="226" fontId="213" fillId="137" borderId="122" xfId="2" applyNumberFormat="1" applyFont="1" applyFill="1" applyBorder="1" applyAlignment="1">
      <alignment horizontal="center" vertical="center"/>
    </xf>
    <xf numFmtId="187" fontId="198" fillId="0" borderId="610" xfId="1" applyNumberFormat="1" applyFont="1" applyFill="1" applyBorder="1" applyAlignment="1">
      <alignment horizontal="center" vertical="center"/>
    </xf>
    <xf numFmtId="241" fontId="198" fillId="0" borderId="610" xfId="1" applyNumberFormat="1" applyFont="1" applyFill="1" applyBorder="1" applyAlignment="1">
      <alignment horizontal="center" vertical="center"/>
    </xf>
    <xf numFmtId="9" fontId="29" fillId="130" borderId="483" xfId="1" applyFont="1" applyFill="1" applyBorder="1" applyAlignment="1">
      <alignment horizontal="center" vertical="center"/>
    </xf>
    <xf numFmtId="0" fontId="29" fillId="130" borderId="124" xfId="0" applyFont="1" applyFill="1" applyBorder="1" applyAlignment="1">
      <alignment horizontal="center" vertical="center"/>
    </xf>
    <xf numFmtId="177" fontId="198" fillId="0" borderId="592" xfId="0" applyNumberFormat="1" applyFont="1" applyFill="1" applyBorder="1" applyAlignment="1">
      <alignment horizontal="center" vertical="center" wrapText="1"/>
    </xf>
    <xf numFmtId="241" fontId="232" fillId="4" borderId="592" xfId="1" applyNumberFormat="1" applyFont="1" applyFill="1" applyBorder="1" applyAlignment="1">
      <alignment horizontal="center" vertical="center"/>
    </xf>
    <xf numFmtId="10" fontId="29" fillId="130" borderId="585" xfId="1" applyNumberFormat="1" applyFont="1" applyFill="1" applyBorder="1" applyAlignment="1">
      <alignment horizontal="center" vertical="center"/>
    </xf>
    <xf numFmtId="0" fontId="0" fillId="0" borderId="608" xfId="0" applyBorder="1" applyAlignment="1">
      <alignment horizontal="center" vertical="center"/>
    </xf>
    <xf numFmtId="177" fontId="0" fillId="0" borderId="592" xfId="0" applyNumberFormat="1" applyBorder="1" applyAlignment="1">
      <alignment horizontal="center" vertical="center"/>
    </xf>
    <xf numFmtId="187" fontId="198" fillId="0" borderId="592" xfId="1" applyNumberFormat="1" applyFont="1" applyFill="1" applyBorder="1" applyAlignment="1">
      <alignment horizontal="center" vertical="center"/>
    </xf>
    <xf numFmtId="183" fontId="198" fillId="0" borderId="592" xfId="1" applyNumberFormat="1" applyFont="1" applyFill="1" applyBorder="1" applyAlignment="1">
      <alignment horizontal="center" vertical="center"/>
    </xf>
    <xf numFmtId="9" fontId="29" fillId="130" borderId="585" xfId="1" applyFont="1" applyFill="1" applyBorder="1" applyAlignment="1">
      <alignment horizontal="center"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187" fontId="171" fillId="0" borderId="638" xfId="0" applyNumberFormat="1" applyFont="1" applyBorder="1" applyAlignment="1">
      <alignment horizontal="center" vertical="center"/>
    </xf>
    <xf numFmtId="178" fontId="57" fillId="0" borderId="649" xfId="2" applyNumberFormat="1" applyFont="1" applyFill="1" applyBorder="1" applyAlignment="1">
      <alignment horizontal="center" vertical="center"/>
    </xf>
    <xf numFmtId="223" fontId="171" fillId="15" borderId="47" xfId="0" applyNumberFormat="1" applyFont="1" applyFill="1" applyBorder="1" applyAlignment="1">
      <alignment horizontal="center" vertical="center"/>
    </xf>
    <xf numFmtId="187" fontId="57" fillId="0" borderId="659" xfId="2" applyNumberFormat="1" applyFont="1" applyFill="1" applyBorder="1" applyAlignment="1">
      <alignment horizontal="center" vertical="center"/>
    </xf>
    <xf numFmtId="4" fontId="28" fillId="7" borderId="633" xfId="2" applyNumberFormat="1" applyFont="1" applyFill="1" applyBorder="1" applyAlignment="1">
      <alignment horizontal="center" vertical="center"/>
    </xf>
    <xf numFmtId="4" fontId="28" fillId="7" borderId="635" xfId="2" applyNumberFormat="1" applyFont="1" applyFill="1" applyBorder="1" applyAlignment="1">
      <alignment horizontal="center" vertical="center"/>
    </xf>
    <xf numFmtId="4" fontId="188" fillId="7" borderId="40" xfId="12099" applyNumberFormat="1" applyFont="1" applyFill="1" applyBorder="1" applyAlignment="1">
      <alignment horizontal="center" vertical="center"/>
    </xf>
    <xf numFmtId="4" fontId="28" fillId="7" borderId="608" xfId="12099" applyNumberFormat="1" applyFont="1" applyFill="1" applyBorder="1" applyAlignment="1">
      <alignment horizontal="center" vertical="center"/>
    </xf>
    <xf numFmtId="183" fontId="28" fillId="0" borderId="651" xfId="2" applyNumberFormat="1" applyFont="1" applyFill="1" applyBorder="1" applyAlignment="1">
      <alignment horizontal="center" vertical="center"/>
    </xf>
    <xf numFmtId="178" fontId="28" fillId="0" borderId="652" xfId="0" applyNumberFormat="1" applyFont="1" applyBorder="1" applyAlignment="1">
      <alignment horizontal="center" vertical="center"/>
    </xf>
    <xf numFmtId="178" fontId="28" fillId="0" borderId="680" xfId="0" applyNumberFormat="1" applyFont="1" applyBorder="1" applyAlignment="1">
      <alignment horizontal="center" vertical="center"/>
    </xf>
    <xf numFmtId="178" fontId="28" fillId="0" borderId="681" xfId="0" applyNumberFormat="1" applyFont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187" fontId="57" fillId="0" borderId="666" xfId="2" applyNumberFormat="1" applyFont="1" applyFill="1" applyBorder="1" applyAlignment="1">
      <alignment horizontal="center" vertical="center"/>
    </xf>
    <xf numFmtId="226" fontId="57" fillId="0" borderId="40" xfId="2" applyNumberFormat="1" applyFont="1" applyFill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0" fillId="0" borderId="515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0" fillId="0" borderId="516" xfId="0" applyBorder="1">
      <alignment vertical="center"/>
    </xf>
    <xf numFmtId="0" fontId="0" fillId="0" borderId="518" xfId="0" applyBorder="1">
      <alignment vertical="center"/>
    </xf>
    <xf numFmtId="0" fontId="0" fillId="0" borderId="22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02" xfId="0" applyBorder="1">
      <alignment vertical="center"/>
    </xf>
    <xf numFmtId="0" fontId="45" fillId="93" borderId="314" xfId="0" applyFont="1" applyFill="1" applyBorder="1" applyAlignment="1">
      <alignment horizontal="center" vertical="center"/>
    </xf>
    <xf numFmtId="0" fontId="45" fillId="93" borderId="315" xfId="0" applyFont="1" applyFill="1" applyBorder="1" applyAlignment="1">
      <alignment horizontal="center" vertical="center"/>
    </xf>
    <xf numFmtId="0" fontId="45" fillId="93" borderId="316" xfId="0" applyFont="1" applyFill="1" applyBorder="1" applyAlignment="1">
      <alignment horizontal="center" vertical="center"/>
    </xf>
    <xf numFmtId="0" fontId="0" fillId="0" borderId="602" xfId="0" applyBorder="1" applyAlignment="1">
      <alignment horizontal="center" vertical="center"/>
    </xf>
    <xf numFmtId="0" fontId="0" fillId="0" borderId="603" xfId="0" applyBorder="1" applyAlignment="1">
      <alignment horizontal="center" vertical="center"/>
    </xf>
    <xf numFmtId="0" fontId="0" fillId="0" borderId="603" xfId="0" applyBorder="1">
      <alignment vertical="center"/>
    </xf>
    <xf numFmtId="0" fontId="0" fillId="0" borderId="594" xfId="0" applyBorder="1">
      <alignment vertical="center"/>
    </xf>
    <xf numFmtId="0" fontId="0" fillId="0" borderId="122" xfId="0" applyBorder="1">
      <alignment vertical="center"/>
    </xf>
    <xf numFmtId="0" fontId="0" fillId="0" borderId="123" xfId="0" applyBorder="1">
      <alignment vertical="center"/>
    </xf>
    <xf numFmtId="0" fontId="0" fillId="0" borderId="225" xfId="0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26" xfId="0" applyBorder="1">
      <alignment vertical="center"/>
    </xf>
    <xf numFmtId="0" fontId="0" fillId="0" borderId="229" xfId="0" applyBorder="1">
      <alignment vertical="center"/>
    </xf>
    <xf numFmtId="0" fontId="0" fillId="0" borderId="97" xfId="0" applyBorder="1" applyAlignment="1">
      <alignment horizontal="center" vertical="center"/>
    </xf>
    <xf numFmtId="0" fontId="0" fillId="0" borderId="230" xfId="0" applyBorder="1" applyAlignment="1">
      <alignment horizontal="center" vertical="center"/>
    </xf>
    <xf numFmtId="0" fontId="0" fillId="0" borderId="263" xfId="0" applyBorder="1" applyAlignment="1">
      <alignment horizontal="center" vertical="center"/>
    </xf>
    <xf numFmtId="0" fontId="0" fillId="0" borderId="230" xfId="0" applyBorder="1">
      <alignment vertical="center"/>
    </xf>
    <xf numFmtId="0" fontId="0" fillId="0" borderId="137" xfId="0" applyBorder="1">
      <alignment vertical="center"/>
    </xf>
    <xf numFmtId="0" fontId="0" fillId="0" borderId="40" xfId="0" applyBorder="1">
      <alignment vertical="center"/>
    </xf>
    <xf numFmtId="0" fontId="0" fillId="0" borderId="608" xfId="0" applyBorder="1">
      <alignment vertical="center"/>
    </xf>
    <xf numFmtId="0" fontId="0" fillId="0" borderId="604" xfId="0" applyBorder="1">
      <alignment vertical="center"/>
    </xf>
    <xf numFmtId="0" fontId="0" fillId="0" borderId="47" xfId="0" applyBorder="1">
      <alignment vertical="center"/>
    </xf>
    <xf numFmtId="0" fontId="0" fillId="0" borderId="517" xfId="0" applyBorder="1">
      <alignment vertical="center"/>
    </xf>
    <xf numFmtId="187" fontId="0" fillId="0" borderId="0" xfId="0" applyNumberFormat="1" applyBorder="1" applyAlignment="1">
      <alignment horizontal="center" vertical="center"/>
    </xf>
    <xf numFmtId="41" fontId="177" fillId="0" borderId="0" xfId="2" applyFont="1" applyFill="1" applyBorder="1" applyAlignment="1">
      <alignment horizontal="center" vertical="center"/>
    </xf>
    <xf numFmtId="3" fontId="57" fillId="0" borderId="0" xfId="2" applyNumberFormat="1" applyFont="1" applyFill="1" applyBorder="1" applyAlignment="1">
      <alignment horizontal="center" vertical="center"/>
    </xf>
    <xf numFmtId="186" fontId="57" fillId="0" borderId="0" xfId="2" applyNumberFormat="1" applyFont="1" applyFill="1" applyBorder="1" applyAlignment="1">
      <alignment horizontal="center" vertical="center"/>
    </xf>
    <xf numFmtId="227" fontId="172" fillId="0" borderId="0" xfId="2" applyNumberFormat="1" applyFont="1" applyFill="1" applyBorder="1" applyAlignment="1">
      <alignment horizontal="center" vertical="center"/>
    </xf>
    <xf numFmtId="4" fontId="172" fillId="0" borderId="0" xfId="2" applyNumberFormat="1" applyFont="1" applyFill="1" applyBorder="1" applyAlignment="1">
      <alignment horizontal="center" vertical="center"/>
    </xf>
    <xf numFmtId="4" fontId="28" fillId="0" borderId="0" xfId="2" applyNumberFormat="1" applyFont="1" applyFill="1" applyBorder="1" applyAlignment="1">
      <alignment horizontal="center" vertical="center"/>
    </xf>
    <xf numFmtId="4" fontId="57" fillId="0" borderId="0" xfId="2" applyNumberFormat="1" applyFont="1" applyFill="1" applyBorder="1" applyAlignment="1">
      <alignment horizontal="center" vertical="center"/>
    </xf>
    <xf numFmtId="38" fontId="28" fillId="0" borderId="0" xfId="2" applyNumberFormat="1" applyFont="1" applyFill="1" applyBorder="1" applyAlignment="1">
      <alignment horizontal="center" vertical="center"/>
    </xf>
    <xf numFmtId="9" fontId="28" fillId="0" borderId="0" xfId="1" applyFont="1" applyFill="1" applyBorder="1" applyAlignment="1">
      <alignment horizontal="center" vertical="center"/>
    </xf>
    <xf numFmtId="4" fontId="199" fillId="0" borderId="0" xfId="2" applyNumberFormat="1" applyFont="1" applyFill="1" applyBorder="1" applyAlignment="1">
      <alignment horizontal="center" vertical="center"/>
    </xf>
    <xf numFmtId="227" fontId="28" fillId="0" borderId="0" xfId="2" applyNumberFormat="1" applyFont="1" applyFill="1" applyBorder="1" applyAlignment="1">
      <alignment horizontal="center" vertical="center"/>
    </xf>
    <xf numFmtId="38" fontId="28" fillId="0" borderId="0" xfId="2" quotePrefix="1" applyNumberFormat="1" applyFont="1" applyFill="1" applyBorder="1" applyAlignment="1">
      <alignment horizontal="center" vertical="center"/>
    </xf>
    <xf numFmtId="40" fontId="28" fillId="0" borderId="0" xfId="2" applyNumberFormat="1" applyFont="1" applyFill="1" applyBorder="1" applyAlignment="1">
      <alignment horizontal="center" vertical="center"/>
    </xf>
    <xf numFmtId="40" fontId="28" fillId="0" borderId="0" xfId="2" quotePrefix="1" applyNumberFormat="1" applyFont="1" applyFill="1" applyBorder="1" applyAlignment="1">
      <alignment horizontal="center" vertical="center"/>
    </xf>
    <xf numFmtId="9" fontId="172" fillId="0" borderId="0" xfId="1" applyFont="1" applyFill="1" applyBorder="1" applyAlignment="1">
      <alignment horizontal="center" vertical="center"/>
    </xf>
    <xf numFmtId="228" fontId="172" fillId="0" borderId="0" xfId="2" applyNumberFormat="1" applyFont="1" applyFill="1" applyBorder="1" applyAlignment="1">
      <alignment horizontal="center" vertical="center"/>
    </xf>
    <xf numFmtId="228" fontId="57" fillId="0" borderId="0" xfId="2" applyNumberFormat="1" applyFont="1" applyFill="1" applyBorder="1" applyAlignment="1">
      <alignment horizontal="center" vertical="center"/>
    </xf>
    <xf numFmtId="228" fontId="199" fillId="0" borderId="0" xfId="2" applyNumberFormat="1" applyFont="1" applyFill="1" applyBorder="1" applyAlignment="1">
      <alignment horizontal="center" vertical="center"/>
    </xf>
    <xf numFmtId="228" fontId="28" fillId="0" borderId="0" xfId="2" applyNumberFormat="1" applyFont="1" applyFill="1" applyBorder="1" applyAlignment="1">
      <alignment horizontal="center" vertical="center"/>
    </xf>
    <xf numFmtId="187" fontId="171" fillId="0" borderId="0" xfId="2" applyNumberFormat="1" applyFont="1" applyFill="1" applyBorder="1" applyAlignment="1">
      <alignment horizontal="center" vertical="center" wrapText="1"/>
    </xf>
    <xf numFmtId="177" fontId="176" fillId="0" borderId="0" xfId="2" applyNumberFormat="1" applyFont="1" applyFill="1" applyBorder="1" applyAlignment="1">
      <alignment horizontal="center" vertical="center" wrapText="1"/>
    </xf>
    <xf numFmtId="186" fontId="176" fillId="0" borderId="0" xfId="2" applyNumberFormat="1" applyFont="1" applyFill="1" applyBorder="1" applyAlignment="1">
      <alignment horizontal="center" vertical="center" wrapText="1"/>
    </xf>
    <xf numFmtId="183" fontId="176" fillId="0" borderId="0" xfId="2" applyNumberFormat="1" applyFont="1" applyFill="1" applyBorder="1" applyAlignment="1">
      <alignment horizontal="center" vertical="center"/>
    </xf>
    <xf numFmtId="38" fontId="176" fillId="0" borderId="0" xfId="2" applyNumberFormat="1" applyFont="1" applyFill="1" applyBorder="1" applyAlignment="1">
      <alignment horizontal="center" vertical="center"/>
    </xf>
    <xf numFmtId="9" fontId="176" fillId="0" borderId="0" xfId="1" applyFont="1" applyFill="1" applyBorder="1" applyAlignment="1">
      <alignment horizontal="center" vertical="center"/>
    </xf>
    <xf numFmtId="178" fontId="176" fillId="0" borderId="0" xfId="2" applyNumberFormat="1" applyFont="1" applyFill="1" applyBorder="1" applyAlignment="1">
      <alignment horizontal="center" vertical="center"/>
    </xf>
    <xf numFmtId="179" fontId="28" fillId="0" borderId="0" xfId="0" applyNumberFormat="1" applyFont="1" applyFill="1" applyBorder="1" applyAlignment="1">
      <alignment horizontal="center" vertical="center"/>
    </xf>
    <xf numFmtId="9" fontId="188" fillId="0" borderId="0" xfId="0" applyNumberFormat="1" applyFont="1" applyFill="1" applyBorder="1" applyAlignment="1">
      <alignment horizontal="center" vertical="center"/>
    </xf>
    <xf numFmtId="176" fontId="28" fillId="0" borderId="0" xfId="0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0" fontId="177" fillId="0" borderId="0" xfId="0" applyFont="1" applyFill="1" applyBorder="1" applyAlignment="1">
      <alignment horizontal="center" vertical="center"/>
    </xf>
    <xf numFmtId="177" fontId="177" fillId="0" borderId="0" xfId="0" applyNumberFormat="1" applyFont="1" applyFill="1" applyBorder="1" applyAlignment="1">
      <alignment horizontal="center" vertical="center"/>
    </xf>
    <xf numFmtId="0" fontId="177" fillId="0" borderId="0" xfId="0" applyFont="1" applyFill="1" applyBorder="1">
      <alignment vertical="center"/>
    </xf>
    <xf numFmtId="3" fontId="28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>
      <alignment vertical="center"/>
    </xf>
    <xf numFmtId="0" fontId="176" fillId="0" borderId="0" xfId="0" applyFont="1" applyFill="1" applyBorder="1" applyAlignment="1">
      <alignment horizontal="center" vertical="center" wrapText="1"/>
    </xf>
    <xf numFmtId="178" fontId="28" fillId="0" borderId="0" xfId="0" applyNumberFormat="1" applyFont="1" applyFill="1" applyBorder="1" applyAlignment="1">
      <alignment horizontal="center" vertical="center"/>
    </xf>
    <xf numFmtId="183" fontId="28" fillId="0" borderId="0" xfId="0" applyNumberFormat="1" applyFont="1" applyFill="1" applyBorder="1" applyAlignment="1">
      <alignment horizontal="center" vertical="center"/>
    </xf>
    <xf numFmtId="228" fontId="28" fillId="0" borderId="0" xfId="0" applyNumberFormat="1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221" fillId="127" borderId="603" xfId="0" applyFont="1" applyFill="1" applyBorder="1" applyAlignment="1">
      <alignment horizontal="center" vertical="center"/>
    </xf>
    <xf numFmtId="0" fontId="221" fillId="127" borderId="6" xfId="0" applyFont="1" applyFill="1" applyBorder="1" applyAlignment="1">
      <alignment horizontal="center" vertical="center"/>
    </xf>
    <xf numFmtId="0" fontId="221" fillId="127" borderId="609" xfId="0" applyFont="1" applyFill="1" applyBorder="1" applyAlignment="1">
      <alignment horizontal="center" vertical="center"/>
    </xf>
    <xf numFmtId="0" fontId="176" fillId="125" borderId="287" xfId="0" applyFont="1" applyFill="1" applyBorder="1" applyAlignment="1">
      <alignment horizontal="center" vertical="center" wrapText="1"/>
    </xf>
    <xf numFmtId="0" fontId="176" fillId="125" borderId="288" xfId="0" applyFont="1" applyFill="1" applyBorder="1" applyAlignment="1">
      <alignment horizontal="center" vertical="center" wrapText="1"/>
    </xf>
    <xf numFmtId="0" fontId="176" fillId="125" borderId="225" xfId="0" applyFont="1" applyFill="1" applyBorder="1" applyAlignment="1">
      <alignment horizontal="center" vertical="center" wrapText="1"/>
    </xf>
    <xf numFmtId="0" fontId="176" fillId="125" borderId="226" xfId="0" applyFont="1" applyFill="1" applyBorder="1" applyAlignment="1">
      <alignment horizontal="center" vertical="center" wrapText="1"/>
    </xf>
    <xf numFmtId="0" fontId="176" fillId="127" borderId="609" xfId="0" applyFont="1" applyFill="1" applyBorder="1" applyAlignment="1">
      <alignment horizontal="center" vertical="center"/>
    </xf>
    <xf numFmtId="0" fontId="0" fillId="0" borderId="609" xfId="0" applyBorder="1" applyAlignment="1">
      <alignment horizontal="center" vertical="center"/>
    </xf>
    <xf numFmtId="231" fontId="34" fillId="0" borderId="512" xfId="0" applyNumberFormat="1" applyFont="1" applyFill="1" applyBorder="1" applyAlignment="1">
      <alignment horizontal="center" vertical="center"/>
    </xf>
    <xf numFmtId="0" fontId="221" fillId="0" borderId="0" xfId="0" applyFont="1" applyFill="1" applyBorder="1" applyAlignment="1">
      <alignment horizontal="center" vertical="center" wrapText="1"/>
    </xf>
    <xf numFmtId="223" fontId="228" fillId="0" borderId="0" xfId="0" applyNumberFormat="1" applyFont="1" applyFill="1" applyBorder="1" applyAlignment="1">
      <alignment horizontal="center" vertical="center"/>
    </xf>
    <xf numFmtId="187" fontId="167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>
      <alignment vertical="center"/>
    </xf>
    <xf numFmtId="0" fontId="208" fillId="3" borderId="609" xfId="0" applyFont="1" applyFill="1" applyBorder="1" applyAlignment="1">
      <alignment horizontal="center" vertical="center"/>
    </xf>
    <xf numFmtId="0" fontId="208" fillId="3" borderId="609" xfId="0" applyFont="1" applyFill="1" applyBorder="1" applyAlignment="1">
      <alignment horizontal="left" vertical="center"/>
    </xf>
    <xf numFmtId="3" fontId="57" fillId="0" borderId="0" xfId="0" applyNumberFormat="1" applyFont="1" applyAlignment="1">
      <alignment horizontal="center" vertical="center"/>
    </xf>
    <xf numFmtId="0" fontId="28" fillId="3" borderId="609" xfId="0" applyFont="1" applyFill="1" applyBorder="1" applyAlignment="1">
      <alignment horizontal="center" vertical="center"/>
    </xf>
    <xf numFmtId="0" fontId="57" fillId="3" borderId="609" xfId="0" applyFont="1" applyFill="1" applyBorder="1" applyAlignment="1">
      <alignment horizontal="center" vertical="center"/>
    </xf>
    <xf numFmtId="3" fontId="57" fillId="3" borderId="609" xfId="0" applyNumberFormat="1" applyFont="1" applyFill="1" applyBorder="1" applyAlignment="1">
      <alignment horizontal="center" vertical="center"/>
    </xf>
    <xf numFmtId="188" fontId="0" fillId="6" borderId="0" xfId="0" applyNumberFormat="1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177" fontId="57" fillId="0" borderId="0" xfId="0" applyNumberFormat="1" applyFont="1" applyFill="1" applyBorder="1" applyAlignment="1">
      <alignment horizontal="center" vertical="center"/>
    </xf>
    <xf numFmtId="223" fontId="34" fillId="130" borderId="334" xfId="0" applyNumberFormat="1" applyFont="1" applyFill="1" applyBorder="1" applyAlignment="1">
      <alignment horizontal="center" vertical="center"/>
    </xf>
    <xf numFmtId="223" fontId="34" fillId="130" borderId="46" xfId="0" applyNumberFormat="1" applyFont="1" applyFill="1" applyBorder="1" applyAlignment="1">
      <alignment horizontal="center" vertical="center"/>
    </xf>
    <xf numFmtId="223" fontId="228" fillId="3" borderId="609" xfId="0" applyNumberFormat="1" applyFont="1" applyFill="1" applyBorder="1" applyAlignment="1">
      <alignment horizontal="center" vertical="center"/>
    </xf>
    <xf numFmtId="223" fontId="34" fillId="136" borderId="609" xfId="0" applyNumberFormat="1" applyFont="1" applyFill="1" applyBorder="1" applyAlignment="1">
      <alignment horizontal="center" vertical="center"/>
    </xf>
    <xf numFmtId="223" fontId="34" fillId="3" borderId="609" xfId="0" applyNumberFormat="1" applyFont="1" applyFill="1" applyBorder="1" applyAlignment="1">
      <alignment horizontal="center" vertical="center"/>
    </xf>
    <xf numFmtId="223" fontId="34" fillId="130" borderId="609" xfId="0" applyNumberFormat="1" applyFont="1" applyFill="1" applyBorder="1" applyAlignment="1">
      <alignment horizontal="center" vertical="center"/>
    </xf>
    <xf numFmtId="178" fontId="198" fillId="0" borderId="592" xfId="1" applyNumberFormat="1" applyFont="1" applyFill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223" fontId="34" fillId="0" borderId="0" xfId="0" applyNumberFormat="1" applyFont="1" applyAlignment="1">
      <alignment horizontal="center" vertical="center"/>
    </xf>
    <xf numFmtId="0" fontId="231" fillId="0" borderId="0" xfId="0" applyFont="1">
      <alignment vertical="center"/>
    </xf>
    <xf numFmtId="223" fontId="0" fillId="0" borderId="609" xfId="0" applyNumberFormat="1" applyBorder="1" applyAlignment="1">
      <alignment horizontal="center" vertical="center"/>
    </xf>
    <xf numFmtId="223" fontId="228" fillId="3" borderId="122" xfId="0" applyNumberFormat="1" applyFont="1" applyFill="1" applyBorder="1" applyAlignment="1">
      <alignment horizontal="center" vertical="center"/>
    </xf>
    <xf numFmtId="223" fontId="34" fillId="3" borderId="610" xfId="0" applyNumberFormat="1" applyFont="1" applyFill="1" applyBorder="1" applyAlignment="1">
      <alignment horizontal="center" vertical="center"/>
    </xf>
    <xf numFmtId="223" fontId="34" fillId="3" borderId="611" xfId="0" applyNumberFormat="1" applyFont="1" applyFill="1" applyBorder="1" applyAlignment="1">
      <alignment horizontal="center" vertical="center"/>
    </xf>
    <xf numFmtId="223" fontId="34" fillId="130" borderId="515" xfId="0" applyNumberFormat="1" applyFont="1" applyFill="1" applyBorder="1" applyAlignment="1">
      <alignment horizontal="center" vertical="center"/>
    </xf>
    <xf numFmtId="223" fontId="34" fillId="130" borderId="516" xfId="0" applyNumberFormat="1" applyFont="1" applyFill="1" applyBorder="1" applyAlignment="1">
      <alignment horizontal="center" vertical="center"/>
    </xf>
    <xf numFmtId="223" fontId="45" fillId="130" borderId="516" xfId="0" applyNumberFormat="1" applyFont="1" applyFill="1" applyBorder="1" applyAlignment="1">
      <alignment horizontal="center" vertical="center"/>
    </xf>
    <xf numFmtId="223" fontId="34" fillId="136" borderId="602" xfId="0" applyNumberFormat="1" applyFont="1" applyFill="1" applyBorder="1" applyAlignment="1">
      <alignment horizontal="center" vertical="center"/>
    </xf>
    <xf numFmtId="223" fontId="34" fillId="136" borderId="603" xfId="0" applyNumberFormat="1" applyFont="1" applyFill="1" applyBorder="1" applyAlignment="1">
      <alignment horizontal="center" vertical="center"/>
    </xf>
    <xf numFmtId="223" fontId="34" fillId="3" borderId="121" xfId="0" applyNumberFormat="1" applyFont="1" applyFill="1" applyBorder="1" applyAlignment="1">
      <alignment horizontal="center" vertical="center"/>
    </xf>
    <xf numFmtId="223" fontId="34" fillId="3" borderId="122" xfId="0" applyNumberFormat="1" applyFont="1" applyFill="1" applyBorder="1" applyAlignment="1">
      <alignment horizontal="center" vertical="center"/>
    </xf>
    <xf numFmtId="223" fontId="34" fillId="134" borderId="611" xfId="0" applyNumberFormat="1" applyFont="1" applyFill="1" applyBorder="1" applyAlignment="1">
      <alignment horizontal="center" vertical="center"/>
    </xf>
    <xf numFmtId="223" fontId="34" fillId="116" borderId="518" xfId="0" applyNumberFormat="1" applyFont="1" applyFill="1" applyBorder="1" applyAlignment="1">
      <alignment horizontal="center" vertical="center"/>
    </xf>
    <xf numFmtId="223" fontId="34" fillId="134" borderId="592" xfId="0" applyNumberFormat="1" applyFont="1" applyFill="1" applyBorder="1" applyAlignment="1">
      <alignment horizontal="center" vertical="center"/>
    </xf>
    <xf numFmtId="223" fontId="34" fillId="116" borderId="585" xfId="0" applyNumberFormat="1" applyFont="1" applyFill="1" applyBorder="1" applyAlignment="1">
      <alignment horizontal="center" vertical="center"/>
    </xf>
    <xf numFmtId="223" fontId="34" fillId="134" borderId="615" xfId="0" applyNumberFormat="1" applyFont="1" applyFill="1" applyBorder="1" applyAlignment="1">
      <alignment horizontal="center" vertical="center"/>
    </xf>
    <xf numFmtId="223" fontId="34" fillId="116" borderId="512" xfId="0" applyNumberFormat="1" applyFont="1" applyFill="1" applyBorder="1" applyAlignment="1">
      <alignment horizontal="center" vertical="center"/>
    </xf>
    <xf numFmtId="223" fontId="171" fillId="0" borderId="123" xfId="2" applyNumberFormat="1" applyFont="1" applyFill="1" applyBorder="1" applyAlignment="1">
      <alignment horizontal="center" vertical="center"/>
    </xf>
    <xf numFmtId="223" fontId="171" fillId="0" borderId="202" xfId="2" applyNumberFormat="1" applyFont="1" applyFill="1" applyBorder="1" applyAlignment="1">
      <alignment horizontal="center" vertical="center"/>
    </xf>
    <xf numFmtId="223" fontId="34" fillId="117" borderId="611" xfId="0" applyNumberFormat="1" applyFont="1" applyFill="1" applyBorder="1" applyAlignment="1">
      <alignment horizontal="center" vertical="center"/>
    </xf>
    <xf numFmtId="223" fontId="34" fillId="0" borderId="611" xfId="0" applyNumberFormat="1" applyFont="1" applyFill="1" applyBorder="1" applyAlignment="1">
      <alignment horizontal="center" vertical="center"/>
    </xf>
    <xf numFmtId="223" fontId="34" fillId="0" borderId="594" xfId="0" applyNumberFormat="1" applyFont="1" applyBorder="1" applyAlignment="1">
      <alignment horizontal="center" vertical="center"/>
    </xf>
    <xf numFmtId="223" fontId="34" fillId="136" borderId="229" xfId="0" applyNumberFormat="1" applyFont="1" applyFill="1" applyBorder="1" applyAlignment="1">
      <alignment horizontal="center" vertical="center"/>
    </xf>
    <xf numFmtId="223" fontId="232" fillId="0" borderId="123" xfId="0" applyNumberFormat="1" applyFont="1" applyFill="1" applyBorder="1" applyAlignment="1">
      <alignment horizontal="center" vertical="center"/>
    </xf>
    <xf numFmtId="223" fontId="171" fillId="7" borderId="202" xfId="2" applyNumberFormat="1" applyFont="1" applyFill="1" applyBorder="1" applyAlignment="1">
      <alignment horizontal="center" vertical="center"/>
    </xf>
    <xf numFmtId="223" fontId="232" fillId="0" borderId="594" xfId="0" applyNumberFormat="1" applyFont="1" applyBorder="1" applyAlignment="1">
      <alignment horizontal="center" vertical="center"/>
    </xf>
    <xf numFmtId="223" fontId="34" fillId="130" borderId="229" xfId="0" applyNumberFormat="1" applyFont="1" applyFill="1" applyBorder="1" applyAlignment="1">
      <alignment horizontal="center" vertical="center"/>
    </xf>
    <xf numFmtId="223" fontId="34" fillId="117" borderId="518" xfId="0" applyNumberFormat="1" applyFont="1" applyFill="1" applyBorder="1" applyAlignment="1">
      <alignment horizontal="center" vertical="center"/>
    </xf>
    <xf numFmtId="223" fontId="34" fillId="0" borderId="329" xfId="0" applyNumberFormat="1" applyFont="1" applyFill="1" applyBorder="1" applyAlignment="1">
      <alignment horizontal="center" vertical="center"/>
    </xf>
    <xf numFmtId="223" fontId="232" fillId="0" borderId="611" xfId="0" applyNumberFormat="1" applyFont="1" applyFill="1" applyBorder="1" applyAlignment="1">
      <alignment horizontal="center" vertical="center"/>
    </xf>
    <xf numFmtId="223" fontId="232" fillId="0" borderId="594" xfId="0" applyNumberFormat="1" applyFont="1" applyFill="1" applyBorder="1" applyAlignment="1">
      <alignment horizontal="center" vertical="center"/>
    </xf>
    <xf numFmtId="223" fontId="232" fillId="0" borderId="518" xfId="0" applyNumberFormat="1" applyFont="1" applyFill="1" applyBorder="1" applyAlignment="1">
      <alignment horizontal="center" vertical="center"/>
    </xf>
    <xf numFmtId="223" fontId="34" fillId="0" borderId="518" xfId="0" applyNumberFormat="1" applyFont="1" applyBorder="1" applyAlignment="1">
      <alignment horizontal="center" vertical="center"/>
    </xf>
    <xf numFmtId="223" fontId="232" fillId="0" borderId="202" xfId="0" applyNumberFormat="1" applyFont="1" applyFill="1" applyBorder="1" applyAlignment="1">
      <alignment horizontal="center" vertical="center"/>
    </xf>
    <xf numFmtId="0" fontId="176" fillId="125" borderId="110" xfId="0" applyFont="1" applyFill="1" applyBorder="1" applyAlignment="1">
      <alignment horizontal="center" vertical="center" wrapText="1"/>
    </xf>
    <xf numFmtId="223" fontId="171" fillId="0" borderId="48" xfId="2" applyNumberFormat="1" applyFont="1" applyFill="1" applyBorder="1" applyAlignment="1">
      <alignment horizontal="center" vertical="center"/>
    </xf>
    <xf numFmtId="223" fontId="171" fillId="0" borderId="37" xfId="2" applyNumberFormat="1" applyFont="1" applyFill="1" applyBorder="1" applyAlignment="1">
      <alignment horizontal="center" vertical="center"/>
    </xf>
    <xf numFmtId="223" fontId="34" fillId="117" borderId="615" xfId="0" applyNumberFormat="1" applyFont="1" applyFill="1" applyBorder="1" applyAlignment="1">
      <alignment horizontal="center" vertical="center"/>
    </xf>
    <xf numFmtId="223" fontId="34" fillId="0" borderId="615" xfId="0" applyNumberFormat="1" applyFont="1" applyFill="1" applyBorder="1" applyAlignment="1">
      <alignment horizontal="center" vertical="center"/>
    </xf>
    <xf numFmtId="223" fontId="34" fillId="0" borderId="607" xfId="0" applyNumberFormat="1" applyFont="1" applyBorder="1" applyAlignment="1">
      <alignment horizontal="center" vertical="center"/>
    </xf>
    <xf numFmtId="223" fontId="34" fillId="136" borderId="110" xfId="0" applyNumberFormat="1" applyFont="1" applyFill="1" applyBorder="1" applyAlignment="1">
      <alignment horizontal="center" vertical="center"/>
    </xf>
    <xf numFmtId="223" fontId="232" fillId="0" borderId="48" xfId="0" applyNumberFormat="1" applyFont="1" applyFill="1" applyBorder="1" applyAlignment="1">
      <alignment horizontal="center" vertical="center"/>
    </xf>
    <xf numFmtId="223" fontId="171" fillId="7" borderId="37" xfId="2" applyNumberFormat="1" applyFont="1" applyFill="1" applyBorder="1" applyAlignment="1">
      <alignment horizontal="center" vertical="center"/>
    </xf>
    <xf numFmtId="223" fontId="232" fillId="0" borderId="607" xfId="0" applyNumberFormat="1" applyFont="1" applyBorder="1" applyAlignment="1">
      <alignment horizontal="center" vertical="center"/>
    </xf>
    <xf numFmtId="223" fontId="232" fillId="0" borderId="615" xfId="0" applyNumberFormat="1" applyFont="1" applyBorder="1" applyAlignment="1">
      <alignment horizontal="center" vertical="center"/>
    </xf>
    <xf numFmtId="223" fontId="232" fillId="130" borderId="268" xfId="0" applyNumberFormat="1" applyFont="1" applyFill="1" applyBorder="1" applyAlignment="1">
      <alignment horizontal="center" vertical="center"/>
    </xf>
    <xf numFmtId="223" fontId="34" fillId="117" borderId="512" xfId="0" applyNumberFormat="1" applyFont="1" applyFill="1" applyBorder="1" applyAlignment="1">
      <alignment horizontal="center" vertical="center"/>
    </xf>
    <xf numFmtId="223" fontId="232" fillId="0" borderId="615" xfId="0" applyNumberFormat="1" applyFont="1" applyFill="1" applyBorder="1" applyAlignment="1">
      <alignment horizontal="center" vertical="center"/>
    </xf>
    <xf numFmtId="223" fontId="232" fillId="0" borderId="512" xfId="0" applyNumberFormat="1" applyFont="1" applyFill="1" applyBorder="1" applyAlignment="1">
      <alignment horizontal="center" vertical="center"/>
    </xf>
    <xf numFmtId="223" fontId="34" fillId="130" borderId="110" xfId="0" applyNumberFormat="1" applyFont="1" applyFill="1" applyBorder="1" applyAlignment="1">
      <alignment horizontal="center" vertical="center"/>
    </xf>
    <xf numFmtId="223" fontId="232" fillId="0" borderId="37" xfId="0" applyNumberFormat="1" applyFont="1" applyFill="1" applyBorder="1" applyAlignment="1">
      <alignment horizontal="center" vertical="center"/>
    </xf>
    <xf numFmtId="223" fontId="34" fillId="0" borderId="512" xfId="0" applyNumberFormat="1" applyFont="1" applyBorder="1" applyAlignment="1">
      <alignment horizontal="center" vertical="center"/>
    </xf>
    <xf numFmtId="228" fontId="213" fillId="4" borderId="123" xfId="2" applyNumberFormat="1" applyFont="1" applyFill="1" applyBorder="1" applyAlignment="1">
      <alignment horizontal="center" vertical="center"/>
    </xf>
    <xf numFmtId="226" fontId="213" fillId="4" borderId="202" xfId="2" applyNumberFormat="1" applyFont="1" applyFill="1" applyBorder="1" applyAlignment="1">
      <alignment horizontal="center" vertical="center"/>
    </xf>
    <xf numFmtId="226" fontId="213" fillId="4" borderId="611" xfId="0" applyNumberFormat="1" applyFont="1" applyFill="1" applyBorder="1" applyAlignment="1">
      <alignment horizontal="center" vertical="center"/>
    </xf>
    <xf numFmtId="226" fontId="34" fillId="117" borderId="611" xfId="0" applyNumberFormat="1" applyFont="1" applyFill="1" applyBorder="1" applyAlignment="1">
      <alignment horizontal="center" vertical="center"/>
    </xf>
    <xf numFmtId="226" fontId="167" fillId="4" borderId="611" xfId="0" applyNumberFormat="1" applyFont="1" applyFill="1" applyBorder="1" applyAlignment="1">
      <alignment horizontal="center" vertical="center"/>
    </xf>
    <xf numFmtId="187" fontId="167" fillId="4" borderId="611" xfId="0" applyNumberFormat="1" applyFont="1" applyFill="1" applyBorder="1" applyAlignment="1">
      <alignment horizontal="center" vertical="center"/>
    </xf>
    <xf numFmtId="187" fontId="213" fillId="4" borderId="611" xfId="0" applyNumberFormat="1" applyFont="1" applyFill="1" applyBorder="1" applyAlignment="1">
      <alignment horizontal="center" vertical="center"/>
    </xf>
    <xf numFmtId="231" fontId="167" fillId="4" borderId="611" xfId="0" applyNumberFormat="1" applyFont="1" applyFill="1" applyBorder="1" applyAlignment="1">
      <alignment horizontal="center" vertical="center"/>
    </xf>
    <xf numFmtId="187" fontId="213" fillId="4" borderId="594" xfId="0" applyNumberFormat="1" applyFont="1" applyFill="1" applyBorder="1" applyAlignment="1">
      <alignment horizontal="center" vertical="center"/>
    </xf>
    <xf numFmtId="183" fontId="213" fillId="4" borderId="202" xfId="2" applyNumberFormat="1" applyFont="1" applyFill="1" applyBorder="1" applyAlignment="1">
      <alignment horizontal="center" vertical="center"/>
    </xf>
    <xf numFmtId="179" fontId="229" fillId="4" borderId="594" xfId="0" applyNumberFormat="1" applyFont="1" applyFill="1" applyBorder="1" applyAlignment="1">
      <alignment horizontal="center" vertical="center"/>
    </xf>
    <xf numFmtId="179" fontId="228" fillId="4" borderId="594" xfId="0" applyNumberFormat="1" applyFont="1" applyFill="1" applyBorder="1" applyAlignment="1">
      <alignment horizontal="center" vertical="center"/>
    </xf>
    <xf numFmtId="177" fontId="229" fillId="4" borderId="611" xfId="0" applyNumberFormat="1" applyFont="1" applyFill="1" applyBorder="1" applyAlignment="1">
      <alignment horizontal="center" vertical="center"/>
    </xf>
    <xf numFmtId="179" fontId="232" fillId="117" borderId="594" xfId="0" applyNumberFormat="1" applyFont="1" applyFill="1" applyBorder="1" applyAlignment="1">
      <alignment horizontal="center" vertical="center"/>
    </xf>
    <xf numFmtId="187" fontId="34" fillId="4" borderId="611" xfId="0" applyNumberFormat="1" applyFont="1" applyFill="1" applyBorder="1" applyAlignment="1">
      <alignment horizontal="center" vertical="center"/>
    </xf>
    <xf numFmtId="187" fontId="34" fillId="117" borderId="611" xfId="0" applyNumberFormat="1" applyFont="1" applyFill="1" applyBorder="1" applyAlignment="1">
      <alignment horizontal="center" vertical="center"/>
    </xf>
    <xf numFmtId="187" fontId="34" fillId="117" borderId="518" xfId="0" applyNumberFormat="1" applyFont="1" applyFill="1" applyBorder="1" applyAlignment="1">
      <alignment horizontal="center" vertical="center"/>
    </xf>
    <xf numFmtId="176" fontId="229" fillId="4" borderId="329" xfId="0" applyNumberFormat="1" applyFont="1" applyFill="1" applyBorder="1" applyAlignment="1">
      <alignment horizontal="center" vertical="center"/>
    </xf>
    <xf numFmtId="179" fontId="229" fillId="4" borderId="611" xfId="0" applyNumberFormat="1" applyFont="1" applyFill="1" applyBorder="1" applyAlignment="1">
      <alignment horizontal="center" vertical="center"/>
    </xf>
    <xf numFmtId="187" fontId="229" fillId="4" borderId="594" xfId="0" applyNumberFormat="1" applyFont="1" applyFill="1" applyBorder="1" applyAlignment="1">
      <alignment horizontal="center" vertical="center"/>
    </xf>
    <xf numFmtId="187" fontId="232" fillId="117" borderId="518" xfId="0" applyNumberFormat="1" applyFont="1" applyFill="1" applyBorder="1" applyAlignment="1">
      <alignment horizontal="center" vertical="center"/>
    </xf>
    <xf numFmtId="187" fontId="34" fillId="4" borderId="609" xfId="0" applyNumberFormat="1" applyFont="1" applyFill="1" applyBorder="1" applyAlignment="1">
      <alignment horizontal="center" vertical="center"/>
    </xf>
    <xf numFmtId="183" fontId="213" fillId="4" borderId="611" xfId="0" applyNumberFormat="1" applyFont="1" applyFill="1" applyBorder="1" applyAlignment="1">
      <alignment horizontal="center" vertical="center"/>
    </xf>
    <xf numFmtId="183" fontId="167" fillId="4" borderId="611" xfId="0" applyNumberFormat="1" applyFont="1" applyFill="1" applyBorder="1" applyAlignment="1">
      <alignment horizontal="center" vertical="center"/>
    </xf>
    <xf numFmtId="3" fontId="171" fillId="4" borderId="609" xfId="2" applyNumberFormat="1" applyFont="1" applyFill="1" applyBorder="1" applyAlignment="1">
      <alignment horizontal="center" vertical="center"/>
    </xf>
    <xf numFmtId="183" fontId="167" fillId="4" borderId="611" xfId="2" applyNumberFormat="1" applyFont="1" applyFill="1" applyBorder="1" applyAlignment="1">
      <alignment horizontal="center" vertical="center"/>
    </xf>
    <xf numFmtId="231" fontId="213" fillId="4" borderId="611" xfId="0" applyNumberFormat="1" applyFont="1" applyFill="1" applyBorder="1" applyAlignment="1">
      <alignment horizontal="center" vertical="center"/>
    </xf>
    <xf numFmtId="0" fontId="227" fillId="127" borderId="609" xfId="0" applyFont="1" applyFill="1" applyBorder="1" applyAlignment="1">
      <alignment horizontal="center" vertical="center"/>
    </xf>
    <xf numFmtId="183" fontId="198" fillId="0" borderId="609" xfId="0" applyNumberFormat="1" applyFont="1" applyFill="1" applyBorder="1" applyAlignment="1">
      <alignment horizontal="center" vertical="center"/>
    </xf>
    <xf numFmtId="183" fontId="34" fillId="4" borderId="609" xfId="0" applyNumberFormat="1" applyFont="1" applyFill="1" applyBorder="1" applyAlignment="1">
      <alignment horizontal="center" vertical="center"/>
    </xf>
    <xf numFmtId="183" fontId="198" fillId="0" borderId="603" xfId="0" applyNumberFormat="1" applyFont="1" applyFill="1" applyBorder="1" applyAlignment="1">
      <alignment horizontal="center" vertical="center"/>
    </xf>
    <xf numFmtId="183" fontId="34" fillId="4" borderId="603" xfId="0" applyNumberFormat="1" applyFont="1" applyFill="1" applyBorder="1" applyAlignment="1">
      <alignment horizontal="center" vertical="center"/>
    </xf>
    <xf numFmtId="183" fontId="213" fillId="4" borderId="594" xfId="0" applyNumberFormat="1" applyFont="1" applyFill="1" applyBorder="1" applyAlignment="1">
      <alignment horizontal="center" vertical="center"/>
    </xf>
    <xf numFmtId="223" fontId="229" fillId="4" borderId="518" xfId="0" applyNumberFormat="1" applyFont="1" applyFill="1" applyBorder="1" applyAlignment="1">
      <alignment horizontal="center" vertical="center"/>
    </xf>
    <xf numFmtId="3" fontId="34" fillId="4" borderId="609" xfId="0" applyNumberFormat="1" applyFont="1" applyFill="1" applyBorder="1" applyAlignment="1">
      <alignment horizontal="center" vertical="center"/>
    </xf>
    <xf numFmtId="3" fontId="213" fillId="4" borderId="611" xfId="0" applyNumberFormat="1" applyFont="1" applyFill="1" applyBorder="1" applyAlignment="1">
      <alignment horizontal="center" vertical="center"/>
    </xf>
    <xf numFmtId="3" fontId="198" fillId="0" borderId="608" xfId="0" applyNumberFormat="1" applyFont="1" applyFill="1" applyBorder="1" applyAlignment="1">
      <alignment horizontal="center" vertical="center"/>
    </xf>
    <xf numFmtId="179" fontId="228" fillId="4" borderId="611" xfId="0" applyNumberFormat="1" applyFont="1" applyFill="1" applyBorder="1" applyAlignment="1">
      <alignment horizontal="center" vertical="center"/>
    </xf>
    <xf numFmtId="183" fontId="198" fillId="0" borderId="608" xfId="0" applyNumberFormat="1" applyFont="1" applyFill="1" applyBorder="1" applyAlignment="1">
      <alignment horizontal="center" vertical="center"/>
    </xf>
    <xf numFmtId="183" fontId="232" fillId="4" borderId="616" xfId="0" applyNumberFormat="1" applyFont="1" applyFill="1" applyBorder="1" applyAlignment="1">
      <alignment horizontal="center" vertical="center"/>
    </xf>
    <xf numFmtId="183" fontId="228" fillId="4" borderId="611" xfId="0" applyNumberFormat="1" applyFont="1" applyFill="1" applyBorder="1" applyAlignment="1">
      <alignment horizontal="center" vertical="center"/>
    </xf>
    <xf numFmtId="183" fontId="198" fillId="0" borderId="604" xfId="0" applyNumberFormat="1" applyFont="1" applyFill="1" applyBorder="1" applyAlignment="1">
      <alignment horizontal="center" vertical="center"/>
    </xf>
    <xf numFmtId="183" fontId="232" fillId="4" borderId="605" xfId="0" applyNumberFormat="1" applyFont="1" applyFill="1" applyBorder="1" applyAlignment="1">
      <alignment horizontal="center" vertical="center"/>
    </xf>
    <xf numFmtId="183" fontId="229" fillId="4" borderId="594" xfId="0" applyNumberFormat="1" applyFont="1" applyFill="1" applyBorder="1" applyAlignment="1">
      <alignment horizontal="center" vertical="center"/>
    </xf>
    <xf numFmtId="179" fontId="232" fillId="4" borderId="605" xfId="0" applyNumberFormat="1" applyFont="1" applyFill="1" applyBorder="1" applyAlignment="1">
      <alignment horizontal="center" vertical="center"/>
    </xf>
    <xf numFmtId="179" fontId="198" fillId="0" borderId="607" xfId="0" applyNumberFormat="1" applyFont="1" applyFill="1" applyBorder="1" applyAlignment="1">
      <alignment horizontal="center" vertical="center"/>
    </xf>
    <xf numFmtId="177" fontId="198" fillId="0" borderId="607" xfId="0" applyNumberFormat="1" applyFont="1" applyFill="1" applyBorder="1" applyAlignment="1">
      <alignment horizontal="center" vertical="center"/>
    </xf>
    <xf numFmtId="177" fontId="198" fillId="0" borderId="604" xfId="0" applyNumberFormat="1" applyFont="1" applyFill="1" applyBorder="1" applyAlignment="1">
      <alignment horizontal="center" vertical="center"/>
    </xf>
    <xf numFmtId="177" fontId="228" fillId="4" borderId="594" xfId="0" applyNumberFormat="1" applyFont="1" applyFill="1" applyBorder="1" applyAlignment="1">
      <alignment horizontal="center" vertical="center"/>
    </xf>
    <xf numFmtId="228" fontId="167" fillId="4" borderId="123" xfId="2" applyNumberFormat="1" applyFont="1" applyFill="1" applyBorder="1" applyAlignment="1">
      <alignment horizontal="center" vertical="center"/>
    </xf>
    <xf numFmtId="226" fontId="34" fillId="4" borderId="611" xfId="0" applyNumberFormat="1" applyFont="1" applyFill="1" applyBorder="1" applyAlignment="1">
      <alignment horizontal="center" vertical="center"/>
    </xf>
    <xf numFmtId="3" fontId="28" fillId="0" borderId="616" xfId="0" applyNumberFormat="1" applyFont="1" applyBorder="1" applyAlignment="1">
      <alignment horizontal="center" vertical="center"/>
    </xf>
    <xf numFmtId="3" fontId="34" fillId="4" borderId="616" xfId="0" applyNumberFormat="1" applyFont="1" applyFill="1" applyBorder="1" applyAlignment="1">
      <alignment horizontal="center" vertical="center"/>
    </xf>
    <xf numFmtId="231" fontId="213" fillId="4" borderId="518" xfId="0" applyNumberFormat="1" applyFont="1" applyFill="1" applyBorder="1" applyAlignment="1">
      <alignment horizontal="center" vertical="center"/>
    </xf>
    <xf numFmtId="183" fontId="228" fillId="4" borderId="202" xfId="0" applyNumberFormat="1" applyFont="1" applyFill="1" applyBorder="1" applyAlignment="1">
      <alignment horizontal="center" vertical="center"/>
    </xf>
    <xf numFmtId="183" fontId="232" fillId="4" borderId="603" xfId="0" applyNumberFormat="1" applyFont="1" applyFill="1" applyBorder="1" applyAlignment="1">
      <alignment horizontal="center" vertical="center"/>
    </xf>
    <xf numFmtId="183" fontId="228" fillId="4" borderId="594" xfId="0" applyNumberFormat="1" applyFont="1" applyFill="1" applyBorder="1" applyAlignment="1">
      <alignment horizontal="center" vertical="center"/>
    </xf>
    <xf numFmtId="177" fontId="232" fillId="4" borderId="603" xfId="0" applyNumberFormat="1" applyFont="1" applyFill="1" applyBorder="1" applyAlignment="1">
      <alignment horizontal="center" vertical="center"/>
    </xf>
    <xf numFmtId="223" fontId="34" fillId="3" borderId="615" xfId="0" applyNumberFormat="1" applyFont="1" applyFill="1" applyBorder="1" applyAlignment="1">
      <alignment horizontal="center" vertical="center"/>
    </xf>
    <xf numFmtId="223" fontId="232" fillId="3" borderId="122" xfId="0" applyNumberFormat="1" applyFont="1" applyFill="1" applyBorder="1" applyAlignment="1">
      <alignment horizontal="center" vertical="center"/>
    </xf>
    <xf numFmtId="223" fontId="232" fillId="3" borderId="123" xfId="0" applyNumberFormat="1" applyFont="1" applyFill="1" applyBorder="1" applyAlignment="1">
      <alignment horizontal="center" vertical="center"/>
    </xf>
    <xf numFmtId="223" fontId="232" fillId="3" borderId="609" xfId="0" applyNumberFormat="1" applyFont="1" applyFill="1" applyBorder="1" applyAlignment="1">
      <alignment horizontal="center" vertical="center"/>
    </xf>
    <xf numFmtId="223" fontId="232" fillId="3" borderId="611" xfId="0" applyNumberFormat="1" applyFont="1" applyFill="1" applyBorder="1" applyAlignment="1">
      <alignment horizontal="center" vertical="center"/>
    </xf>
    <xf numFmtId="223" fontId="232" fillId="3" borderId="48" xfId="0" applyNumberFormat="1" applyFont="1" applyFill="1" applyBorder="1" applyAlignment="1">
      <alignment horizontal="center" vertical="center"/>
    </xf>
    <xf numFmtId="223" fontId="232" fillId="3" borderId="615" xfId="0" applyNumberFormat="1" applyFont="1" applyFill="1" applyBorder="1" applyAlignment="1">
      <alignment horizontal="center" vertical="center"/>
    </xf>
    <xf numFmtId="223" fontId="267" fillId="0" borderId="0" xfId="0" applyNumberFormat="1" applyFont="1" applyAlignment="1">
      <alignment horizontal="center" vertical="center"/>
    </xf>
    <xf numFmtId="223" fontId="45" fillId="0" borderId="0" xfId="0" applyNumberFormat="1" applyFont="1" applyAlignment="1">
      <alignment horizontal="center" vertical="center"/>
    </xf>
    <xf numFmtId="223" fontId="28" fillId="125" borderId="615" xfId="0" applyNumberFormat="1" applyFont="1" applyFill="1" applyBorder="1" applyAlignment="1">
      <alignment horizontal="center" vertical="center"/>
    </xf>
    <xf numFmtId="187" fontId="221" fillId="125" borderId="604" xfId="0" applyNumberFormat="1" applyFont="1" applyFill="1" applyBorder="1" applyAlignment="1">
      <alignment horizontal="center" vertical="center"/>
    </xf>
    <xf numFmtId="223" fontId="176" fillId="125" borderId="608" xfId="2" applyNumberFormat="1" applyFont="1" applyFill="1" applyBorder="1" applyAlignment="1">
      <alignment horizontal="center" vertical="center" wrapText="1"/>
    </xf>
    <xf numFmtId="177" fontId="0" fillId="125" borderId="40" xfId="0" applyNumberFormat="1" applyFont="1" applyFill="1" applyBorder="1" applyAlignment="1">
      <alignment horizontal="center" vertical="center"/>
    </xf>
    <xf numFmtId="223" fontId="28" fillId="0" borderId="608" xfId="0" applyNumberFormat="1" applyFont="1" applyBorder="1" applyAlignment="1">
      <alignment horizontal="center" vertical="center"/>
    </xf>
    <xf numFmtId="223" fontId="176" fillId="125" borderId="228" xfId="2" applyNumberFormat="1" applyFont="1" applyFill="1" applyBorder="1" applyAlignment="1">
      <alignment horizontal="center" vertical="center" wrapText="1"/>
    </xf>
    <xf numFmtId="223" fontId="176" fillId="125" borderId="519" xfId="2" applyNumberFormat="1" applyFont="1" applyFill="1" applyBorder="1" applyAlignment="1">
      <alignment horizontal="center" vertical="center"/>
    </xf>
    <xf numFmtId="223" fontId="176" fillId="125" borderId="626" xfId="0" applyNumberFormat="1" applyFont="1" applyFill="1" applyBorder="1" applyAlignment="1">
      <alignment horizontal="center" vertical="center"/>
    </xf>
    <xf numFmtId="187" fontId="28" fillId="0" borderId="615" xfId="0" applyNumberFormat="1" applyFont="1" applyBorder="1" applyAlignment="1">
      <alignment horizontal="center" vertical="center"/>
    </xf>
    <xf numFmtId="223" fontId="0" fillId="0" borderId="308" xfId="0" applyNumberFormat="1" applyFont="1" applyBorder="1" applyAlignment="1">
      <alignment horizontal="center" vertical="center"/>
    </xf>
    <xf numFmtId="223" fontId="241" fillId="125" borderId="308" xfId="0" applyNumberFormat="1" applyFont="1" applyFill="1" applyBorder="1" applyAlignment="1">
      <alignment horizontal="center" vertical="center"/>
    </xf>
    <xf numFmtId="223" fontId="0" fillId="117" borderId="308" xfId="0" applyNumberFormat="1" applyFont="1" applyFill="1" applyBorder="1" applyAlignment="1">
      <alignment horizontal="center" vertical="center"/>
    </xf>
    <xf numFmtId="223" fontId="241" fillId="117" borderId="308" xfId="0" applyNumberFormat="1" applyFont="1" applyFill="1" applyBorder="1" applyAlignment="1">
      <alignment horizontal="center" vertical="center"/>
    </xf>
    <xf numFmtId="223" fontId="228" fillId="3" borderId="47" xfId="0" applyNumberFormat="1" applyFont="1" applyFill="1" applyBorder="1" applyAlignment="1">
      <alignment horizontal="center" vertical="center"/>
    </xf>
    <xf numFmtId="223" fontId="228" fillId="3" borderId="608" xfId="0" applyNumberFormat="1" applyFont="1" applyFill="1" applyBorder="1" applyAlignment="1">
      <alignment horizontal="center" vertical="center"/>
    </xf>
    <xf numFmtId="223" fontId="34" fillId="136" borderId="604" xfId="0" applyNumberFormat="1" applyFont="1" applyFill="1" applyBorder="1" applyAlignment="1">
      <alignment horizontal="center" vertical="center"/>
    </xf>
    <xf numFmtId="223" fontId="34" fillId="3" borderId="47" xfId="0" applyNumberFormat="1" applyFont="1" applyFill="1" applyBorder="1" applyAlignment="1">
      <alignment horizontal="center" vertical="center"/>
    </xf>
    <xf numFmtId="223" fontId="34" fillId="3" borderId="608" xfId="0" applyNumberFormat="1" applyFont="1" applyFill="1" applyBorder="1" applyAlignment="1">
      <alignment horizontal="center" vertical="center"/>
    </xf>
    <xf numFmtId="223" fontId="34" fillId="130" borderId="592" xfId="0" applyNumberFormat="1" applyFont="1" applyFill="1" applyBorder="1" applyAlignment="1">
      <alignment horizontal="center" vertical="center"/>
    </xf>
    <xf numFmtId="223" fontId="34" fillId="3" borderId="592" xfId="0" applyNumberFormat="1" applyFont="1" applyFill="1" applyBorder="1" applyAlignment="1">
      <alignment horizontal="center" vertical="center"/>
    </xf>
    <xf numFmtId="223" fontId="34" fillId="136" borderId="592" xfId="0" applyNumberFormat="1" applyFont="1" applyFill="1" applyBorder="1" applyAlignment="1">
      <alignment horizontal="center" vertical="center"/>
    </xf>
    <xf numFmtId="223" fontId="34" fillId="130" borderId="585" xfId="0" applyNumberFormat="1" applyFont="1" applyFill="1" applyBorder="1" applyAlignment="1">
      <alignment horizontal="center" vertical="center"/>
    </xf>
    <xf numFmtId="238" fontId="176" fillId="125" borderId="616" xfId="0" applyNumberFormat="1" applyFont="1" applyFill="1" applyBorder="1" applyAlignment="1">
      <alignment horizontal="center" vertical="center"/>
    </xf>
    <xf numFmtId="238" fontId="176" fillId="125" borderId="512" xfId="2" applyNumberFormat="1" applyFont="1" applyFill="1" applyBorder="1" applyAlignment="1">
      <alignment horizontal="center" vertical="center"/>
    </xf>
    <xf numFmtId="238" fontId="176" fillId="125" borderId="517" xfId="2" applyNumberFormat="1" applyFont="1" applyFill="1" applyBorder="1" applyAlignment="1">
      <alignment horizontal="center" vertical="center"/>
    </xf>
    <xf numFmtId="238" fontId="28" fillId="0" borderId="616" xfId="0" applyNumberFormat="1" applyFont="1" applyFill="1" applyBorder="1" applyAlignment="1">
      <alignment horizontal="center" vertical="center"/>
    </xf>
    <xf numFmtId="238" fontId="28" fillId="117" borderId="616" xfId="0" applyNumberFormat="1" applyFont="1" applyFill="1" applyBorder="1" applyAlignment="1">
      <alignment horizontal="center" vertical="center"/>
    </xf>
    <xf numFmtId="238" fontId="28" fillId="0" borderId="59" xfId="0" applyNumberFormat="1" applyFont="1" applyFill="1" applyBorder="1" applyAlignment="1">
      <alignment horizontal="center" vertical="center"/>
    </xf>
    <xf numFmtId="238" fontId="28" fillId="0" borderId="48" xfId="0" applyNumberFormat="1" applyFont="1" applyFill="1" applyBorder="1" applyAlignment="1">
      <alignment horizontal="center" vertical="center"/>
    </xf>
    <xf numFmtId="238" fontId="28" fillId="0" borderId="123" xfId="0" applyNumberFormat="1" applyFont="1" applyFill="1" applyBorder="1" applyAlignment="1">
      <alignment horizontal="center" vertical="center"/>
    </xf>
    <xf numFmtId="238" fontId="28" fillId="0" borderId="624" xfId="0" applyNumberFormat="1" applyFont="1" applyFill="1" applyBorder="1" applyAlignment="1">
      <alignment horizontal="center" vertical="center"/>
    </xf>
    <xf numFmtId="238" fontId="28" fillId="0" borderId="615" xfId="0" applyNumberFormat="1" applyFont="1" applyFill="1" applyBorder="1" applyAlignment="1">
      <alignment horizontal="center" vertical="center"/>
    </xf>
    <xf numFmtId="238" fontId="28" fillId="0" borderId="611" xfId="0" applyNumberFormat="1" applyFont="1" applyFill="1" applyBorder="1" applyAlignment="1">
      <alignment horizontal="center" vertical="center"/>
    </xf>
    <xf numFmtId="238" fontId="28" fillId="117" borderId="624" xfId="0" applyNumberFormat="1" applyFont="1" applyFill="1" applyBorder="1" applyAlignment="1">
      <alignment horizontal="center" vertical="center"/>
    </xf>
    <xf numFmtId="238" fontId="28" fillId="117" borderId="615" xfId="0" applyNumberFormat="1" applyFont="1" applyFill="1" applyBorder="1" applyAlignment="1">
      <alignment horizontal="center" vertical="center"/>
    </xf>
    <xf numFmtId="238" fontId="28" fillId="117" borderId="611" xfId="0" applyNumberFormat="1" applyFont="1" applyFill="1" applyBorder="1" applyAlignment="1">
      <alignment horizontal="center" vertical="center"/>
    </xf>
    <xf numFmtId="177" fontId="176" fillId="125" borderId="517" xfId="0" applyNumberFormat="1" applyFont="1" applyFill="1" applyBorder="1" applyAlignment="1">
      <alignment horizontal="center" vertical="center"/>
    </xf>
    <xf numFmtId="238" fontId="176" fillId="125" borderId="626" xfId="0" applyNumberFormat="1" applyFont="1" applyFill="1" applyBorder="1" applyAlignment="1">
      <alignment horizontal="center" vertical="center"/>
    </xf>
    <xf numFmtId="238" fontId="176" fillId="125" borderId="512" xfId="0" applyNumberFormat="1" applyFont="1" applyFill="1" applyBorder="1" applyAlignment="1">
      <alignment horizontal="center" vertical="center"/>
    </xf>
    <xf numFmtId="238" fontId="176" fillId="125" borderId="518" xfId="0" applyNumberFormat="1" applyFont="1" applyFill="1" applyBorder="1" applyAlignment="1">
      <alignment horizontal="center" vertical="center"/>
    </xf>
    <xf numFmtId="223" fontId="176" fillId="125" borderId="615" xfId="0" applyNumberFormat="1" applyFont="1" applyFill="1" applyBorder="1" applyAlignment="1">
      <alignment horizontal="center" vertical="center"/>
    </xf>
    <xf numFmtId="223" fontId="28" fillId="0" borderId="110" xfId="0" applyNumberFormat="1" applyFont="1" applyBorder="1" applyAlignment="1">
      <alignment horizontal="center" vertical="center"/>
    </xf>
    <xf numFmtId="238" fontId="176" fillId="125" borderId="615" xfId="0" applyNumberFormat="1" applyFont="1" applyFill="1" applyBorder="1" applyAlignment="1">
      <alignment horizontal="center" vertical="center"/>
    </xf>
    <xf numFmtId="238" fontId="28" fillId="0" borderId="47" xfId="0" applyNumberFormat="1" applyFont="1" applyFill="1" applyBorder="1" applyAlignment="1">
      <alignment horizontal="center" vertical="center"/>
    </xf>
    <xf numFmtId="238" fontId="28" fillId="0" borderId="608" xfId="0" applyNumberFormat="1" applyFont="1" applyFill="1" applyBorder="1" applyAlignment="1">
      <alignment horizontal="center" vertical="center"/>
    </xf>
    <xf numFmtId="238" fontId="28" fillId="117" borderId="608" xfId="0" applyNumberFormat="1" applyFont="1" applyFill="1" applyBorder="1" applyAlignment="1">
      <alignment horizontal="center" vertical="center"/>
    </xf>
    <xf numFmtId="238" fontId="176" fillId="125" borderId="517" xfId="0" applyNumberFormat="1" applyFont="1" applyFill="1" applyBorder="1" applyAlignment="1">
      <alignment horizontal="center" vertical="center"/>
    </xf>
    <xf numFmtId="238" fontId="28" fillId="0" borderId="615" xfId="0" applyNumberFormat="1" applyFont="1" applyBorder="1" applyAlignment="1">
      <alignment horizontal="center" vertical="center"/>
    </xf>
    <xf numFmtId="238" fontId="28" fillId="125" borderId="615" xfId="0" applyNumberFormat="1" applyFont="1" applyFill="1" applyBorder="1" applyAlignment="1">
      <alignment horizontal="center" vertical="center"/>
    </xf>
    <xf numFmtId="223" fontId="176" fillId="125" borderId="607" xfId="0" applyNumberFormat="1" applyFont="1" applyFill="1" applyBorder="1" applyAlignment="1">
      <alignment horizontal="center" vertical="center"/>
    </xf>
    <xf numFmtId="223" fontId="28" fillId="0" borderId="607" xfId="0" applyNumberFormat="1" applyFont="1" applyFill="1" applyBorder="1" applyAlignment="1">
      <alignment horizontal="center" vertical="center"/>
    </xf>
    <xf numFmtId="223" fontId="176" fillId="125" borderId="110" xfId="0" applyNumberFormat="1" applyFont="1" applyFill="1" applyBorder="1" applyAlignment="1">
      <alignment horizontal="center" vertical="center"/>
    </xf>
    <xf numFmtId="223" fontId="28" fillId="0" borderId="607" xfId="0" applyNumberFormat="1" applyFont="1" applyBorder="1" applyAlignment="1">
      <alignment horizontal="center" vertical="center"/>
    </xf>
    <xf numFmtId="223" fontId="176" fillId="125" borderId="287" xfId="0" applyNumberFormat="1" applyFont="1" applyFill="1" applyBorder="1" applyAlignment="1">
      <alignment horizontal="center" vertical="center"/>
    </xf>
    <xf numFmtId="223" fontId="187" fillId="0" borderId="64" xfId="0" applyNumberFormat="1" applyFont="1" applyBorder="1" applyAlignment="1">
      <alignment horizontal="center" vertical="center"/>
    </xf>
    <xf numFmtId="223" fontId="28" fillId="0" borderId="599" xfId="0" applyNumberFormat="1" applyFont="1" applyBorder="1" applyAlignment="1">
      <alignment horizontal="center" vertical="center"/>
    </xf>
    <xf numFmtId="223" fontId="187" fillId="0" borderId="599" xfId="0" applyNumberFormat="1" applyFont="1" applyBorder="1" applyAlignment="1">
      <alignment horizontal="center" vertical="center"/>
    </xf>
    <xf numFmtId="0" fontId="221" fillId="125" borderId="609" xfId="0" applyFont="1" applyFill="1" applyBorder="1" applyAlignment="1">
      <alignment horizontal="center" vertical="center" wrapText="1"/>
    </xf>
    <xf numFmtId="223" fontId="176" fillId="125" borderId="609" xfId="0" applyNumberFormat="1" applyFont="1" applyFill="1" applyBorder="1" applyAlignment="1">
      <alignment horizontal="center" vertical="center"/>
    </xf>
    <xf numFmtId="223" fontId="28" fillId="0" borderId="609" xfId="0" applyNumberFormat="1" applyFont="1" applyFill="1" applyBorder="1" applyAlignment="1">
      <alignment horizontal="center" vertical="center"/>
    </xf>
    <xf numFmtId="187" fontId="28" fillId="0" borderId="609" xfId="0" applyNumberFormat="1" applyFont="1" applyFill="1" applyBorder="1" applyAlignment="1">
      <alignment horizontal="center" vertical="center"/>
    </xf>
    <xf numFmtId="0" fontId="221" fillId="125" borderId="608" xfId="0" applyFont="1" applyFill="1" applyBorder="1" applyAlignment="1">
      <alignment horizontal="center" vertical="center" wrapText="1"/>
    </xf>
    <xf numFmtId="177" fontId="176" fillId="125" borderId="608" xfId="0" applyNumberFormat="1" applyFont="1" applyFill="1" applyBorder="1" applyAlignment="1">
      <alignment horizontal="center" vertical="center"/>
    </xf>
    <xf numFmtId="0" fontId="28" fillId="125" borderId="608" xfId="0" applyFont="1" applyFill="1" applyBorder="1" applyAlignment="1">
      <alignment horizontal="center" vertical="center"/>
    </xf>
    <xf numFmtId="187" fontId="28" fillId="0" borderId="608" xfId="0" applyNumberFormat="1" applyFont="1" applyFill="1" applyBorder="1" applyAlignment="1">
      <alignment horizontal="center" vertical="center"/>
    </xf>
    <xf numFmtId="223" fontId="28" fillId="0" borderId="608" xfId="0" applyNumberFormat="1" applyFont="1" applyFill="1" applyBorder="1" applyAlignment="1">
      <alignment horizontal="center" vertical="center"/>
    </xf>
    <xf numFmtId="0" fontId="221" fillId="125" borderId="124" xfId="0" applyFont="1" applyFill="1" applyBorder="1" applyAlignment="1">
      <alignment horizontal="center" vertical="center" wrapText="1"/>
    </xf>
    <xf numFmtId="223" fontId="221" fillId="125" borderId="124" xfId="0" applyNumberFormat="1" applyFont="1" applyFill="1" applyBorder="1" applyAlignment="1">
      <alignment horizontal="center" vertical="center" wrapText="1"/>
    </xf>
    <xf numFmtId="223" fontId="176" fillId="125" borderId="592" xfId="0" applyNumberFormat="1" applyFont="1" applyFill="1" applyBorder="1" applyAlignment="1">
      <alignment horizontal="center" vertical="center"/>
    </xf>
    <xf numFmtId="223" fontId="28" fillId="125" borderId="592" xfId="0" applyNumberFormat="1" applyFont="1" applyFill="1" applyBorder="1" applyAlignment="1">
      <alignment horizontal="center" vertical="center"/>
    </xf>
    <xf numFmtId="223" fontId="28" fillId="117" borderId="592" xfId="0" applyNumberFormat="1" applyFont="1" applyFill="1" applyBorder="1" applyAlignment="1">
      <alignment horizontal="center" vertical="center"/>
    </xf>
    <xf numFmtId="223" fontId="0" fillId="0" borderId="96" xfId="0" applyNumberFormat="1" applyFont="1" applyBorder="1" applyAlignment="1">
      <alignment horizontal="center" vertical="center"/>
    </xf>
    <xf numFmtId="187" fontId="28" fillId="0" borderId="607" xfId="0" applyNumberFormat="1" applyFont="1" applyBorder="1" applyAlignment="1">
      <alignment horizontal="center" vertical="center"/>
    </xf>
    <xf numFmtId="223" fontId="28" fillId="0" borderId="597" xfId="0" applyNumberFormat="1" applyFont="1" applyBorder="1" applyAlignment="1">
      <alignment horizontal="center" vertical="center"/>
    </xf>
    <xf numFmtId="223" fontId="187" fillId="0" borderId="597" xfId="0" applyNumberFormat="1" applyFont="1" applyBorder="1" applyAlignment="1">
      <alignment horizontal="center" vertical="center"/>
    </xf>
    <xf numFmtId="223" fontId="187" fillId="0" borderId="601" xfId="0" applyNumberFormat="1" applyFont="1" applyBorder="1" applyAlignment="1">
      <alignment horizontal="center" vertical="center"/>
    </xf>
    <xf numFmtId="223" fontId="28" fillId="0" borderId="603" xfId="0" applyNumberFormat="1" applyFont="1" applyBorder="1" applyAlignment="1">
      <alignment horizontal="center" vertical="center"/>
    </xf>
    <xf numFmtId="187" fontId="28" fillId="0" borderId="603" xfId="0" applyNumberFormat="1" applyFont="1" applyBorder="1" applyAlignment="1">
      <alignment horizontal="center" vertical="center"/>
    </xf>
    <xf numFmtId="187" fontId="28" fillId="0" borderId="604" xfId="0" applyNumberFormat="1" applyFont="1" applyBorder="1" applyAlignment="1">
      <alignment horizontal="center" vertical="center"/>
    </xf>
    <xf numFmtId="187" fontId="32" fillId="0" borderId="601" xfId="2" applyNumberFormat="1" applyFont="1" applyFill="1" applyBorder="1" applyAlignment="1">
      <alignment horizontal="center" vertical="center" wrapText="1"/>
    </xf>
    <xf numFmtId="187" fontId="32" fillId="0" borderId="602" xfId="2" applyNumberFormat="1" applyFont="1" applyFill="1" applyBorder="1" applyAlignment="1">
      <alignment horizontal="center" vertical="center" wrapText="1"/>
    </xf>
    <xf numFmtId="187" fontId="32" fillId="0" borderId="594" xfId="2" applyNumberFormat="1" applyFont="1" applyFill="1" applyBorder="1" applyAlignment="1">
      <alignment horizontal="center" vertical="center" wrapText="1"/>
    </xf>
    <xf numFmtId="187" fontId="28" fillId="0" borderId="594" xfId="0" applyNumberFormat="1" applyFont="1" applyBorder="1" applyAlignment="1">
      <alignment horizontal="center" vertical="center"/>
    </xf>
    <xf numFmtId="187" fontId="219" fillId="125" borderId="229" xfId="2" applyNumberFormat="1" applyFont="1" applyFill="1" applyBorder="1" applyAlignment="1">
      <alignment horizontal="center" vertical="center" wrapText="1"/>
    </xf>
    <xf numFmtId="223" fontId="241" fillId="125" borderId="226" xfId="0" applyNumberFormat="1" applyFont="1" applyFill="1" applyBorder="1" applyAlignment="1">
      <alignment horizontal="center" vertical="center"/>
    </xf>
    <xf numFmtId="223" fontId="176" fillId="125" borderId="226" xfId="0" applyNumberFormat="1" applyFont="1" applyFill="1" applyBorder="1" applyAlignment="1">
      <alignment horizontal="center" vertical="center"/>
    </xf>
    <xf numFmtId="0" fontId="221" fillId="125" borderId="368" xfId="0" applyFont="1" applyFill="1" applyBorder="1" applyAlignment="1">
      <alignment horizontal="center" vertical="center" wrapText="1"/>
    </xf>
    <xf numFmtId="223" fontId="34" fillId="0" borderId="521" xfId="0" applyNumberFormat="1" applyFont="1" applyBorder="1" applyAlignment="1">
      <alignment horizontal="center" vertical="center"/>
    </xf>
    <xf numFmtId="223" fontId="34" fillId="117" borderId="521" xfId="0" applyNumberFormat="1" applyFont="1" applyFill="1" applyBorder="1" applyAlignment="1">
      <alignment horizontal="center" vertical="center"/>
    </xf>
    <xf numFmtId="223" fontId="232" fillId="0" borderId="521" xfId="0" applyNumberFormat="1" applyFont="1" applyFill="1" applyBorder="1" applyAlignment="1">
      <alignment horizontal="center" vertical="center"/>
    </xf>
    <xf numFmtId="223" fontId="232" fillId="3" borderId="47" xfId="0" applyNumberFormat="1" applyFont="1" applyFill="1" applyBorder="1" applyAlignment="1">
      <alignment horizontal="center" vertical="center"/>
    </xf>
    <xf numFmtId="223" fontId="232" fillId="3" borderId="608" xfId="0" applyNumberFormat="1" applyFont="1" applyFill="1" applyBorder="1" applyAlignment="1">
      <alignment horizontal="center" vertical="center"/>
    </xf>
    <xf numFmtId="223" fontId="34" fillId="130" borderId="517" xfId="0" applyNumberFormat="1" applyFont="1" applyFill="1" applyBorder="1" applyAlignment="1">
      <alignment horizontal="center" vertical="center"/>
    </xf>
    <xf numFmtId="223" fontId="171" fillId="0" borderId="609" xfId="2" applyNumberFormat="1" applyFont="1" applyFill="1" applyBorder="1" applyAlignment="1">
      <alignment horizontal="center" vertical="center"/>
    </xf>
    <xf numFmtId="187" fontId="171" fillId="0" borderId="609" xfId="2" applyNumberFormat="1" applyFont="1" applyFill="1" applyBorder="1" applyAlignment="1">
      <alignment horizontal="center" vertical="center"/>
    </xf>
    <xf numFmtId="3" fontId="171" fillId="0" borderId="609" xfId="2" applyNumberFormat="1" applyFont="1" applyFill="1" applyBorder="1" applyAlignment="1">
      <alignment horizontal="center" vertical="center"/>
    </xf>
    <xf numFmtId="223" fontId="34" fillId="0" borderId="609" xfId="0" applyNumberFormat="1" applyFont="1" applyBorder="1" applyAlignment="1">
      <alignment horizontal="center" vertical="center"/>
    </xf>
    <xf numFmtId="187" fontId="34" fillId="117" borderId="609" xfId="0" applyNumberFormat="1" applyFont="1" applyFill="1" applyBorder="1" applyAlignment="1">
      <alignment horizontal="center" vertical="center"/>
    </xf>
    <xf numFmtId="187" fontId="34" fillId="136" borderId="609" xfId="0" applyNumberFormat="1" applyFont="1" applyFill="1" applyBorder="1" applyAlignment="1">
      <alignment horizontal="center" vertical="center"/>
    </xf>
    <xf numFmtId="223" fontId="232" fillId="0" borderId="609" xfId="0" applyNumberFormat="1" applyFont="1" applyFill="1" applyBorder="1" applyAlignment="1">
      <alignment horizontal="center" vertical="center"/>
    </xf>
    <xf numFmtId="185" fontId="232" fillId="0" borderId="609" xfId="0" applyNumberFormat="1" applyFont="1" applyFill="1" applyBorder="1" applyAlignment="1">
      <alignment horizontal="center" vertical="center"/>
    </xf>
    <xf numFmtId="187" fontId="171" fillId="7" borderId="609" xfId="2" applyNumberFormat="1" applyFont="1" applyFill="1" applyBorder="1" applyAlignment="1">
      <alignment horizontal="center" vertical="center"/>
    </xf>
    <xf numFmtId="3" fontId="232" fillId="0" borderId="609" xfId="0" applyNumberFormat="1" applyFont="1" applyBorder="1" applyAlignment="1">
      <alignment horizontal="center" vertical="center"/>
    </xf>
    <xf numFmtId="177" fontId="232" fillId="0" borderId="609" xfId="0" applyNumberFormat="1" applyFont="1" applyBorder="1" applyAlignment="1">
      <alignment horizontal="center" vertical="center"/>
    </xf>
    <xf numFmtId="3" fontId="232" fillId="130" borderId="609" xfId="0" applyNumberFormat="1" applyFont="1" applyFill="1" applyBorder="1" applyAlignment="1">
      <alignment horizontal="center" vertical="center"/>
    </xf>
    <xf numFmtId="177" fontId="232" fillId="0" borderId="609" xfId="0" applyNumberFormat="1" applyFont="1" applyFill="1" applyBorder="1" applyAlignment="1">
      <alignment horizontal="center" vertical="center"/>
    </xf>
    <xf numFmtId="3" fontId="232" fillId="0" borderId="609" xfId="0" applyNumberFormat="1" applyFont="1" applyFill="1" applyBorder="1" applyAlignment="1">
      <alignment horizontal="center" vertical="center"/>
    </xf>
    <xf numFmtId="187" fontId="232" fillId="0" borderId="609" xfId="0" applyNumberFormat="1" applyFont="1" applyFill="1" applyBorder="1" applyAlignment="1">
      <alignment horizontal="center" vertical="center"/>
    </xf>
    <xf numFmtId="187" fontId="34" fillId="130" borderId="609" xfId="0" applyNumberFormat="1" applyFont="1" applyFill="1" applyBorder="1" applyAlignment="1">
      <alignment horizontal="center" vertical="center"/>
    </xf>
    <xf numFmtId="187" fontId="228" fillId="3" borderId="609" xfId="0" applyNumberFormat="1" applyFont="1" applyFill="1" applyBorder="1" applyAlignment="1">
      <alignment horizontal="center" vertical="center"/>
    </xf>
    <xf numFmtId="187" fontId="171" fillId="0" borderId="608" xfId="2" applyNumberFormat="1" applyFont="1" applyFill="1" applyBorder="1" applyAlignment="1">
      <alignment horizontal="center" vertical="center"/>
    </xf>
    <xf numFmtId="3" fontId="171" fillId="0" borderId="608" xfId="2" applyNumberFormat="1" applyFont="1" applyFill="1" applyBorder="1" applyAlignment="1">
      <alignment horizontal="center" vertical="center"/>
    </xf>
    <xf numFmtId="187" fontId="34" fillId="0" borderId="608" xfId="0" applyNumberFormat="1" applyFont="1" applyBorder="1" applyAlignment="1">
      <alignment horizontal="center" vertical="center"/>
    </xf>
    <xf numFmtId="187" fontId="34" fillId="136" borderId="608" xfId="0" applyNumberFormat="1" applyFont="1" applyFill="1" applyBorder="1" applyAlignment="1">
      <alignment horizontal="center" vertical="center"/>
    </xf>
    <xf numFmtId="185" fontId="232" fillId="0" borderId="608" xfId="0" applyNumberFormat="1" applyFont="1" applyFill="1" applyBorder="1" applyAlignment="1">
      <alignment horizontal="center" vertical="center"/>
    </xf>
    <xf numFmtId="187" fontId="171" fillId="7" borderId="608" xfId="2" applyNumberFormat="1" applyFont="1" applyFill="1" applyBorder="1" applyAlignment="1">
      <alignment horizontal="center" vertical="center"/>
    </xf>
    <xf numFmtId="3" fontId="232" fillId="0" borderId="608" xfId="0" applyNumberFormat="1" applyFont="1" applyBorder="1" applyAlignment="1">
      <alignment horizontal="center" vertical="center"/>
    </xf>
    <xf numFmtId="177" fontId="232" fillId="0" borderId="608" xfId="0" applyNumberFormat="1" applyFont="1" applyBorder="1" applyAlignment="1">
      <alignment horizontal="center" vertical="center"/>
    </xf>
    <xf numFmtId="3" fontId="232" fillId="130" borderId="608" xfId="0" applyNumberFormat="1" applyFont="1" applyFill="1" applyBorder="1" applyAlignment="1">
      <alignment horizontal="center" vertical="center"/>
    </xf>
    <xf numFmtId="223" fontId="171" fillId="0" borderId="608" xfId="2" applyNumberFormat="1" applyFont="1" applyFill="1" applyBorder="1" applyAlignment="1">
      <alignment horizontal="center" vertical="center"/>
    </xf>
    <xf numFmtId="3" fontId="232" fillId="0" borderId="608" xfId="0" applyNumberFormat="1" applyFont="1" applyFill="1" applyBorder="1" applyAlignment="1">
      <alignment horizontal="center" vertical="center"/>
    </xf>
    <xf numFmtId="187" fontId="232" fillId="0" borderId="608" xfId="0" applyNumberFormat="1" applyFont="1" applyFill="1" applyBorder="1" applyAlignment="1">
      <alignment horizontal="center" vertical="center"/>
    </xf>
    <xf numFmtId="187" fontId="34" fillId="130" borderId="608" xfId="0" applyNumberFormat="1" applyFont="1" applyFill="1" applyBorder="1" applyAlignment="1">
      <alignment horizontal="center" vertical="center"/>
    </xf>
    <xf numFmtId="223" fontId="34" fillId="130" borderId="608" xfId="0" applyNumberFormat="1" applyFont="1" applyFill="1" applyBorder="1" applyAlignment="1">
      <alignment horizontal="center" vertical="center"/>
    </xf>
    <xf numFmtId="187" fontId="228" fillId="3" borderId="608" xfId="0" applyNumberFormat="1" applyFont="1" applyFill="1" applyBorder="1" applyAlignment="1">
      <alignment horizontal="center" vertical="center"/>
    </xf>
    <xf numFmtId="223" fontId="34" fillId="136" borderId="608" xfId="0" applyNumberFormat="1" applyFont="1" applyFill="1" applyBorder="1" applyAlignment="1">
      <alignment horizontal="center" vertical="center"/>
    </xf>
    <xf numFmtId="0" fontId="28" fillId="0" borderId="0" xfId="0" applyFont="1" applyBorder="1">
      <alignment vertical="center"/>
    </xf>
    <xf numFmtId="0" fontId="221" fillId="125" borderId="47" xfId="0" applyFont="1" applyFill="1" applyBorder="1" applyAlignment="1">
      <alignment horizontal="center" vertical="center" wrapText="1"/>
    </xf>
    <xf numFmtId="223" fontId="232" fillId="3" borderId="121" xfId="0" applyNumberFormat="1" applyFont="1" applyFill="1" applyBorder="1" applyAlignment="1">
      <alignment horizontal="center" vertical="center"/>
    </xf>
    <xf numFmtId="223" fontId="232" fillId="3" borderId="610" xfId="0" applyNumberFormat="1" applyFont="1" applyFill="1" applyBorder="1" applyAlignment="1">
      <alignment horizontal="center" vertical="center"/>
    </xf>
    <xf numFmtId="187" fontId="28" fillId="0" borderId="616" xfId="2" applyNumberFormat="1" applyFont="1" applyFill="1" applyBorder="1" applyAlignment="1">
      <alignment horizontal="center" vertical="center" wrapText="1"/>
    </xf>
    <xf numFmtId="3" fontId="57" fillId="0" borderId="64" xfId="2" applyNumberFormat="1" applyFont="1" applyFill="1" applyBorder="1" applyAlignment="1">
      <alignment horizontal="center" vertical="center"/>
    </xf>
    <xf numFmtId="223" fontId="232" fillId="3" borderId="124" xfId="0" applyNumberFormat="1" applyFont="1" applyFill="1" applyBorder="1" applyAlignment="1">
      <alignment horizontal="center" vertical="center"/>
    </xf>
    <xf numFmtId="223" fontId="232" fillId="3" borderId="592" xfId="0" applyNumberFormat="1" applyFont="1" applyFill="1" applyBorder="1" applyAlignment="1">
      <alignment horizontal="center" vertical="center"/>
    </xf>
    <xf numFmtId="223" fontId="34" fillId="136" borderId="597" xfId="0" applyNumberFormat="1" applyFont="1" applyFill="1" applyBorder="1" applyAlignment="1">
      <alignment horizontal="center" vertical="center"/>
    </xf>
    <xf numFmtId="223" fontId="34" fillId="3" borderId="124" xfId="0" applyNumberFormat="1" applyFont="1" applyFill="1" applyBorder="1" applyAlignment="1">
      <alignment horizontal="center" vertical="center"/>
    </xf>
    <xf numFmtId="0" fontId="221" fillId="125" borderId="121" xfId="0" applyFont="1" applyFill="1" applyBorder="1" applyAlignment="1">
      <alignment horizontal="center" vertical="center" wrapText="1"/>
    </xf>
    <xf numFmtId="187" fontId="28" fillId="125" borderId="609" xfId="0" applyNumberFormat="1" applyFont="1" applyFill="1" applyBorder="1" applyAlignment="1">
      <alignment horizontal="center" vertical="center"/>
    </xf>
    <xf numFmtId="187" fontId="28" fillId="125" borderId="608" xfId="0" applyNumberFormat="1" applyFont="1" applyFill="1" applyBorder="1" applyAlignment="1">
      <alignment horizontal="center" vertical="center"/>
    </xf>
    <xf numFmtId="187" fontId="0" fillId="0" borderId="609" xfId="0" applyNumberFormat="1" applyFill="1" applyBorder="1" applyAlignment="1">
      <alignment horizontal="center" vertical="center"/>
    </xf>
    <xf numFmtId="223" fontId="171" fillId="136" borderId="308" xfId="2" applyNumberFormat="1" applyFont="1" applyFill="1" applyBorder="1" applyAlignment="1">
      <alignment horizontal="center" vertical="center"/>
    </xf>
    <xf numFmtId="223" fontId="171" fillId="130" borderId="308" xfId="2" applyNumberFormat="1" applyFont="1" applyFill="1" applyBorder="1" applyAlignment="1">
      <alignment horizontal="center" vertical="center"/>
    </xf>
    <xf numFmtId="223" fontId="171" fillId="117" borderId="308" xfId="2" applyNumberFormat="1" applyFont="1" applyFill="1" applyBorder="1" applyAlignment="1">
      <alignment horizontal="center" vertical="center"/>
    </xf>
    <xf numFmtId="223" fontId="34" fillId="134" borderId="608" xfId="0" applyNumberFormat="1" applyFont="1" applyFill="1" applyBorder="1" applyAlignment="1">
      <alignment horizontal="center" vertical="center"/>
    </xf>
    <xf numFmtId="223" fontId="34" fillId="116" borderId="517" xfId="0" applyNumberFormat="1" applyFont="1" applyFill="1" applyBorder="1" applyAlignment="1">
      <alignment horizontal="center" vertical="center"/>
    </xf>
    <xf numFmtId="223" fontId="213" fillId="136" borderId="289" xfId="0" applyNumberFormat="1" applyFont="1" applyFill="1" applyBorder="1" applyAlignment="1">
      <alignment horizontal="center" vertical="center"/>
    </xf>
    <xf numFmtId="223" fontId="34" fillId="117" borderId="604" xfId="0" applyNumberFormat="1" applyFont="1" applyFill="1" applyBorder="1" applyAlignment="1">
      <alignment horizontal="center" vertical="center"/>
    </xf>
    <xf numFmtId="223" fontId="34" fillId="117" borderId="597" xfId="0" applyNumberFormat="1" applyFont="1" applyFill="1" applyBorder="1" applyAlignment="1">
      <alignment horizontal="center" vertical="center"/>
    </xf>
    <xf numFmtId="223" fontId="232" fillId="3" borderId="37" xfId="0" applyNumberFormat="1" applyFont="1" applyFill="1" applyBorder="1" applyAlignment="1">
      <alignment horizontal="center" vertical="center"/>
    </xf>
    <xf numFmtId="223" fontId="232" fillId="3" borderId="40" xfId="0" applyNumberFormat="1" applyFont="1" applyFill="1" applyBorder="1" applyAlignment="1">
      <alignment horizontal="center" vertical="center"/>
    </xf>
    <xf numFmtId="223" fontId="232" fillId="3" borderId="308" xfId="0" applyNumberFormat="1" applyFont="1" applyFill="1" applyBorder="1" applyAlignment="1">
      <alignment horizontal="center" vertical="center"/>
    </xf>
    <xf numFmtId="223" fontId="213" fillId="130" borderId="289" xfId="0" applyNumberFormat="1" applyFont="1" applyFill="1" applyBorder="1" applyAlignment="1">
      <alignment horizontal="center" vertical="center"/>
    </xf>
    <xf numFmtId="223" fontId="167" fillId="136" borderId="289" xfId="0" applyNumberFormat="1" applyFont="1" applyFill="1" applyBorder="1" applyAlignment="1">
      <alignment horizontal="center" vertical="center"/>
    </xf>
    <xf numFmtId="223" fontId="167" fillId="130" borderId="289" xfId="0" applyNumberFormat="1" applyFont="1" applyFill="1" applyBorder="1" applyAlignment="1">
      <alignment horizontal="center" vertical="center"/>
    </xf>
    <xf numFmtId="223" fontId="171" fillId="137" borderId="592" xfId="2" applyNumberFormat="1" applyFont="1" applyFill="1" applyBorder="1" applyAlignment="1">
      <alignment horizontal="center" vertical="center"/>
    </xf>
    <xf numFmtId="223" fontId="34" fillId="137" borderId="592" xfId="0" applyNumberFormat="1" applyFont="1" applyFill="1" applyBorder="1" applyAlignment="1">
      <alignment horizontal="center" vertical="center"/>
    </xf>
    <xf numFmtId="223" fontId="34" fillId="137" borderId="597" xfId="0" applyNumberFormat="1" applyFont="1" applyFill="1" applyBorder="1" applyAlignment="1">
      <alignment horizontal="center" vertical="center"/>
    </xf>
    <xf numFmtId="223" fontId="232" fillId="137" borderId="308" xfId="0" applyNumberFormat="1" applyFont="1" applyFill="1" applyBorder="1" applyAlignment="1">
      <alignment horizontal="center" vertical="center"/>
    </xf>
    <xf numFmtId="223" fontId="232" fillId="137" borderId="592" xfId="0" applyNumberFormat="1" applyFont="1" applyFill="1" applyBorder="1" applyAlignment="1">
      <alignment horizontal="center" vertical="center"/>
    </xf>
    <xf numFmtId="223" fontId="232" fillId="137" borderId="597" xfId="0" applyNumberFormat="1" applyFont="1" applyFill="1" applyBorder="1" applyAlignment="1">
      <alignment horizontal="center" vertical="center"/>
    </xf>
    <xf numFmtId="223" fontId="171" fillId="137" borderId="308" xfId="2" applyNumberFormat="1" applyFont="1" applyFill="1" applyBorder="1" applyAlignment="1">
      <alignment horizontal="center" vertical="center"/>
    </xf>
    <xf numFmtId="187" fontId="167" fillId="137" borderId="518" xfId="0" applyNumberFormat="1" applyFont="1" applyFill="1" applyBorder="1" applyAlignment="1">
      <alignment horizontal="center" vertical="center"/>
    </xf>
    <xf numFmtId="187" fontId="213" fillId="137" borderId="518" xfId="0" applyNumberFormat="1" applyFont="1" applyFill="1" applyBorder="1" applyAlignment="1">
      <alignment horizontal="center" vertical="center"/>
    </xf>
    <xf numFmtId="183" fontId="188" fillId="7" borderId="609" xfId="2" applyNumberFormat="1" applyFont="1" applyFill="1" applyBorder="1" applyAlignment="1">
      <alignment horizontal="center" vertical="center"/>
    </xf>
    <xf numFmtId="183" fontId="188" fillId="7" borderId="616" xfId="2" applyNumberFormat="1" applyFont="1" applyFill="1" applyBorder="1" applyAlignment="1">
      <alignment horizontal="center" vertical="center"/>
    </xf>
    <xf numFmtId="183" fontId="176" fillId="125" borderId="515" xfId="2" applyNumberFormat="1" applyFont="1" applyFill="1" applyBorder="1" applyAlignment="1">
      <alignment horizontal="center" vertical="center"/>
    </xf>
    <xf numFmtId="4" fontId="176" fillId="125" borderId="163" xfId="2" applyNumberFormat="1" applyFont="1" applyFill="1" applyBorder="1" applyAlignment="1">
      <alignment horizontal="center" vertical="center"/>
    </xf>
    <xf numFmtId="183" fontId="187" fillId="7" borderId="609" xfId="2" applyNumberFormat="1" applyFont="1" applyFill="1" applyBorder="1" applyAlignment="1">
      <alignment horizontal="center" vertical="center"/>
    </xf>
    <xf numFmtId="183" fontId="34" fillId="3" borderId="616" xfId="0" applyNumberFormat="1" applyFont="1" applyFill="1" applyBorder="1" applyAlignment="1">
      <alignment horizontal="center" vertical="center"/>
    </xf>
    <xf numFmtId="176" fontId="232" fillId="3" borderId="23" xfId="0" applyNumberFormat="1" applyFont="1" applyFill="1" applyBorder="1" applyAlignment="1">
      <alignment horizontal="center" vertical="center"/>
    </xf>
    <xf numFmtId="183" fontId="171" fillId="3" borderId="23" xfId="2" applyNumberFormat="1" applyFont="1" applyFill="1" applyBorder="1" applyAlignment="1">
      <alignment horizontal="center" vertical="center"/>
    </xf>
    <xf numFmtId="179" fontId="232" fillId="3" borderId="493" xfId="0" applyNumberFormat="1" applyFont="1" applyFill="1" applyBorder="1" applyAlignment="1">
      <alignment horizontal="center" vertical="center"/>
    </xf>
    <xf numFmtId="177" fontId="232" fillId="3" borderId="596" xfId="0" applyNumberFormat="1" applyFont="1" applyFill="1" applyBorder="1" applyAlignment="1">
      <alignment horizontal="center" vertical="center"/>
    </xf>
    <xf numFmtId="3" fontId="28" fillId="3" borderId="615" xfId="0" applyNumberFormat="1" applyFont="1" applyFill="1" applyBorder="1" applyAlignment="1">
      <alignment horizontal="center" vertical="center"/>
    </xf>
    <xf numFmtId="231" fontId="171" fillId="3" borderId="49" xfId="2" applyNumberFormat="1" applyFont="1" applyFill="1" applyBorder="1" applyAlignment="1">
      <alignment horizontal="center" vertical="center"/>
    </xf>
    <xf numFmtId="3" fontId="34" fillId="3" borderId="608" xfId="0" applyNumberFormat="1" applyFont="1" applyFill="1" applyBorder="1" applyAlignment="1">
      <alignment horizontal="center" vertical="center"/>
    </xf>
    <xf numFmtId="187" fontId="34" fillId="3" borderId="616" xfId="0" applyNumberFormat="1" applyFont="1" applyFill="1" applyBorder="1" applyAlignment="1">
      <alignment horizontal="center" vertical="center"/>
    </xf>
    <xf numFmtId="187" fontId="34" fillId="3" borderId="605" xfId="0" applyNumberFormat="1" applyFont="1" applyFill="1" applyBorder="1" applyAlignment="1">
      <alignment horizontal="center" vertical="center"/>
    </xf>
    <xf numFmtId="187" fontId="171" fillId="3" borderId="49" xfId="2" applyNumberFormat="1" applyFont="1" applyFill="1" applyBorder="1" applyAlignment="1">
      <alignment horizontal="center" vertical="center"/>
    </xf>
    <xf numFmtId="183" fontId="34" fillId="3" borderId="596" xfId="0" applyNumberFormat="1" applyFont="1" applyFill="1" applyBorder="1" applyAlignment="1">
      <alignment horizontal="center" vertical="center"/>
    </xf>
    <xf numFmtId="187" fontId="34" fillId="3" borderId="596" xfId="0" applyNumberFormat="1" applyFont="1" applyFill="1" applyBorder="1" applyAlignment="1">
      <alignment horizontal="center" vertical="center"/>
    </xf>
    <xf numFmtId="179" fontId="232" fillId="3" borderId="596" xfId="0" applyNumberFormat="1" applyFont="1" applyFill="1" applyBorder="1" applyAlignment="1">
      <alignment horizontal="center" vertical="center"/>
    </xf>
    <xf numFmtId="187" fontId="232" fillId="3" borderId="493" xfId="0" applyNumberFormat="1" applyFont="1" applyFill="1" applyBorder="1" applyAlignment="1">
      <alignment horizontal="center" vertical="center"/>
    </xf>
    <xf numFmtId="187" fontId="232" fillId="3" borderId="596" xfId="0" applyNumberFormat="1" applyFont="1" applyFill="1" applyBorder="1" applyAlignment="1">
      <alignment horizontal="center" vertical="center"/>
    </xf>
    <xf numFmtId="183" fontId="171" fillId="3" borderId="596" xfId="2" applyNumberFormat="1" applyFont="1" applyFill="1" applyBorder="1" applyAlignment="1">
      <alignment horizontal="center" vertical="center"/>
    </xf>
    <xf numFmtId="183" fontId="34" fillId="3" borderId="493" xfId="0" applyNumberFormat="1" applyFont="1" applyFill="1" applyBorder="1" applyAlignment="1">
      <alignment horizontal="center" vertical="center"/>
    </xf>
    <xf numFmtId="223" fontId="232" fillId="3" borderId="493" xfId="0" applyNumberFormat="1" applyFont="1" applyFill="1" applyBorder="1" applyAlignment="1">
      <alignment horizontal="center" vertical="center"/>
    </xf>
    <xf numFmtId="3" fontId="34" fillId="3" borderId="596" xfId="0" applyNumberFormat="1" applyFont="1" applyFill="1" applyBorder="1" applyAlignment="1">
      <alignment horizontal="center" vertical="center"/>
    </xf>
    <xf numFmtId="187" fontId="34" fillId="3" borderId="493" xfId="0" applyNumberFormat="1" applyFont="1" applyFill="1" applyBorder="1" applyAlignment="1">
      <alignment horizontal="center" vertical="center"/>
    </xf>
    <xf numFmtId="179" fontId="232" fillId="3" borderId="23" xfId="0" applyNumberFormat="1" applyFont="1" applyFill="1" applyBorder="1" applyAlignment="1">
      <alignment horizontal="center" vertical="center"/>
    </xf>
    <xf numFmtId="183" fontId="232" fillId="3" borderId="23" xfId="0" applyNumberFormat="1" applyFont="1" applyFill="1" applyBorder="1" applyAlignment="1">
      <alignment horizontal="center" vertical="center"/>
    </xf>
    <xf numFmtId="183" fontId="232" fillId="3" borderId="493" xfId="0" applyNumberFormat="1" applyFont="1" applyFill="1" applyBorder="1" applyAlignment="1">
      <alignment horizontal="center" vertical="center"/>
    </xf>
    <xf numFmtId="177" fontId="232" fillId="3" borderId="493" xfId="0" applyNumberFormat="1" applyFont="1" applyFill="1" applyBorder="1" applyAlignment="1">
      <alignment horizontal="center" vertical="center"/>
    </xf>
    <xf numFmtId="187" fontId="232" fillId="3" borderId="512" xfId="0" applyNumberFormat="1" applyFont="1" applyFill="1" applyBorder="1" applyAlignment="1">
      <alignment horizontal="center" vertical="center"/>
    </xf>
    <xf numFmtId="187" fontId="34" fillId="3" borderId="519" xfId="0" applyNumberFormat="1" applyFont="1" applyFill="1" applyBorder="1" applyAlignment="1">
      <alignment horizontal="center" vertical="center"/>
    </xf>
    <xf numFmtId="0" fontId="221" fillId="127" borderId="206" xfId="0" applyFont="1" applyFill="1" applyBorder="1" applyAlignment="1">
      <alignment horizontal="center" vertical="center"/>
    </xf>
    <xf numFmtId="0" fontId="176" fillId="125" borderId="368" xfId="0" applyFont="1" applyFill="1" applyBorder="1" applyAlignment="1">
      <alignment horizontal="center" vertical="center" wrapText="1"/>
    </xf>
    <xf numFmtId="187" fontId="171" fillId="0" borderId="121" xfId="2" applyNumberFormat="1" applyFont="1" applyFill="1" applyBorder="1" applyAlignment="1">
      <alignment horizontal="center" vertical="center"/>
    </xf>
    <xf numFmtId="187" fontId="171" fillId="0" borderId="59" xfId="2" applyNumberFormat="1" applyFont="1" applyFill="1" applyBorder="1" applyAlignment="1">
      <alignment horizontal="center" vertical="center"/>
    </xf>
    <xf numFmtId="183" fontId="171" fillId="0" borderId="221" xfId="2" applyNumberFormat="1" applyFont="1" applyFill="1" applyBorder="1" applyAlignment="1">
      <alignment horizontal="center" vertical="center"/>
    </xf>
    <xf numFmtId="183" fontId="171" fillId="0" borderId="683" xfId="2" applyNumberFormat="1" applyFont="1" applyFill="1" applyBorder="1" applyAlignment="1">
      <alignment horizontal="center" vertical="center"/>
    </xf>
    <xf numFmtId="183" fontId="34" fillId="0" borderId="610" xfId="0" applyNumberFormat="1" applyFont="1" applyBorder="1" applyAlignment="1">
      <alignment horizontal="center" vertical="center"/>
    </xf>
    <xf numFmtId="183" fontId="34" fillId="0" borderId="624" xfId="0" applyNumberFormat="1" applyFont="1" applyBorder="1" applyAlignment="1">
      <alignment horizontal="center" vertical="center"/>
    </xf>
    <xf numFmtId="183" fontId="34" fillId="117" borderId="610" xfId="0" applyNumberFormat="1" applyFont="1" applyFill="1" applyBorder="1" applyAlignment="1">
      <alignment horizontal="center" vertical="center"/>
    </xf>
    <xf numFmtId="183" fontId="34" fillId="117" borderId="624" xfId="0" applyNumberFormat="1" applyFont="1" applyFill="1" applyBorder="1" applyAlignment="1">
      <alignment horizontal="center" vertical="center"/>
    </xf>
    <xf numFmtId="3" fontId="34" fillId="0" borderId="599" xfId="0" applyNumberFormat="1" applyFont="1" applyBorder="1" applyAlignment="1">
      <alignment horizontal="center" vertical="center"/>
    </xf>
    <xf numFmtId="3" fontId="34" fillId="0" borderId="611" xfId="0" applyNumberFormat="1" applyFont="1" applyBorder="1" applyAlignment="1">
      <alignment horizontal="center" vertical="center"/>
    </xf>
    <xf numFmtId="187" fontId="34" fillId="0" borderId="610" xfId="0" applyNumberFormat="1" applyFont="1" applyBorder="1" applyAlignment="1">
      <alignment horizontal="center" vertical="center"/>
    </xf>
    <xf numFmtId="187" fontId="34" fillId="0" borderId="624" xfId="0" applyNumberFormat="1" applyFont="1" applyBorder="1" applyAlignment="1">
      <alignment horizontal="center" vertical="center"/>
    </xf>
    <xf numFmtId="231" fontId="34" fillId="0" borderId="624" xfId="0" applyNumberFormat="1" applyFont="1" applyBorder="1" applyAlignment="1">
      <alignment horizontal="center" vertical="center"/>
    </xf>
    <xf numFmtId="187" fontId="34" fillId="0" borderId="515" xfId="0" applyNumberFormat="1" applyFont="1" applyBorder="1" applyAlignment="1">
      <alignment horizontal="center" vertical="center"/>
    </xf>
    <xf numFmtId="231" fontId="34" fillId="0" borderId="626" xfId="0" applyNumberFormat="1" applyFont="1" applyBorder="1" applyAlignment="1">
      <alignment horizontal="center" vertical="center"/>
    </xf>
    <xf numFmtId="176" fontId="232" fillId="0" borderId="121" xfId="0" applyNumberFormat="1" applyFont="1" applyFill="1" applyBorder="1" applyAlignment="1">
      <alignment horizontal="center" vertical="center"/>
    </xf>
    <xf numFmtId="176" fontId="232" fillId="0" borderId="59" xfId="0" applyNumberFormat="1" applyFont="1" applyFill="1" applyBorder="1" applyAlignment="1">
      <alignment horizontal="center" vertical="center"/>
    </xf>
    <xf numFmtId="183" fontId="171" fillId="7" borderId="221" xfId="2" applyNumberFormat="1" applyFont="1" applyFill="1" applyBorder="1" applyAlignment="1">
      <alignment horizontal="center" vertical="center"/>
    </xf>
    <xf numFmtId="183" fontId="171" fillId="7" borderId="683" xfId="2" applyNumberFormat="1" applyFont="1" applyFill="1" applyBorder="1" applyAlignment="1">
      <alignment horizontal="center" vertical="center"/>
    </xf>
    <xf numFmtId="179" fontId="232" fillId="0" borderId="602" xfId="0" applyNumberFormat="1" applyFont="1" applyBorder="1" applyAlignment="1">
      <alignment horizontal="center" vertical="center"/>
    </xf>
    <xf numFmtId="179" fontId="232" fillId="0" borderId="606" xfId="0" applyNumberFormat="1" applyFont="1" applyBorder="1" applyAlignment="1">
      <alignment horizontal="center" vertical="center"/>
    </xf>
    <xf numFmtId="177" fontId="198" fillId="0" borderId="610" xfId="0" applyNumberFormat="1" applyFont="1" applyBorder="1" applyAlignment="1">
      <alignment horizontal="center" vertical="center"/>
    </xf>
    <xf numFmtId="177" fontId="198" fillId="0" borderId="624" xfId="0" applyNumberFormat="1" applyFont="1" applyBorder="1" applyAlignment="1">
      <alignment horizontal="center" vertical="center"/>
    </xf>
    <xf numFmtId="179" fontId="232" fillId="117" borderId="515" xfId="0" applyNumberFormat="1" applyFont="1" applyFill="1" applyBorder="1" applyAlignment="1">
      <alignment horizontal="center" vertical="center"/>
    </xf>
    <xf numFmtId="179" fontId="232" fillId="117" borderId="626" xfId="0" applyNumberFormat="1" applyFont="1" applyFill="1" applyBorder="1" applyAlignment="1">
      <alignment horizontal="center" vertical="center"/>
    </xf>
    <xf numFmtId="231" fontId="171" fillId="0" borderId="59" xfId="2" applyNumberFormat="1" applyFont="1" applyFill="1" applyBorder="1" applyAlignment="1">
      <alignment horizontal="center" vertical="center"/>
    </xf>
    <xf numFmtId="3" fontId="28" fillId="0" borderId="611" xfId="0" applyNumberFormat="1" applyFont="1" applyBorder="1" applyAlignment="1">
      <alignment horizontal="center" vertical="center"/>
    </xf>
    <xf numFmtId="187" fontId="34" fillId="117" borderId="610" xfId="0" applyNumberFormat="1" applyFont="1" applyFill="1" applyBorder="1" applyAlignment="1">
      <alignment horizontal="center" vertical="center"/>
    </xf>
    <xf numFmtId="187" fontId="34" fillId="117" borderId="624" xfId="0" applyNumberFormat="1" applyFont="1" applyFill="1" applyBorder="1" applyAlignment="1">
      <alignment horizontal="center" vertical="center"/>
    </xf>
    <xf numFmtId="187" fontId="34" fillId="117" borderId="515" xfId="0" applyNumberFormat="1" applyFont="1" applyFill="1" applyBorder="1" applyAlignment="1">
      <alignment horizontal="center" vertical="center"/>
    </xf>
    <xf numFmtId="187" fontId="34" fillId="117" borderId="626" xfId="0" applyNumberFormat="1" applyFont="1" applyFill="1" applyBorder="1" applyAlignment="1">
      <alignment horizontal="center" vertical="center"/>
    </xf>
    <xf numFmtId="179" fontId="232" fillId="0" borderId="610" xfId="0" applyNumberFormat="1" applyFont="1" applyFill="1" applyBorder="1" applyAlignment="1">
      <alignment horizontal="center" vertical="center"/>
    </xf>
    <xf numFmtId="179" fontId="232" fillId="0" borderId="624" xfId="0" applyNumberFormat="1" applyFont="1" applyFill="1" applyBorder="1" applyAlignment="1">
      <alignment horizontal="center" vertical="center"/>
    </xf>
    <xf numFmtId="187" fontId="232" fillId="0" borderId="602" xfId="0" applyNumberFormat="1" applyFont="1" applyFill="1" applyBorder="1" applyAlignment="1">
      <alignment horizontal="center" vertical="center"/>
    </xf>
    <xf numFmtId="187" fontId="232" fillId="0" borderId="606" xfId="0" applyNumberFormat="1" applyFont="1" applyFill="1" applyBorder="1" applyAlignment="1">
      <alignment horizontal="center" vertical="center"/>
    </xf>
    <xf numFmtId="187" fontId="232" fillId="0" borderId="610" xfId="0" applyNumberFormat="1" applyFont="1" applyFill="1" applyBorder="1" applyAlignment="1">
      <alignment horizontal="center" vertical="center"/>
    </xf>
    <xf numFmtId="187" fontId="232" fillId="0" borderId="624" xfId="0" applyNumberFormat="1" applyFont="1" applyFill="1" applyBorder="1" applyAlignment="1">
      <alignment horizontal="center" vertical="center"/>
    </xf>
    <xf numFmtId="187" fontId="232" fillId="117" borderId="515" xfId="0" applyNumberFormat="1" applyFont="1" applyFill="1" applyBorder="1" applyAlignment="1">
      <alignment horizontal="center" vertical="center"/>
    </xf>
    <xf numFmtId="187" fontId="232" fillId="117" borderId="626" xfId="0" applyNumberFormat="1" applyFont="1" applyFill="1" applyBorder="1" applyAlignment="1">
      <alignment horizontal="center" vertical="center"/>
    </xf>
    <xf numFmtId="183" fontId="171" fillId="0" borderId="610" xfId="2" applyNumberFormat="1" applyFont="1" applyFill="1" applyBorder="1" applyAlignment="1">
      <alignment horizontal="center" vertical="center"/>
    </xf>
    <xf numFmtId="183" fontId="171" fillId="0" borderId="624" xfId="2" applyNumberFormat="1" applyFont="1" applyFill="1" applyBorder="1" applyAlignment="1">
      <alignment horizontal="center" vertical="center"/>
    </xf>
    <xf numFmtId="187" fontId="34" fillId="0" borderId="626" xfId="0" applyNumberFormat="1" applyFont="1" applyBorder="1" applyAlignment="1">
      <alignment horizontal="center" vertical="center"/>
    </xf>
    <xf numFmtId="183" fontId="34" fillId="0" borderId="602" xfId="0" applyNumberFormat="1" applyFont="1" applyBorder="1" applyAlignment="1">
      <alignment horizontal="center" vertical="center"/>
    </xf>
    <xf numFmtId="183" fontId="34" fillId="0" borderId="606" xfId="0" applyNumberFormat="1" applyFont="1" applyBorder="1" applyAlignment="1">
      <alignment horizontal="center" vertical="center"/>
    </xf>
    <xf numFmtId="223" fontId="232" fillId="0" borderId="515" xfId="0" applyNumberFormat="1" applyFont="1" applyFill="1" applyBorder="1" applyAlignment="1">
      <alignment horizontal="center" vertical="center"/>
    </xf>
    <xf numFmtId="223" fontId="232" fillId="0" borderId="626" xfId="0" applyNumberFormat="1" applyFont="1" applyFill="1" applyBorder="1" applyAlignment="1">
      <alignment horizontal="center" vertical="center"/>
    </xf>
    <xf numFmtId="183" fontId="34" fillId="0" borderId="610" xfId="0" applyNumberFormat="1" applyFont="1" applyFill="1" applyBorder="1" applyAlignment="1">
      <alignment horizontal="center" vertical="center"/>
    </xf>
    <xf numFmtId="183" fontId="34" fillId="0" borderId="624" xfId="0" applyNumberFormat="1" applyFont="1" applyFill="1" applyBorder="1" applyAlignment="1">
      <alignment horizontal="center" vertical="center"/>
    </xf>
    <xf numFmtId="3" fontId="34" fillId="0" borderId="610" xfId="0" applyNumberFormat="1" applyFont="1" applyBorder="1" applyAlignment="1">
      <alignment horizontal="center" vertical="center"/>
    </xf>
    <xf numFmtId="3" fontId="34" fillId="0" borderId="624" xfId="0" applyNumberFormat="1" applyFont="1" applyBorder="1" applyAlignment="1">
      <alignment horizontal="center" vertical="center"/>
    </xf>
    <xf numFmtId="179" fontId="232" fillId="0" borderId="121" xfId="0" applyNumberFormat="1" applyFont="1" applyFill="1" applyBorder="1" applyAlignment="1">
      <alignment horizontal="center" vertical="center"/>
    </xf>
    <xf numFmtId="179" fontId="232" fillId="0" borderId="59" xfId="0" applyNumberFormat="1" applyFont="1" applyFill="1" applyBorder="1" applyAlignment="1">
      <alignment horizontal="center" vertical="center"/>
    </xf>
    <xf numFmtId="183" fontId="232" fillId="0" borderId="221" xfId="0" applyNumberFormat="1" applyFont="1" applyFill="1" applyBorder="1" applyAlignment="1">
      <alignment horizontal="center" vertical="center"/>
    </xf>
    <xf numFmtId="183" fontId="232" fillId="0" borderId="683" xfId="0" applyNumberFormat="1" applyFont="1" applyFill="1" applyBorder="1" applyAlignment="1">
      <alignment horizontal="center" vertical="center"/>
    </xf>
    <xf numFmtId="183" fontId="232" fillId="0" borderId="602" xfId="0" applyNumberFormat="1" applyFont="1" applyFill="1" applyBorder="1" applyAlignment="1">
      <alignment horizontal="center" vertical="center"/>
    </xf>
    <xf numFmtId="183" fontId="232" fillId="0" borderId="606" xfId="0" applyNumberFormat="1" applyFont="1" applyFill="1" applyBorder="1" applyAlignment="1">
      <alignment horizontal="center" vertical="center"/>
    </xf>
    <xf numFmtId="179" fontId="232" fillId="0" borderId="602" xfId="0" applyNumberFormat="1" applyFont="1" applyFill="1" applyBorder="1" applyAlignment="1">
      <alignment horizontal="center" vertical="center"/>
    </xf>
    <xf numFmtId="179" fontId="232" fillId="0" borderId="606" xfId="0" applyNumberFormat="1" applyFont="1" applyFill="1" applyBorder="1" applyAlignment="1">
      <alignment horizontal="center" vertical="center"/>
    </xf>
    <xf numFmtId="177" fontId="232" fillId="0" borderId="602" xfId="0" applyNumberFormat="1" applyFont="1" applyFill="1" applyBorder="1" applyAlignment="1">
      <alignment horizontal="center" vertical="center"/>
    </xf>
    <xf numFmtId="177" fontId="232" fillId="0" borderId="606" xfId="0" applyNumberFormat="1" applyFont="1" applyFill="1" applyBorder="1" applyAlignment="1">
      <alignment horizontal="center" vertical="center"/>
    </xf>
    <xf numFmtId="223" fontId="268" fillId="3" borderId="121" xfId="0" applyNumberFormat="1" applyFont="1" applyFill="1" applyBorder="1" applyAlignment="1">
      <alignment horizontal="center" vertical="center"/>
    </xf>
    <xf numFmtId="223" fontId="268" fillId="3" borderId="122" xfId="0" applyNumberFormat="1" applyFont="1" applyFill="1" applyBorder="1" applyAlignment="1">
      <alignment horizontal="center" vertical="center"/>
    </xf>
    <xf numFmtId="223" fontId="268" fillId="3" borderId="610" xfId="0" applyNumberFormat="1" applyFont="1" applyFill="1" applyBorder="1" applyAlignment="1">
      <alignment horizontal="center" vertical="center"/>
    </xf>
    <xf numFmtId="223" fontId="268" fillId="3" borderId="609" xfId="0" applyNumberFormat="1" applyFont="1" applyFill="1" applyBorder="1" applyAlignment="1">
      <alignment horizontal="center" vertical="center"/>
    </xf>
    <xf numFmtId="223" fontId="34" fillId="134" borderId="610" xfId="0" applyNumberFormat="1" applyFont="1" applyFill="1" applyBorder="1" applyAlignment="1">
      <alignment horizontal="center" vertical="center"/>
    </xf>
    <xf numFmtId="223" fontId="34" fillId="116" borderId="515" xfId="0" applyNumberFormat="1" applyFont="1" applyFill="1" applyBorder="1" applyAlignment="1">
      <alignment horizontal="center" vertical="center"/>
    </xf>
    <xf numFmtId="0" fontId="221" fillId="125" borderId="59" xfId="0" applyFont="1" applyFill="1" applyBorder="1" applyAlignment="1">
      <alignment horizontal="center" vertical="center" wrapText="1"/>
    </xf>
    <xf numFmtId="223" fontId="232" fillId="3" borderId="624" xfId="0" applyNumberFormat="1" applyFont="1" applyFill="1" applyBorder="1" applyAlignment="1">
      <alignment horizontal="center" vertical="center"/>
    </xf>
    <xf numFmtId="223" fontId="34" fillId="134" borderId="624" xfId="0" applyNumberFormat="1" applyFont="1" applyFill="1" applyBorder="1" applyAlignment="1">
      <alignment horizontal="center" vertical="center"/>
    </xf>
    <xf numFmtId="223" fontId="34" fillId="3" borderId="624" xfId="0" applyNumberFormat="1" applyFont="1" applyFill="1" applyBorder="1" applyAlignment="1">
      <alignment horizontal="center" vertical="center"/>
    </xf>
    <xf numFmtId="223" fontId="34" fillId="116" borderId="626" xfId="0" applyNumberFormat="1" applyFont="1" applyFill="1" applyBorder="1" applyAlignment="1">
      <alignment horizontal="center" vertical="center"/>
    </xf>
    <xf numFmtId="0" fontId="221" fillId="125" borderId="110" xfId="0" applyFont="1" applyFill="1" applyBorder="1" applyAlignment="1">
      <alignment horizontal="center" vertical="center" wrapText="1"/>
    </xf>
    <xf numFmtId="0" fontId="176" fillId="125" borderId="334" xfId="0" applyFont="1" applyFill="1" applyBorder="1" applyAlignment="1">
      <alignment horizontal="center" vertical="center" wrapText="1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0" fontId="221" fillId="125" borderId="268" xfId="0" applyFont="1" applyFill="1" applyBorder="1" applyAlignment="1">
      <alignment horizontal="center" vertical="center" wrapText="1"/>
    </xf>
    <xf numFmtId="223" fontId="232" fillId="130" borderId="110" xfId="0" applyNumberFormat="1" applyFont="1" applyFill="1" applyBorder="1" applyAlignment="1">
      <alignment horizontal="center" vertical="center"/>
    </xf>
    <xf numFmtId="223" fontId="34" fillId="136" borderId="607" xfId="0" applyNumberFormat="1" applyFont="1" applyFill="1" applyBorder="1" applyAlignment="1">
      <alignment horizontal="center" vertical="center"/>
    </xf>
    <xf numFmtId="223" fontId="34" fillId="3" borderId="48" xfId="0" applyNumberFormat="1" applyFont="1" applyFill="1" applyBorder="1" applyAlignment="1">
      <alignment horizontal="center" vertical="center"/>
    </xf>
    <xf numFmtId="223" fontId="34" fillId="130" borderId="512" xfId="0" applyNumberFormat="1" applyFont="1" applyFill="1" applyBorder="1" applyAlignment="1">
      <alignment horizontal="center" vertical="center"/>
    </xf>
    <xf numFmtId="223" fontId="171" fillId="0" borderId="122" xfId="2" applyNumberFormat="1" applyFont="1" applyFill="1" applyBorder="1" applyAlignment="1">
      <alignment horizontal="center" vertical="center"/>
    </xf>
    <xf numFmtId="223" fontId="171" fillId="0" borderId="6" xfId="2" applyNumberFormat="1" applyFont="1" applyFill="1" applyBorder="1" applyAlignment="1">
      <alignment horizontal="center" vertical="center"/>
    </xf>
    <xf numFmtId="223" fontId="34" fillId="117" borderId="609" xfId="0" applyNumberFormat="1" applyFont="1" applyFill="1" applyBorder="1" applyAlignment="1">
      <alignment horizontal="center" vertical="center"/>
    </xf>
    <xf numFmtId="223" fontId="34" fillId="0" borderId="516" xfId="0" applyNumberFormat="1" applyFont="1" applyBorder="1" applyAlignment="1">
      <alignment horizontal="center" vertical="center"/>
    </xf>
    <xf numFmtId="223" fontId="34" fillId="136" borderId="226" xfId="0" applyNumberFormat="1" applyFont="1" applyFill="1" applyBorder="1" applyAlignment="1">
      <alignment horizontal="center" vertical="center"/>
    </xf>
    <xf numFmtId="223" fontId="232" fillId="0" borderId="122" xfId="0" applyNumberFormat="1" applyFont="1" applyFill="1" applyBorder="1" applyAlignment="1">
      <alignment horizontal="center" vertical="center"/>
    </xf>
    <xf numFmtId="223" fontId="171" fillId="7" borderId="6" xfId="2" applyNumberFormat="1" applyFont="1" applyFill="1" applyBorder="1" applyAlignment="1">
      <alignment horizontal="center" vertical="center"/>
    </xf>
    <xf numFmtId="223" fontId="232" fillId="0" borderId="603" xfId="0" applyNumberFormat="1" applyFont="1" applyBorder="1" applyAlignment="1">
      <alignment horizontal="center" vertical="center"/>
    </xf>
    <xf numFmtId="223" fontId="232" fillId="0" borderId="609" xfId="0" applyNumberFormat="1" applyFont="1" applyBorder="1" applyAlignment="1">
      <alignment horizontal="center" vertical="center"/>
    </xf>
    <xf numFmtId="223" fontId="232" fillId="130" borderId="226" xfId="0" applyNumberFormat="1" applyFont="1" applyFill="1" applyBorder="1" applyAlignment="1">
      <alignment horizontal="center" vertical="center"/>
    </xf>
    <xf numFmtId="223" fontId="34" fillId="117" borderId="516" xfId="0" applyNumberFormat="1" applyFont="1" applyFill="1" applyBorder="1" applyAlignment="1">
      <alignment horizontal="center" vertical="center"/>
    </xf>
    <xf numFmtId="223" fontId="232" fillId="0" borderId="6" xfId="0" applyNumberFormat="1" applyFont="1" applyFill="1" applyBorder="1" applyAlignment="1">
      <alignment horizontal="center" vertical="center"/>
    </xf>
    <xf numFmtId="223" fontId="232" fillId="0" borderId="603" xfId="0" applyNumberFormat="1" applyFont="1" applyFill="1" applyBorder="1" applyAlignment="1">
      <alignment horizontal="center" vertical="center"/>
    </xf>
    <xf numFmtId="223" fontId="34" fillId="130" borderId="226" xfId="0" applyNumberFormat="1" applyFont="1" applyFill="1" applyBorder="1" applyAlignment="1">
      <alignment horizontal="center" vertical="center"/>
    </xf>
    <xf numFmtId="223" fontId="34" fillId="0" borderId="603" xfId="0" applyNumberFormat="1" applyFont="1" applyBorder="1" applyAlignment="1">
      <alignment horizontal="center" vertical="center"/>
    </xf>
    <xf numFmtId="223" fontId="232" fillId="0" borderId="516" xfId="0" applyNumberFormat="1" applyFont="1" applyFill="1" applyBorder="1" applyAlignment="1">
      <alignment horizontal="center" vertical="center"/>
    </xf>
    <xf numFmtId="0" fontId="176" fillId="125" borderId="616" xfId="0" quotePrefix="1" applyFont="1" applyFill="1" applyBorder="1" applyAlignment="1">
      <alignment horizontal="center" vertical="center"/>
    </xf>
    <xf numFmtId="3" fontId="57" fillId="0" borderId="616" xfId="2" applyNumberFormat="1" applyFont="1" applyBorder="1" applyAlignment="1">
      <alignment horizontal="center" vertical="center"/>
    </xf>
    <xf numFmtId="183" fontId="57" fillId="0" borderId="616" xfId="2" applyNumberFormat="1" applyFont="1" applyBorder="1" applyAlignment="1">
      <alignment horizontal="center" vertical="center"/>
    </xf>
    <xf numFmtId="183" fontId="57" fillId="0" borderId="605" xfId="2" applyNumberFormat="1" applyFont="1" applyBorder="1" applyAlignment="1">
      <alignment horizontal="center" vertical="center"/>
    </xf>
    <xf numFmtId="183" fontId="57" fillId="0" borderId="49" xfId="2" applyNumberFormat="1" applyFont="1" applyBorder="1" applyAlignment="1">
      <alignment horizontal="center" vertical="center"/>
    </xf>
    <xf numFmtId="183" fontId="57" fillId="0" borderId="519" xfId="2" applyNumberFormat="1" applyFont="1" applyBorder="1" applyAlignment="1">
      <alignment horizontal="center" vertical="center"/>
    </xf>
    <xf numFmtId="183" fontId="57" fillId="0" borderId="23" xfId="0" applyNumberFormat="1" applyFont="1" applyBorder="1" applyAlignment="1">
      <alignment horizontal="center" vertical="center"/>
    </xf>
    <xf numFmtId="183" fontId="57" fillId="0" borderId="616" xfId="0" applyNumberFormat="1" applyFont="1" applyBorder="1" applyAlignment="1">
      <alignment horizontal="center" vertical="center"/>
    </xf>
    <xf numFmtId="178" fontId="57" fillId="0" borderId="616" xfId="2" applyNumberFormat="1" applyFont="1" applyBorder="1" applyAlignment="1">
      <alignment horizontal="center" vertical="center"/>
    </xf>
    <xf numFmtId="2" fontId="57" fillId="0" borderId="605" xfId="0" applyNumberFormat="1" applyFont="1" applyBorder="1" applyAlignment="1">
      <alignment horizontal="center" vertical="center"/>
    </xf>
    <xf numFmtId="183" fontId="57" fillId="7" borderId="288" xfId="2" applyNumberFormat="1" applyFont="1" applyFill="1" applyBorder="1" applyAlignment="1">
      <alignment horizontal="center" vertical="center"/>
    </xf>
    <xf numFmtId="178" fontId="57" fillId="0" borderId="23" xfId="2" applyNumberFormat="1" applyFont="1" applyFill="1" applyBorder="1" applyAlignment="1">
      <alignment horizontal="center" vertical="center"/>
    </xf>
    <xf numFmtId="183" fontId="57" fillId="0" borderId="605" xfId="2" applyNumberFormat="1" applyFont="1" applyFill="1" applyBorder="1" applyAlignment="1">
      <alignment horizontal="center" vertical="center"/>
    </xf>
    <xf numFmtId="178" fontId="57" fillId="0" borderId="605" xfId="2" applyNumberFormat="1" applyFont="1" applyFill="1" applyBorder="1" applyAlignment="1">
      <alignment horizontal="center" vertical="center" wrapText="1"/>
    </xf>
    <xf numFmtId="183" fontId="57" fillId="0" borderId="605" xfId="2" applyNumberFormat="1" applyFont="1" applyFill="1" applyBorder="1" applyAlignment="1">
      <alignment horizontal="center" vertical="center" wrapText="1"/>
    </xf>
    <xf numFmtId="183" fontId="57" fillId="7" borderId="352" xfId="2" applyNumberFormat="1" applyFont="1" applyFill="1" applyBorder="1" applyAlignment="1">
      <alignment horizontal="center" vertical="center"/>
    </xf>
    <xf numFmtId="187" fontId="57" fillId="7" borderId="519" xfId="2" applyNumberFormat="1" applyFont="1" applyFill="1" applyBorder="1" applyAlignment="1">
      <alignment horizontal="center" vertical="center"/>
    </xf>
    <xf numFmtId="183" fontId="57" fillId="7" borderId="23" xfId="2" applyNumberFormat="1" applyFont="1" applyFill="1" applyBorder="1" applyAlignment="1">
      <alignment horizontal="center" vertical="center"/>
    </xf>
    <xf numFmtId="178" fontId="57" fillId="7" borderId="616" xfId="2" applyNumberFormat="1" applyFont="1" applyFill="1" applyBorder="1" applyAlignment="1">
      <alignment horizontal="center" vertical="center"/>
    </xf>
    <xf numFmtId="187" fontId="57" fillId="0" borderId="616" xfId="2" applyNumberFormat="1" applyFont="1" applyFill="1" applyBorder="1" applyAlignment="1">
      <alignment horizontal="center" vertical="center"/>
    </xf>
    <xf numFmtId="178" fontId="57" fillId="7" borderId="605" xfId="2" applyNumberFormat="1" applyFont="1" applyFill="1" applyBorder="1" applyAlignment="1">
      <alignment horizontal="center" vertical="center"/>
    </xf>
    <xf numFmtId="178" fontId="57" fillId="7" borderId="288" xfId="2" applyNumberFormat="1" applyFont="1" applyFill="1" applyBorder="1" applyAlignment="1">
      <alignment horizontal="center" vertical="center"/>
    </xf>
    <xf numFmtId="187" fontId="57" fillId="7" borderId="49" xfId="2" applyNumberFormat="1" applyFont="1" applyFill="1" applyBorder="1" applyAlignment="1">
      <alignment horizontal="center" vertical="center"/>
    </xf>
    <xf numFmtId="187" fontId="57" fillId="7" borderId="86" xfId="2" applyNumberFormat="1" applyFont="1" applyFill="1" applyBorder="1" applyAlignment="1">
      <alignment horizontal="center" vertical="center"/>
    </xf>
    <xf numFmtId="178" fontId="57" fillId="0" borderId="40" xfId="2" applyNumberFormat="1" applyFont="1" applyFill="1" applyBorder="1" applyAlignment="1">
      <alignment horizontal="center" vertical="center"/>
    </xf>
    <xf numFmtId="187" fontId="34" fillId="0" borderId="228" xfId="0" applyNumberFormat="1" applyFont="1" applyBorder="1" applyAlignment="1">
      <alignment horizontal="center" vertical="center"/>
    </xf>
    <xf numFmtId="183" fontId="57" fillId="7" borderId="605" xfId="2" applyNumberFormat="1" applyFont="1" applyFill="1" applyBorder="1" applyAlignment="1">
      <alignment horizontal="center" vertical="center"/>
    </xf>
    <xf numFmtId="183" fontId="57" fillId="7" borderId="49" xfId="2" applyNumberFormat="1" applyFont="1" applyFill="1" applyBorder="1" applyAlignment="1">
      <alignment horizontal="center" vertical="center"/>
    </xf>
    <xf numFmtId="183" fontId="57" fillId="7" borderId="519" xfId="2" applyNumberFormat="1" applyFont="1" applyFill="1" applyBorder="1" applyAlignment="1">
      <alignment horizontal="center" vertical="center"/>
    </xf>
    <xf numFmtId="183" fontId="57" fillId="0" borderId="352" xfId="0" applyNumberFormat="1" applyFont="1" applyBorder="1" applyAlignment="1">
      <alignment horizontal="center" vertical="center"/>
    </xf>
    <xf numFmtId="183" fontId="57" fillId="7" borderId="86" xfId="2" applyNumberFormat="1" applyFont="1" applyFill="1" applyBorder="1" applyAlignment="1">
      <alignment horizontal="center" vertical="center"/>
    </xf>
    <xf numFmtId="185" fontId="57" fillId="0" borderId="86" xfId="0" applyNumberFormat="1" applyFont="1" applyFill="1" applyBorder="1" applyAlignment="1">
      <alignment horizontal="center" vertical="center"/>
    </xf>
    <xf numFmtId="2" fontId="57" fillId="0" borderId="605" xfId="0" applyNumberFormat="1" applyFont="1" applyFill="1" applyBorder="1" applyAlignment="1">
      <alignment horizontal="center" vertical="center"/>
    </xf>
    <xf numFmtId="185" fontId="57" fillId="0" borderId="605" xfId="0" applyNumberFormat="1" applyFont="1" applyFill="1" applyBorder="1" applyAlignment="1">
      <alignment horizontal="center" vertical="center"/>
    </xf>
    <xf numFmtId="2" fontId="28" fillId="0" borderId="519" xfId="0" applyNumberFormat="1" applyFont="1" applyFill="1" applyBorder="1" applyAlignment="1">
      <alignment horizontal="center" vertical="center"/>
    </xf>
    <xf numFmtId="187" fontId="57" fillId="7" borderId="684" xfId="2" applyNumberFormat="1" applyFont="1" applyFill="1" applyBorder="1" applyAlignment="1">
      <alignment horizontal="center" vertical="center"/>
    </xf>
    <xf numFmtId="183" fontId="57" fillId="7" borderId="685" xfId="2" applyNumberFormat="1" applyFont="1" applyFill="1" applyBorder="1" applyAlignment="1">
      <alignment horizontal="center" vertical="center"/>
    </xf>
    <xf numFmtId="178" fontId="57" fillId="7" borderId="686" xfId="0" applyNumberFormat="1" applyFont="1" applyFill="1" applyBorder="1" applyAlignment="1">
      <alignment horizontal="center" vertical="center"/>
    </xf>
    <xf numFmtId="187" fontId="57" fillId="7" borderId="352" xfId="0" applyNumberFormat="1" applyFont="1" applyFill="1" applyBorder="1" applyAlignment="1">
      <alignment horizontal="center" vertical="center"/>
    </xf>
    <xf numFmtId="226" fontId="57" fillId="7" borderId="685" xfId="2" applyNumberFormat="1" applyFont="1" applyFill="1" applyBorder="1" applyAlignment="1">
      <alignment horizontal="center" vertical="center"/>
    </xf>
    <xf numFmtId="226" fontId="57" fillId="0" borderId="605" xfId="2" applyNumberFormat="1" applyFont="1" applyFill="1" applyBorder="1" applyAlignment="1">
      <alignment horizontal="center" vertical="center"/>
    </xf>
    <xf numFmtId="187" fontId="57" fillId="0" borderId="519" xfId="2" applyNumberFormat="1" applyFont="1" applyFill="1" applyBorder="1" applyAlignment="1">
      <alignment horizontal="center" vertical="center"/>
    </xf>
    <xf numFmtId="187" fontId="57" fillId="7" borderId="352" xfId="2" applyNumberFormat="1" applyFont="1" applyFill="1" applyBorder="1" applyAlignment="1">
      <alignment horizontal="center" vertical="center"/>
    </xf>
    <xf numFmtId="223" fontId="171" fillId="7" borderId="288" xfId="0" applyNumberFormat="1" applyFont="1" applyFill="1" applyBorder="1" applyAlignment="1">
      <alignment horizontal="center" vertical="center"/>
    </xf>
    <xf numFmtId="187" fontId="57" fillId="0" borderId="616" xfId="0" applyNumberFormat="1" applyFont="1" applyBorder="1" applyAlignment="1">
      <alignment horizontal="center" vertical="center"/>
    </xf>
    <xf numFmtId="187" fontId="57" fillId="0" borderId="616" xfId="2" applyNumberFormat="1" applyFont="1" applyBorder="1" applyAlignment="1">
      <alignment horizontal="center" vertical="center"/>
    </xf>
    <xf numFmtId="226" fontId="57" fillId="0" borderId="605" xfId="2" applyNumberFormat="1" applyFont="1" applyBorder="1" applyAlignment="1">
      <alignment horizontal="center" vertical="center"/>
    </xf>
    <xf numFmtId="226" fontId="57" fillId="0" borderId="49" xfId="2" applyNumberFormat="1" applyFont="1" applyBorder="1" applyAlignment="1">
      <alignment horizontal="center" vertical="center"/>
    </xf>
    <xf numFmtId="226" fontId="57" fillId="0" borderId="519" xfId="2" applyNumberFormat="1" applyFont="1" applyBorder="1" applyAlignment="1">
      <alignment horizontal="center" vertical="center"/>
    </xf>
    <xf numFmtId="2" fontId="57" fillId="0" borderId="23" xfId="0" applyNumberFormat="1" applyFont="1" applyBorder="1" applyAlignment="1">
      <alignment horizontal="center" vertical="center"/>
    </xf>
    <xf numFmtId="187" fontId="57" fillId="0" borderId="684" xfId="2" applyNumberFormat="1" applyFont="1" applyBorder="1" applyAlignment="1">
      <alignment horizontal="center" vertical="center"/>
    </xf>
    <xf numFmtId="187" fontId="57" fillId="0" borderId="687" xfId="2" applyNumberFormat="1" applyFont="1" applyBorder="1" applyAlignment="1">
      <alignment horizontal="center" vertical="center"/>
    </xf>
    <xf numFmtId="187" fontId="57" fillId="0" borderId="86" xfId="2" applyNumberFormat="1" applyFont="1" applyBorder="1" applyAlignment="1">
      <alignment horizontal="center" vertical="center"/>
    </xf>
    <xf numFmtId="187" fontId="57" fillId="0" borderId="519" xfId="2" applyNumberFormat="1" applyFont="1" applyBorder="1" applyAlignment="1">
      <alignment horizontal="center" vertical="center"/>
    </xf>
    <xf numFmtId="0" fontId="176" fillId="125" borderId="605" xfId="0" quotePrefix="1" applyFont="1" applyFill="1" applyBorder="1" applyAlignment="1">
      <alignment horizontal="center" vertical="center"/>
    </xf>
    <xf numFmtId="226" fontId="57" fillId="5" borderId="49" xfId="2" applyNumberFormat="1" applyFont="1" applyFill="1" applyBorder="1" applyAlignment="1">
      <alignment horizontal="center" vertical="center"/>
    </xf>
    <xf numFmtId="226" fontId="57" fillId="5" borderId="616" xfId="2" applyNumberFormat="1" applyFont="1" applyFill="1" applyBorder="1" applyAlignment="1">
      <alignment horizontal="center" vertical="center"/>
    </xf>
    <xf numFmtId="226" fontId="57" fillId="7" borderId="651" xfId="2" applyNumberFormat="1" applyFont="1" applyFill="1" applyBorder="1" applyAlignment="1">
      <alignment horizontal="center" vertical="center"/>
    </xf>
    <xf numFmtId="10" fontId="165" fillId="0" borderId="616" xfId="0" applyNumberFormat="1" applyFont="1" applyBorder="1" applyAlignment="1">
      <alignment horizontal="center" vertical="center" wrapText="1"/>
    </xf>
    <xf numFmtId="183" fontId="165" fillId="0" borderId="616" xfId="0" applyNumberFormat="1" applyFont="1" applyBorder="1" applyAlignment="1">
      <alignment horizontal="center" vertical="center" wrapText="1"/>
    </xf>
    <xf numFmtId="178" fontId="176" fillId="125" borderId="519" xfId="0" applyNumberFormat="1" applyFont="1" applyFill="1" applyBorder="1" applyAlignment="1">
      <alignment horizontal="center" vertical="center"/>
    </xf>
    <xf numFmtId="0" fontId="176" fillId="125" borderId="519" xfId="0" applyFont="1" applyFill="1" applyBorder="1" applyAlignment="1">
      <alignment horizontal="center" vertical="center"/>
    </xf>
    <xf numFmtId="183" fontId="176" fillId="125" borderId="616" xfId="0" applyNumberFormat="1" applyFont="1" applyFill="1" applyBorder="1" applyAlignment="1">
      <alignment horizontal="center" vertical="center"/>
    </xf>
    <xf numFmtId="183" fontId="176" fillId="125" borderId="605" xfId="2" applyNumberFormat="1" applyFont="1" applyFill="1" applyBorder="1" applyAlignment="1">
      <alignment horizontal="center" vertical="center"/>
    </xf>
    <xf numFmtId="183" fontId="176" fillId="125" borderId="605" xfId="2" applyNumberFormat="1" applyFont="1" applyFill="1" applyBorder="1" applyAlignment="1">
      <alignment horizontal="center" vertical="center" wrapText="1"/>
    </xf>
    <xf numFmtId="177" fontId="28" fillId="7" borderId="616" xfId="0" applyNumberFormat="1" applyFont="1" applyFill="1" applyBorder="1" applyAlignment="1">
      <alignment horizontal="center" vertical="center"/>
    </xf>
    <xf numFmtId="183" fontId="28" fillId="7" borderId="471" xfId="2" applyNumberFormat="1" applyFont="1" applyFill="1" applyBorder="1" applyAlignment="1">
      <alignment horizontal="center" vertical="center"/>
    </xf>
    <xf numFmtId="4" fontId="57" fillId="7" borderId="471" xfId="2" applyNumberFormat="1" applyFont="1" applyFill="1" applyBorder="1" applyAlignment="1">
      <alignment horizontal="center" vertical="center"/>
    </xf>
    <xf numFmtId="183" fontId="28" fillId="0" borderId="635" xfId="2" applyNumberFormat="1" applyFont="1" applyFill="1" applyBorder="1" applyAlignment="1">
      <alignment horizontal="center" vertical="center"/>
    </xf>
    <xf numFmtId="4" fontId="57" fillId="7" borderId="633" xfId="2" applyNumberFormat="1" applyFont="1" applyFill="1" applyBorder="1" applyAlignment="1">
      <alignment horizontal="center" vertical="center"/>
    </xf>
    <xf numFmtId="3" fontId="57" fillId="7" borderId="471" xfId="2" applyNumberFormat="1" applyFont="1" applyFill="1" applyBorder="1" applyAlignment="1">
      <alignment horizontal="center" vertical="center"/>
    </xf>
    <xf numFmtId="4" fontId="28" fillId="7" borderId="651" xfId="2" applyNumberFormat="1" applyFont="1" applyFill="1" applyBorder="1" applyAlignment="1">
      <alignment horizontal="center" vertical="center"/>
    </xf>
    <xf numFmtId="4" fontId="28" fillId="7" borderId="649" xfId="2" applyNumberFormat="1" applyFont="1" applyFill="1" applyBorder="1" applyAlignment="1">
      <alignment horizontal="center" vertical="center"/>
    </xf>
    <xf numFmtId="0" fontId="28" fillId="5" borderId="616" xfId="0" applyFont="1" applyFill="1" applyBorder="1" applyAlignment="1">
      <alignment horizontal="center" vertical="center" wrapText="1"/>
    </xf>
    <xf numFmtId="178" fontId="28" fillId="0" borderId="616" xfId="0" applyNumberFormat="1" applyFont="1" applyBorder="1" applyAlignment="1">
      <alignment horizontal="center" vertical="center"/>
    </xf>
    <xf numFmtId="178" fontId="28" fillId="0" borderId="604" xfId="0" applyNumberFormat="1" applyFont="1" applyBorder="1" applyAlignment="1">
      <alignment horizontal="center" vertical="center"/>
    </xf>
    <xf numFmtId="178" fontId="28" fillId="0" borderId="688" xfId="0" applyNumberFormat="1" applyFont="1" applyBorder="1" applyAlignment="1">
      <alignment horizontal="center" vertical="center"/>
    </xf>
    <xf numFmtId="178" fontId="28" fillId="0" borderId="689" xfId="0" applyNumberFormat="1" applyFont="1" applyBorder="1" applyAlignment="1">
      <alignment horizontal="center" vertical="center"/>
    </xf>
    <xf numFmtId="187" fontId="188" fillId="0" borderId="0" xfId="0" applyNumberFormat="1" applyFont="1" applyFill="1">
      <alignment vertical="center"/>
    </xf>
    <xf numFmtId="3" fontId="28" fillId="0" borderId="255" xfId="0" applyNumberFormat="1" applyFont="1" applyBorder="1" applyAlignment="1">
      <alignment horizontal="center" vertical="center" wrapText="1"/>
    </xf>
    <xf numFmtId="185" fontId="176" fillId="125" borderId="255" xfId="0" applyNumberFormat="1" applyFont="1" applyFill="1" applyBorder="1" applyAlignment="1">
      <alignment horizontal="center" vertical="center" wrapText="1"/>
    </xf>
    <xf numFmtId="177" fontId="176" fillId="128" borderId="57" xfId="0" applyNumberFormat="1" applyFont="1" applyFill="1" applyBorder="1" applyAlignment="1">
      <alignment horizontal="center" vertical="center" wrapText="1"/>
    </xf>
    <xf numFmtId="223" fontId="28" fillId="0" borderId="6" xfId="0" applyNumberFormat="1" applyFont="1" applyBorder="1" applyAlignment="1">
      <alignment horizontal="center" vertical="center"/>
    </xf>
    <xf numFmtId="223" fontId="57" fillId="0" borderId="122" xfId="2" applyNumberFormat="1" applyFont="1" applyFill="1" applyBorder="1" applyAlignment="1">
      <alignment horizontal="center" vertical="center"/>
    </xf>
    <xf numFmtId="223" fontId="57" fillId="0" borderId="609" xfId="2" applyNumberFormat="1" applyFont="1" applyFill="1" applyBorder="1" applyAlignment="1">
      <alignment horizontal="center" vertical="center"/>
    </xf>
    <xf numFmtId="223" fontId="28" fillId="125" borderId="5" xfId="0" applyNumberFormat="1" applyFont="1" applyFill="1" applyBorder="1" applyAlignment="1">
      <alignment horizontal="center" vertical="center"/>
    </xf>
    <xf numFmtId="223" fontId="28" fillId="0" borderId="226" xfId="0" applyNumberFormat="1" applyFont="1" applyBorder="1" applyAlignment="1">
      <alignment horizontal="center" vertical="center"/>
    </xf>
    <xf numFmtId="238" fontId="176" fillId="125" borderId="609" xfId="0" applyNumberFormat="1" applyFont="1" applyFill="1" applyBorder="1" applyAlignment="1">
      <alignment horizontal="center" vertical="center"/>
    </xf>
    <xf numFmtId="238" fontId="176" fillId="125" borderId="516" xfId="2" applyNumberFormat="1" applyFont="1" applyFill="1" applyBorder="1" applyAlignment="1">
      <alignment horizontal="center" vertical="center"/>
    </xf>
    <xf numFmtId="238" fontId="28" fillId="0" borderId="609" xfId="0" applyNumberFormat="1" applyFont="1" applyFill="1" applyBorder="1" applyAlignment="1">
      <alignment horizontal="center" vertical="center"/>
    </xf>
    <xf numFmtId="238" fontId="28" fillId="117" borderId="609" xfId="0" applyNumberFormat="1" applyFont="1" applyFill="1" applyBorder="1" applyAlignment="1">
      <alignment horizontal="center" vertical="center"/>
    </xf>
    <xf numFmtId="238" fontId="28" fillId="125" borderId="5" xfId="0" applyNumberFormat="1" applyFont="1" applyFill="1" applyBorder="1" applyAlignment="1">
      <alignment horizontal="center" vertical="center"/>
    </xf>
    <xf numFmtId="238" fontId="28" fillId="0" borderId="122" xfId="0" applyNumberFormat="1" applyFont="1" applyFill="1" applyBorder="1" applyAlignment="1">
      <alignment horizontal="center" vertical="center"/>
    </xf>
    <xf numFmtId="238" fontId="176" fillId="125" borderId="516" xfId="0" applyNumberFormat="1" applyFont="1" applyFill="1" applyBorder="1" applyAlignment="1">
      <alignment horizontal="center" vertical="center"/>
    </xf>
    <xf numFmtId="223" fontId="28" fillId="0" borderId="122" xfId="0" applyNumberFormat="1" applyFont="1" applyFill="1" applyBorder="1" applyAlignment="1">
      <alignment horizontal="center" vertical="center"/>
    </xf>
    <xf numFmtId="223" fontId="28" fillId="0" borderId="603" xfId="0" applyNumberFormat="1" applyFont="1" applyFill="1" applyBorder="1" applyAlignment="1">
      <alignment horizontal="center" vertical="center"/>
    </xf>
    <xf numFmtId="223" fontId="28" fillId="0" borderId="516" xfId="0" applyNumberFormat="1" applyFont="1" applyFill="1" applyBorder="1" applyAlignment="1">
      <alignment horizontal="center" vertical="center"/>
    </xf>
    <xf numFmtId="223" fontId="187" fillId="0" borderId="122" xfId="0" applyNumberFormat="1" applyFont="1" applyBorder="1" applyAlignment="1">
      <alignment horizontal="center" vertical="center"/>
    </xf>
    <xf numFmtId="223" fontId="187" fillId="0" borderId="609" xfId="0" applyNumberFormat="1" applyFont="1" applyBorder="1" applyAlignment="1">
      <alignment horizontal="center" vertical="center"/>
    </xf>
    <xf numFmtId="223" fontId="187" fillId="0" borderId="603" xfId="0" applyNumberFormat="1" applyFont="1" applyBorder="1" applyAlignment="1">
      <alignment horizontal="center" vertical="center"/>
    </xf>
    <xf numFmtId="176" fontId="228" fillId="4" borderId="123" xfId="0" applyNumberFormat="1" applyFont="1" applyFill="1" applyBorder="1" applyAlignment="1">
      <alignment horizontal="center" vertical="center"/>
    </xf>
    <xf numFmtId="187" fontId="213" fillId="137" borderId="611" xfId="0" applyNumberFormat="1" applyFont="1" applyFill="1" applyBorder="1" applyAlignment="1">
      <alignment horizontal="center" vertical="center"/>
    </xf>
    <xf numFmtId="183" fontId="213" fillId="4" borderId="611" xfId="2" applyNumberFormat="1" applyFont="1" applyFill="1" applyBorder="1" applyAlignment="1">
      <alignment horizontal="center" vertical="center"/>
    </xf>
    <xf numFmtId="228" fontId="34" fillId="4" borderId="123" xfId="2" applyNumberFormat="1" applyFont="1" applyFill="1" applyBorder="1" applyAlignment="1">
      <alignment horizontal="center" vertical="center"/>
    </xf>
    <xf numFmtId="183" fontId="34" fillId="4" borderId="611" xfId="0" applyNumberFormat="1" applyFont="1" applyFill="1" applyBorder="1" applyAlignment="1">
      <alignment horizontal="center" vertical="center"/>
    </xf>
    <xf numFmtId="176" fontId="228" fillId="4" borderId="202" xfId="0" applyNumberFormat="1" applyFont="1" applyFill="1" applyBorder="1" applyAlignment="1">
      <alignment horizontal="center" vertical="center"/>
    </xf>
    <xf numFmtId="179" fontId="232" fillId="118" borderId="47" xfId="1" applyNumberFormat="1" applyFont="1" applyFill="1" applyBorder="1" applyAlignment="1">
      <alignment horizontal="center" vertical="center"/>
    </xf>
    <xf numFmtId="179" fontId="228" fillId="118" borderId="122" xfId="1" applyNumberFormat="1" applyFont="1" applyFill="1" applyBorder="1" applyAlignment="1">
      <alignment horizontal="center" vertical="center"/>
    </xf>
    <xf numFmtId="179" fontId="232" fillId="118" borderId="48" xfId="1" applyNumberFormat="1" applyFont="1" applyFill="1" applyBorder="1" applyAlignment="1">
      <alignment horizontal="center" vertical="center"/>
    </xf>
    <xf numFmtId="0" fontId="232" fillId="143" borderId="608" xfId="0" applyFont="1" applyFill="1" applyBorder="1" applyAlignment="1">
      <alignment horizontal="center" vertical="center"/>
    </xf>
    <xf numFmtId="177" fontId="0" fillId="0" borderId="615" xfId="0" applyNumberFormat="1" applyBorder="1" applyAlignment="1">
      <alignment horizontal="center" vertical="center"/>
    </xf>
    <xf numFmtId="177" fontId="0" fillId="0" borderId="604" xfId="0" applyNumberFormat="1" applyBorder="1" applyAlignment="1">
      <alignment horizontal="center" vertical="center"/>
    </xf>
    <xf numFmtId="0" fontId="232" fillId="143" borderId="615" xfId="0" applyFont="1" applyFill="1" applyBorder="1" applyAlignment="1">
      <alignment horizontal="center" vertical="center"/>
    </xf>
    <xf numFmtId="10" fontId="232" fillId="141" borderId="615" xfId="1" applyNumberFormat="1" applyFont="1" applyFill="1" applyBorder="1" applyAlignment="1">
      <alignment horizontal="center" vertical="center"/>
    </xf>
    <xf numFmtId="177" fontId="0" fillId="0" borderId="607" xfId="0" applyNumberFormat="1" applyBorder="1" applyAlignment="1">
      <alignment horizontal="center" vertical="center"/>
    </xf>
    <xf numFmtId="10" fontId="232" fillId="141" borderId="48" xfId="1" applyNumberFormat="1" applyFont="1" applyFill="1" applyBorder="1" applyAlignment="1">
      <alignment horizontal="center" vertical="center"/>
    </xf>
    <xf numFmtId="10" fontId="29" fillId="141" borderId="604" xfId="1" applyNumberFormat="1" applyFont="1" applyFill="1" applyBorder="1" applyAlignment="1">
      <alignment horizontal="center" vertical="center"/>
    </xf>
    <xf numFmtId="240" fontId="232" fillId="141" borderId="517" xfId="0" applyNumberFormat="1" applyFont="1" applyFill="1" applyBorder="1" applyAlignment="1">
      <alignment horizontal="center" vertical="center"/>
    </xf>
    <xf numFmtId="10" fontId="29" fillId="141" borderId="608" xfId="1" applyNumberFormat="1" applyFont="1" applyFill="1" applyBorder="1" applyAlignment="1">
      <alignment horizontal="center" vertical="center"/>
    </xf>
    <xf numFmtId="0" fontId="232" fillId="143" borderId="124" xfId="0" applyFont="1" applyFill="1" applyBorder="1" applyAlignment="1">
      <alignment horizontal="center" vertical="center"/>
    </xf>
    <xf numFmtId="10" fontId="232" fillId="141" borderId="592" xfId="1" applyNumberFormat="1" applyFont="1" applyFill="1" applyBorder="1" applyAlignment="1">
      <alignment horizontal="center" vertical="center"/>
    </xf>
    <xf numFmtId="177" fontId="0" fillId="0" borderId="585" xfId="0" applyNumberFormat="1" applyBorder="1" applyAlignment="1">
      <alignment horizontal="center" vertical="center"/>
    </xf>
    <xf numFmtId="10" fontId="232" fillId="141" borderId="124" xfId="1" applyNumberFormat="1" applyFont="1" applyFill="1" applyBorder="1" applyAlignment="1">
      <alignment horizontal="center" vertical="center"/>
    </xf>
    <xf numFmtId="10" fontId="29" fillId="141" borderId="597" xfId="1" applyNumberFormat="1" applyFont="1" applyFill="1" applyBorder="1" applyAlignment="1">
      <alignment horizontal="center" vertical="center"/>
    </xf>
    <xf numFmtId="240" fontId="232" fillId="141" borderId="585" xfId="0" applyNumberFormat="1" applyFont="1" applyFill="1" applyBorder="1" applyAlignment="1">
      <alignment horizontal="center" vertical="center"/>
    </xf>
    <xf numFmtId="0" fontId="232" fillId="136" borderId="228" xfId="0" applyFont="1" applyFill="1" applyBorder="1" applyAlignment="1">
      <alignment horizontal="center" vertical="center"/>
    </xf>
    <xf numFmtId="10" fontId="198" fillId="0" borderId="40" xfId="1" applyNumberFormat="1" applyFont="1" applyFill="1" applyBorder="1" applyAlignment="1">
      <alignment horizontal="center" vertical="center"/>
    </xf>
    <xf numFmtId="10" fontId="198" fillId="0" borderId="608" xfId="1" applyNumberFormat="1" applyFont="1" applyFill="1" applyBorder="1" applyAlignment="1">
      <alignment horizontal="center" vertical="center"/>
    </xf>
    <xf numFmtId="10" fontId="198" fillId="0" borderId="604" xfId="1" applyNumberFormat="1" applyFont="1" applyFill="1" applyBorder="1" applyAlignment="1">
      <alignment horizontal="center" vertical="center"/>
    </xf>
    <xf numFmtId="10" fontId="232" fillId="133" borderId="47" xfId="1" applyNumberFormat="1" applyFont="1" applyFill="1" applyBorder="1" applyAlignment="1">
      <alignment horizontal="center" vertical="center"/>
    </xf>
    <xf numFmtId="240" fontId="232" fillId="133" borderId="517" xfId="0" applyNumberFormat="1" applyFont="1" applyFill="1" applyBorder="1" applyAlignment="1">
      <alignment horizontal="center" vertical="center"/>
    </xf>
    <xf numFmtId="0" fontId="232" fillId="136" borderId="289" xfId="0" applyFont="1" applyFill="1" applyBorder="1" applyAlignment="1">
      <alignment horizontal="center" vertical="center"/>
    </xf>
    <xf numFmtId="10" fontId="198" fillId="0" borderId="308" xfId="1" applyNumberFormat="1" applyFont="1" applyFill="1" applyBorder="1" applyAlignment="1">
      <alignment horizontal="center" vertical="center"/>
    </xf>
    <xf numFmtId="10" fontId="198" fillId="0" borderId="592" xfId="1" applyNumberFormat="1" applyFont="1" applyFill="1" applyBorder="1" applyAlignment="1">
      <alignment horizontal="center" vertical="center"/>
    </xf>
    <xf numFmtId="10" fontId="198" fillId="0" borderId="597" xfId="1" applyNumberFormat="1" applyFont="1" applyFill="1" applyBorder="1" applyAlignment="1">
      <alignment horizontal="center" vertical="center"/>
    </xf>
    <xf numFmtId="10" fontId="232" fillId="133" borderId="124" xfId="1" applyNumberFormat="1" applyFont="1" applyFill="1" applyBorder="1" applyAlignment="1">
      <alignment horizontal="center" vertical="center"/>
    </xf>
    <xf numFmtId="240" fontId="232" fillId="133" borderId="585" xfId="0" applyNumberFormat="1" applyFont="1" applyFill="1" applyBorder="1" applyAlignment="1">
      <alignment horizontal="center" vertical="center"/>
    </xf>
    <xf numFmtId="0" fontId="232" fillId="142" borderId="289" xfId="0" applyFont="1" applyFill="1" applyBorder="1" applyAlignment="1">
      <alignment horizontal="center" vertical="center"/>
    </xf>
    <xf numFmtId="179" fontId="198" fillId="0" borderId="592" xfId="0" applyNumberFormat="1" applyFont="1" applyFill="1" applyBorder="1" applyAlignment="1">
      <alignment horizontal="center" vertical="center"/>
    </xf>
    <xf numFmtId="179" fontId="232" fillId="118" borderId="124" xfId="1" applyNumberFormat="1" applyFont="1" applyFill="1" applyBorder="1" applyAlignment="1">
      <alignment horizontal="center" vertical="center"/>
    </xf>
    <xf numFmtId="240" fontId="232" fillId="118" borderId="585" xfId="0" applyNumberFormat="1" applyFont="1" applyFill="1" applyBorder="1" applyAlignment="1">
      <alignment horizontal="center" vertical="center"/>
    </xf>
    <xf numFmtId="0" fontId="232" fillId="139" borderId="289" xfId="0" applyFont="1" applyFill="1" applyBorder="1" applyAlignment="1">
      <alignment horizontal="center" vertical="center"/>
    </xf>
    <xf numFmtId="10" fontId="215" fillId="0" borderId="308" xfId="0" applyNumberFormat="1" applyFont="1" applyBorder="1" applyAlignment="1">
      <alignment horizontal="center" vertical="center"/>
    </xf>
    <xf numFmtId="10" fontId="215" fillId="0" borderId="592" xfId="0" applyNumberFormat="1" applyFont="1" applyBorder="1" applyAlignment="1">
      <alignment horizontal="center" vertical="center"/>
    </xf>
    <xf numFmtId="10" fontId="0" fillId="0" borderId="592" xfId="0" applyNumberFormat="1" applyBorder="1" applyAlignment="1">
      <alignment horizontal="center" vertical="center"/>
    </xf>
    <xf numFmtId="10" fontId="0" fillId="140" borderId="592" xfId="0" applyNumberFormat="1" applyFill="1" applyBorder="1" applyAlignment="1">
      <alignment horizontal="center" vertical="center"/>
    </xf>
    <xf numFmtId="240" fontId="29" fillId="139" borderId="585" xfId="0" applyNumberFormat="1" applyFont="1" applyFill="1" applyBorder="1" applyAlignment="1">
      <alignment horizontal="center" vertical="center"/>
    </xf>
    <xf numFmtId="0" fontId="232" fillId="130" borderId="517" xfId="0" applyFont="1" applyFill="1" applyBorder="1" applyAlignment="1">
      <alignment horizontal="center" vertical="center"/>
    </xf>
    <xf numFmtId="187" fontId="43" fillId="0" borderId="48" xfId="0" applyNumberFormat="1" applyFont="1" applyBorder="1" applyAlignment="1">
      <alignment horizontal="center" vertical="center"/>
    </xf>
    <xf numFmtId="187" fontId="43" fillId="0" borderId="615" xfId="0" applyNumberFormat="1" applyFont="1" applyBorder="1" applyAlignment="1">
      <alignment horizontal="center" vertical="center"/>
    </xf>
    <xf numFmtId="187" fontId="43" fillId="0" borderId="608" xfId="0" applyNumberFormat="1" applyFont="1" applyBorder="1" applyAlignment="1">
      <alignment horizontal="center" vertical="center"/>
    </xf>
    <xf numFmtId="177" fontId="232" fillId="4" borderId="608" xfId="2" applyNumberFormat="1" applyFont="1" applyFill="1" applyBorder="1" applyAlignment="1">
      <alignment horizontal="center" vertical="center"/>
    </xf>
    <xf numFmtId="0" fontId="232" fillId="130" borderId="289" xfId="0" applyFont="1" applyFill="1" applyBorder="1" applyAlignment="1">
      <alignment horizontal="center" vertical="center"/>
    </xf>
    <xf numFmtId="187" fontId="43" fillId="0" borderId="124" xfId="0" applyNumberFormat="1" applyFont="1" applyBorder="1" applyAlignment="1">
      <alignment horizontal="center" vertical="center"/>
    </xf>
    <xf numFmtId="187" fontId="43" fillId="0" borderId="592" xfId="0" applyNumberFormat="1" applyFont="1" applyBorder="1" applyAlignment="1">
      <alignment horizontal="center" vertical="center"/>
    </xf>
    <xf numFmtId="187" fontId="43" fillId="0" borderId="585" xfId="0" applyNumberFormat="1" applyFont="1" applyBorder="1" applyAlignment="1">
      <alignment horizontal="center" vertical="center"/>
    </xf>
    <xf numFmtId="187" fontId="251" fillId="4" borderId="124" xfId="0" applyNumberFormat="1" applyFont="1" applyFill="1" applyBorder="1" applyAlignment="1">
      <alignment horizontal="center" vertical="center"/>
    </xf>
    <xf numFmtId="177" fontId="238" fillId="4" borderId="597" xfId="2" applyNumberFormat="1" applyFont="1" applyFill="1" applyBorder="1" applyAlignment="1">
      <alignment horizontal="center" vertical="center"/>
    </xf>
    <xf numFmtId="240" fontId="232" fillId="4" borderId="585" xfId="0" applyNumberFormat="1" applyFont="1" applyFill="1" applyBorder="1" applyAlignment="1">
      <alignment horizontal="center" vertical="center"/>
    </xf>
    <xf numFmtId="0" fontId="232" fillId="138" borderId="517" xfId="0" applyFont="1" applyFill="1" applyBorder="1" applyAlignment="1">
      <alignment horizontal="center" vertical="center"/>
    </xf>
    <xf numFmtId="177" fontId="0" fillId="0" borderId="40" xfId="0" applyNumberFormat="1" applyBorder="1" applyAlignment="1">
      <alignment horizontal="center" vertical="center"/>
    </xf>
    <xf numFmtId="226" fontId="167" fillId="137" borderId="47" xfId="2" applyNumberFormat="1" applyFont="1" applyFill="1" applyBorder="1" applyAlignment="1">
      <alignment horizontal="center" vertical="center"/>
    </xf>
    <xf numFmtId="240" fontId="34" fillId="137" borderId="608" xfId="0" applyNumberFormat="1" applyFont="1" applyFill="1" applyBorder="1" applyAlignment="1">
      <alignment horizontal="center" vertical="center"/>
    </xf>
    <xf numFmtId="179" fontId="45" fillId="138" borderId="517" xfId="0" applyNumberFormat="1" applyFont="1" applyFill="1" applyBorder="1" applyAlignment="1">
      <alignment horizontal="center" vertical="center"/>
    </xf>
    <xf numFmtId="240" fontId="34" fillId="137" borderId="330" xfId="0" applyNumberFormat="1" applyFont="1" applyFill="1" applyBorder="1" applyAlignment="1">
      <alignment horizontal="center" vertical="center"/>
    </xf>
    <xf numFmtId="176" fontId="34" fillId="138" borderId="517" xfId="0" applyNumberFormat="1" applyFont="1" applyFill="1" applyBorder="1" applyAlignment="1">
      <alignment horizontal="center" vertical="center"/>
    </xf>
    <xf numFmtId="0" fontId="232" fillId="138" borderId="289" xfId="0" applyFont="1" applyFill="1" applyBorder="1" applyAlignment="1">
      <alignment horizontal="center" vertical="center"/>
    </xf>
    <xf numFmtId="177" fontId="0" fillId="0" borderId="308" xfId="0" applyNumberFormat="1" applyBorder="1" applyAlignment="1">
      <alignment horizontal="center" vertical="center"/>
    </xf>
    <xf numFmtId="177" fontId="0" fillId="0" borderId="597" xfId="0" applyNumberFormat="1" applyBorder="1" applyAlignment="1">
      <alignment horizontal="center" vertical="center"/>
    </xf>
    <xf numFmtId="226" fontId="167" fillId="137" borderId="124" xfId="2" applyNumberFormat="1" applyFont="1" applyFill="1" applyBorder="1" applyAlignment="1">
      <alignment horizontal="center" vertical="center"/>
    </xf>
    <xf numFmtId="240" fontId="34" fillId="137" borderId="592" xfId="0" applyNumberFormat="1" applyFont="1" applyFill="1" applyBorder="1" applyAlignment="1">
      <alignment horizontal="center" vertical="center"/>
    </xf>
    <xf numFmtId="179" fontId="45" fillId="138" borderId="585" xfId="0" applyNumberFormat="1" applyFont="1" applyFill="1" applyBorder="1" applyAlignment="1">
      <alignment horizontal="center" vertical="center"/>
    </xf>
    <xf numFmtId="240" fontId="34" fillId="137" borderId="96" xfId="0" applyNumberFormat="1" applyFont="1" applyFill="1" applyBorder="1" applyAlignment="1">
      <alignment horizontal="center" vertical="center"/>
    </xf>
    <xf numFmtId="176" fontId="34" fillId="138" borderId="585" xfId="0" applyNumberFormat="1" applyFont="1" applyFill="1" applyBorder="1" applyAlignment="1">
      <alignment horizontal="center" vertical="center"/>
    </xf>
    <xf numFmtId="226" fontId="34" fillId="137" borderId="608" xfId="2" applyNumberFormat="1" applyFont="1" applyFill="1" applyBorder="1" applyAlignment="1">
      <alignment horizontal="center" vertical="center"/>
    </xf>
    <xf numFmtId="226" fontId="34" fillId="137" borderId="517" xfId="2" applyNumberFormat="1" applyFont="1" applyFill="1" applyBorder="1" applyAlignment="1">
      <alignment horizontal="center" vertical="center"/>
    </xf>
    <xf numFmtId="240" fontId="34" fillId="137" borderId="517" xfId="0" applyNumberFormat="1" applyFont="1" applyFill="1" applyBorder="1" applyAlignment="1">
      <alignment horizontal="center" vertical="center"/>
    </xf>
    <xf numFmtId="226" fontId="34" fillId="137" borderId="592" xfId="2" applyNumberFormat="1" applyFont="1" applyFill="1" applyBorder="1" applyAlignment="1">
      <alignment horizontal="center" vertical="center"/>
    </xf>
    <xf numFmtId="226" fontId="34" fillId="137" borderId="585" xfId="2" applyNumberFormat="1" applyFont="1" applyFill="1" applyBorder="1" applyAlignment="1">
      <alignment horizontal="center" vertical="center"/>
    </xf>
    <xf numFmtId="240" fontId="34" fillId="137" borderId="585" xfId="0" applyNumberFormat="1" applyFont="1" applyFill="1" applyBorder="1" applyAlignment="1">
      <alignment horizontal="center" vertical="center"/>
    </xf>
    <xf numFmtId="10" fontId="232" fillId="4" borderId="608" xfId="1" applyNumberFormat="1" applyFont="1" applyFill="1" applyBorder="1" applyAlignment="1">
      <alignment horizontal="center" vertical="center"/>
    </xf>
    <xf numFmtId="10" fontId="232" fillId="4" borderId="47" xfId="1" applyNumberFormat="1" applyFont="1" applyFill="1" applyBorder="1" applyAlignment="1">
      <alignment horizontal="center" vertical="center"/>
    </xf>
    <xf numFmtId="177" fontId="0" fillId="0" borderId="608" xfId="0" applyNumberFormat="1" applyFill="1" applyBorder="1" applyAlignment="1">
      <alignment horizontal="center" vertical="center"/>
    </xf>
    <xf numFmtId="177" fontId="0" fillId="0" borderId="604" xfId="0" applyNumberFormat="1" applyFill="1" applyBorder="1" applyAlignment="1">
      <alignment horizontal="center" vertical="center"/>
    </xf>
    <xf numFmtId="10" fontId="29" fillId="4" borderId="604" xfId="1" applyNumberFormat="1" applyFont="1" applyFill="1" applyBorder="1" applyAlignment="1">
      <alignment horizontal="center" vertical="center"/>
    </xf>
    <xf numFmtId="0" fontId="232" fillId="130" borderId="519" xfId="0" applyFont="1" applyFill="1" applyBorder="1" applyAlignment="1">
      <alignment horizontal="center" vertical="center"/>
    </xf>
    <xf numFmtId="187" fontId="43" fillId="4" borderId="49" xfId="0" applyNumberFormat="1" applyFont="1" applyFill="1" applyBorder="1" applyAlignment="1">
      <alignment horizontal="center" vertical="center"/>
    </xf>
    <xf numFmtId="177" fontId="232" fillId="4" borderId="607" xfId="2" applyNumberFormat="1" applyFont="1" applyFill="1" applyBorder="1" applyAlignment="1">
      <alignment horizontal="center" vertical="center"/>
    </xf>
    <xf numFmtId="240" fontId="232" fillId="4" borderId="519" xfId="0" applyNumberFormat="1" applyFont="1" applyFill="1" applyBorder="1" applyAlignment="1">
      <alignment horizontal="center" vertical="center"/>
    </xf>
    <xf numFmtId="177" fontId="32" fillId="0" borderId="202" xfId="0" applyNumberFormat="1" applyFont="1" applyBorder="1" applyAlignment="1">
      <alignment horizontal="center" vertical="center"/>
    </xf>
    <xf numFmtId="177" fontId="32" fillId="0" borderId="611" xfId="0" applyNumberFormat="1" applyFont="1" applyBorder="1" applyAlignment="1">
      <alignment horizontal="center" vertical="center"/>
    </xf>
    <xf numFmtId="177" fontId="32" fillId="0" borderId="594" xfId="0" applyNumberFormat="1" applyFont="1" applyBorder="1" applyAlignment="1">
      <alignment horizontal="center" vertical="center"/>
    </xf>
    <xf numFmtId="177" fontId="32" fillId="4" borderId="123" xfId="0" applyNumberFormat="1" applyFont="1" applyFill="1" applyBorder="1" applyAlignment="1">
      <alignment horizontal="center" vertical="center"/>
    </xf>
    <xf numFmtId="177" fontId="232" fillId="4" borderId="594" xfId="2" applyNumberFormat="1" applyFont="1" applyFill="1" applyBorder="1" applyAlignment="1">
      <alignment horizontal="center" vertical="center"/>
    </xf>
    <xf numFmtId="0" fontId="45" fillId="130" borderId="515" xfId="0" applyFont="1" applyFill="1" applyBorder="1" applyAlignment="1">
      <alignment horizontal="center" vertical="center"/>
    </xf>
    <xf numFmtId="240" fontId="232" fillId="4" borderId="518" xfId="0" applyNumberFormat="1" applyFont="1" applyFill="1" applyBorder="1" applyAlignment="1">
      <alignment horizontal="center" vertical="center"/>
    </xf>
    <xf numFmtId="2" fontId="28" fillId="7" borderId="609" xfId="0" applyNumberFormat="1" applyFont="1" applyFill="1" applyBorder="1" applyAlignment="1">
      <alignment horizontal="center" vertical="center"/>
    </xf>
    <xf numFmtId="183" fontId="28" fillId="7" borderId="609" xfId="0" applyNumberFormat="1" applyFont="1" applyFill="1" applyBorder="1" applyAlignment="1">
      <alignment horizontal="center" vertical="center"/>
    </xf>
    <xf numFmtId="176" fontId="28" fillId="7" borderId="609" xfId="0" applyNumberFormat="1" applyFont="1" applyFill="1" applyBorder="1" applyAlignment="1">
      <alignment horizontal="center" vertical="center"/>
    </xf>
    <xf numFmtId="4" fontId="28" fillId="7" borderId="609" xfId="0" applyNumberFormat="1" applyFont="1" applyFill="1" applyBorder="1" applyAlignment="1">
      <alignment horizontal="center" vertical="center"/>
    </xf>
    <xf numFmtId="0" fontId="28" fillId="7" borderId="609" xfId="0" applyFont="1" applyFill="1" applyBorder="1" applyAlignment="1">
      <alignment horizontal="center" vertical="center"/>
    </xf>
    <xf numFmtId="179" fontId="28" fillId="7" borderId="609" xfId="0" applyNumberFormat="1" applyFont="1" applyFill="1" applyBorder="1" applyAlignment="1">
      <alignment horizontal="center" vertical="center"/>
    </xf>
    <xf numFmtId="0" fontId="200" fillId="7" borderId="0" xfId="0" applyFont="1" applyFill="1" applyBorder="1" applyAlignment="1">
      <alignment horizontal="center" vertical="center" wrapText="1" readingOrder="1"/>
    </xf>
    <xf numFmtId="0" fontId="56" fillId="7" borderId="0" xfId="0" applyFont="1" applyFill="1" applyBorder="1" applyAlignment="1">
      <alignment horizontal="center" vertical="center" wrapText="1"/>
    </xf>
    <xf numFmtId="0" fontId="201" fillId="7" borderId="0" xfId="0" applyFont="1" applyFill="1" applyBorder="1" applyAlignment="1">
      <alignment horizontal="center" vertical="center" wrapText="1" readingOrder="1"/>
    </xf>
    <xf numFmtId="177" fontId="28" fillId="7" borderId="0" xfId="0" applyNumberFormat="1" applyFont="1" applyFill="1">
      <alignment vertical="center"/>
    </xf>
    <xf numFmtId="177" fontId="188" fillId="3" borderId="0" xfId="0" applyNumberFormat="1" applyFont="1" applyFill="1">
      <alignment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227" fontId="28" fillId="7" borderId="471" xfId="2" applyNumberFormat="1" applyFont="1" applyFill="1" applyBorder="1" applyAlignment="1">
      <alignment horizontal="center" vertical="center"/>
    </xf>
    <xf numFmtId="3" fontId="28" fillId="7" borderId="633" xfId="2" applyNumberFormat="1" applyFont="1" applyFill="1" applyBorder="1" applyAlignment="1">
      <alignment horizontal="center" vertical="center"/>
    </xf>
    <xf numFmtId="3" fontId="28" fillId="7" borderId="471" xfId="2" applyNumberFormat="1" applyFont="1" applyFill="1" applyBorder="1" applyAlignment="1">
      <alignment horizontal="center" vertical="center"/>
    </xf>
    <xf numFmtId="183" fontId="28" fillId="7" borderId="633" xfId="2" applyNumberFormat="1" applyFont="1" applyFill="1" applyBorder="1" applyAlignment="1">
      <alignment horizontal="center" vertical="center" wrapText="1"/>
    </xf>
    <xf numFmtId="183" fontId="28" fillId="7" borderId="471" xfId="2" applyNumberFormat="1" applyFont="1" applyFill="1" applyBorder="1" applyAlignment="1">
      <alignment horizontal="center" vertical="center" wrapText="1"/>
    </xf>
    <xf numFmtId="183" fontId="28" fillId="7" borderId="640" xfId="2" applyNumberFormat="1" applyFont="1" applyFill="1" applyBorder="1" applyAlignment="1">
      <alignment horizontal="center" vertical="center"/>
    </xf>
    <xf numFmtId="4" fontId="57" fillId="7" borderId="651" xfId="2" applyNumberFormat="1" applyFont="1" applyFill="1" applyBorder="1" applyAlignment="1">
      <alignment horizontal="center" vertical="center"/>
    </xf>
    <xf numFmtId="3" fontId="57" fillId="7" borderId="640" xfId="2" applyNumberFormat="1" applyFont="1" applyFill="1" applyBorder="1" applyAlignment="1">
      <alignment horizontal="center" vertical="center"/>
    </xf>
    <xf numFmtId="4" fontId="57" fillId="7" borderId="640" xfId="2" applyNumberFormat="1" applyFont="1" applyFill="1" applyBorder="1" applyAlignment="1">
      <alignment horizontal="center" vertical="center"/>
    </xf>
    <xf numFmtId="183" fontId="28" fillId="0" borderId="649" xfId="2" applyNumberFormat="1" applyFont="1" applyFill="1" applyBorder="1" applyAlignment="1">
      <alignment horizontal="center" vertical="center"/>
    </xf>
    <xf numFmtId="187" fontId="171" fillId="0" borderId="651" xfId="0" applyNumberFormat="1" applyFont="1" applyBorder="1" applyAlignment="1">
      <alignment horizontal="center" vertical="center"/>
    </xf>
    <xf numFmtId="183" fontId="28" fillId="7" borderId="665" xfId="2" applyNumberFormat="1" applyFont="1" applyFill="1" applyBorder="1" applyAlignment="1">
      <alignment horizontal="center" vertical="center"/>
    </xf>
    <xf numFmtId="223" fontId="171" fillId="7" borderId="651" xfId="0" applyNumberFormat="1" applyFont="1" applyFill="1" applyBorder="1" applyAlignment="1">
      <alignment horizontal="center" vertical="center"/>
    </xf>
    <xf numFmtId="2" fontId="57" fillId="0" borderId="49" xfId="0" applyNumberFormat="1" applyFont="1" applyBorder="1" applyAlignment="1">
      <alignment horizontal="center" vertical="center"/>
    </xf>
    <xf numFmtId="4" fontId="57" fillId="0" borderId="519" xfId="0" applyNumberFormat="1" applyFont="1" applyBorder="1" applyAlignment="1">
      <alignment horizontal="center" vertical="center"/>
    </xf>
    <xf numFmtId="2" fontId="28" fillId="0" borderId="616" xfId="0" applyNumberFormat="1" applyFont="1" applyFill="1" applyBorder="1" applyAlignment="1">
      <alignment horizontal="center" vertical="center"/>
    </xf>
    <xf numFmtId="2" fontId="28" fillId="15" borderId="519" xfId="0" applyNumberFormat="1" applyFont="1" applyFill="1" applyBorder="1" applyAlignment="1">
      <alignment horizontal="center" vertical="center"/>
    </xf>
    <xf numFmtId="1" fontId="57" fillId="0" borderId="23" xfId="0" applyNumberFormat="1" applyFont="1" applyFill="1" applyBorder="1" applyAlignment="1">
      <alignment horizontal="center" vertical="center"/>
    </xf>
    <xf numFmtId="1" fontId="57" fillId="0" borderId="616" xfId="0" applyNumberFormat="1" applyFont="1" applyFill="1" applyBorder="1" applyAlignment="1">
      <alignment horizontal="center" vertical="center"/>
    </xf>
    <xf numFmtId="176" fontId="57" fillId="0" borderId="616" xfId="0" applyNumberFormat="1" applyFont="1" applyFill="1" applyBorder="1" applyAlignment="1">
      <alignment horizontal="center" vertical="center"/>
    </xf>
    <xf numFmtId="176" fontId="57" fillId="0" borderId="519" xfId="0" applyNumberFormat="1" applyFont="1" applyFill="1" applyBorder="1" applyAlignment="1">
      <alignment horizontal="center" vertical="center"/>
    </xf>
    <xf numFmtId="177" fontId="57" fillId="0" borderId="616" xfId="0" applyNumberFormat="1" applyFont="1" applyBorder="1" applyAlignment="1">
      <alignment horizontal="center" vertical="center"/>
    </xf>
    <xf numFmtId="2" fontId="57" fillId="0" borderId="519" xfId="0" applyNumberFormat="1" applyFont="1" applyBorder="1" applyAlignment="1">
      <alignment horizontal="center" vertical="center"/>
    </xf>
    <xf numFmtId="2" fontId="57" fillId="0" borderId="86" xfId="0" applyNumberFormat="1" applyFont="1" applyFill="1" applyBorder="1" applyAlignment="1">
      <alignment horizontal="center" vertical="center"/>
    </xf>
    <xf numFmtId="3" fontId="57" fillId="0" borderId="288" xfId="0" applyNumberFormat="1" applyFont="1" applyFill="1" applyBorder="1" applyAlignment="1">
      <alignment horizontal="center" vertical="center"/>
    </xf>
    <xf numFmtId="3" fontId="57" fillId="0" borderId="23" xfId="0" applyNumberFormat="1" applyFont="1" applyBorder="1" applyAlignment="1">
      <alignment horizontal="center" vertical="center"/>
    </xf>
    <xf numFmtId="3" fontId="57" fillId="0" borderId="605" xfId="0" applyNumberFormat="1" applyFont="1" applyBorder="1" applyAlignment="1">
      <alignment horizontal="center" vertical="center"/>
    </xf>
    <xf numFmtId="3" fontId="57" fillId="0" borderId="352" xfId="0" applyNumberFormat="1" applyFont="1" applyBorder="1" applyAlignment="1">
      <alignment horizontal="center" vertical="center"/>
    </xf>
    <xf numFmtId="3" fontId="57" fillId="0" borderId="519" xfId="0" applyNumberFormat="1" applyFont="1" applyBorder="1" applyAlignment="1">
      <alignment horizontal="center" vertical="center"/>
    </xf>
    <xf numFmtId="0" fontId="57" fillId="15" borderId="288" xfId="0" applyFont="1" applyFill="1" applyBorder="1">
      <alignment vertical="center"/>
    </xf>
    <xf numFmtId="3" fontId="57" fillId="0" borderId="635" xfId="0" applyNumberFormat="1" applyFont="1" applyBorder="1" applyAlignment="1">
      <alignment horizontal="center" vertical="center"/>
    </xf>
    <xf numFmtId="0" fontId="57" fillId="15" borderId="638" xfId="0" applyFont="1" applyFill="1" applyBorder="1">
      <alignment vertical="center"/>
    </xf>
    <xf numFmtId="223" fontId="171" fillId="15" borderId="651" xfId="0" applyNumberFormat="1" applyFont="1" applyFill="1" applyBorder="1" applyAlignment="1">
      <alignment horizontal="center" vertical="center"/>
    </xf>
    <xf numFmtId="223" fontId="57" fillId="15" borderId="608" xfId="0" applyNumberFormat="1" applyFont="1" applyFill="1" applyBorder="1" applyAlignment="1">
      <alignment horizontal="center" vertical="center"/>
    </xf>
    <xf numFmtId="176" fontId="47" fillId="0" borderId="92" xfId="0" applyNumberFormat="1" applyFont="1" applyFill="1" applyBorder="1" applyAlignment="1">
      <alignment horizontal="center" vertical="center"/>
    </xf>
    <xf numFmtId="176" fontId="47" fillId="0" borderId="68" xfId="0" applyNumberFormat="1" applyFont="1" applyFill="1" applyBorder="1" applyAlignment="1">
      <alignment horizontal="center" vertical="center"/>
    </xf>
    <xf numFmtId="176" fontId="47" fillId="0" borderId="89" xfId="0" applyNumberFormat="1" applyFont="1" applyFill="1" applyBorder="1" applyAlignment="1">
      <alignment horizontal="center" vertical="center"/>
    </xf>
    <xf numFmtId="2" fontId="28" fillId="5" borderId="519" xfId="0" applyNumberFormat="1" applyFont="1" applyFill="1" applyBorder="1" applyAlignment="1">
      <alignment horizontal="center" vertical="center"/>
    </xf>
    <xf numFmtId="223" fontId="171" fillId="15" borderId="288" xfId="0" applyNumberFormat="1" applyFont="1" applyFill="1" applyBorder="1" applyAlignment="1">
      <alignment horizontal="center" vertical="center"/>
    </xf>
    <xf numFmtId="0" fontId="57" fillId="15" borderId="6" xfId="0" applyFont="1" applyFill="1" applyBorder="1" applyAlignment="1">
      <alignment horizontal="center" vertical="center"/>
    </xf>
    <xf numFmtId="0" fontId="57" fillId="15" borderId="603" xfId="0" applyFont="1" applyFill="1" applyBorder="1" applyAlignment="1">
      <alignment horizontal="center" vertical="center"/>
    </xf>
    <xf numFmtId="245" fontId="57" fillId="0" borderId="616" xfId="0" applyNumberFormat="1" applyFont="1" applyBorder="1" applyAlignment="1">
      <alignment horizontal="center" vertical="center"/>
    </xf>
    <xf numFmtId="245" fontId="57" fillId="0" borderId="609" xfId="0" applyNumberFormat="1" applyFont="1" applyBorder="1" applyAlignment="1">
      <alignment horizontal="center" vertical="center"/>
    </xf>
    <xf numFmtId="2" fontId="57" fillId="0" borderId="609" xfId="0" applyNumberFormat="1" applyFont="1" applyBorder="1" applyAlignment="1">
      <alignment horizontal="center" vertical="center"/>
    </xf>
    <xf numFmtId="38" fontId="40" fillId="0" borderId="609" xfId="0" applyNumberFormat="1" applyFont="1" applyBorder="1" applyAlignment="1">
      <alignment horizontal="center" vertical="center"/>
    </xf>
    <xf numFmtId="223" fontId="193" fillId="0" borderId="616" xfId="2" applyNumberFormat="1" applyFont="1" applyFill="1" applyBorder="1" applyAlignment="1">
      <alignment horizontal="center" vertical="center" wrapText="1" readingOrder="1"/>
    </xf>
    <xf numFmtId="0" fontId="57" fillId="0" borderId="604" xfId="0" applyFont="1" applyBorder="1" applyAlignment="1">
      <alignment horizontal="center" vertical="center"/>
    </xf>
    <xf numFmtId="183" fontId="57" fillId="0" borderId="601" xfId="2" applyNumberFormat="1" applyFont="1" applyBorder="1" applyAlignment="1">
      <alignment horizontal="center" vertical="center"/>
    </xf>
    <xf numFmtId="0" fontId="57" fillId="0" borderId="40" xfId="0" applyFont="1" applyBorder="1" applyAlignment="1">
      <alignment horizontal="center" vertical="center"/>
    </xf>
    <xf numFmtId="226" fontId="57" fillId="0" borderId="406" xfId="2" applyNumberFormat="1" applyFont="1" applyBorder="1" applyAlignment="1">
      <alignment horizontal="center" vertical="center"/>
    </xf>
    <xf numFmtId="4" fontId="57" fillId="0" borderId="23" xfId="0" applyNumberFormat="1" applyFont="1" applyBorder="1" applyAlignment="1">
      <alignment horizontal="center" vertical="center"/>
    </xf>
    <xf numFmtId="4" fontId="57" fillId="0" borderId="6" xfId="0" applyNumberFormat="1" applyFont="1" applyBorder="1" applyAlignment="1">
      <alignment horizontal="center" vertical="center"/>
    </xf>
    <xf numFmtId="0" fontId="57" fillId="0" borderId="47" xfId="0" applyFont="1" applyBorder="1" applyAlignment="1">
      <alignment horizontal="center" vertical="center"/>
    </xf>
    <xf numFmtId="183" fontId="57" fillId="0" borderId="64" xfId="2" applyNumberFormat="1" applyFont="1" applyBorder="1" applyAlignment="1">
      <alignment horizontal="center" vertical="center"/>
    </xf>
    <xf numFmtId="0" fontId="57" fillId="0" borderId="517" xfId="0" applyFont="1" applyBorder="1" applyAlignment="1">
      <alignment horizontal="center" vertical="center"/>
    </xf>
    <xf numFmtId="183" fontId="57" fillId="0" borderId="521" xfId="2" applyNumberFormat="1" applyFont="1" applyBorder="1" applyAlignment="1">
      <alignment horizontal="center" vertical="center"/>
    </xf>
    <xf numFmtId="183" fontId="57" fillId="0" borderId="518" xfId="2" applyNumberFormat="1" applyFont="1" applyBorder="1" applyAlignment="1">
      <alignment horizontal="center" vertical="center"/>
    </xf>
    <xf numFmtId="2" fontId="57" fillId="0" borderId="516" xfId="0" applyNumberFormat="1" applyFont="1" applyBorder="1" applyAlignment="1">
      <alignment horizontal="center" vertical="center"/>
    </xf>
    <xf numFmtId="38" fontId="57" fillId="15" borderId="616" xfId="0" applyNumberFormat="1" applyFont="1" applyFill="1" applyBorder="1" applyAlignment="1">
      <alignment horizontal="center" vertical="center"/>
    </xf>
    <xf numFmtId="0" fontId="171" fillId="15" borderId="602" xfId="0" applyFont="1" applyFill="1" applyBorder="1" applyAlignment="1">
      <alignment horizontal="center" vertical="center"/>
    </xf>
    <xf numFmtId="0" fontId="171" fillId="15" borderId="594" xfId="0" applyFont="1" applyFill="1" applyBorder="1" applyAlignment="1">
      <alignment horizontal="center" vertical="center"/>
    </xf>
    <xf numFmtId="0" fontId="171" fillId="15" borderId="86" xfId="0" quotePrefix="1" applyFont="1" applyFill="1" applyBorder="1" applyAlignment="1">
      <alignment horizontal="center" vertical="center"/>
    </xf>
    <xf numFmtId="0" fontId="171" fillId="15" borderId="5" xfId="0" quotePrefix="1" applyFont="1" applyFill="1" applyBorder="1" applyAlignment="1">
      <alignment horizontal="center" vertical="center"/>
    </xf>
    <xf numFmtId="183" fontId="57" fillId="0" borderId="406" xfId="2" applyNumberFormat="1" applyFont="1" applyBorder="1" applyAlignment="1">
      <alignment horizontal="center" vertical="center"/>
    </xf>
    <xf numFmtId="245" fontId="57" fillId="0" borderId="49" xfId="0" applyNumberFormat="1" applyFont="1" applyBorder="1" applyAlignment="1">
      <alignment horizontal="center" vertical="center"/>
    </xf>
    <xf numFmtId="245" fontId="57" fillId="0" borderId="122" xfId="0" applyNumberFormat="1" applyFont="1" applyBorder="1" applyAlignment="1">
      <alignment horizontal="center" vertical="center"/>
    </xf>
    <xf numFmtId="245" fontId="57" fillId="0" borderId="123" xfId="0" applyNumberFormat="1" applyFont="1" applyBorder="1" applyAlignment="1">
      <alignment horizontal="center" vertical="center"/>
    </xf>
    <xf numFmtId="245" fontId="57" fillId="0" borderId="611" xfId="0" applyNumberFormat="1" applyFont="1" applyBorder="1" applyAlignment="1">
      <alignment horizontal="center" vertical="center"/>
    </xf>
    <xf numFmtId="187" fontId="57" fillId="0" borderId="521" xfId="2" applyNumberFormat="1" applyFont="1" applyBorder="1" applyAlignment="1">
      <alignment horizontal="center" vertical="center"/>
    </xf>
    <xf numFmtId="236" fontId="57" fillId="0" borderId="519" xfId="0" applyNumberFormat="1" applyFont="1" applyBorder="1" applyAlignment="1">
      <alignment horizontal="center" vertical="center"/>
    </xf>
    <xf numFmtId="236" fontId="57" fillId="0" borderId="518" xfId="0" applyNumberFormat="1" applyFont="1" applyBorder="1" applyAlignment="1">
      <alignment horizontal="center" vertical="center"/>
    </xf>
    <xf numFmtId="41" fontId="193" fillId="0" borderId="609" xfId="2" applyFont="1" applyFill="1" applyBorder="1" applyAlignment="1">
      <alignment horizontal="center" vertical="center" wrapText="1" readingOrder="1"/>
    </xf>
    <xf numFmtId="236" fontId="193" fillId="0" borderId="609" xfId="0" applyNumberFormat="1" applyFont="1" applyFill="1" applyBorder="1" applyAlignment="1">
      <alignment horizontal="center" vertical="center" wrapText="1" readingOrder="1"/>
    </xf>
    <xf numFmtId="38" fontId="57" fillId="0" borderId="605" xfId="2" applyNumberFormat="1" applyFont="1" applyFill="1" applyBorder="1" applyAlignment="1">
      <alignment horizontal="center" vertical="center"/>
    </xf>
    <xf numFmtId="38" fontId="57" fillId="7" borderId="516" xfId="2" applyNumberFormat="1" applyFont="1" applyFill="1" applyBorder="1" applyAlignment="1">
      <alignment horizontal="center" vertical="center"/>
    </xf>
    <xf numFmtId="177" fontId="232" fillId="4" borderId="0" xfId="2" applyNumberFormat="1" applyFont="1" applyFill="1" applyBorder="1" applyAlignment="1">
      <alignment horizontal="center" vertical="center"/>
    </xf>
    <xf numFmtId="38" fontId="57" fillId="7" borderId="601" xfId="2" applyNumberFormat="1" applyFont="1" applyFill="1" applyBorder="1" applyAlignment="1">
      <alignment horizontal="center" vertical="center"/>
    </xf>
    <xf numFmtId="38" fontId="57" fillId="0" borderId="521" xfId="2" applyNumberFormat="1" applyFont="1" applyFill="1" applyBorder="1" applyAlignment="1">
      <alignment horizontal="center" vertical="center"/>
    </xf>
    <xf numFmtId="0" fontId="178" fillId="3" borderId="121" xfId="0" applyFont="1" applyFill="1" applyBorder="1" applyAlignment="1">
      <alignment horizontal="center" vertical="center" wrapText="1" readingOrder="1"/>
    </xf>
    <xf numFmtId="0" fontId="34" fillId="3" borderId="122" xfId="0" applyFont="1" applyFill="1" applyBorder="1" applyAlignment="1">
      <alignment horizontal="center" vertical="center" wrapText="1"/>
    </xf>
    <xf numFmtId="0" fontId="178" fillId="3" borderId="122" xfId="0" applyFont="1" applyFill="1" applyBorder="1" applyAlignment="1">
      <alignment horizontal="center" vertical="center" wrapText="1" readingOrder="1"/>
    </xf>
    <xf numFmtId="0" fontId="34" fillId="3" borderId="122" xfId="0" applyFont="1" applyFill="1" applyBorder="1" applyAlignment="1">
      <alignment horizontal="center" vertical="center"/>
    </xf>
    <xf numFmtId="0" fontId="28" fillId="7" borderId="123" xfId="0" applyFont="1" applyFill="1" applyBorder="1" applyAlignment="1">
      <alignment horizontal="center" vertical="center"/>
    </xf>
    <xf numFmtId="178" fontId="178" fillId="7" borderId="610" xfId="0" applyNumberFormat="1" applyFont="1" applyFill="1" applyBorder="1" applyAlignment="1">
      <alignment horizontal="center" vertical="center" wrapText="1" readingOrder="1"/>
    </xf>
    <xf numFmtId="38" fontId="178" fillId="7" borderId="609" xfId="0" applyNumberFormat="1" applyFont="1" applyFill="1" applyBorder="1" applyAlignment="1">
      <alignment horizontal="center" vertical="center" wrapText="1" readingOrder="1"/>
    </xf>
    <xf numFmtId="38" fontId="165" fillId="7" borderId="611" xfId="0" applyNumberFormat="1" applyFont="1" applyFill="1" applyBorder="1" applyAlignment="1">
      <alignment horizontal="left" vertical="center" wrapText="1" readingOrder="1"/>
    </xf>
    <xf numFmtId="0" fontId="178" fillId="0" borderId="515" xfId="0" applyFont="1" applyBorder="1" applyAlignment="1">
      <alignment horizontal="center" vertical="center" wrapText="1" readingOrder="1"/>
    </xf>
    <xf numFmtId="38" fontId="34" fillId="3" borderId="516" xfId="0" applyNumberFormat="1" applyFont="1" applyFill="1" applyBorder="1" applyAlignment="1">
      <alignment horizontal="center" vertical="center"/>
    </xf>
    <xf numFmtId="38" fontId="178" fillId="3" borderId="516" xfId="0" applyNumberFormat="1" applyFont="1" applyFill="1" applyBorder="1" applyAlignment="1">
      <alignment horizontal="center" vertical="center" wrapText="1" readingOrder="1"/>
    </xf>
    <xf numFmtId="0" fontId="167" fillId="3" borderId="164" xfId="0" applyFont="1" applyFill="1" applyBorder="1" applyAlignment="1">
      <alignment horizontal="center" vertical="center" wrapText="1"/>
    </xf>
    <xf numFmtId="41" fontId="28" fillId="7" borderId="120" xfId="0" applyNumberFormat="1" applyFont="1" applyFill="1" applyBorder="1" applyAlignment="1">
      <alignment horizontal="left" vertical="center" wrapText="1"/>
    </xf>
    <xf numFmtId="0" fontId="0" fillId="0" borderId="0" xfId="0" applyFill="1" applyBorder="1">
      <alignment vertical="center"/>
    </xf>
    <xf numFmtId="0" fontId="176" fillId="125" borderId="615" xfId="0" quotePrefix="1" applyFont="1" applyFill="1" applyBorder="1" applyAlignment="1">
      <alignment horizontal="center" vertical="center"/>
    </xf>
    <xf numFmtId="183" fontId="57" fillId="0" borderId="23" xfId="2" applyNumberFormat="1" applyFont="1" applyBorder="1" applyAlignment="1">
      <alignment horizontal="center" vertical="center"/>
    </xf>
    <xf numFmtId="187" fontId="57" fillId="0" borderId="23" xfId="2" applyNumberFormat="1" applyFont="1" applyBorder="1" applyAlignment="1">
      <alignment horizontal="center" vertical="center"/>
    </xf>
    <xf numFmtId="226" fontId="57" fillId="0" borderId="352" xfId="2" applyNumberFormat="1" applyFont="1" applyBorder="1" applyAlignment="1">
      <alignment horizontal="center" vertical="center"/>
    </xf>
    <xf numFmtId="226" fontId="57" fillId="0" borderId="607" xfId="2" applyNumberFormat="1" applyFont="1" applyBorder="1" applyAlignment="1">
      <alignment horizontal="center" vertical="center"/>
    </xf>
    <xf numFmtId="226" fontId="57" fillId="5" borderId="615" xfId="2" applyNumberFormat="1" applyFont="1" applyFill="1" applyBorder="1" applyAlignment="1">
      <alignment horizontal="center" vertical="center"/>
    </xf>
    <xf numFmtId="2" fontId="57" fillId="0" borderId="615" xfId="0" applyNumberFormat="1" applyFont="1" applyFill="1" applyBorder="1" applyAlignment="1">
      <alignment horizontal="center" vertical="center"/>
    </xf>
    <xf numFmtId="187" fontId="57" fillId="0" borderId="615" xfId="2" applyNumberFormat="1" applyFont="1" applyBorder="1" applyAlignment="1">
      <alignment horizontal="center" vertical="center"/>
    </xf>
    <xf numFmtId="187" fontId="57" fillId="0" borderId="615" xfId="2" applyNumberFormat="1" applyFont="1" applyFill="1" applyBorder="1" applyAlignment="1">
      <alignment horizontal="center" vertical="center"/>
    </xf>
    <xf numFmtId="187" fontId="57" fillId="0" borderId="607" xfId="2" applyNumberFormat="1" applyFont="1" applyFill="1" applyBorder="1" applyAlignment="1">
      <alignment horizontal="center" vertical="center"/>
    </xf>
    <xf numFmtId="187" fontId="57" fillId="0" borderId="607" xfId="2" applyNumberFormat="1" applyFont="1" applyBorder="1" applyAlignment="1">
      <alignment horizontal="center" vertical="center"/>
    </xf>
    <xf numFmtId="4" fontId="28" fillId="15" borderId="48" xfId="2" applyNumberFormat="1" applyFont="1" applyFill="1" applyBorder="1" applyAlignment="1">
      <alignment horizontal="center" vertical="center"/>
    </xf>
    <xf numFmtId="4" fontId="28" fillId="15" borderId="23" xfId="2" applyNumberFormat="1" applyFont="1" applyFill="1" applyBorder="1" applyAlignment="1">
      <alignment horizontal="center" vertical="center"/>
    </xf>
    <xf numFmtId="183" fontId="176" fillId="125" borderId="23" xfId="2" applyNumberFormat="1" applyFont="1" applyFill="1" applyBorder="1" applyAlignment="1">
      <alignment horizontal="center" vertical="center"/>
    </xf>
    <xf numFmtId="4" fontId="28" fillId="15" borderId="49" xfId="2" applyNumberFormat="1" applyFont="1" applyFill="1" applyBorder="1" applyAlignment="1">
      <alignment horizontal="center" vertical="center"/>
    </xf>
    <xf numFmtId="183" fontId="28" fillId="15" borderId="616" xfId="2" applyNumberFormat="1" applyFont="1" applyFill="1" applyBorder="1" applyAlignment="1">
      <alignment horizontal="center" vertical="center"/>
    </xf>
    <xf numFmtId="4" fontId="28" fillId="15" borderId="616" xfId="2" applyNumberFormat="1" applyFont="1" applyFill="1" applyBorder="1" applyAlignment="1">
      <alignment horizontal="center" vertical="center"/>
    </xf>
    <xf numFmtId="4" fontId="57" fillId="15" borderId="616" xfId="2" applyNumberFormat="1" applyFont="1" applyFill="1" applyBorder="1" applyAlignment="1">
      <alignment horizontal="center" vertical="center"/>
    </xf>
    <xf numFmtId="227" fontId="28" fillId="15" borderId="616" xfId="2" applyNumberFormat="1" applyFont="1" applyFill="1" applyBorder="1" applyAlignment="1">
      <alignment horizontal="center" vertical="center"/>
    </xf>
    <xf numFmtId="227" fontId="28" fillId="15" borderId="615" xfId="2" applyNumberFormat="1" applyFont="1" applyFill="1" applyBorder="1" applyAlignment="1">
      <alignment horizontal="center" vertical="center"/>
    </xf>
    <xf numFmtId="183" fontId="28" fillId="15" borderId="49" xfId="2" applyNumberFormat="1" applyFont="1" applyFill="1" applyBorder="1" applyAlignment="1">
      <alignment horizontal="center" vertical="center"/>
    </xf>
    <xf numFmtId="183" fontId="28" fillId="15" borderId="605" xfId="2" applyNumberFormat="1" applyFont="1" applyFill="1" applyBorder="1" applyAlignment="1">
      <alignment horizontal="center" vertical="center"/>
    </xf>
    <xf numFmtId="183" fontId="28" fillId="15" borderId="37" xfId="2" applyNumberFormat="1" applyFont="1" applyFill="1" applyBorder="1" applyAlignment="1">
      <alignment horizontal="center" vertical="center"/>
    </xf>
    <xf numFmtId="183" fontId="28" fillId="15" borderId="615" xfId="2" applyNumberFormat="1" applyFont="1" applyFill="1" applyBorder="1" applyAlignment="1">
      <alignment horizontal="center" vertical="center"/>
    </xf>
    <xf numFmtId="183" fontId="28" fillId="15" borderId="48" xfId="2" applyNumberFormat="1" applyFont="1" applyFill="1" applyBorder="1" applyAlignment="1">
      <alignment horizontal="center" vertical="center"/>
    </xf>
    <xf numFmtId="3" fontId="28" fillId="15" borderId="48" xfId="2" applyNumberFormat="1" applyFont="1" applyFill="1" applyBorder="1" applyAlignment="1">
      <alignment horizontal="center" vertical="center"/>
    </xf>
    <xf numFmtId="3" fontId="28" fillId="15" borderId="615" xfId="2" applyNumberFormat="1" applyFont="1" applyFill="1" applyBorder="1" applyAlignment="1">
      <alignment horizontal="center" vertical="center"/>
    </xf>
    <xf numFmtId="183" fontId="28" fillId="15" borderId="49" xfId="2" applyNumberFormat="1" applyFont="1" applyFill="1" applyBorder="1" applyAlignment="1">
      <alignment horizontal="center" vertical="center" wrapText="1"/>
    </xf>
    <xf numFmtId="183" fontId="28" fillId="15" borderId="616" xfId="2" applyNumberFormat="1" applyFont="1" applyFill="1" applyBorder="1" applyAlignment="1">
      <alignment horizontal="center" vertical="center" wrapText="1"/>
    </xf>
    <xf numFmtId="4" fontId="57" fillId="15" borderId="49" xfId="2" applyNumberFormat="1" applyFont="1" applyFill="1" applyBorder="1" applyAlignment="1">
      <alignment horizontal="center" vertical="center"/>
    </xf>
    <xf numFmtId="3" fontId="57" fillId="15" borderId="616" xfId="2" applyNumberFormat="1" applyFont="1" applyFill="1" applyBorder="1" applyAlignment="1">
      <alignment horizontal="center" vertical="center"/>
    </xf>
    <xf numFmtId="183" fontId="57" fillId="15" borderId="616" xfId="2" applyNumberFormat="1" applyFont="1" applyFill="1" applyBorder="1" applyAlignment="1">
      <alignment horizontal="center" vertical="center"/>
    </xf>
    <xf numFmtId="183" fontId="28" fillId="7" borderId="651" xfId="2" applyNumberFormat="1" applyFont="1" applyFill="1" applyBorder="1" applyAlignment="1">
      <alignment horizontal="center" vertical="center" wrapText="1"/>
    </xf>
    <xf numFmtId="183" fontId="28" fillId="7" borderId="640" xfId="2" applyNumberFormat="1" applyFont="1" applyFill="1" applyBorder="1" applyAlignment="1">
      <alignment horizontal="center" vertical="center" wrapText="1"/>
    </xf>
    <xf numFmtId="227" fontId="28" fillId="7" borderId="640" xfId="2" applyNumberFormat="1" applyFont="1" applyFill="1" applyBorder="1" applyAlignment="1">
      <alignment horizontal="center" vertical="center"/>
    </xf>
    <xf numFmtId="3" fontId="28" fillId="7" borderId="651" xfId="2" applyNumberFormat="1" applyFont="1" applyFill="1" applyBorder="1" applyAlignment="1">
      <alignment horizontal="center" vertical="center"/>
    </xf>
    <xf numFmtId="3" fontId="28" fillId="7" borderId="640" xfId="2" applyNumberFormat="1" applyFont="1" applyFill="1" applyBorder="1" applyAlignment="1">
      <alignment horizontal="center" vertical="center"/>
    </xf>
    <xf numFmtId="0" fontId="176" fillId="125" borderId="608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223" fontId="269" fillId="0" borderId="609" xfId="0" applyNumberFormat="1" applyFont="1" applyFill="1" applyBorder="1" applyAlignment="1">
      <alignment horizontal="center" vertical="center"/>
    </xf>
    <xf numFmtId="187" fontId="57" fillId="0" borderId="59" xfId="2" applyNumberFormat="1" applyFont="1" applyBorder="1" applyAlignment="1">
      <alignment horizontal="center" vertical="center"/>
    </xf>
    <xf numFmtId="187" fontId="57" fillId="0" borderId="626" xfId="2" applyNumberFormat="1" applyFont="1" applyBorder="1" applyAlignment="1">
      <alignment horizontal="center" vertical="center"/>
    </xf>
    <xf numFmtId="187" fontId="57" fillId="7" borderId="636" xfId="2" applyNumberFormat="1" applyFont="1" applyFill="1" applyBorder="1" applyAlignment="1">
      <alignment horizontal="center" vertical="center"/>
    </xf>
    <xf numFmtId="187" fontId="57" fillId="3" borderId="608" xfId="2" applyNumberFormat="1" applyFont="1" applyFill="1" applyBorder="1" applyAlignment="1">
      <alignment horizontal="center" vertical="center"/>
    </xf>
    <xf numFmtId="187" fontId="57" fillId="3" borderId="604" xfId="2" applyNumberFormat="1" applyFont="1" applyFill="1" applyBorder="1" applyAlignment="1">
      <alignment horizontal="center" vertical="center"/>
    </xf>
    <xf numFmtId="187" fontId="57" fillId="0" borderId="666" xfId="2" applyNumberFormat="1" applyFont="1" applyBorder="1" applyAlignment="1">
      <alignment horizontal="center" vertical="center"/>
    </xf>
    <xf numFmtId="183" fontId="57" fillId="3" borderId="640" xfId="2" applyNumberFormat="1" applyFont="1" applyFill="1" applyBorder="1" applyAlignment="1">
      <alignment horizontal="center" vertical="center"/>
    </xf>
    <xf numFmtId="10" fontId="165" fillId="0" borderId="605" xfId="0" applyNumberFormat="1" applyFont="1" applyBorder="1" applyAlignment="1">
      <alignment horizontal="center" vertical="center" wrapText="1"/>
    </xf>
    <xf numFmtId="178" fontId="165" fillId="0" borderId="616" xfId="0" applyNumberFormat="1" applyFont="1" applyBorder="1" applyAlignment="1">
      <alignment horizontal="center" vertical="center" wrapText="1"/>
    </xf>
    <xf numFmtId="41" fontId="165" fillId="0" borderId="23" xfId="0" applyNumberFormat="1" applyFont="1" applyBorder="1" applyAlignment="1">
      <alignment horizontal="center" vertical="center" wrapText="1"/>
    </xf>
    <xf numFmtId="41" fontId="165" fillId="0" borderId="616" xfId="0" applyNumberFormat="1" applyFont="1" applyBorder="1" applyAlignment="1">
      <alignment horizontal="center" vertical="center" wrapText="1"/>
    </xf>
    <xf numFmtId="0" fontId="28" fillId="7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7" borderId="610" xfId="0" applyFont="1" applyFill="1" applyBorder="1" applyAlignment="1">
      <alignment horizontal="center" vertical="center"/>
    </xf>
    <xf numFmtId="0" fontId="28" fillId="7" borderId="608" xfId="0" applyFont="1" applyFill="1" applyBorder="1" applyAlignment="1">
      <alignment horizontal="center" vertical="center"/>
    </xf>
    <xf numFmtId="176" fontId="28" fillId="7" borderId="608" xfId="0" applyNumberFormat="1" applyFont="1" applyFill="1" applyBorder="1" applyAlignment="1">
      <alignment horizontal="center" vertical="center"/>
    </xf>
    <xf numFmtId="0" fontId="28" fillId="7" borderId="611" xfId="0" applyFont="1" applyFill="1" applyBorder="1" applyAlignment="1">
      <alignment horizontal="center" vertical="center"/>
    </xf>
    <xf numFmtId="183" fontId="28" fillId="7" borderId="518" xfId="0" applyNumberFormat="1" applyFont="1" applyFill="1" applyBorder="1" applyAlignment="1">
      <alignment horizontal="center" vertical="center"/>
    </xf>
    <xf numFmtId="2" fontId="28" fillId="7" borderId="6" xfId="0" applyNumberFormat="1" applyFont="1" applyFill="1" applyBorder="1" applyAlignment="1">
      <alignment horizontal="center" vertical="center"/>
    </xf>
    <xf numFmtId="0" fontId="172" fillId="0" borderId="226" xfId="0" applyFont="1" applyBorder="1" applyAlignment="1">
      <alignment horizontal="center" vertical="center"/>
    </xf>
    <xf numFmtId="0" fontId="28" fillId="7" borderId="221" xfId="0" applyFont="1" applyFill="1" applyBorder="1">
      <alignment vertical="center"/>
    </xf>
    <xf numFmtId="176" fontId="28" fillId="7" borderId="202" xfId="0" applyNumberFormat="1" applyFont="1" applyFill="1" applyBorder="1" applyAlignment="1">
      <alignment horizontal="center" vertical="center"/>
    </xf>
    <xf numFmtId="0" fontId="171" fillId="7" borderId="610" xfId="0" applyFont="1" applyFill="1" applyBorder="1" applyAlignment="1">
      <alignment horizontal="center" vertical="center"/>
    </xf>
    <xf numFmtId="183" fontId="28" fillId="7" borderId="608" xfId="0" applyNumberFormat="1" applyFont="1" applyFill="1" applyBorder="1" applyAlignment="1">
      <alignment horizontal="center" vertical="center"/>
    </xf>
    <xf numFmtId="183" fontId="28" fillId="7" borderId="611" xfId="0" applyNumberFormat="1" applyFont="1" applyFill="1" applyBorder="1" applyAlignment="1">
      <alignment horizontal="center" vertical="center"/>
    </xf>
    <xf numFmtId="0" fontId="171" fillId="7" borderId="515" xfId="0" applyFont="1" applyFill="1" applyBorder="1" applyAlignment="1">
      <alignment horizontal="center" vertical="center"/>
    </xf>
    <xf numFmtId="2" fontId="28" fillId="7" borderId="516" xfId="0" applyNumberFormat="1" applyFont="1" applyFill="1" applyBorder="1" applyAlignment="1">
      <alignment horizontal="center" vertical="center"/>
    </xf>
    <xf numFmtId="4" fontId="28" fillId="7" borderId="516" xfId="0" applyNumberFormat="1" applyFont="1" applyFill="1" applyBorder="1" applyAlignment="1">
      <alignment horizontal="center" vertical="center"/>
    </xf>
    <xf numFmtId="176" fontId="28" fillId="7" borderId="611" xfId="0" applyNumberFormat="1" applyFont="1" applyFill="1" applyBorder="1" applyAlignment="1">
      <alignment horizontal="center" vertical="center"/>
    </xf>
    <xf numFmtId="187" fontId="169" fillId="7" borderId="609" xfId="0" applyNumberFormat="1" applyFont="1" applyFill="1" applyBorder="1" applyAlignment="1">
      <alignment horizontal="center" vertical="center"/>
    </xf>
    <xf numFmtId="177" fontId="169" fillId="7" borderId="609" xfId="0" applyNumberFormat="1" applyFont="1" applyFill="1" applyBorder="1" applyAlignment="1">
      <alignment horizontal="center" vertical="center"/>
    </xf>
    <xf numFmtId="0" fontId="169" fillId="7" borderId="610" xfId="0" applyFont="1" applyFill="1" applyBorder="1" applyAlignment="1">
      <alignment horizontal="center" vertical="center"/>
    </xf>
    <xf numFmtId="2" fontId="172" fillId="7" borderId="515" xfId="0" applyNumberFormat="1" applyFont="1" applyFill="1" applyBorder="1" applyAlignment="1">
      <alignment horizontal="center" vertical="center"/>
    </xf>
    <xf numFmtId="177" fontId="169" fillId="7" borderId="516" xfId="0" applyNumberFormat="1" applyFont="1" applyFill="1" applyBorder="1" applyAlignment="1">
      <alignment horizontal="center" vertical="center"/>
    </xf>
    <xf numFmtId="0" fontId="169" fillId="7" borderId="515" xfId="0" applyFont="1" applyFill="1" applyBorder="1" applyAlignment="1">
      <alignment horizontal="center" vertical="center"/>
    </xf>
    <xf numFmtId="187" fontId="169" fillId="7" borderId="516" xfId="0" applyNumberFormat="1" applyFont="1" applyFill="1" applyBorder="1" applyAlignment="1">
      <alignment horizontal="center" vertical="center"/>
    </xf>
    <xf numFmtId="187" fontId="169" fillId="7" borderId="609" xfId="0" applyNumberFormat="1" applyFont="1" applyFill="1" applyBorder="1" applyAlignment="1" applyProtection="1">
      <alignment horizontal="center" vertical="center"/>
      <protection locked="0"/>
    </xf>
    <xf numFmtId="187" fontId="169" fillId="7" borderId="516" xfId="0" applyNumberFormat="1" applyFont="1" applyFill="1" applyBorder="1" applyAlignment="1" applyProtection="1">
      <alignment horizontal="center" vertical="center"/>
      <protection locked="0"/>
    </xf>
    <xf numFmtId="187" fontId="28" fillId="7" borderId="516" xfId="0" applyNumberFormat="1" applyFont="1" applyFill="1" applyBorder="1" applyAlignment="1">
      <alignment horizontal="center" vertical="center"/>
    </xf>
    <xf numFmtId="0" fontId="34" fillId="7" borderId="122" xfId="0" applyFont="1" applyFill="1" applyBorder="1" applyAlignment="1">
      <alignment horizontal="center" vertical="center"/>
    </xf>
    <xf numFmtId="0" fontId="34" fillId="7" borderId="123" xfId="0" applyFont="1" applyFill="1" applyBorder="1" applyAlignment="1">
      <alignment horizontal="center" vertical="center"/>
    </xf>
    <xf numFmtId="2" fontId="34" fillId="3" borderId="121" xfId="0" applyNumberFormat="1" applyFont="1" applyFill="1" applyBorder="1" applyAlignment="1">
      <alignment horizontal="center" vertical="center"/>
    </xf>
    <xf numFmtId="4" fontId="28" fillId="7" borderId="0" xfId="0" applyNumberFormat="1" applyFont="1" applyFill="1" applyAlignment="1">
      <alignment horizontal="center" vertical="center"/>
    </xf>
    <xf numFmtId="177" fontId="28" fillId="7" borderId="611" xfId="0" applyNumberFormat="1" applyFont="1" applyFill="1" applyBorder="1" applyAlignment="1">
      <alignment horizontal="center" vertical="center"/>
    </xf>
    <xf numFmtId="0" fontId="260" fillId="3" borderId="121" xfId="0" applyFont="1" applyFill="1" applyBorder="1" applyAlignment="1">
      <alignment horizontal="center" vertical="center"/>
    </xf>
    <xf numFmtId="177" fontId="169" fillId="7" borderId="611" xfId="0" applyNumberFormat="1" applyFont="1" applyFill="1" applyBorder="1" applyAlignment="1">
      <alignment horizontal="center" vertical="center"/>
    </xf>
    <xf numFmtId="177" fontId="169" fillId="7" borderId="518" xfId="0" applyNumberFormat="1" applyFont="1" applyFill="1" applyBorder="1" applyAlignment="1">
      <alignment horizontal="center" vertical="center"/>
    </xf>
    <xf numFmtId="177" fontId="28" fillId="0" borderId="0" xfId="0" applyNumberFormat="1" applyFont="1" applyAlignment="1">
      <alignment horizontal="center" vertical="center"/>
    </xf>
    <xf numFmtId="0" fontId="45" fillId="0" borderId="609" xfId="0" applyFont="1" applyBorder="1" applyAlignment="1">
      <alignment horizontal="center" vertical="center"/>
    </xf>
    <xf numFmtId="0" fontId="0" fillId="0" borderId="609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73" fillId="0" borderId="0" xfId="0" applyFont="1" applyBorder="1" applyAlignment="1">
      <alignment vertical="center"/>
    </xf>
    <xf numFmtId="0" fontId="0" fillId="0" borderId="0" xfId="0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177" fontId="28" fillId="7" borderId="608" xfId="0" applyNumberFormat="1" applyFont="1" applyFill="1" applyBorder="1">
      <alignment vertical="center"/>
    </xf>
    <xf numFmtId="177" fontId="28" fillId="7" borderId="609" xfId="0" applyNumberFormat="1" applyFont="1" applyFill="1" applyBorder="1" applyAlignment="1">
      <alignment horizontal="center" vertical="center"/>
    </xf>
    <xf numFmtId="177" fontId="188" fillId="3" borderId="0" xfId="0" applyNumberFormat="1" applyFont="1" applyFill="1" applyAlignment="1">
      <alignment horizontal="center" vertical="center"/>
    </xf>
    <xf numFmtId="0" fontId="176" fillId="0" borderId="0" xfId="0" applyFont="1" applyFill="1" applyBorder="1" applyAlignment="1">
      <alignment horizontal="center" vertical="center" wrapText="1"/>
    </xf>
    <xf numFmtId="223" fontId="28" fillId="0" borderId="6" xfId="0" applyNumberFormat="1" applyFont="1" applyBorder="1" applyAlignment="1">
      <alignment horizontal="center" vertical="center"/>
    </xf>
    <xf numFmtId="179" fontId="28" fillId="7" borderId="570" xfId="0" applyNumberFormat="1" applyFont="1" applyFill="1" applyBorder="1" applyAlignment="1">
      <alignment horizontal="center" vertical="center"/>
    </xf>
    <xf numFmtId="177" fontId="43" fillId="4" borderId="47" xfId="0" applyNumberFormat="1" applyFont="1" applyFill="1" applyBorder="1" applyAlignment="1">
      <alignment horizontal="center" vertical="center"/>
    </xf>
    <xf numFmtId="9" fontId="188" fillId="0" borderId="259" xfId="1" applyFont="1" applyBorder="1" applyAlignment="1">
      <alignment horizontal="center" vertical="center" wrapText="1"/>
    </xf>
    <xf numFmtId="9" fontId="188" fillId="0" borderId="84" xfId="1" applyFont="1" applyBorder="1" applyAlignment="1">
      <alignment horizontal="center" vertical="center" wrapText="1"/>
    </xf>
    <xf numFmtId="9" fontId="188" fillId="0" borderId="255" xfId="1" applyFont="1" applyBorder="1" applyAlignment="1">
      <alignment horizontal="center" vertical="center" wrapText="1"/>
    </xf>
    <xf numFmtId="9" fontId="187" fillId="0" borderId="255" xfId="1" applyFont="1" applyBorder="1" applyAlignment="1">
      <alignment horizontal="center" vertical="center" wrapText="1"/>
    </xf>
    <xf numFmtId="0" fontId="203" fillId="0" borderId="609" xfId="0" applyFont="1" applyFill="1" applyBorder="1" applyAlignment="1">
      <alignment horizontal="center" vertical="center" wrapText="1" readingOrder="1"/>
    </xf>
    <xf numFmtId="0" fontId="219" fillId="125" borderId="608" xfId="0" applyFont="1" applyFill="1" applyBorder="1" applyAlignment="1">
      <alignment horizontal="center" vertical="center" wrapText="1"/>
    </xf>
    <xf numFmtId="0" fontId="219" fillId="125" borderId="609" xfId="0" applyFont="1" applyFill="1" applyBorder="1" applyAlignment="1">
      <alignment horizontal="center" vertical="center" wrapText="1"/>
    </xf>
    <xf numFmtId="0" fontId="219" fillId="125" borderId="216" xfId="0" applyFont="1" applyFill="1" applyBorder="1" applyAlignment="1">
      <alignment horizontal="center" vertical="center" wrapText="1"/>
    </xf>
    <xf numFmtId="0" fontId="219" fillId="125" borderId="516" xfId="0" applyFont="1" applyFill="1" applyBorder="1" applyAlignment="1">
      <alignment horizontal="center" vertical="center" wrapText="1"/>
    </xf>
    <xf numFmtId="0" fontId="270" fillId="15" borderId="216" xfId="0" applyFont="1" applyFill="1" applyBorder="1" applyAlignment="1">
      <alignment horizontal="center" vertical="center" wrapText="1"/>
    </xf>
    <xf numFmtId="0" fontId="270" fillId="15" borderId="271" xfId="0" applyFont="1" applyFill="1" applyBorder="1" applyAlignment="1">
      <alignment horizontal="center" vertical="center" wrapText="1"/>
    </xf>
    <xf numFmtId="0" fontId="232" fillId="134" borderId="121" xfId="0" applyFont="1" applyFill="1" applyBorder="1" applyAlignment="1">
      <alignment horizontal="center" vertical="center"/>
    </xf>
    <xf numFmtId="0" fontId="232" fillId="134" borderId="122" xfId="0" applyFont="1" applyFill="1" applyBorder="1" applyAlignment="1">
      <alignment horizontal="center" vertical="center"/>
    </xf>
    <xf numFmtId="0" fontId="232" fillId="134" borderId="123" xfId="0" applyFont="1" applyFill="1" applyBorder="1" applyAlignment="1">
      <alignment horizontal="center" vertical="center"/>
    </xf>
    <xf numFmtId="0" fontId="232" fillId="134" borderId="610" xfId="0" applyFont="1" applyFill="1" applyBorder="1" applyAlignment="1">
      <alignment horizontal="center" vertical="center"/>
    </xf>
    <xf numFmtId="0" fontId="232" fillId="134" borderId="609" xfId="0" applyFont="1" applyFill="1" applyBorder="1" applyAlignment="1">
      <alignment horizontal="center" vertical="center"/>
    </xf>
    <xf numFmtId="0" fontId="232" fillId="134" borderId="611" xfId="0" applyFont="1" applyFill="1" applyBorder="1" applyAlignment="1">
      <alignment horizontal="center" vertical="center"/>
    </xf>
    <xf numFmtId="0" fontId="232" fillId="130" borderId="610" xfId="0" applyFont="1" applyFill="1" applyBorder="1" applyAlignment="1">
      <alignment horizontal="center" vertical="center"/>
    </xf>
    <xf numFmtId="0" fontId="232" fillId="130" borderId="609" xfId="0" applyFont="1" applyFill="1" applyBorder="1" applyAlignment="1">
      <alignment horizontal="center" vertical="center"/>
    </xf>
    <xf numFmtId="0" fontId="232" fillId="130" borderId="611" xfId="0" applyFont="1" applyFill="1" applyBorder="1" applyAlignment="1">
      <alignment horizontal="center" vertical="center"/>
    </xf>
    <xf numFmtId="0" fontId="34" fillId="130" borderId="515" xfId="0" applyFont="1" applyFill="1" applyBorder="1" applyAlignment="1">
      <alignment horizontal="center" vertical="center"/>
    </xf>
    <xf numFmtId="0" fontId="34" fillId="130" borderId="516" xfId="0" applyFont="1" applyFill="1" applyBorder="1" applyAlignment="1">
      <alignment horizontal="center" vertical="center"/>
    </xf>
    <xf numFmtId="0" fontId="34" fillId="130" borderId="518" xfId="0" applyFont="1" applyFill="1" applyBorder="1" applyAlignment="1">
      <alignment horizontal="center" vertical="center"/>
    </xf>
    <xf numFmtId="0" fontId="221" fillId="125" borderId="287" xfId="0" applyFont="1" applyFill="1" applyBorder="1" applyAlignment="1">
      <alignment horizontal="center" vertical="center" wrapText="1"/>
    </xf>
    <xf numFmtId="0" fontId="221" fillId="125" borderId="110" xfId="0" applyFont="1" applyFill="1" applyBorder="1" applyAlignment="1">
      <alignment horizontal="center" vertical="center" wrapText="1"/>
    </xf>
    <xf numFmtId="0" fontId="221" fillId="125" borderId="391" xfId="0" applyFont="1" applyFill="1" applyBorder="1" applyAlignment="1">
      <alignment horizontal="center" vertical="center" wrapText="1"/>
    </xf>
    <xf numFmtId="0" fontId="34" fillId="130" borderId="610" xfId="0" applyFont="1" applyFill="1" applyBorder="1" applyAlignment="1">
      <alignment horizontal="center" vertical="center"/>
    </xf>
    <xf numFmtId="0" fontId="34" fillId="130" borderId="609" xfId="0" applyFont="1" applyFill="1" applyBorder="1" applyAlignment="1">
      <alignment horizontal="center" vertical="center"/>
    </xf>
    <xf numFmtId="0" fontId="34" fillId="130" borderId="611" xfId="0" applyFont="1" applyFill="1" applyBorder="1" applyAlignment="1">
      <alignment horizontal="center" vertical="center"/>
    </xf>
    <xf numFmtId="0" fontId="34" fillId="130" borderId="121" xfId="0" applyFont="1" applyFill="1" applyBorder="1" applyAlignment="1">
      <alignment horizontal="center" vertical="center"/>
    </xf>
    <xf numFmtId="0" fontId="34" fillId="130" borderId="122" xfId="0" applyFont="1" applyFill="1" applyBorder="1" applyAlignment="1">
      <alignment horizontal="center" vertical="center"/>
    </xf>
    <xf numFmtId="0" fontId="34" fillId="130" borderId="123" xfId="0" applyFont="1" applyFill="1" applyBorder="1" applyAlignment="1">
      <alignment horizontal="center" vertical="center"/>
    </xf>
    <xf numFmtId="0" fontId="232" fillId="134" borderId="602" xfId="0" applyFont="1" applyFill="1" applyBorder="1" applyAlignment="1">
      <alignment horizontal="center" vertical="center"/>
    </xf>
    <xf numFmtId="0" fontId="232" fillId="134" borderId="603" xfId="0" applyFont="1" applyFill="1" applyBorder="1" applyAlignment="1">
      <alignment horizontal="center" vertical="center"/>
    </xf>
    <xf numFmtId="0" fontId="232" fillId="134" borderId="594" xfId="0" applyFont="1" applyFill="1" applyBorder="1" applyAlignment="1">
      <alignment horizontal="center" vertical="center"/>
    </xf>
    <xf numFmtId="223" fontId="176" fillId="125" borderId="603" xfId="2" applyNumberFormat="1" applyFont="1" applyFill="1" applyBorder="1" applyAlignment="1">
      <alignment horizontal="center" vertical="center"/>
    </xf>
    <xf numFmtId="223" fontId="176" fillId="125" borderId="6" xfId="2" applyNumberFormat="1" applyFont="1" applyFill="1" applyBorder="1" applyAlignment="1">
      <alignment horizontal="center" vertical="center"/>
    </xf>
    <xf numFmtId="223" fontId="176" fillId="125" borderId="609" xfId="2" applyNumberFormat="1" applyFont="1" applyFill="1" applyBorder="1" applyAlignment="1">
      <alignment horizontal="center" vertical="center"/>
    </xf>
    <xf numFmtId="0" fontId="221" fillId="127" borderId="226" xfId="0" applyFont="1" applyFill="1" applyBorder="1" applyAlignment="1">
      <alignment horizontal="center" vertical="center"/>
    </xf>
    <xf numFmtId="0" fontId="176" fillId="127" borderId="368" xfId="0" applyFont="1" applyFill="1" applyBorder="1" applyAlignment="1">
      <alignment horizontal="center" vertical="center"/>
    </xf>
    <xf numFmtId="0" fontId="176" fillId="127" borderId="309" xfId="0" applyFont="1" applyFill="1" applyBorder="1" applyAlignment="1">
      <alignment horizontal="center" vertical="center"/>
    </xf>
    <xf numFmtId="0" fontId="221" fillId="127" borderId="287" xfId="0" applyFont="1" applyFill="1" applyBorder="1" applyAlignment="1">
      <alignment horizontal="center" vertical="center"/>
    </xf>
    <xf numFmtId="0" fontId="221" fillId="127" borderId="110" xfId="0" applyFont="1" applyFill="1" applyBorder="1" applyAlignment="1">
      <alignment horizontal="center" vertical="center"/>
    </xf>
    <xf numFmtId="0" fontId="221" fillId="127" borderId="288" xfId="0" applyFont="1" applyFill="1" applyBorder="1" applyAlignment="1">
      <alignment horizontal="center" vertical="center"/>
    </xf>
    <xf numFmtId="0" fontId="221" fillId="127" borderId="391" xfId="0" applyFont="1" applyFill="1" applyBorder="1" applyAlignment="1">
      <alignment horizontal="center" vertical="center"/>
    </xf>
    <xf numFmtId="0" fontId="176" fillId="127" borderId="46" xfId="0" applyFont="1" applyFill="1" applyBorder="1" applyAlignment="1">
      <alignment horizontal="center" vertical="center"/>
    </xf>
    <xf numFmtId="0" fontId="176" fillId="127" borderId="52" xfId="0" applyFont="1" applyFill="1" applyBorder="1" applyAlignment="1">
      <alignment horizontal="center" vertical="center"/>
    </xf>
    <xf numFmtId="0" fontId="221" fillId="127" borderId="211" xfId="0" applyFont="1" applyFill="1" applyBorder="1" applyAlignment="1">
      <alignment horizontal="center" vertical="center"/>
    </xf>
    <xf numFmtId="0" fontId="176" fillId="127" borderId="465" xfId="0" applyFont="1" applyFill="1" applyBorder="1" applyAlignment="1">
      <alignment horizontal="center" vertical="center"/>
    </xf>
    <xf numFmtId="0" fontId="176" fillId="127" borderId="330" xfId="0" applyFont="1" applyFill="1" applyBorder="1" applyAlignment="1">
      <alignment horizontal="center" vertical="center"/>
    </xf>
    <xf numFmtId="0" fontId="176" fillId="127" borderId="40" xfId="0" applyFont="1" applyFill="1" applyBorder="1" applyAlignment="1">
      <alignment horizontal="center" vertical="center"/>
    </xf>
    <xf numFmtId="0" fontId="176" fillId="127" borderId="466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/>
    </xf>
    <xf numFmtId="0" fontId="176" fillId="127" borderId="122" xfId="0" applyFont="1" applyFill="1" applyBorder="1" applyAlignment="1">
      <alignment horizontal="center" vertical="center"/>
    </xf>
    <xf numFmtId="0" fontId="221" fillId="127" borderId="465" xfId="0" applyFont="1" applyFill="1" applyBorder="1" applyAlignment="1">
      <alignment horizontal="center" vertical="center"/>
    </xf>
    <xf numFmtId="0" fontId="221" fillId="127" borderId="493" xfId="0" applyFont="1" applyFill="1" applyBorder="1" applyAlignment="1">
      <alignment horizontal="center" vertical="center"/>
    </xf>
    <xf numFmtId="0" fontId="221" fillId="127" borderId="6" xfId="0" applyFont="1" applyFill="1" applyBorder="1" applyAlignment="1">
      <alignment horizontal="center" vertical="center"/>
    </xf>
    <xf numFmtId="0" fontId="221" fillId="127" borderId="466" xfId="0" applyFont="1" applyFill="1" applyBorder="1" applyAlignment="1">
      <alignment horizontal="center" vertical="center"/>
    </xf>
    <xf numFmtId="0" fontId="221" fillId="127" borderId="603" xfId="0" applyFont="1" applyFill="1" applyBorder="1" applyAlignment="1">
      <alignment horizontal="center" vertical="center"/>
    </xf>
    <xf numFmtId="0" fontId="176" fillId="127" borderId="595" xfId="0" applyFont="1" applyFill="1" applyBorder="1" applyAlignment="1">
      <alignment horizontal="center" vertical="center"/>
    </xf>
    <xf numFmtId="0" fontId="176" fillId="127" borderId="596" xfId="0" applyFont="1" applyFill="1" applyBorder="1" applyAlignment="1">
      <alignment horizontal="center" vertical="center"/>
    </xf>
    <xf numFmtId="0" fontId="221" fillId="127" borderId="593" xfId="0" applyFont="1" applyFill="1" applyBorder="1" applyAlignment="1">
      <alignment horizontal="center" vertical="center"/>
    </xf>
    <xf numFmtId="0" fontId="221" fillId="127" borderId="516" xfId="0" applyFont="1" applyFill="1" applyBorder="1" applyAlignment="1">
      <alignment horizontal="center" vertical="center"/>
    </xf>
    <xf numFmtId="0" fontId="221" fillId="127" borderId="40" xfId="0" applyFont="1" applyFill="1" applyBorder="1" applyAlignment="1">
      <alignment horizontal="center" vertical="center"/>
    </xf>
    <xf numFmtId="0" fontId="221" fillId="127" borderId="23" xfId="0" applyFont="1" applyFill="1" applyBorder="1" applyAlignment="1">
      <alignment horizontal="center" vertical="center"/>
    </xf>
    <xf numFmtId="0" fontId="221" fillId="127" borderId="517" xfId="0" applyFont="1" applyFill="1" applyBorder="1" applyAlignment="1">
      <alignment horizontal="center" vertical="center"/>
    </xf>
    <xf numFmtId="0" fontId="221" fillId="127" borderId="519" xfId="0" applyFont="1" applyFill="1" applyBorder="1" applyAlignment="1">
      <alignment horizontal="center" vertical="center"/>
    </xf>
    <xf numFmtId="0" fontId="176" fillId="127" borderId="5" xfId="0" applyFont="1" applyFill="1" applyBorder="1" applyAlignment="1">
      <alignment horizontal="center" vertical="center"/>
    </xf>
    <xf numFmtId="0" fontId="221" fillId="127" borderId="47" xfId="0" applyFont="1" applyFill="1" applyBorder="1" applyAlignment="1">
      <alignment horizontal="center" vertical="center"/>
    </xf>
    <xf numFmtId="0" fontId="221" fillId="127" borderId="49" xfId="0" applyFont="1" applyFill="1" applyBorder="1" applyAlignment="1">
      <alignment horizontal="center" vertical="center"/>
    </xf>
    <xf numFmtId="0" fontId="221" fillId="127" borderId="604" xfId="0" applyFont="1" applyFill="1" applyBorder="1" applyAlignment="1">
      <alignment horizontal="center" vertical="center"/>
    </xf>
    <xf numFmtId="0" fontId="221" fillId="127" borderId="605" xfId="0" applyFont="1" applyFill="1" applyBorder="1" applyAlignment="1">
      <alignment horizontal="center" vertical="center"/>
    </xf>
    <xf numFmtId="0" fontId="221" fillId="127" borderId="609" xfId="0" applyFont="1" applyFill="1" applyBorder="1" applyAlignment="1">
      <alignment horizontal="center" vertical="center"/>
    </xf>
    <xf numFmtId="0" fontId="176" fillId="127" borderId="593" xfId="0" applyFont="1" applyFill="1" applyBorder="1" applyAlignment="1">
      <alignment horizontal="center" vertical="center"/>
    </xf>
    <xf numFmtId="0" fontId="176" fillId="127" borderId="221" xfId="0" applyFont="1" applyFill="1" applyBorder="1" applyAlignment="1">
      <alignment horizontal="center" vertical="center" wrapText="1"/>
    </xf>
    <xf numFmtId="0" fontId="176" fillId="127" borderId="610" xfId="0" applyFont="1" applyFill="1" applyBorder="1" applyAlignment="1">
      <alignment horizontal="center" vertical="center"/>
    </xf>
    <xf numFmtId="0" fontId="176" fillId="127" borderId="482" xfId="0" applyFont="1" applyFill="1" applyBorder="1" applyAlignment="1">
      <alignment horizontal="center" vertical="center"/>
    </xf>
    <xf numFmtId="0" fontId="176" fillId="127" borderId="121" xfId="0" applyFont="1" applyFill="1" applyBorder="1" applyAlignment="1">
      <alignment horizontal="center" vertical="center" wrapText="1"/>
    </xf>
    <xf numFmtId="0" fontId="176" fillId="127" borderId="579" xfId="0" applyFont="1" applyFill="1" applyBorder="1" applyAlignment="1">
      <alignment horizontal="center" vertical="center" wrapText="1"/>
    </xf>
    <xf numFmtId="0" fontId="176" fillId="127" borderId="454" xfId="0" applyFont="1" applyFill="1" applyBorder="1" applyAlignment="1">
      <alignment horizontal="center" vertical="center" wrapText="1"/>
    </xf>
    <xf numFmtId="3" fontId="57" fillId="7" borderId="466" xfId="2" applyNumberFormat="1" applyFont="1" applyFill="1" applyBorder="1" applyAlignment="1">
      <alignment horizontal="center" vertical="center"/>
    </xf>
    <xf numFmtId="3" fontId="57" fillId="7" borderId="212" xfId="2" applyNumberFormat="1" applyFont="1" applyFill="1" applyBorder="1" applyAlignment="1">
      <alignment horizontal="center" vertical="center"/>
    </xf>
    <xf numFmtId="0" fontId="221" fillId="127" borderId="595" xfId="0" applyFont="1" applyFill="1" applyBorder="1" applyAlignment="1">
      <alignment horizontal="center" vertical="center"/>
    </xf>
    <xf numFmtId="0" fontId="221" fillId="127" borderId="596" xfId="0" applyFont="1" applyFill="1" applyBorder="1" applyAlignment="1">
      <alignment horizontal="center" vertical="center"/>
    </xf>
    <xf numFmtId="187" fontId="176" fillId="125" borderId="615" xfId="2" applyNumberFormat="1" applyFont="1" applyFill="1" applyBorder="1" applyAlignment="1">
      <alignment horizontal="center" vertical="center"/>
    </xf>
    <xf numFmtId="187" fontId="176" fillId="125" borderId="609" xfId="2" applyNumberFormat="1" applyFont="1" applyFill="1" applyBorder="1" applyAlignment="1">
      <alignment horizontal="center" vertical="center"/>
    </xf>
    <xf numFmtId="0" fontId="176" fillId="127" borderId="521" xfId="0" applyFont="1" applyFill="1" applyBorder="1" applyAlignment="1">
      <alignment horizontal="center" vertical="center" wrapText="1"/>
    </xf>
    <xf numFmtId="0" fontId="176" fillId="127" borderId="610" xfId="0" applyFont="1" applyFill="1" applyBorder="1" applyAlignment="1">
      <alignment horizontal="center" vertical="center" wrapText="1"/>
    </xf>
    <xf numFmtId="0" fontId="176" fillId="127" borderId="482" xfId="0" applyFont="1" applyFill="1" applyBorder="1" applyAlignment="1">
      <alignment horizontal="center" vertical="center" wrapText="1"/>
    </xf>
    <xf numFmtId="0" fontId="176" fillId="127" borderId="96" xfId="0" applyFont="1" applyFill="1" applyBorder="1" applyAlignment="1">
      <alignment horizontal="center" vertical="center" wrapText="1"/>
    </xf>
    <xf numFmtId="0" fontId="176" fillId="127" borderId="46" xfId="0" applyFont="1" applyFill="1" applyBorder="1" applyAlignment="1">
      <alignment horizontal="center" vertical="center" wrapText="1"/>
    </xf>
    <xf numFmtId="0" fontId="176" fillId="127" borderId="603" xfId="0" applyFont="1" applyFill="1" applyBorder="1" applyAlignment="1">
      <alignment horizontal="center" vertical="center"/>
    </xf>
    <xf numFmtId="0" fontId="176" fillId="127" borderId="124" xfId="0" applyFont="1" applyFill="1" applyBorder="1" applyAlignment="1">
      <alignment horizontal="center" vertical="center" wrapText="1"/>
    </xf>
    <xf numFmtId="0" fontId="176" fillId="127" borderId="592" xfId="0" applyFont="1" applyFill="1" applyBorder="1" applyAlignment="1">
      <alignment horizontal="center" vertical="center" wrapText="1"/>
    </xf>
    <xf numFmtId="0" fontId="176" fillId="127" borderId="597" xfId="0" applyFont="1" applyFill="1" applyBorder="1" applyAlignment="1">
      <alignment horizontal="center" vertical="center" wrapText="1"/>
    </xf>
    <xf numFmtId="0" fontId="176" fillId="127" borderId="221" xfId="0" applyFont="1" applyFill="1" applyBorder="1" applyAlignment="1">
      <alignment horizontal="center" vertical="center"/>
    </xf>
    <xf numFmtId="0" fontId="176" fillId="127" borderId="579" xfId="0" applyFont="1" applyFill="1" applyBorder="1" applyAlignment="1">
      <alignment horizontal="center" vertical="center"/>
    </xf>
    <xf numFmtId="0" fontId="176" fillId="127" borderId="581" xfId="0" applyFont="1" applyFill="1" applyBorder="1" applyAlignment="1">
      <alignment horizontal="center" vertical="center"/>
    </xf>
    <xf numFmtId="0" fontId="176" fillId="127" borderId="454" xfId="0" applyFont="1" applyFill="1" applyBorder="1" applyAlignment="1">
      <alignment horizontal="center" vertical="center"/>
    </xf>
    <xf numFmtId="0" fontId="176" fillId="127" borderId="570" xfId="0" applyFont="1" applyFill="1" applyBorder="1" applyAlignment="1">
      <alignment horizontal="center" vertical="center"/>
    </xf>
    <xf numFmtId="0" fontId="176" fillId="127" borderId="581" xfId="0" applyFont="1" applyFill="1" applyBorder="1" applyAlignment="1">
      <alignment horizontal="center" vertical="center" wrapText="1"/>
    </xf>
    <xf numFmtId="0" fontId="176" fillId="125" borderId="579" xfId="0" applyFont="1" applyFill="1" applyBorder="1" applyAlignment="1">
      <alignment horizontal="center" vertical="center"/>
    </xf>
    <xf numFmtId="0" fontId="176" fillId="125" borderId="483" xfId="0" applyFont="1" applyFill="1" applyBorder="1" applyAlignment="1">
      <alignment horizontal="center" vertical="center"/>
    </xf>
    <xf numFmtId="0" fontId="176" fillId="125" borderId="121" xfId="0" applyFont="1" applyFill="1" applyBorder="1" applyAlignment="1">
      <alignment horizontal="center" vertical="center"/>
    </xf>
    <xf numFmtId="0" fontId="176" fillId="127" borderId="6" xfId="0" applyFont="1" applyFill="1" applyBorder="1" applyAlignment="1">
      <alignment horizontal="center" vertical="center" wrapText="1"/>
    </xf>
    <xf numFmtId="0" fontId="176" fillId="127" borderId="469" xfId="0" applyFont="1" applyFill="1" applyBorder="1" applyAlignment="1">
      <alignment horizontal="center" vertical="center" wrapText="1"/>
    </xf>
    <xf numFmtId="0" fontId="176" fillId="127" borderId="466" xfId="0" applyFont="1" applyFill="1" applyBorder="1" applyAlignment="1">
      <alignment horizontal="center" vertical="center" wrapText="1"/>
    </xf>
    <xf numFmtId="0" fontId="176" fillId="127" borderId="515" xfId="0" applyFont="1" applyFill="1" applyBorder="1" applyAlignment="1">
      <alignment horizontal="center" vertical="center" wrapText="1"/>
    </xf>
    <xf numFmtId="0" fontId="176" fillId="127" borderId="52" xfId="0" applyFont="1" applyFill="1" applyBorder="1" applyAlignment="1">
      <alignment horizontal="center" vertical="center" wrapText="1"/>
    </xf>
    <xf numFmtId="0" fontId="176" fillId="127" borderId="604" xfId="0" applyFont="1" applyFill="1" applyBorder="1" applyAlignment="1">
      <alignment horizontal="center" vertical="center"/>
    </xf>
    <xf numFmtId="0" fontId="221" fillId="127" borderId="334" xfId="0" applyFont="1" applyFill="1" applyBorder="1" applyAlignment="1">
      <alignment horizontal="center" vertical="center"/>
    </xf>
    <xf numFmtId="0" fontId="221" fillId="127" borderId="352" xfId="0" applyFont="1" applyFill="1" applyBorder="1" applyAlignment="1">
      <alignment horizontal="center" vertical="center"/>
    </xf>
    <xf numFmtId="0" fontId="241" fillId="125" borderId="121" xfId="0" applyFont="1" applyFill="1" applyBorder="1" applyAlignment="1">
      <alignment horizontal="center" vertical="center"/>
    </xf>
    <xf numFmtId="0" fontId="241" fillId="125" borderId="122" xfId="0" applyFont="1" applyFill="1" applyBorder="1" applyAlignment="1">
      <alignment horizontal="center" vertical="center"/>
    </xf>
    <xf numFmtId="0" fontId="176" fillId="127" borderId="608" xfId="0" applyFont="1" applyFill="1" applyBorder="1" applyAlignment="1">
      <alignment horizontal="center" vertical="center"/>
    </xf>
    <xf numFmtId="0" fontId="176" fillId="127" borderId="616" xfId="0" applyFont="1" applyFill="1" applyBorder="1" applyAlignment="1">
      <alignment horizontal="center" vertical="center"/>
    </xf>
    <xf numFmtId="0" fontId="176" fillId="127" borderId="609" xfId="0" applyFont="1" applyFill="1" applyBorder="1" applyAlignment="1">
      <alignment horizontal="center" vertical="center"/>
    </xf>
    <xf numFmtId="0" fontId="221" fillId="127" borderId="608" xfId="0" applyFont="1" applyFill="1" applyBorder="1" applyAlignment="1">
      <alignment horizontal="center" vertical="center"/>
    </xf>
    <xf numFmtId="0" fontId="221" fillId="127" borderId="616" xfId="0" applyFont="1" applyFill="1" applyBorder="1" applyAlignment="1">
      <alignment horizontal="center" vertical="center"/>
    </xf>
    <xf numFmtId="0" fontId="176" fillId="127" borderId="0" xfId="0" applyFont="1" applyFill="1" applyBorder="1" applyAlignment="1">
      <alignment horizontal="center" vertical="center"/>
    </xf>
    <xf numFmtId="187" fontId="0" fillId="0" borderId="0" xfId="0" applyNumberFormat="1" applyBorder="1" applyAlignment="1">
      <alignment horizontal="center" vertical="center"/>
    </xf>
    <xf numFmtId="0" fontId="234" fillId="0" borderId="466" xfId="0" applyFont="1" applyBorder="1" applyAlignment="1">
      <alignment horizontal="center" vertical="center" wrapText="1"/>
    </xf>
    <xf numFmtId="0" fontId="234" fillId="0" borderId="5" xfId="0" applyFont="1" applyBorder="1" applyAlignment="1">
      <alignment horizontal="center" vertical="center" wrapText="1"/>
    </xf>
    <xf numFmtId="0" fontId="234" fillId="0" borderId="6" xfId="0" applyFont="1" applyBorder="1" applyAlignment="1">
      <alignment horizontal="center" vertical="center" wrapText="1"/>
    </xf>
    <xf numFmtId="0" fontId="232" fillId="15" borderId="123" xfId="0" applyFont="1" applyFill="1" applyBorder="1" applyAlignment="1">
      <alignment horizontal="center" vertical="center" wrapText="1"/>
    </xf>
    <xf numFmtId="0" fontId="232" fillId="15" borderId="611" xfId="0" applyFont="1" applyFill="1" applyBorder="1" applyAlignment="1">
      <alignment horizontal="center" vertical="center" wrapText="1"/>
    </xf>
    <xf numFmtId="0" fontId="232" fillId="15" borderId="122" xfId="0" applyFont="1" applyFill="1" applyBorder="1" applyAlignment="1">
      <alignment horizontal="center" vertical="center" wrapText="1"/>
    </xf>
    <xf numFmtId="0" fontId="232" fillId="15" borderId="609" xfId="0" applyFont="1" applyFill="1" applyBorder="1" applyAlignment="1">
      <alignment horizontal="center" vertical="center" wrapText="1"/>
    </xf>
    <xf numFmtId="0" fontId="232" fillId="15" borderId="49" xfId="0" applyFont="1" applyFill="1" applyBorder="1" applyAlignment="1">
      <alignment horizontal="center" vertical="center" wrapText="1"/>
    </xf>
    <xf numFmtId="0" fontId="232" fillId="15" borderId="616" xfId="0" applyFont="1" applyFill="1" applyBorder="1" applyAlignment="1">
      <alignment horizontal="center" vertical="center" wrapText="1"/>
    </xf>
    <xf numFmtId="0" fontId="232" fillId="15" borderId="263" xfId="0" applyFont="1" applyFill="1" applyBorder="1" applyAlignment="1">
      <alignment horizontal="center" vertical="center" wrapText="1"/>
    </xf>
    <xf numFmtId="0" fontId="232" fillId="15" borderId="97" xfId="0" applyFont="1" applyFill="1" applyBorder="1" applyAlignment="1">
      <alignment horizontal="center" vertical="center" wrapText="1"/>
    </xf>
    <xf numFmtId="0" fontId="232" fillId="15" borderId="221" xfId="0" applyFont="1" applyFill="1" applyBorder="1" applyAlignment="1">
      <alignment horizontal="center" vertical="center" wrapText="1"/>
    </xf>
    <xf numFmtId="0" fontId="232" fillId="15" borderId="230" xfId="0" applyFont="1" applyFill="1" applyBorder="1" applyAlignment="1">
      <alignment horizontal="center" vertical="center" wrapText="1"/>
    </xf>
    <xf numFmtId="0" fontId="232" fillId="15" borderId="5" xfId="0" applyFont="1" applyFill="1" applyBorder="1" applyAlignment="1">
      <alignment horizontal="center" vertical="center" wrapText="1"/>
    </xf>
    <xf numFmtId="0" fontId="232" fillId="15" borderId="6" xfId="0" applyFont="1" applyFill="1" applyBorder="1" applyAlignment="1">
      <alignment horizontal="center" vertical="center" wrapText="1"/>
    </xf>
    <xf numFmtId="0" fontId="232" fillId="15" borderId="137" xfId="0" applyFont="1" applyFill="1" applyBorder="1" applyAlignment="1">
      <alignment horizontal="center" vertical="center" wrapText="1"/>
    </xf>
    <xf numFmtId="0" fontId="232" fillId="15" borderId="329" xfId="0" applyFont="1" applyFill="1" applyBorder="1" applyAlignment="1">
      <alignment horizontal="center" vertical="center" wrapText="1"/>
    </xf>
    <xf numFmtId="0" fontId="232" fillId="15" borderId="202" xfId="0" applyFont="1" applyFill="1" applyBorder="1" applyAlignment="1">
      <alignment horizontal="center" vertical="center" wrapText="1"/>
    </xf>
    <xf numFmtId="0" fontId="232" fillId="15" borderId="352" xfId="0" applyFont="1" applyFill="1" applyBorder="1" applyAlignment="1">
      <alignment horizontal="center" vertical="center" wrapText="1"/>
    </xf>
    <xf numFmtId="0" fontId="232" fillId="15" borderId="86" xfId="0" applyFont="1" applyFill="1" applyBorder="1" applyAlignment="1">
      <alignment horizontal="center" vertical="center" wrapText="1"/>
    </xf>
    <xf numFmtId="0" fontId="232" fillId="15" borderId="23" xfId="0" applyFont="1" applyFill="1" applyBorder="1" applyAlignment="1">
      <alignment horizontal="center" vertical="center" wrapText="1"/>
    </xf>
    <xf numFmtId="0" fontId="204" fillId="132" borderId="524" xfId="0" applyFont="1" applyFill="1" applyBorder="1" applyAlignment="1">
      <alignment horizontal="center" vertical="center" wrapText="1" readingOrder="1"/>
    </xf>
    <xf numFmtId="0" fontId="204" fillId="132" borderId="526" xfId="0" applyFont="1" applyFill="1" applyBorder="1" applyAlignment="1">
      <alignment horizontal="center" vertical="center" wrapText="1" readingOrder="1"/>
    </xf>
    <xf numFmtId="0" fontId="204" fillId="132" borderId="532" xfId="0" applyFont="1" applyFill="1" applyBorder="1" applyAlignment="1">
      <alignment horizontal="center" vertical="center" wrapText="1" readingOrder="1"/>
    </xf>
    <xf numFmtId="0" fontId="204" fillId="132" borderId="533" xfId="0" applyFont="1" applyFill="1" applyBorder="1" applyAlignment="1">
      <alignment horizontal="center" vertical="center" wrapText="1" readingOrder="1"/>
    </xf>
    <xf numFmtId="0" fontId="34" fillId="116" borderId="161" xfId="0" applyFont="1" applyFill="1" applyBorder="1" applyAlignment="1">
      <alignment horizontal="center" vertical="center"/>
    </xf>
    <xf numFmtId="0" fontId="34" fillId="116" borderId="162" xfId="0" applyFont="1" applyFill="1" applyBorder="1" applyAlignment="1">
      <alignment horizontal="center" vertical="center"/>
    </xf>
    <xf numFmtId="0" fontId="34" fillId="116" borderId="289" xfId="0" applyFont="1" applyFill="1" applyBorder="1" applyAlignment="1">
      <alignment horizontal="center" vertical="center" wrapText="1"/>
    </xf>
    <xf numFmtId="0" fontId="34" fillId="116" borderId="289" xfId="0" applyFont="1" applyFill="1" applyBorder="1" applyAlignment="1">
      <alignment horizontal="center" vertical="center"/>
    </xf>
    <xf numFmtId="0" fontId="176" fillId="127" borderId="263" xfId="0" applyFont="1" applyFill="1" applyBorder="1" applyAlignment="1">
      <alignment horizontal="center" vertical="center" wrapText="1"/>
    </xf>
    <xf numFmtId="0" fontId="176" fillId="127" borderId="97" xfId="0" applyFont="1" applyFill="1" applyBorder="1" applyAlignment="1">
      <alignment horizontal="center" vertical="center" wrapText="1"/>
    </xf>
    <xf numFmtId="0" fontId="176" fillId="127" borderId="520" xfId="0" applyFont="1" applyFill="1" applyBorder="1" applyAlignment="1">
      <alignment horizontal="center" vertical="center" wrapText="1"/>
    </xf>
    <xf numFmtId="0" fontId="176" fillId="127" borderId="520" xfId="0" applyFont="1" applyFill="1" applyBorder="1" applyAlignment="1">
      <alignment horizontal="center" vertical="center"/>
    </xf>
    <xf numFmtId="0" fontId="176" fillId="127" borderId="263" xfId="0" applyFont="1" applyFill="1" applyBorder="1" applyAlignment="1">
      <alignment horizontal="center" vertical="center"/>
    </xf>
    <xf numFmtId="0" fontId="176" fillId="127" borderId="97" xfId="0" applyFont="1" applyFill="1" applyBorder="1" applyAlignment="1">
      <alignment horizontal="center" vertical="center"/>
    </xf>
    <xf numFmtId="0" fontId="221" fillId="125" borderId="121" xfId="0" applyFont="1" applyFill="1" applyBorder="1" applyAlignment="1">
      <alignment horizontal="center" vertical="center"/>
    </xf>
    <xf numFmtId="0" fontId="221" fillId="125" borderId="122" xfId="0" applyFont="1" applyFill="1" applyBorder="1" applyAlignment="1">
      <alignment horizontal="center" vertical="center"/>
    </xf>
    <xf numFmtId="0" fontId="221" fillId="125" borderId="515" xfId="0" applyFont="1" applyFill="1" applyBorder="1" applyAlignment="1">
      <alignment horizontal="center" vertical="center"/>
    </xf>
    <xf numFmtId="0" fontId="221" fillId="125" borderId="516" xfId="0" applyFont="1" applyFill="1" applyBorder="1" applyAlignment="1">
      <alignment horizontal="center" vertical="center"/>
    </xf>
    <xf numFmtId="0" fontId="222" fillId="131" borderId="534" xfId="0" applyFont="1" applyFill="1" applyBorder="1" applyAlignment="1">
      <alignment horizontal="center" vertical="center" wrapText="1" readingOrder="1"/>
    </xf>
    <xf numFmtId="0" fontId="222" fillId="131" borderId="535" xfId="0" applyFont="1" applyFill="1" applyBorder="1" applyAlignment="1">
      <alignment horizontal="center" vertical="center" wrapText="1" readingOrder="1"/>
    </xf>
    <xf numFmtId="0" fontId="204" fillId="132" borderId="537" xfId="0" applyFont="1" applyFill="1" applyBorder="1" applyAlignment="1">
      <alignment horizontal="center" vertical="center" wrapText="1" readingOrder="1"/>
    </xf>
    <xf numFmtId="0" fontId="204" fillId="132" borderId="544" xfId="0" applyFont="1" applyFill="1" applyBorder="1" applyAlignment="1">
      <alignment horizontal="center" vertical="center" wrapText="1" readingOrder="1"/>
    </xf>
    <xf numFmtId="0" fontId="204" fillId="132" borderId="545" xfId="0" applyFont="1" applyFill="1" applyBorder="1" applyAlignment="1">
      <alignment horizontal="center" vertical="center" wrapText="1" readingOrder="1"/>
    </xf>
    <xf numFmtId="0" fontId="204" fillId="132" borderId="527" xfId="0" applyFont="1" applyFill="1" applyBorder="1" applyAlignment="1">
      <alignment horizontal="center" vertical="center" wrapText="1" readingOrder="1"/>
    </xf>
    <xf numFmtId="0" fontId="204" fillId="132" borderId="0" xfId="0" applyFont="1" applyFill="1" applyBorder="1" applyAlignment="1">
      <alignment horizontal="center" vertical="center" wrapText="1" readingOrder="1"/>
    </xf>
    <xf numFmtId="0" fontId="204" fillId="132" borderId="529" xfId="0" applyFont="1" applyFill="1" applyBorder="1" applyAlignment="1">
      <alignment horizontal="center" vertical="center" wrapText="1" readingOrder="1"/>
    </xf>
    <xf numFmtId="0" fontId="204" fillId="132" borderId="530" xfId="0" applyFont="1" applyFill="1" applyBorder="1" applyAlignment="1">
      <alignment horizontal="center" vertical="center" wrapText="1" readingOrder="1"/>
    </xf>
    <xf numFmtId="0" fontId="204" fillId="132" borderId="539" xfId="0" applyFont="1" applyFill="1" applyBorder="1" applyAlignment="1">
      <alignment horizontal="center" vertical="center" wrapText="1" readingOrder="1"/>
    </xf>
    <xf numFmtId="0" fontId="204" fillId="132" borderId="540" xfId="0" applyFont="1" applyFill="1" applyBorder="1" applyAlignment="1">
      <alignment horizontal="center" vertical="center" wrapText="1" readingOrder="1"/>
    </xf>
    <xf numFmtId="0" fontId="204" fillId="132" borderId="550" xfId="0" applyFont="1" applyFill="1" applyBorder="1" applyAlignment="1">
      <alignment horizontal="center" vertical="center" wrapText="1" readingOrder="1"/>
    </xf>
    <xf numFmtId="0" fontId="204" fillId="132" borderId="546" xfId="0" applyFont="1" applyFill="1" applyBorder="1" applyAlignment="1">
      <alignment horizontal="center" vertical="center" wrapText="1" readingOrder="1"/>
    </xf>
    <xf numFmtId="0" fontId="204" fillId="132" borderId="547" xfId="0" applyFont="1" applyFill="1" applyBorder="1" applyAlignment="1">
      <alignment horizontal="center" vertical="center" wrapText="1" readingOrder="1"/>
    </xf>
    <xf numFmtId="41" fontId="176" fillId="125" borderId="121" xfId="2" applyFont="1" applyFill="1" applyBorder="1" applyAlignment="1">
      <alignment horizontal="center" vertical="center"/>
    </xf>
    <xf numFmtId="41" fontId="176" fillId="125" borderId="469" xfId="2" applyFont="1" applyFill="1" applyBorder="1" applyAlignment="1">
      <alignment horizontal="center" vertical="center"/>
    </xf>
    <xf numFmtId="0" fontId="176" fillId="127" borderId="496" xfId="0" applyFont="1" applyFill="1" applyBorder="1" applyAlignment="1">
      <alignment horizontal="center" vertical="center"/>
    </xf>
    <xf numFmtId="0" fontId="176" fillId="127" borderId="515" xfId="0" applyFont="1" applyFill="1" applyBorder="1" applyAlignment="1">
      <alignment horizontal="center" vertical="center"/>
    </xf>
    <xf numFmtId="0" fontId="176" fillId="127" borderId="161" xfId="0" applyFont="1" applyFill="1" applyBorder="1" applyAlignment="1">
      <alignment horizontal="center" vertical="center" wrapText="1"/>
    </xf>
    <xf numFmtId="0" fontId="176" fillId="127" borderId="137" xfId="0" applyFont="1" applyFill="1" applyBorder="1" applyAlignment="1">
      <alignment horizontal="center" vertical="center"/>
    </xf>
    <xf numFmtId="0" fontId="176" fillId="127" borderId="202" xfId="0" applyFont="1" applyFill="1" applyBorder="1" applyAlignment="1">
      <alignment horizontal="center" vertical="center"/>
    </xf>
    <xf numFmtId="0" fontId="176" fillId="127" borderId="437" xfId="0" applyFont="1" applyFill="1" applyBorder="1" applyAlignment="1">
      <alignment horizontal="center" vertical="center"/>
    </xf>
    <xf numFmtId="0" fontId="176" fillId="127" borderId="163" xfId="0" applyFont="1" applyFill="1" applyBorder="1" applyAlignment="1">
      <alignment horizontal="center" vertical="center"/>
    </xf>
    <xf numFmtId="0" fontId="176" fillId="127" borderId="161" xfId="0" applyFont="1" applyFill="1" applyBorder="1" applyAlignment="1">
      <alignment horizontal="center" vertical="center"/>
    </xf>
    <xf numFmtId="0" fontId="176" fillId="127" borderId="329" xfId="0" applyFont="1" applyFill="1" applyBorder="1" applyAlignment="1">
      <alignment horizontal="center" vertical="center"/>
    </xf>
    <xf numFmtId="0" fontId="176" fillId="125" borderId="287" xfId="0" applyFont="1" applyFill="1" applyBorder="1" applyAlignment="1">
      <alignment horizontal="center" vertical="center"/>
    </xf>
    <xf numFmtId="0" fontId="176" fillId="125" borderId="110" xfId="0" applyFont="1" applyFill="1" applyBorder="1" applyAlignment="1">
      <alignment horizontal="center" vertical="center"/>
    </xf>
    <xf numFmtId="0" fontId="176" fillId="125" borderId="391" xfId="0" applyFont="1" applyFill="1" applyBorder="1" applyAlignment="1">
      <alignment horizontal="center" vertical="center"/>
    </xf>
    <xf numFmtId="0" fontId="176" fillId="125" borderId="499" xfId="0" applyFont="1" applyFill="1" applyBorder="1" applyAlignment="1">
      <alignment horizontal="center" vertical="center" wrapText="1"/>
    </xf>
    <xf numFmtId="0" fontId="176" fillId="125" borderId="499" xfId="0" applyFont="1" applyFill="1" applyBorder="1" applyAlignment="1">
      <alignment horizontal="center" vertical="center"/>
    </xf>
    <xf numFmtId="0" fontId="176" fillId="127" borderId="499" xfId="0" applyFont="1" applyFill="1" applyBorder="1" applyAlignment="1">
      <alignment horizontal="center" vertical="center"/>
    </xf>
    <xf numFmtId="0" fontId="176" fillId="125" borderId="122" xfId="0" applyFont="1" applyFill="1" applyBorder="1" applyAlignment="1">
      <alignment horizontal="center" vertical="center"/>
    </xf>
    <xf numFmtId="0" fontId="176" fillId="125" borderId="467" xfId="0" applyFont="1" applyFill="1" applyBorder="1" applyAlignment="1">
      <alignment horizontal="center" vertical="center"/>
    </xf>
    <xf numFmtId="0" fontId="176" fillId="125" borderId="469" xfId="0" applyFont="1" applyFill="1" applyBorder="1" applyAlignment="1">
      <alignment horizontal="center" vertical="center"/>
    </xf>
    <xf numFmtId="0" fontId="176" fillId="125" borderId="123" xfId="0" applyFont="1" applyFill="1" applyBorder="1" applyAlignment="1">
      <alignment horizontal="center" vertical="center"/>
    </xf>
    <xf numFmtId="0" fontId="176" fillId="125" borderId="437" xfId="0" applyFont="1" applyFill="1" applyBorder="1" applyAlignment="1">
      <alignment horizontal="center" vertical="center"/>
    </xf>
    <xf numFmtId="0" fontId="176" fillId="125" borderId="124" xfId="0" applyFont="1" applyFill="1" applyBorder="1" applyAlignment="1">
      <alignment horizontal="center" vertical="center"/>
    </xf>
    <xf numFmtId="0" fontId="176" fillId="125" borderId="454" xfId="0" applyFont="1" applyFill="1" applyBorder="1" applyAlignment="1">
      <alignment horizontal="center" vertical="center"/>
    </xf>
    <xf numFmtId="0" fontId="196" fillId="125" borderId="0" xfId="0" applyFont="1" applyFill="1" applyAlignment="1">
      <alignment horizontal="center" vertical="center"/>
    </xf>
    <xf numFmtId="0" fontId="176" fillId="125" borderId="496" xfId="0" applyFont="1" applyFill="1" applyBorder="1" applyAlignment="1">
      <alignment horizontal="center" vertical="center"/>
    </xf>
    <xf numFmtId="0" fontId="176" fillId="125" borderId="122" xfId="0" applyFont="1" applyFill="1" applyBorder="1" applyAlignment="1">
      <alignment horizontal="center" vertical="center" wrapText="1"/>
    </xf>
    <xf numFmtId="0" fontId="176" fillId="125" borderId="123" xfId="0" applyFont="1" applyFill="1" applyBorder="1" applyAlignment="1">
      <alignment horizontal="center" vertical="center" wrapText="1"/>
    </xf>
    <xf numFmtId="0" fontId="176" fillId="125" borderId="447" xfId="0" applyFont="1" applyFill="1" applyBorder="1" applyAlignment="1">
      <alignment horizontal="center" vertical="center" wrapText="1"/>
    </xf>
    <xf numFmtId="0" fontId="44" fillId="0" borderId="46" xfId="0" applyFont="1" applyFill="1" applyBorder="1" applyAlignment="1">
      <alignment horizontal="center" vertical="center"/>
    </xf>
    <xf numFmtId="0" fontId="44" fillId="0" borderId="52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0" fontId="44" fillId="0" borderId="122" xfId="0" applyFont="1" applyBorder="1" applyAlignment="1">
      <alignment horizontal="center" vertical="center"/>
    </xf>
    <xf numFmtId="0" fontId="44" fillId="0" borderId="47" xfId="0" applyFont="1" applyBorder="1" applyAlignment="1">
      <alignment horizontal="center" vertical="center"/>
    </xf>
    <xf numFmtId="0" fontId="44" fillId="0" borderId="64" xfId="0" applyFont="1" applyBorder="1" applyAlignment="1">
      <alignment horizontal="center" vertical="center"/>
    </xf>
    <xf numFmtId="0" fontId="44" fillId="0" borderId="48" xfId="0" applyFont="1" applyBorder="1" applyAlignment="1">
      <alignment horizontal="center" vertical="center"/>
    </xf>
    <xf numFmtId="0" fontId="44" fillId="0" borderId="59" xfId="0" applyFont="1" applyBorder="1" applyAlignment="1">
      <alignment horizontal="center" vertical="center"/>
    </xf>
    <xf numFmtId="181" fontId="125" fillId="0" borderId="125" xfId="4124" applyNumberFormat="1" applyFont="1" applyBorder="1" applyAlignment="1">
      <alignment horizontal="center" vertical="center"/>
    </xf>
    <xf numFmtId="181" fontId="125" fillId="0" borderId="126" xfId="4124" applyNumberFormat="1" applyFont="1" applyBorder="1" applyAlignment="1">
      <alignment horizontal="center" vertical="center"/>
    </xf>
    <xf numFmtId="41" fontId="43" fillId="0" borderId="64" xfId="4124" applyFont="1" applyBorder="1" applyAlignment="1">
      <alignment horizontal="center" vertical="center"/>
    </xf>
    <xf numFmtId="41" fontId="43" fillId="0" borderId="59" xfId="4124" applyFont="1" applyBorder="1" applyAlignment="1">
      <alignment horizontal="center" vertical="center"/>
    </xf>
    <xf numFmtId="0" fontId="44" fillId="0" borderId="64" xfId="0" applyFont="1" applyBorder="1" applyAlignment="1">
      <alignment horizontal="center" vertical="center" wrapText="1"/>
    </xf>
    <xf numFmtId="0" fontId="44" fillId="0" borderId="59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123" fillId="0" borderId="0" xfId="0" applyFont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43" fillId="0" borderId="46" xfId="0" applyFont="1" applyBorder="1" applyAlignment="1">
      <alignment horizontal="center" vertical="center"/>
    </xf>
    <xf numFmtId="0" fontId="43" fillId="0" borderId="50" xfId="0" applyFont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0" fontId="27" fillId="7" borderId="34" xfId="0" applyFont="1" applyFill="1" applyBorder="1" applyAlignment="1">
      <alignment horizontal="center" vertical="center"/>
    </xf>
    <xf numFmtId="0" fontId="30" fillId="7" borderId="20" xfId="0" applyFont="1" applyFill="1" applyBorder="1" applyAlignment="1">
      <alignment horizontal="center" vertical="center"/>
    </xf>
    <xf numFmtId="0" fontId="30" fillId="7" borderId="35" xfId="0" applyFont="1" applyFill="1" applyBorder="1" applyAlignment="1">
      <alignment horizontal="center" vertical="center"/>
    </xf>
    <xf numFmtId="0" fontId="27" fillId="7" borderId="32" xfId="0" applyFont="1" applyFill="1" applyBorder="1" applyAlignment="1">
      <alignment horizontal="center" vertical="center"/>
    </xf>
    <xf numFmtId="42" fontId="31" fillId="7" borderId="216" xfId="3" applyFont="1" applyFill="1" applyBorder="1" applyAlignment="1">
      <alignment horizontal="center" vertical="center"/>
    </xf>
    <xf numFmtId="41" fontId="27" fillId="7" borderId="39" xfId="2" applyFont="1" applyFill="1" applyBorder="1" applyAlignment="1">
      <alignment horizontal="center" vertical="center"/>
    </xf>
    <xf numFmtId="41" fontId="27" fillId="7" borderId="26" xfId="2" applyFont="1" applyFill="1" applyBorder="1" applyAlignment="1">
      <alignment horizontal="center" vertical="center"/>
    </xf>
    <xf numFmtId="42" fontId="30" fillId="6" borderId="216" xfId="3" applyFont="1" applyFill="1" applyBorder="1" applyAlignment="1">
      <alignment horizontal="center" vertical="center"/>
    </xf>
    <xf numFmtId="0" fontId="30" fillId="7" borderId="33" xfId="0" applyFont="1" applyFill="1" applyBorder="1" applyAlignment="1">
      <alignment horizontal="center" vertical="center" wrapText="1"/>
    </xf>
    <xf numFmtId="0" fontId="30" fillId="7" borderId="33" xfId="0" applyFont="1" applyFill="1" applyBorder="1" applyAlignment="1">
      <alignment horizontal="center" vertical="center"/>
    </xf>
    <xf numFmtId="0" fontId="30" fillId="7" borderId="34" xfId="0" applyFont="1" applyFill="1" applyBorder="1" applyAlignment="1">
      <alignment horizontal="center" vertical="center"/>
    </xf>
    <xf numFmtId="187" fontId="31" fillId="7" borderId="216" xfId="0" applyNumberFormat="1" applyFont="1" applyFill="1" applyBorder="1" applyAlignment="1">
      <alignment horizontal="center" vertical="center"/>
    </xf>
    <xf numFmtId="0" fontId="30" fillId="7" borderId="216" xfId="0" applyFont="1" applyFill="1" applyBorder="1" applyAlignment="1">
      <alignment horizontal="center" vertical="center" wrapText="1"/>
    </xf>
    <xf numFmtId="0" fontId="31" fillId="7" borderId="218" xfId="0" applyFont="1" applyFill="1" applyBorder="1" applyAlignment="1">
      <alignment horizontal="center" vertical="center" wrapText="1"/>
    </xf>
    <xf numFmtId="0" fontId="31" fillId="7" borderId="5" xfId="0" applyFont="1" applyFill="1" applyBorder="1" applyAlignment="1">
      <alignment horizontal="center" vertical="center" wrapText="1"/>
    </xf>
    <xf numFmtId="0" fontId="31" fillId="7" borderId="6" xfId="0" applyFont="1" applyFill="1" applyBorder="1" applyAlignment="1">
      <alignment horizontal="center" vertical="center" wrapText="1"/>
    </xf>
    <xf numFmtId="187" fontId="31" fillId="7" borderId="218" xfId="0" applyNumberFormat="1" applyFont="1" applyFill="1" applyBorder="1" applyAlignment="1">
      <alignment horizontal="center" vertical="center" wrapText="1"/>
    </xf>
    <xf numFmtId="187" fontId="31" fillId="7" borderId="5" xfId="0" applyNumberFormat="1" applyFont="1" applyFill="1" applyBorder="1" applyAlignment="1">
      <alignment horizontal="center" vertical="center" wrapText="1"/>
    </xf>
    <xf numFmtId="187" fontId="31" fillId="7" borderId="6" xfId="0" applyNumberFormat="1" applyFont="1" applyFill="1" applyBorder="1" applyAlignment="1">
      <alignment horizontal="center" vertical="center" wrapText="1"/>
    </xf>
    <xf numFmtId="0" fontId="27" fillId="3" borderId="216" xfId="0" applyFont="1" applyFill="1" applyBorder="1" applyAlignment="1" applyProtection="1">
      <alignment horizontal="center" vertical="center"/>
      <protection locked="0"/>
    </xf>
    <xf numFmtId="0" fontId="31" fillId="7" borderId="216" xfId="0" applyFont="1" applyFill="1" applyBorder="1" applyAlignment="1">
      <alignment horizontal="center" vertical="center" wrapText="1"/>
    </xf>
    <xf numFmtId="0" fontId="31" fillId="7" borderId="216" xfId="0" applyFont="1" applyFill="1" applyBorder="1" applyAlignment="1">
      <alignment horizontal="center" vertical="center"/>
    </xf>
    <xf numFmtId="0" fontId="27" fillId="6" borderId="216" xfId="0" applyFont="1" applyFill="1" applyBorder="1" applyAlignment="1">
      <alignment horizontal="center" vertical="center"/>
    </xf>
    <xf numFmtId="0" fontId="30" fillId="7" borderId="216" xfId="0" applyFont="1" applyFill="1" applyBorder="1" applyAlignment="1">
      <alignment horizontal="center" vertical="center"/>
    </xf>
    <xf numFmtId="0" fontId="32" fillId="7" borderId="243" xfId="0" applyFont="1" applyFill="1" applyBorder="1" applyAlignment="1">
      <alignment horizontal="center" vertical="center"/>
    </xf>
    <xf numFmtId="0" fontId="32" fillId="7" borderId="5" xfId="0" applyFont="1" applyFill="1" applyBorder="1" applyAlignment="1">
      <alignment horizontal="center" vertical="center"/>
    </xf>
    <xf numFmtId="0" fontId="32" fillId="7" borderId="6" xfId="0" applyFont="1" applyFill="1" applyBorder="1" applyAlignment="1">
      <alignment horizontal="center" vertical="center"/>
    </xf>
    <xf numFmtId="0" fontId="27" fillId="3" borderId="267" xfId="0" applyFont="1" applyFill="1" applyBorder="1" applyAlignment="1" applyProtection="1">
      <alignment horizontal="center" vertical="center"/>
      <protection locked="0"/>
    </xf>
    <xf numFmtId="0" fontId="27" fillId="3" borderId="266" xfId="0" applyFont="1" applyFill="1" applyBorder="1" applyAlignment="1" applyProtection="1">
      <alignment horizontal="center" vertical="center"/>
      <protection locked="0"/>
    </xf>
    <xf numFmtId="0" fontId="31" fillId="114" borderId="216" xfId="0" applyFont="1" applyFill="1" applyBorder="1" applyAlignment="1">
      <alignment horizontal="center" vertical="center" wrapText="1"/>
    </xf>
    <xf numFmtId="0" fontId="31" fillId="114" borderId="216" xfId="0" applyFont="1" applyFill="1" applyBorder="1" applyAlignment="1">
      <alignment horizontal="center" vertical="center"/>
    </xf>
    <xf numFmtId="0" fontId="30" fillId="7" borderId="32" xfId="0" applyFont="1" applyFill="1" applyBorder="1" applyAlignment="1">
      <alignment horizontal="center" vertical="center" wrapText="1"/>
    </xf>
    <xf numFmtId="0" fontId="30" fillId="7" borderId="34" xfId="0" applyFont="1" applyFill="1" applyBorder="1" applyAlignment="1">
      <alignment horizontal="center" vertical="center" wrapText="1"/>
    </xf>
    <xf numFmtId="0" fontId="27" fillId="3" borderId="15" xfId="0" applyFont="1" applyFill="1" applyBorder="1" applyAlignment="1" applyProtection="1">
      <alignment horizontal="center" vertical="center"/>
      <protection locked="0"/>
    </xf>
    <xf numFmtId="0" fontId="27" fillId="3" borderId="4" xfId="0" applyFont="1" applyFill="1" applyBorder="1" applyAlignment="1" applyProtection="1">
      <alignment horizontal="center" vertical="center"/>
      <protection locked="0"/>
    </xf>
    <xf numFmtId="0" fontId="30" fillId="114" borderId="216" xfId="0" applyFont="1" applyFill="1" applyBorder="1" applyAlignment="1">
      <alignment horizontal="center" vertical="center" wrapText="1"/>
    </xf>
    <xf numFmtId="0" fontId="31" fillId="116" borderId="218" xfId="0" applyFont="1" applyFill="1" applyBorder="1" applyAlignment="1">
      <alignment horizontal="center" vertical="center" wrapText="1"/>
    </xf>
    <xf numFmtId="0" fontId="31" fillId="116" borderId="5" xfId="0" applyFont="1" applyFill="1" applyBorder="1" applyAlignment="1">
      <alignment horizontal="center" vertical="center"/>
    </xf>
    <xf numFmtId="0" fontId="31" fillId="116" borderId="6" xfId="0" applyFont="1" applyFill="1" applyBorder="1" applyAlignment="1">
      <alignment horizontal="center" vertical="center"/>
    </xf>
    <xf numFmtId="38" fontId="31" fillId="7" borderId="216" xfId="3" applyNumberFormat="1" applyFont="1" applyFill="1" applyBorder="1" applyAlignment="1">
      <alignment horizontal="center" vertical="center"/>
    </xf>
    <xf numFmtId="38" fontId="31" fillId="7" borderId="499" xfId="3" applyNumberFormat="1" applyFont="1" applyFill="1" applyBorder="1" applyAlignment="1">
      <alignment horizontal="center" vertical="center"/>
    </xf>
    <xf numFmtId="38" fontId="31" fillId="7" borderId="609" xfId="3" applyNumberFormat="1" applyFont="1" applyFill="1" applyBorder="1" applyAlignment="1">
      <alignment horizontal="center" vertical="center"/>
    </xf>
    <xf numFmtId="0" fontId="31" fillId="7" borderId="609" xfId="0" applyFont="1" applyFill="1" applyBorder="1" applyAlignment="1">
      <alignment horizontal="center" vertical="center"/>
    </xf>
    <xf numFmtId="0" fontId="181" fillId="120" borderId="264" xfId="22859" applyFont="1" applyFill="1" applyBorder="1" applyAlignment="1">
      <alignment horizontal="center" vertical="center" wrapText="1"/>
    </xf>
    <xf numFmtId="0" fontId="182" fillId="122" borderId="264" xfId="0" applyFont="1" applyFill="1" applyBorder="1" applyAlignment="1">
      <alignment horizontal="center" vertical="center"/>
    </xf>
    <xf numFmtId="0" fontId="181" fillId="120" borderId="223" xfId="22859" applyFont="1" applyFill="1" applyBorder="1" applyAlignment="1">
      <alignment horizontal="center" vertical="center" wrapText="1"/>
    </xf>
    <xf numFmtId="0" fontId="181" fillId="120" borderId="219" xfId="22859" applyFont="1" applyFill="1" applyBorder="1" applyAlignment="1">
      <alignment horizontal="center" vertical="center" wrapText="1"/>
    </xf>
    <xf numFmtId="0" fontId="181" fillId="120" borderId="40" xfId="22859" applyFont="1" applyFill="1" applyBorder="1" applyAlignment="1">
      <alignment horizontal="center" vertical="center" wrapText="1"/>
    </xf>
    <xf numFmtId="0" fontId="181" fillId="120" borderId="23" xfId="22859" applyFont="1" applyFill="1" applyBorder="1" applyAlignment="1">
      <alignment horizontal="center" vertical="center" wrapText="1"/>
    </xf>
    <xf numFmtId="0" fontId="230" fillId="116" borderId="466" xfId="0" applyFont="1" applyFill="1" applyBorder="1" applyAlignment="1">
      <alignment horizontal="center" vertical="center" wrapText="1"/>
    </xf>
    <xf numFmtId="0" fontId="230" fillId="116" borderId="5" xfId="0" applyFont="1" applyFill="1" applyBorder="1" applyAlignment="1">
      <alignment horizontal="center" vertical="center"/>
    </xf>
    <xf numFmtId="0" fontId="230" fillId="116" borderId="6" xfId="0" applyFont="1" applyFill="1" applyBorder="1" applyAlignment="1">
      <alignment horizontal="center" vertical="center"/>
    </xf>
    <xf numFmtId="0" fontId="184" fillId="93" borderId="267" xfId="0" applyFont="1" applyFill="1" applyBorder="1" applyAlignment="1">
      <alignment horizontal="center" vertical="center"/>
    </xf>
    <xf numFmtId="0" fontId="184" fillId="93" borderId="266" xfId="0" applyFont="1" applyFill="1" applyBorder="1" applyAlignment="1">
      <alignment horizontal="center" vertical="center"/>
    </xf>
    <xf numFmtId="0" fontId="30" fillId="0" borderId="466" xfId="0" applyFont="1" applyFill="1" applyBorder="1" applyAlignment="1">
      <alignment horizontal="center" vertical="center" wrapText="1"/>
    </xf>
    <xf numFmtId="0" fontId="30" fillId="0" borderId="5" xfId="0" applyFont="1" applyFill="1" applyBorder="1" applyAlignment="1">
      <alignment horizontal="center" vertical="center" wrapText="1"/>
    </xf>
    <xf numFmtId="0" fontId="38" fillId="14" borderId="0" xfId="0" applyFont="1" applyFill="1" applyBorder="1" applyAlignment="1" applyProtection="1">
      <alignment horizontal="center" vertical="center"/>
    </xf>
    <xf numFmtId="0" fontId="28" fillId="0" borderId="608" xfId="0" applyFont="1" applyFill="1" applyBorder="1" applyAlignment="1">
      <alignment horizontal="center" vertical="center"/>
    </xf>
    <xf numFmtId="0" fontId="28" fillId="0" borderId="616" xfId="0" applyFont="1" applyFill="1" applyBorder="1" applyAlignment="1">
      <alignment horizontal="center" vertical="center"/>
    </xf>
    <xf numFmtId="0" fontId="28" fillId="0" borderId="271" xfId="0" applyFont="1" applyFill="1" applyBorder="1" applyAlignment="1">
      <alignment horizontal="center" vertical="center"/>
    </xf>
    <xf numFmtId="9" fontId="124" fillId="0" borderId="0" xfId="1" applyNumberFormat="1" applyFont="1" applyAlignment="1">
      <alignment horizontal="center" vertical="center"/>
    </xf>
    <xf numFmtId="0" fontId="28" fillId="0" borderId="603" xfId="0" applyFont="1" applyFill="1" applyBorder="1" applyAlignment="1">
      <alignment horizontal="center" vertical="center"/>
    </xf>
    <xf numFmtId="0" fontId="28" fillId="0" borderId="6" xfId="0" applyFont="1" applyFill="1" applyBorder="1" applyAlignment="1">
      <alignment horizontal="center" vertical="center"/>
    </xf>
    <xf numFmtId="0" fontId="57" fillId="7" borderId="608" xfId="0" applyFont="1" applyFill="1" applyBorder="1" applyAlignment="1">
      <alignment horizontal="center" vertical="center"/>
    </xf>
    <xf numFmtId="0" fontId="57" fillId="7" borderId="616" xfId="0" applyFont="1" applyFill="1" applyBorder="1" applyAlignment="1">
      <alignment horizontal="center" vertical="center"/>
    </xf>
    <xf numFmtId="0" fontId="28" fillId="0" borderId="608" xfId="0" applyFont="1" applyBorder="1" applyAlignment="1">
      <alignment horizontal="center" vertical="center"/>
    </xf>
    <xf numFmtId="0" fontId="28" fillId="0" borderId="616" xfId="0" applyFont="1" applyBorder="1" applyAlignment="1">
      <alignment horizontal="center" vertical="center"/>
    </xf>
    <xf numFmtId="0" fontId="28" fillId="0" borderId="603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5" borderId="271" xfId="0" applyFont="1" applyFill="1" applyBorder="1" applyAlignment="1">
      <alignment horizontal="center" vertical="center"/>
    </xf>
    <xf numFmtId="0" fontId="28" fillId="0" borderId="463" xfId="0" applyFont="1" applyFill="1" applyBorder="1" applyAlignment="1">
      <alignment horizontal="center" vertical="center"/>
    </xf>
    <xf numFmtId="0" fontId="28" fillId="0" borderId="472" xfId="0" applyFont="1" applyFill="1" applyBorder="1" applyAlignment="1">
      <alignment horizontal="center" vertical="center"/>
    </xf>
    <xf numFmtId="0" fontId="28" fillId="0" borderId="463" xfId="0" applyFont="1" applyBorder="1" applyAlignment="1">
      <alignment horizontal="center" vertical="center"/>
    </xf>
    <xf numFmtId="0" fontId="28" fillId="0" borderId="472" xfId="0" applyFont="1" applyBorder="1" applyAlignment="1">
      <alignment horizontal="center" vertical="center"/>
    </xf>
    <xf numFmtId="0" fontId="28" fillId="0" borderId="271" xfId="0" applyFont="1" applyBorder="1" applyAlignment="1">
      <alignment horizontal="center" vertical="center"/>
    </xf>
    <xf numFmtId="0" fontId="57" fillId="7" borderId="271" xfId="0" applyFont="1" applyFill="1" applyBorder="1" applyAlignment="1">
      <alignment horizontal="center" vertical="center"/>
    </xf>
    <xf numFmtId="227" fontId="169" fillId="7" borderId="267" xfId="2" applyNumberFormat="1" applyFont="1" applyFill="1" applyBorder="1" applyAlignment="1">
      <alignment horizontal="center" vertical="center" wrapText="1"/>
    </xf>
    <xf numFmtId="227" fontId="169" fillId="7" borderId="266" xfId="2" applyNumberFormat="1" applyFont="1" applyFill="1" applyBorder="1" applyAlignment="1">
      <alignment horizontal="center" vertical="center" wrapText="1"/>
    </xf>
    <xf numFmtId="0" fontId="29" fillId="0" borderId="267" xfId="0" applyFont="1" applyBorder="1" applyAlignment="1">
      <alignment horizontal="center" vertical="center"/>
    </xf>
    <xf numFmtId="0" fontId="29" fillId="0" borderId="266" xfId="0" applyFont="1" applyBorder="1" applyAlignment="1">
      <alignment horizontal="center" vertical="center"/>
    </xf>
    <xf numFmtId="0" fontId="176" fillId="125" borderId="230" xfId="0" applyFont="1" applyFill="1" applyBorder="1" applyAlignment="1">
      <alignment horizontal="center" vertical="center" wrapText="1"/>
    </xf>
    <xf numFmtId="0" fontId="176" fillId="125" borderId="212" xfId="0" applyFont="1" applyFill="1" applyBorder="1" applyAlignment="1">
      <alignment horizontal="center" vertical="center" wrapText="1"/>
    </xf>
    <xf numFmtId="0" fontId="176" fillId="125" borderId="334" xfId="0" applyFont="1" applyFill="1" applyBorder="1" applyAlignment="1">
      <alignment horizontal="center" vertical="center" wrapText="1"/>
    </xf>
    <xf numFmtId="0" fontId="176" fillId="125" borderId="162" xfId="0" applyFont="1" applyFill="1" applyBorder="1" applyAlignment="1">
      <alignment horizontal="center" vertical="center" wrapText="1"/>
    </xf>
    <xf numFmtId="0" fontId="177" fillId="0" borderId="0" xfId="0" applyFont="1" applyFill="1" applyBorder="1" applyAlignment="1">
      <alignment horizontal="center" vertical="center"/>
    </xf>
    <xf numFmtId="0" fontId="176" fillId="125" borderId="137" xfId="0" applyFont="1" applyFill="1" applyBorder="1" applyAlignment="1">
      <alignment horizontal="center" vertical="center" wrapText="1"/>
    </xf>
    <xf numFmtId="0" fontId="176" fillId="125" borderId="163" xfId="0" applyFont="1" applyFill="1" applyBorder="1" applyAlignment="1">
      <alignment horizontal="center" vertical="center" wrapText="1"/>
    </xf>
    <xf numFmtId="0" fontId="176" fillId="125" borderId="263" xfId="0" applyFont="1" applyFill="1" applyBorder="1" applyAlignment="1">
      <alignment horizontal="center" vertical="center" wrapText="1"/>
    </xf>
    <xf numFmtId="0" fontId="176" fillId="125" borderId="161" xfId="0" applyFont="1" applyFill="1" applyBorder="1" applyAlignment="1">
      <alignment horizontal="center" vertical="center"/>
    </xf>
    <xf numFmtId="0" fontId="176" fillId="125" borderId="368" xfId="0" applyFont="1" applyFill="1" applyBorder="1" applyAlignment="1">
      <alignment horizontal="center" vertical="center"/>
    </xf>
    <xf numFmtId="0" fontId="176" fillId="125" borderId="268" xfId="0" applyFont="1" applyFill="1" applyBorder="1" applyAlignment="1">
      <alignment horizontal="center" vertical="center"/>
    </xf>
    <xf numFmtId="0" fontId="176" fillId="0" borderId="0" xfId="0" applyFont="1" applyFill="1" applyBorder="1" applyAlignment="1">
      <alignment horizontal="center" vertical="center"/>
    </xf>
    <xf numFmtId="0" fontId="176" fillId="0" borderId="0" xfId="0" applyFont="1" applyFill="1" applyBorder="1" applyAlignment="1">
      <alignment horizontal="center" vertical="center" wrapText="1"/>
    </xf>
    <xf numFmtId="0" fontId="176" fillId="125" borderId="288" xfId="0" applyFont="1" applyFill="1" applyBorder="1" applyAlignment="1">
      <alignment horizontal="center" vertical="center"/>
    </xf>
    <xf numFmtId="0" fontId="176" fillId="127" borderId="5" xfId="0" applyFont="1" applyFill="1" applyBorder="1" applyAlignment="1">
      <alignment horizontal="center" vertical="center" wrapText="1"/>
    </xf>
    <xf numFmtId="0" fontId="176" fillId="127" borderId="464" xfId="0" applyFont="1" applyFill="1" applyBorder="1" applyAlignment="1">
      <alignment horizontal="center" vertical="center"/>
    </xf>
    <xf numFmtId="0" fontId="176" fillId="127" borderId="483" xfId="0" applyFont="1" applyFill="1" applyBorder="1" applyAlignment="1">
      <alignment horizontal="center" vertical="center"/>
    </xf>
    <xf numFmtId="0" fontId="176" fillId="125" borderId="137" xfId="0" applyFont="1" applyFill="1" applyBorder="1" applyAlignment="1">
      <alignment horizontal="center" vertical="center"/>
    </xf>
    <xf numFmtId="0" fontId="176" fillId="125" borderId="163" xfId="0" applyFont="1" applyFill="1" applyBorder="1" applyAlignment="1">
      <alignment horizontal="center" vertical="center"/>
    </xf>
    <xf numFmtId="0" fontId="176" fillId="125" borderId="330" xfId="0" applyFont="1" applyFill="1" applyBorder="1" applyAlignment="1">
      <alignment horizontal="center" vertical="center" wrapText="1"/>
    </xf>
    <xf numFmtId="0" fontId="176" fillId="125" borderId="467" xfId="0" applyFont="1" applyFill="1" applyBorder="1" applyAlignment="1">
      <alignment horizontal="center" vertical="center" wrapText="1"/>
    </xf>
    <xf numFmtId="0" fontId="176" fillId="125" borderId="287" xfId="0" applyFont="1" applyFill="1" applyBorder="1" applyAlignment="1">
      <alignment horizontal="center" vertical="center" wrapText="1"/>
    </xf>
    <xf numFmtId="0" fontId="176" fillId="125" borderId="288" xfId="0" applyFont="1" applyFill="1" applyBorder="1" applyAlignment="1">
      <alignment horizontal="center" vertical="center" wrapText="1"/>
    </xf>
    <xf numFmtId="0" fontId="176" fillId="125" borderId="230" xfId="0" applyFont="1" applyFill="1" applyBorder="1" applyAlignment="1">
      <alignment horizontal="center" vertical="center"/>
    </xf>
    <xf numFmtId="0" fontId="176" fillId="125" borderId="212" xfId="0" applyFont="1" applyFill="1" applyBorder="1" applyAlignment="1">
      <alignment horizontal="center" vertical="center"/>
    </xf>
    <xf numFmtId="0" fontId="34" fillId="3" borderId="267" xfId="0" applyFont="1" applyFill="1" applyBorder="1" applyAlignment="1">
      <alignment horizontal="center" vertical="center"/>
    </xf>
    <xf numFmtId="0" fontId="34" fillId="3" borderId="269" xfId="0" applyFont="1" applyFill="1" applyBorder="1" applyAlignment="1">
      <alignment horizontal="center" vertical="center"/>
    </xf>
    <xf numFmtId="0" fontId="34" fillId="3" borderId="266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171" fillId="7" borderId="0" xfId="0" applyFont="1" applyFill="1" applyBorder="1" applyAlignment="1">
      <alignment horizontal="center" vertical="center"/>
    </xf>
    <xf numFmtId="0" fontId="171" fillId="7" borderId="86" xfId="0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8" fillId="7" borderId="86" xfId="0" applyFont="1" applyFill="1" applyBorder="1" applyAlignment="1">
      <alignment horizontal="center" vertical="center"/>
    </xf>
    <xf numFmtId="0" fontId="171" fillId="5" borderId="218" xfId="0" applyFont="1" applyFill="1" applyBorder="1" applyAlignment="1">
      <alignment horizontal="center" vertical="center" wrapText="1"/>
    </xf>
    <xf numFmtId="0" fontId="171" fillId="5" borderId="6" xfId="0" applyFont="1" applyFill="1" applyBorder="1" applyAlignment="1">
      <alignment horizontal="center" vertical="center" wrapText="1"/>
    </xf>
    <xf numFmtId="0" fontId="176" fillId="125" borderId="466" xfId="0" applyFont="1" applyFill="1" applyBorder="1" applyAlignment="1">
      <alignment horizontal="center" vertical="center"/>
    </xf>
    <xf numFmtId="0" fontId="171" fillId="5" borderId="196" xfId="0" applyFont="1" applyFill="1" applyBorder="1" applyAlignment="1">
      <alignment horizontal="center" vertical="center"/>
    </xf>
    <xf numFmtId="0" fontId="171" fillId="5" borderId="197" xfId="0" applyFont="1" applyFill="1" applyBorder="1" applyAlignment="1">
      <alignment horizontal="center" vertical="center"/>
    </xf>
    <xf numFmtId="0" fontId="171" fillId="5" borderId="198" xfId="0" applyFont="1" applyFill="1" applyBorder="1" applyAlignment="1">
      <alignment horizontal="center" vertical="center"/>
    </xf>
    <xf numFmtId="0" fontId="171" fillId="5" borderId="238" xfId="0" applyFont="1" applyFill="1" applyBorder="1" applyAlignment="1">
      <alignment horizontal="center" vertical="center" wrapText="1"/>
    </xf>
    <xf numFmtId="0" fontId="171" fillId="5" borderId="238" xfId="0" applyFont="1" applyFill="1" applyBorder="1" applyAlignment="1">
      <alignment horizontal="center" vertical="center"/>
    </xf>
    <xf numFmtId="0" fontId="211" fillId="7" borderId="0" xfId="0" applyFont="1" applyFill="1" applyAlignment="1">
      <alignment horizontal="center" vertical="center"/>
    </xf>
    <xf numFmtId="0" fontId="176" fillId="125" borderId="5" xfId="0" applyFont="1" applyFill="1" applyBorder="1" applyAlignment="1">
      <alignment horizontal="center" vertical="center" wrapText="1"/>
    </xf>
    <xf numFmtId="0" fontId="176" fillId="125" borderId="329" xfId="0" applyFont="1" applyFill="1" applyBorder="1" applyAlignment="1">
      <alignment horizontal="center" vertical="center" wrapText="1"/>
    </xf>
    <xf numFmtId="0" fontId="176" fillId="125" borderId="464" xfId="0" applyFont="1" applyFill="1" applyBorder="1" applyAlignment="1">
      <alignment horizontal="center" vertical="center"/>
    </xf>
    <xf numFmtId="0" fontId="176" fillId="125" borderId="48" xfId="0" applyFont="1" applyFill="1" applyBorder="1" applyAlignment="1">
      <alignment horizontal="center" vertical="center"/>
    </xf>
    <xf numFmtId="0" fontId="176" fillId="125" borderId="49" xfId="0" applyFont="1" applyFill="1" applyBorder="1" applyAlignment="1">
      <alignment horizontal="center" vertical="center"/>
    </xf>
    <xf numFmtId="9" fontId="28" fillId="7" borderId="137" xfId="1" applyFont="1" applyFill="1" applyBorder="1" applyAlignment="1">
      <alignment horizontal="center" vertical="center" wrapText="1"/>
    </xf>
    <xf numFmtId="9" fontId="28" fillId="7" borderId="329" xfId="1" applyFont="1" applyFill="1" applyBorder="1" applyAlignment="1">
      <alignment horizontal="center" vertical="center" wrapText="1"/>
    </xf>
    <xf numFmtId="9" fontId="28" fillId="7" borderId="202" xfId="1" applyFont="1" applyFill="1" applyBorder="1" applyAlignment="1">
      <alignment horizontal="center" vertical="center" wrapText="1"/>
    </xf>
    <xf numFmtId="9" fontId="28" fillId="0" borderId="137" xfId="1" applyFont="1" applyFill="1" applyBorder="1" applyAlignment="1">
      <alignment horizontal="center" vertical="center" wrapText="1"/>
    </xf>
    <xf numFmtId="9" fontId="28" fillId="0" borderId="329" xfId="1" applyFont="1" applyFill="1" applyBorder="1" applyAlignment="1">
      <alignment horizontal="center" vertical="center" wrapText="1"/>
    </xf>
    <xf numFmtId="9" fontId="28" fillId="0" borderId="202" xfId="1" applyFont="1" applyFill="1" applyBorder="1" applyAlignment="1">
      <alignment horizontal="center" vertical="center" wrapText="1"/>
    </xf>
    <xf numFmtId="9" fontId="28" fillId="0" borderId="437" xfId="1" applyFont="1" applyFill="1" applyBorder="1" applyAlignment="1">
      <alignment horizontal="center" vertical="center"/>
    </xf>
    <xf numFmtId="9" fontId="28" fillId="0" borderId="329" xfId="1" applyFont="1" applyFill="1" applyBorder="1" applyAlignment="1">
      <alignment horizontal="center" vertical="center"/>
    </xf>
    <xf numFmtId="9" fontId="28" fillId="0" borderId="202" xfId="1" applyFont="1" applyFill="1" applyBorder="1" applyAlignment="1">
      <alignment horizontal="center" vertical="center"/>
    </xf>
    <xf numFmtId="226" fontId="176" fillId="125" borderId="230" xfId="0" applyNumberFormat="1" applyFont="1" applyFill="1" applyBorder="1" applyAlignment="1">
      <alignment horizontal="center" vertical="center" wrapText="1"/>
    </xf>
    <xf numFmtId="226" fontId="176" fillId="125" borderId="212" xfId="0" applyNumberFormat="1" applyFont="1" applyFill="1" applyBorder="1" applyAlignment="1">
      <alignment horizontal="center" vertical="center" wrapText="1"/>
    </xf>
    <xf numFmtId="0" fontId="176" fillId="127" borderId="121" xfId="0" applyFont="1" applyFill="1" applyBorder="1" applyAlignment="1">
      <alignment horizontal="center" vertical="center"/>
    </xf>
    <xf numFmtId="0" fontId="176" fillId="125" borderId="26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76" fillId="127" borderId="225" xfId="0" applyFont="1" applyFill="1" applyBorder="1" applyAlignment="1">
      <alignment horizontal="center" vertical="center"/>
    </xf>
    <xf numFmtId="0" fontId="176" fillId="127" borderId="229" xfId="0" applyFont="1" applyFill="1" applyBorder="1" applyAlignment="1">
      <alignment horizontal="center" vertical="center"/>
    </xf>
    <xf numFmtId="0" fontId="176" fillId="125" borderId="598" xfId="0" applyFont="1" applyFill="1" applyBorder="1" applyAlignment="1">
      <alignment horizontal="center" vertical="center"/>
    </xf>
    <xf numFmtId="0" fontId="176" fillId="127" borderId="602" xfId="0" applyFont="1" applyFill="1" applyBorder="1" applyAlignment="1">
      <alignment horizontal="center" vertical="center"/>
    </xf>
    <xf numFmtId="0" fontId="176" fillId="125" borderId="589" xfId="0" applyFont="1" applyFill="1" applyBorder="1" applyAlignment="1">
      <alignment horizontal="center" vertical="center"/>
    </xf>
    <xf numFmtId="0" fontId="176" fillId="125" borderId="592" xfId="0" applyFont="1" applyFill="1" applyBorder="1" applyAlignment="1">
      <alignment horizontal="center" vertical="center"/>
    </xf>
    <xf numFmtId="0" fontId="176" fillId="127" borderId="594" xfId="0" applyFont="1" applyFill="1" applyBorder="1" applyAlignment="1">
      <alignment horizontal="center" vertical="center"/>
    </xf>
    <xf numFmtId="0" fontId="176" fillId="125" borderId="64" xfId="0" applyFont="1" applyFill="1" applyBorder="1" applyAlignment="1">
      <alignment horizontal="center" vertical="center"/>
    </xf>
    <xf numFmtId="0" fontId="194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31" fontId="171" fillId="0" borderId="0" xfId="0" applyNumberFormat="1" applyFont="1" applyBorder="1" applyAlignment="1">
      <alignment horizontal="right" vertical="center"/>
    </xf>
    <xf numFmtId="31" fontId="171" fillId="0" borderId="206" xfId="0" applyNumberFormat="1" applyFont="1" applyBorder="1" applyAlignment="1">
      <alignment horizontal="right" vertical="center"/>
    </xf>
    <xf numFmtId="0" fontId="171" fillId="0" borderId="206" xfId="0" applyFont="1" applyBorder="1" applyAlignment="1">
      <alignment horizontal="right" vertical="center"/>
    </xf>
    <xf numFmtId="0" fontId="176" fillId="125" borderId="6" xfId="0" applyFont="1" applyFill="1" applyBorder="1" applyAlignment="1">
      <alignment horizontal="center" vertical="center" wrapText="1"/>
    </xf>
    <xf numFmtId="0" fontId="176" fillId="125" borderId="593" xfId="0" applyFont="1" applyFill="1" applyBorder="1" applyAlignment="1">
      <alignment horizontal="center" vertical="center"/>
    </xf>
    <xf numFmtId="0" fontId="176" fillId="127" borderId="307" xfId="0" applyFont="1" applyFill="1" applyBorder="1" applyAlignment="1">
      <alignment horizontal="center" vertical="center"/>
    </xf>
    <xf numFmtId="38" fontId="57" fillId="7" borderId="230" xfId="2" applyNumberFormat="1" applyFont="1" applyFill="1" applyBorder="1" applyAlignment="1">
      <alignment horizontal="center" vertical="center"/>
    </xf>
    <xf numFmtId="38" fontId="57" fillId="7" borderId="6" xfId="2" applyNumberFormat="1" applyFont="1" applyFill="1" applyBorder="1" applyAlignment="1">
      <alignment horizontal="center" vertical="center"/>
    </xf>
    <xf numFmtId="38" fontId="57" fillId="7" borderId="466" xfId="2" applyNumberFormat="1" applyFont="1" applyFill="1" applyBorder="1" applyAlignment="1">
      <alignment horizontal="center" vertical="center"/>
    </xf>
    <xf numFmtId="38" fontId="57" fillId="7" borderId="5" xfId="2" applyNumberFormat="1" applyFont="1" applyFill="1" applyBorder="1" applyAlignment="1">
      <alignment horizontal="center" vertical="center"/>
    </xf>
    <xf numFmtId="0" fontId="57" fillId="0" borderId="437" xfId="0" applyFont="1" applyFill="1" applyBorder="1" applyAlignment="1">
      <alignment horizontal="center" vertical="center" wrapText="1"/>
    </xf>
    <xf numFmtId="0" fontId="57" fillId="0" borderId="329" xfId="0" applyFont="1" applyFill="1" applyBorder="1" applyAlignment="1">
      <alignment horizontal="center" vertical="center"/>
    </xf>
    <xf numFmtId="0" fontId="57" fillId="0" borderId="202" xfId="0" applyFont="1" applyFill="1" applyBorder="1" applyAlignment="1">
      <alignment horizontal="center" vertical="center"/>
    </xf>
    <xf numFmtId="0" fontId="57" fillId="7" borderId="137" xfId="0" applyFont="1" applyFill="1" applyBorder="1" applyAlignment="1">
      <alignment horizontal="center" vertical="center"/>
    </xf>
    <xf numFmtId="0" fontId="57" fillId="7" borderId="202" xfId="0" applyFont="1" applyFill="1" applyBorder="1" applyAlignment="1">
      <alignment horizontal="center" vertical="center"/>
    </xf>
    <xf numFmtId="0" fontId="57" fillId="7" borderId="329" xfId="0" applyFont="1" applyFill="1" applyBorder="1" applyAlignment="1">
      <alignment horizontal="center" vertical="center" wrapText="1"/>
    </xf>
    <xf numFmtId="0" fontId="176" fillId="125" borderId="125" xfId="0" applyFont="1" applyFill="1" applyBorder="1" applyAlignment="1">
      <alignment horizontal="center" vertical="center"/>
    </xf>
    <xf numFmtId="0" fontId="176" fillId="125" borderId="283" xfId="0" applyFont="1" applyFill="1" applyBorder="1" applyAlignment="1">
      <alignment horizontal="center" vertical="center"/>
    </xf>
    <xf numFmtId="0" fontId="176" fillId="125" borderId="282" xfId="0" applyFont="1" applyFill="1" applyBorder="1" applyAlignment="1">
      <alignment horizontal="center" vertical="center"/>
    </xf>
    <xf numFmtId="0" fontId="176" fillId="125" borderId="303" xfId="0" applyFont="1" applyFill="1" applyBorder="1" applyAlignment="1">
      <alignment horizontal="center" vertical="center"/>
    </xf>
    <xf numFmtId="0" fontId="176" fillId="125" borderId="373" xfId="0" applyFont="1" applyFill="1" applyBorder="1" applyAlignment="1">
      <alignment horizontal="center" vertical="center"/>
    </xf>
    <xf numFmtId="0" fontId="176" fillId="125" borderId="379" xfId="0" applyFont="1" applyFill="1" applyBorder="1" applyAlignment="1">
      <alignment horizontal="center" vertical="center"/>
    </xf>
    <xf numFmtId="9" fontId="57" fillId="7" borderId="294" xfId="1" applyFont="1" applyFill="1" applyBorder="1" applyAlignment="1">
      <alignment horizontal="center" vertical="center"/>
    </xf>
    <xf numFmtId="9" fontId="57" fillId="7" borderId="5" xfId="1" applyFont="1" applyFill="1" applyBorder="1" applyAlignment="1">
      <alignment horizontal="center" vertical="center"/>
    </xf>
    <xf numFmtId="0" fontId="176" fillId="125" borderId="59" xfId="0" applyFont="1" applyFill="1" applyBorder="1" applyAlignment="1">
      <alignment horizontal="center" vertical="center"/>
    </xf>
    <xf numFmtId="38" fontId="57" fillId="7" borderId="218" xfId="2" applyNumberFormat="1" applyFont="1" applyFill="1" applyBorder="1" applyAlignment="1">
      <alignment horizontal="center" vertical="center"/>
    </xf>
    <xf numFmtId="38" fontId="57" fillId="7" borderId="602" xfId="2" applyNumberFormat="1" applyFont="1" applyFill="1" applyBorder="1" applyAlignment="1">
      <alignment horizontal="center" vertical="center"/>
    </xf>
    <xf numFmtId="38" fontId="57" fillId="7" borderId="97" xfId="2" applyNumberFormat="1" applyFont="1" applyFill="1" applyBorder="1" applyAlignment="1">
      <alignment horizontal="center" vertical="center"/>
    </xf>
    <xf numFmtId="38" fontId="57" fillId="7" borderId="263" xfId="2" applyNumberFormat="1" applyFont="1" applyFill="1" applyBorder="1" applyAlignment="1">
      <alignment horizontal="center" vertical="center"/>
    </xf>
    <xf numFmtId="38" fontId="57" fillId="7" borderId="221" xfId="2" applyNumberFormat="1" applyFont="1" applyFill="1" applyBorder="1" applyAlignment="1">
      <alignment horizontal="center" vertical="center"/>
    </xf>
    <xf numFmtId="0" fontId="57" fillId="7" borderId="437" xfId="0" applyFont="1" applyFill="1" applyBorder="1" applyAlignment="1">
      <alignment horizontal="center" vertical="center" wrapText="1"/>
    </xf>
    <xf numFmtId="0" fontId="57" fillId="7" borderId="329" xfId="0" applyFont="1" applyFill="1" applyBorder="1" applyAlignment="1">
      <alignment horizontal="center" vertical="center"/>
    </xf>
    <xf numFmtId="9" fontId="57" fillId="7" borderId="230" xfId="1" applyFont="1" applyFill="1" applyBorder="1" applyAlignment="1">
      <alignment horizontal="center" vertical="center"/>
    </xf>
    <xf numFmtId="9" fontId="57" fillId="7" borderId="6" xfId="1" applyFont="1" applyFill="1" applyBorder="1" applyAlignment="1">
      <alignment horizontal="center" vertical="center"/>
    </xf>
    <xf numFmtId="0" fontId="176" fillId="127" borderId="262" xfId="0" applyFont="1" applyFill="1" applyBorder="1" applyAlignment="1">
      <alignment horizontal="center" vertical="center"/>
    </xf>
    <xf numFmtId="0" fontId="176" fillId="127" borderId="68" xfId="0" applyFont="1" applyFill="1" applyBorder="1" applyAlignment="1">
      <alignment horizontal="center" vertical="center"/>
    </xf>
    <xf numFmtId="0" fontId="176" fillId="127" borderId="245" xfId="0" applyFont="1" applyFill="1" applyBorder="1" applyAlignment="1">
      <alignment horizontal="center" vertical="center"/>
    </xf>
    <xf numFmtId="38" fontId="57" fillId="7" borderId="294" xfId="2" applyNumberFormat="1" applyFont="1" applyFill="1" applyBorder="1" applyAlignment="1">
      <alignment horizontal="center" vertical="center"/>
    </xf>
    <xf numFmtId="0" fontId="177" fillId="127" borderId="283" xfId="0" applyFont="1" applyFill="1" applyBorder="1" applyAlignment="1">
      <alignment horizontal="center" vertical="center"/>
    </xf>
    <xf numFmtId="0" fontId="177" fillId="127" borderId="321" xfId="0" applyFont="1" applyFill="1" applyBorder="1" applyAlignment="1">
      <alignment horizontal="center" vertical="center"/>
    </xf>
    <xf numFmtId="0" fontId="176" fillId="125" borderId="609" xfId="0" applyFont="1" applyFill="1" applyBorder="1" applyAlignment="1">
      <alignment horizontal="center" vertical="center"/>
    </xf>
    <xf numFmtId="0" fontId="176" fillId="125" borderId="611" xfId="0" applyFont="1" applyFill="1" applyBorder="1" applyAlignment="1">
      <alignment horizontal="center" vertical="center"/>
    </xf>
    <xf numFmtId="0" fontId="177" fillId="127" borderId="263" xfId="0" applyFont="1" applyFill="1" applyBorder="1" applyAlignment="1">
      <alignment horizontal="center" vertical="center"/>
    </xf>
    <xf numFmtId="0" fontId="177" fillId="127" borderId="161" xfId="0" applyFont="1" applyFill="1" applyBorder="1" applyAlignment="1">
      <alignment horizontal="center" vertical="center"/>
    </xf>
    <xf numFmtId="0" fontId="177" fillId="127" borderId="221" xfId="0" applyFont="1" applyFill="1" applyBorder="1" applyAlignment="1">
      <alignment horizontal="center" vertical="center"/>
    </xf>
    <xf numFmtId="0" fontId="167" fillId="3" borderId="37" xfId="0" applyFont="1" applyFill="1" applyBorder="1" applyAlignment="1">
      <alignment horizontal="center" vertical="center"/>
    </xf>
    <xf numFmtId="0" fontId="177" fillId="127" borderId="121" xfId="0" applyFont="1" applyFill="1" applyBorder="1" applyAlignment="1">
      <alignment horizontal="center" vertical="center"/>
    </xf>
    <xf numFmtId="0" fontId="177" fillId="127" borderId="318" xfId="0" applyFont="1" applyFill="1" applyBorder="1" applyAlignment="1">
      <alignment horizontal="center" vertical="center"/>
    </xf>
    <xf numFmtId="0" fontId="177" fillId="127" borderId="284" xfId="0" applyFont="1" applyFill="1" applyBorder="1" applyAlignment="1">
      <alignment horizontal="center" vertical="center"/>
    </xf>
    <xf numFmtId="0" fontId="177" fillId="127" borderId="137" xfId="0" applyFont="1" applyFill="1" applyBorder="1" applyAlignment="1">
      <alignment horizontal="center" vertical="center"/>
    </xf>
    <xf numFmtId="0" fontId="177" fillId="127" borderId="202" xfId="0" applyFont="1" applyFill="1" applyBorder="1" applyAlignment="1">
      <alignment horizontal="center" vertical="center"/>
    </xf>
    <xf numFmtId="0" fontId="177" fillId="127" borderId="245" xfId="0" applyFont="1" applyFill="1" applyBorder="1" applyAlignment="1">
      <alignment horizontal="center" vertical="center"/>
    </xf>
    <xf numFmtId="0" fontId="177" fillId="127" borderId="97" xfId="0" applyFont="1" applyFill="1" applyBorder="1" applyAlignment="1">
      <alignment horizontal="center" vertical="center"/>
    </xf>
    <xf numFmtId="9" fontId="57" fillId="0" borderId="466" xfId="1" applyFont="1" applyBorder="1" applyAlignment="1">
      <alignment horizontal="center" vertical="center"/>
    </xf>
    <xf numFmtId="9" fontId="57" fillId="0" borderId="212" xfId="1" applyFont="1" applyBorder="1" applyAlignment="1">
      <alignment horizontal="center" vertical="center"/>
    </xf>
    <xf numFmtId="38" fontId="57" fillId="0" borderId="352" xfId="2" applyNumberFormat="1" applyFont="1" applyFill="1" applyBorder="1" applyAlignment="1">
      <alignment horizontal="center" vertical="center"/>
    </xf>
    <xf numFmtId="38" fontId="57" fillId="0" borderId="23" xfId="2" applyNumberFormat="1" applyFont="1" applyFill="1" applyBorder="1" applyAlignment="1">
      <alignment horizontal="center" vertical="center"/>
    </xf>
    <xf numFmtId="38" fontId="57" fillId="0" borderId="466" xfId="2" applyNumberFormat="1" applyFont="1" applyBorder="1" applyAlignment="1">
      <alignment horizontal="center" vertical="center"/>
    </xf>
    <xf numFmtId="38" fontId="57" fillId="0" borderId="212" xfId="2" applyNumberFormat="1" applyFont="1" applyBorder="1" applyAlignment="1">
      <alignment horizontal="center" vertical="center"/>
    </xf>
    <xf numFmtId="38" fontId="57" fillId="0" borderId="605" xfId="2" applyNumberFormat="1" applyFont="1" applyFill="1" applyBorder="1" applyAlignment="1">
      <alignment horizontal="center" vertical="center"/>
    </xf>
    <xf numFmtId="38" fontId="57" fillId="0" borderId="211" xfId="2" applyNumberFormat="1" applyFont="1" applyFill="1" applyBorder="1" applyAlignment="1">
      <alignment horizontal="center" vertical="center"/>
    </xf>
    <xf numFmtId="38" fontId="57" fillId="0" borderId="493" xfId="2" applyNumberFormat="1" applyFont="1" applyFill="1" applyBorder="1" applyAlignment="1">
      <alignment horizontal="center" vertical="center"/>
    </xf>
    <xf numFmtId="38" fontId="57" fillId="0" borderId="230" xfId="2" applyNumberFormat="1" applyFont="1" applyBorder="1" applyAlignment="1">
      <alignment horizontal="center" vertical="center"/>
    </xf>
    <xf numFmtId="38" fontId="57" fillId="0" borderId="6" xfId="2" applyNumberFormat="1" applyFont="1" applyBorder="1" applyAlignment="1">
      <alignment horizontal="center" vertical="center"/>
    </xf>
    <xf numFmtId="9" fontId="57" fillId="0" borderId="230" xfId="1" applyFont="1" applyBorder="1" applyAlignment="1">
      <alignment horizontal="center" vertical="center"/>
    </xf>
    <xf numFmtId="9" fontId="57" fillId="0" borderId="6" xfId="1" applyFont="1" applyBorder="1" applyAlignment="1">
      <alignment horizontal="center" vertical="center"/>
    </xf>
    <xf numFmtId="0" fontId="176" fillId="127" borderId="469" xfId="0" applyFont="1" applyFill="1" applyBorder="1" applyAlignment="1">
      <alignment horizontal="center" vertical="center"/>
    </xf>
    <xf numFmtId="38" fontId="57" fillId="7" borderId="352" xfId="2" applyNumberFormat="1" applyFont="1" applyFill="1" applyBorder="1" applyAlignment="1">
      <alignment horizontal="center" vertical="center"/>
    </xf>
    <xf numFmtId="38" fontId="57" fillId="7" borderId="86" xfId="2" applyNumberFormat="1" applyFont="1" applyFill="1" applyBorder="1" applyAlignment="1">
      <alignment horizontal="center" vertical="center"/>
    </xf>
    <xf numFmtId="0" fontId="57" fillId="3" borderId="0" xfId="0" applyFont="1" applyFill="1" applyBorder="1" applyAlignment="1">
      <alignment horizontal="center" vertical="center"/>
    </xf>
    <xf numFmtId="0" fontId="176" fillId="125" borderId="46" xfId="0" applyFont="1" applyFill="1" applyBorder="1" applyAlignment="1">
      <alignment horizontal="center" vertical="center"/>
    </xf>
    <xf numFmtId="0" fontId="176" fillId="125" borderId="308" xfId="0" applyFont="1" applyFill="1" applyBorder="1" applyAlignment="1">
      <alignment horizontal="center" vertical="center"/>
    </xf>
    <xf numFmtId="0" fontId="176" fillId="125" borderId="202" xfId="0" applyFont="1" applyFill="1" applyBorder="1" applyAlignment="1">
      <alignment horizontal="center" vertical="center"/>
    </xf>
    <xf numFmtId="223" fontId="57" fillId="0" borderId="603" xfId="0" applyNumberFormat="1" applyFont="1" applyBorder="1" applyAlignment="1">
      <alignment horizontal="center" vertical="center"/>
    </xf>
    <xf numFmtId="223" fontId="57" fillId="0" borderId="212" xfId="0" applyNumberFormat="1" applyFont="1" applyBorder="1" applyAlignment="1">
      <alignment horizontal="center" vertical="center"/>
    </xf>
    <xf numFmtId="9" fontId="57" fillId="0" borderId="5" xfId="1" applyFont="1" applyBorder="1" applyAlignment="1">
      <alignment horizontal="center" vertical="center"/>
    </xf>
    <xf numFmtId="223" fontId="57" fillId="0" borderId="230" xfId="0" applyNumberFormat="1" applyFont="1" applyBorder="1" applyAlignment="1">
      <alignment horizontal="center" vertical="center"/>
    </xf>
    <xf numFmtId="223" fontId="57" fillId="0" borderId="6" xfId="0" applyNumberFormat="1" applyFont="1" applyBorder="1" applyAlignment="1">
      <alignment horizontal="center" vertical="center"/>
    </xf>
    <xf numFmtId="3" fontId="57" fillId="7" borderId="230" xfId="2" quotePrefix="1" applyNumberFormat="1" applyFont="1" applyFill="1" applyBorder="1" applyAlignment="1">
      <alignment horizontal="center" vertical="center"/>
    </xf>
    <xf numFmtId="3" fontId="57" fillId="7" borderId="5" xfId="2" quotePrefix="1" applyNumberFormat="1" applyFont="1" applyFill="1" applyBorder="1" applyAlignment="1">
      <alignment horizontal="center" vertical="center"/>
    </xf>
    <xf numFmtId="0" fontId="176" fillId="125" borderId="221" xfId="0" applyFont="1" applyFill="1" applyBorder="1" applyAlignment="1">
      <alignment horizontal="center" vertical="center"/>
    </xf>
    <xf numFmtId="0" fontId="45" fillId="6" borderId="609" xfId="0" applyFont="1" applyFill="1" applyBorder="1" applyAlignment="1">
      <alignment horizontal="center" vertical="center"/>
    </xf>
    <xf numFmtId="38" fontId="176" fillId="127" borderId="225" xfId="0" applyNumberFormat="1" applyFont="1" applyFill="1" applyBorder="1" applyAlignment="1">
      <alignment horizontal="center" vertical="center"/>
    </xf>
    <xf numFmtId="38" fontId="176" fillId="127" borderId="229" xfId="0" applyNumberFormat="1" applyFont="1" applyFill="1" applyBorder="1" applyAlignment="1">
      <alignment horizontal="center" vertical="center"/>
    </xf>
    <xf numFmtId="38" fontId="57" fillId="7" borderId="122" xfId="2" applyNumberFormat="1" applyFont="1" applyFill="1" applyBorder="1" applyAlignment="1">
      <alignment horizontal="center" vertical="center"/>
    </xf>
    <xf numFmtId="38" fontId="57" fillId="7" borderId="516" xfId="2" applyNumberFormat="1" applyFont="1" applyFill="1" applyBorder="1" applyAlignment="1">
      <alignment horizontal="center" vertical="center"/>
    </xf>
    <xf numFmtId="223" fontId="57" fillId="7" borderId="122" xfId="2" applyNumberFormat="1" applyFont="1" applyFill="1" applyBorder="1" applyAlignment="1">
      <alignment horizontal="center" vertical="center"/>
    </xf>
    <xf numFmtId="223" fontId="57" fillId="7" borderId="516" xfId="2" applyNumberFormat="1" applyFont="1" applyFill="1" applyBorder="1" applyAlignment="1">
      <alignment horizontal="center" vertical="center"/>
    </xf>
    <xf numFmtId="0" fontId="176" fillId="125" borderId="329" xfId="0" applyFont="1" applyFill="1" applyBorder="1" applyAlignment="1">
      <alignment horizontal="center" vertical="center"/>
    </xf>
    <xf numFmtId="223" fontId="57" fillId="7" borderId="466" xfId="2" applyNumberFormat="1" applyFont="1" applyFill="1" applyBorder="1" applyAlignment="1">
      <alignment horizontal="center" vertical="center"/>
    </xf>
    <xf numFmtId="223" fontId="57" fillId="7" borderId="212" xfId="2" applyNumberFormat="1" applyFont="1" applyFill="1" applyBorder="1" applyAlignment="1">
      <alignment horizontal="center" vertical="center"/>
    </xf>
    <xf numFmtId="38" fontId="57" fillId="7" borderId="212" xfId="2" applyNumberFormat="1" applyFont="1" applyFill="1" applyBorder="1" applyAlignment="1">
      <alignment horizontal="center" vertical="center"/>
    </xf>
    <xf numFmtId="223" fontId="57" fillId="7" borderId="230" xfId="2" applyNumberFormat="1" applyFont="1" applyFill="1" applyBorder="1" applyAlignment="1">
      <alignment horizontal="center" vertical="center"/>
    </xf>
    <xf numFmtId="223" fontId="57" fillId="7" borderId="6" xfId="2" applyNumberFormat="1" applyFont="1" applyFill="1" applyBorder="1" applyAlignment="1">
      <alignment horizontal="center" vertical="center"/>
    </xf>
    <xf numFmtId="38" fontId="57" fillId="7" borderId="161" xfId="2" applyNumberFormat="1" applyFont="1" applyFill="1" applyBorder="1" applyAlignment="1">
      <alignment horizontal="center" vertical="center"/>
    </xf>
    <xf numFmtId="38" fontId="57" fillId="7" borderId="334" xfId="2" applyNumberFormat="1" applyFont="1" applyFill="1" applyBorder="1" applyAlignment="1">
      <alignment horizontal="center" vertical="center"/>
    </xf>
    <xf numFmtId="38" fontId="57" fillId="7" borderId="162" xfId="2" applyNumberFormat="1" applyFont="1" applyFill="1" applyBorder="1" applyAlignment="1">
      <alignment horizontal="center" vertical="center"/>
    </xf>
    <xf numFmtId="9" fontId="57" fillId="7" borderId="466" xfId="1" applyFont="1" applyFill="1" applyBorder="1" applyAlignment="1">
      <alignment horizontal="center" vertical="center"/>
    </xf>
    <xf numFmtId="9" fontId="57" fillId="7" borderId="212" xfId="1" applyFont="1" applyFill="1" applyBorder="1" applyAlignment="1">
      <alignment horizontal="center" vertical="center"/>
    </xf>
    <xf numFmtId="38" fontId="57" fillId="7" borderId="603" xfId="2" applyNumberFormat="1" applyFont="1" applyFill="1" applyBorder="1" applyAlignment="1">
      <alignment horizontal="center" vertical="center"/>
    </xf>
    <xf numFmtId="0" fontId="176" fillId="125" borderId="369" xfId="0" applyFont="1" applyFill="1" applyBorder="1" applyAlignment="1">
      <alignment horizontal="center" vertical="center"/>
    </xf>
    <xf numFmtId="0" fontId="176" fillId="125" borderId="321" xfId="0" applyFont="1" applyFill="1" applyBorder="1" applyAlignment="1">
      <alignment horizontal="center" vertical="center"/>
    </xf>
    <xf numFmtId="0" fontId="176" fillId="125" borderId="245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76" fillId="125" borderId="221" xfId="0" applyFont="1" applyFill="1" applyBorder="1" applyAlignment="1">
      <alignment horizontal="center" vertical="center" wrapText="1"/>
    </xf>
    <xf numFmtId="0" fontId="176" fillId="125" borderId="216" xfId="0" applyFont="1" applyFill="1" applyBorder="1" applyAlignment="1">
      <alignment horizontal="center" vertical="center" wrapText="1"/>
    </xf>
    <xf numFmtId="223" fontId="165" fillId="0" borderId="243" xfId="0" applyNumberFormat="1" applyFont="1" applyBorder="1" applyAlignment="1">
      <alignment horizontal="center" vertical="center" wrapText="1"/>
    </xf>
    <xf numFmtId="223" fontId="165" fillId="0" borderId="6" xfId="0" applyNumberFormat="1" applyFont="1" applyBorder="1" applyAlignment="1">
      <alignment horizontal="center" vertical="center" wrapText="1"/>
    </xf>
    <xf numFmtId="225" fontId="57" fillId="0" borderId="243" xfId="0" applyNumberFormat="1" applyFont="1" applyBorder="1" applyAlignment="1">
      <alignment horizontal="center" vertical="center"/>
    </xf>
    <xf numFmtId="225" fontId="57" fillId="0" borderId="6" xfId="0" applyNumberFormat="1" applyFont="1" applyBorder="1" applyAlignment="1">
      <alignment horizontal="center" vertical="center"/>
    </xf>
    <xf numFmtId="223" fontId="28" fillId="0" borderId="243" xfId="0" applyNumberFormat="1" applyFont="1" applyBorder="1" applyAlignment="1">
      <alignment horizontal="center" vertical="center" wrapText="1"/>
    </xf>
    <xf numFmtId="223" fontId="28" fillId="0" borderId="6" xfId="0" applyNumberFormat="1" applyFont="1" applyBorder="1" applyAlignment="1">
      <alignment horizontal="center" vertical="center" wrapText="1"/>
    </xf>
    <xf numFmtId="0" fontId="176" fillId="125" borderId="516" xfId="0" applyFont="1" applyFill="1" applyBorder="1" applyAlignment="1">
      <alignment horizontal="center" vertical="center" wrapText="1"/>
    </xf>
    <xf numFmtId="0" fontId="176" fillId="125" borderId="121" xfId="0" applyFont="1" applyFill="1" applyBorder="1" applyAlignment="1">
      <alignment horizontal="center" vertical="center" wrapText="1"/>
    </xf>
    <xf numFmtId="0" fontId="176" fillId="125" borderId="515" xfId="0" applyFont="1" applyFill="1" applyBorder="1" applyAlignment="1">
      <alignment horizontal="center" vertical="center" wrapText="1"/>
    </xf>
    <xf numFmtId="38" fontId="28" fillId="0" borderId="243" xfId="0" applyNumberFormat="1" applyFont="1" applyBorder="1" applyAlignment="1">
      <alignment horizontal="center" vertical="center"/>
    </xf>
    <xf numFmtId="38" fontId="28" fillId="0" borderId="6" xfId="0" applyNumberFormat="1" applyFont="1" applyBorder="1" applyAlignment="1">
      <alignment horizontal="center" vertical="center"/>
    </xf>
    <xf numFmtId="38" fontId="28" fillId="0" borderId="466" xfId="0" applyNumberFormat="1" applyFont="1" applyBorder="1" applyAlignment="1">
      <alignment horizontal="center" vertical="center"/>
    </xf>
    <xf numFmtId="38" fontId="57" fillId="0" borderId="243" xfId="0" applyNumberFormat="1" applyFont="1" applyBorder="1" applyAlignment="1">
      <alignment horizontal="center" vertical="center"/>
    </xf>
    <xf numFmtId="38" fontId="57" fillId="0" borderId="6" xfId="0" applyNumberFormat="1" applyFont="1" applyBorder="1" applyAlignment="1">
      <alignment horizontal="center" vertical="center"/>
    </xf>
    <xf numFmtId="38" fontId="165" fillId="0" borderId="466" xfId="0" applyNumberFormat="1" applyFont="1" applyBorder="1" applyAlignment="1">
      <alignment horizontal="center" vertical="center" wrapText="1"/>
    </xf>
    <xf numFmtId="38" fontId="165" fillId="0" borderId="6" xfId="0" applyNumberFormat="1" applyFont="1" applyBorder="1" applyAlignment="1">
      <alignment horizontal="center" vertical="center" wrapText="1"/>
    </xf>
    <xf numFmtId="0" fontId="176" fillId="125" borderId="579" xfId="0" applyFont="1" applyFill="1" applyBorder="1" applyAlignment="1">
      <alignment horizontal="center" vertical="center" wrapText="1"/>
    </xf>
    <xf numFmtId="0" fontId="176" fillId="125" borderId="216" xfId="0" applyFont="1" applyFill="1" applyBorder="1" applyAlignment="1">
      <alignment horizontal="center" vertical="center"/>
    </xf>
    <xf numFmtId="0" fontId="176" fillId="125" borderId="605" xfId="0" applyFont="1" applyFill="1" applyBorder="1" applyAlignment="1">
      <alignment horizontal="center" vertical="center"/>
    </xf>
    <xf numFmtId="0" fontId="176" fillId="125" borderId="603" xfId="0" applyFont="1" applyFill="1" applyBorder="1" applyAlignment="1">
      <alignment horizontal="center" vertical="center"/>
    </xf>
    <xf numFmtId="223" fontId="28" fillId="0" borderId="243" xfId="0" applyNumberFormat="1" applyFont="1" applyBorder="1" applyAlignment="1">
      <alignment horizontal="center" vertical="center"/>
    </xf>
    <xf numFmtId="223" fontId="28" fillId="0" borderId="6" xfId="0" applyNumberFormat="1" applyFont="1" applyBorder="1" applyAlignment="1">
      <alignment horizontal="center" vertical="center"/>
    </xf>
    <xf numFmtId="9" fontId="57" fillId="0" borderId="243" xfId="1" applyFont="1" applyBorder="1" applyAlignment="1">
      <alignment horizontal="center" vertical="center"/>
    </xf>
    <xf numFmtId="38" fontId="57" fillId="0" borderId="466" xfId="0" applyNumberFormat="1" applyFont="1" applyBorder="1" applyAlignment="1">
      <alignment horizontal="center" vertical="center"/>
    </xf>
    <xf numFmtId="223" fontId="165" fillId="0" borderId="293" xfId="0" applyNumberFormat="1" applyFont="1" applyBorder="1" applyAlignment="1">
      <alignment horizontal="center" vertical="center" wrapText="1"/>
    </xf>
    <xf numFmtId="223" fontId="165" fillId="0" borderId="23" xfId="0" applyNumberFormat="1" applyFont="1" applyBorder="1" applyAlignment="1">
      <alignment horizontal="center" vertical="center" wrapText="1"/>
    </xf>
    <xf numFmtId="0" fontId="177" fillId="127" borderId="196" xfId="0" applyFont="1" applyFill="1" applyBorder="1" applyAlignment="1">
      <alignment horizontal="center" vertical="center" wrapText="1"/>
    </xf>
    <xf numFmtId="0" fontId="177" fillId="127" borderId="198" xfId="0" applyFont="1" applyFill="1" applyBorder="1" applyAlignment="1">
      <alignment horizontal="center" vertical="center" wrapText="1"/>
    </xf>
    <xf numFmtId="0" fontId="177" fillId="127" borderId="216" xfId="0" applyFont="1" applyFill="1" applyBorder="1" applyAlignment="1">
      <alignment horizontal="center" vertical="center" wrapText="1"/>
    </xf>
    <xf numFmtId="0" fontId="177" fillId="127" borderId="465" xfId="0" applyFont="1" applyFill="1" applyBorder="1" applyAlignment="1">
      <alignment horizontal="center" vertical="center" wrapText="1"/>
    </xf>
    <xf numFmtId="0" fontId="177" fillId="127" borderId="493" xfId="0" applyFont="1" applyFill="1" applyBorder="1" applyAlignment="1">
      <alignment horizontal="center" vertical="center" wrapText="1"/>
    </xf>
    <xf numFmtId="0" fontId="176" fillId="125" borderId="225" xfId="0" applyFont="1" applyFill="1" applyBorder="1" applyAlignment="1">
      <alignment horizontal="center" vertical="center" wrapText="1"/>
    </xf>
    <xf numFmtId="0" fontId="176" fillId="125" borderId="226" xfId="0" applyFont="1" applyFill="1" applyBorder="1" applyAlignment="1">
      <alignment horizontal="center" vertical="center" wrapText="1"/>
    </xf>
    <xf numFmtId="0" fontId="177" fillId="127" borderId="40" xfId="0" applyFont="1" applyFill="1" applyBorder="1" applyAlignment="1">
      <alignment horizontal="center" vertical="center" wrapText="1"/>
    </xf>
    <xf numFmtId="0" fontId="177" fillId="127" borderId="23" xfId="0" applyFont="1" applyFill="1" applyBorder="1" applyAlignment="1">
      <alignment horizontal="center" vertical="center" wrapText="1"/>
    </xf>
    <xf numFmtId="0" fontId="176" fillId="125" borderId="515" xfId="0" applyFont="1" applyFill="1" applyBorder="1" applyAlignment="1">
      <alignment horizontal="center" vertical="center"/>
    </xf>
    <xf numFmtId="0" fontId="176" fillId="125" borderId="516" xfId="0" applyFont="1" applyFill="1" applyBorder="1" applyAlignment="1">
      <alignment horizontal="center" vertical="center"/>
    </xf>
    <xf numFmtId="0" fontId="176" fillId="125" borderId="271" xfId="0" applyFont="1" applyFill="1" applyBorder="1" applyAlignment="1">
      <alignment horizontal="center" vertical="center" wrapText="1"/>
    </xf>
    <xf numFmtId="0" fontId="176" fillId="125" borderId="601" xfId="0" applyFont="1" applyFill="1" applyBorder="1" applyAlignment="1">
      <alignment horizontal="center" vertical="center"/>
    </xf>
    <xf numFmtId="0" fontId="176" fillId="125" borderId="607" xfId="0" applyFont="1" applyFill="1" applyBorder="1" applyAlignment="1">
      <alignment horizontal="center" vertical="center"/>
    </xf>
    <xf numFmtId="0" fontId="176" fillId="125" borderId="498" xfId="0" applyFont="1" applyFill="1" applyBorder="1" applyAlignment="1">
      <alignment horizontal="center" vertical="center"/>
    </xf>
    <xf numFmtId="0" fontId="176" fillId="125" borderId="472" xfId="0" applyFont="1" applyFill="1" applyBorder="1" applyAlignment="1">
      <alignment horizontal="center" vertical="center"/>
    </xf>
    <xf numFmtId="0" fontId="176" fillId="125" borderId="518" xfId="0" applyFont="1" applyFill="1" applyBorder="1" applyAlignment="1">
      <alignment horizontal="center" vertical="center"/>
    </xf>
    <xf numFmtId="0" fontId="176" fillId="125" borderId="352" xfId="0" applyFont="1" applyFill="1" applyBorder="1" applyAlignment="1">
      <alignment horizontal="center" vertical="center"/>
    </xf>
    <xf numFmtId="0" fontId="176" fillId="125" borderId="609" xfId="0" applyFont="1" applyFill="1" applyBorder="1" applyAlignment="1">
      <alignment horizontal="center" vertical="center" wrapText="1"/>
    </xf>
    <xf numFmtId="0" fontId="176" fillId="125" borderId="610" xfId="0" applyFont="1" applyFill="1" applyBorder="1" applyAlignment="1">
      <alignment horizontal="center" vertical="center" wrapText="1"/>
    </xf>
    <xf numFmtId="0" fontId="177" fillId="127" borderId="610" xfId="0" applyFont="1" applyFill="1" applyBorder="1" applyAlignment="1">
      <alignment horizontal="center" vertical="center" wrapText="1"/>
    </xf>
    <xf numFmtId="38" fontId="165" fillId="0" borderId="603" xfId="0" applyNumberFormat="1" applyFont="1" applyBorder="1" applyAlignment="1">
      <alignment horizontal="center" vertical="center" wrapText="1"/>
    </xf>
    <xf numFmtId="38" fontId="28" fillId="0" borderId="603" xfId="0" applyNumberFormat="1" applyFont="1" applyBorder="1" applyAlignment="1">
      <alignment horizontal="center" vertical="center"/>
    </xf>
    <xf numFmtId="9" fontId="188" fillId="0" borderId="603" xfId="1" applyFont="1" applyBorder="1" applyAlignment="1">
      <alignment horizontal="center" vertical="center"/>
    </xf>
    <xf numFmtId="9" fontId="188" fillId="0" borderId="6" xfId="1" applyFont="1" applyBorder="1" applyAlignment="1">
      <alignment horizontal="center" vertical="center"/>
    </xf>
    <xf numFmtId="225" fontId="57" fillId="0" borderId="594" xfId="0" applyNumberFormat="1" applyFont="1" applyBorder="1" applyAlignment="1">
      <alignment horizontal="center" vertical="center"/>
    </xf>
    <xf numFmtId="225" fontId="57" fillId="0" borderId="202" xfId="0" applyNumberFormat="1" applyFont="1" applyBorder="1" applyAlignment="1">
      <alignment horizontal="center" vertical="center"/>
    </xf>
    <xf numFmtId="0" fontId="176" fillId="125" borderId="610" xfId="0" applyFont="1" applyFill="1" applyBorder="1" applyAlignment="1">
      <alignment horizontal="center" vertical="center"/>
    </xf>
    <xf numFmtId="225" fontId="57" fillId="0" borderId="594" xfId="0" applyNumberFormat="1" applyFont="1" applyBorder="1" applyAlignment="1">
      <alignment horizontal="center" vertical="center" wrapText="1"/>
    </xf>
    <xf numFmtId="9" fontId="57" fillId="0" borderId="603" xfId="1" applyFont="1" applyBorder="1" applyAlignment="1">
      <alignment horizontal="center" vertical="center"/>
    </xf>
    <xf numFmtId="0" fontId="177" fillId="127" borderId="599" xfId="0" applyFont="1" applyFill="1" applyBorder="1" applyAlignment="1">
      <alignment horizontal="center" vertical="center" wrapText="1"/>
    </xf>
    <xf numFmtId="0" fontId="177" fillId="127" borderId="616" xfId="0" applyFont="1" applyFill="1" applyBorder="1" applyAlignment="1">
      <alignment horizontal="center" vertical="center" wrapText="1"/>
    </xf>
    <xf numFmtId="0" fontId="176" fillId="125" borderId="47" xfId="0" applyFont="1" applyFill="1" applyBorder="1" applyAlignment="1">
      <alignment horizontal="center" vertical="center" wrapText="1"/>
    </xf>
    <xf numFmtId="0" fontId="176" fillId="125" borderId="608" xfId="0" applyFont="1" applyFill="1" applyBorder="1" applyAlignment="1">
      <alignment horizontal="center" vertical="center" wrapText="1"/>
    </xf>
    <xf numFmtId="0" fontId="34" fillId="15" borderId="605" xfId="0" applyFont="1" applyFill="1" applyBorder="1" applyAlignment="1">
      <alignment horizontal="center" vertical="center"/>
    </xf>
    <xf numFmtId="0" fontId="34" fillId="15" borderId="603" xfId="0" applyFont="1" applyFill="1" applyBorder="1" applyAlignment="1">
      <alignment horizontal="center" vertical="center"/>
    </xf>
    <xf numFmtId="0" fontId="34" fillId="15" borderId="271" xfId="0" applyFont="1" applyFill="1" applyBorder="1" applyAlignment="1">
      <alignment horizontal="center" vertical="center"/>
    </xf>
    <xf numFmtId="0" fontId="34" fillId="15" borderId="570" xfId="0" applyFont="1" applyFill="1" applyBorder="1" applyAlignment="1">
      <alignment horizontal="center" vertical="center"/>
    </xf>
    <xf numFmtId="0" fontId="171" fillId="15" borderId="271" xfId="0" applyFont="1" applyFill="1" applyBorder="1" applyAlignment="1">
      <alignment horizontal="center" vertical="center" wrapText="1"/>
    </xf>
    <xf numFmtId="0" fontId="171" fillId="15" borderId="271" xfId="0" applyFont="1" applyFill="1" applyBorder="1" applyAlignment="1">
      <alignment horizontal="center" vertical="center"/>
    </xf>
    <xf numFmtId="0" fontId="165" fillId="0" borderId="267" xfId="0" applyFont="1" applyBorder="1" applyAlignment="1">
      <alignment horizontal="center" vertical="center" wrapText="1"/>
    </xf>
    <xf numFmtId="0" fontId="165" fillId="0" borderId="266" xfId="0" applyFont="1" applyBorder="1" applyAlignment="1">
      <alignment horizontal="center" vertical="center" wrapText="1"/>
    </xf>
    <xf numFmtId="0" fontId="178" fillId="15" borderId="271" xfId="0" applyFont="1" applyFill="1" applyBorder="1" applyAlignment="1">
      <alignment horizontal="center" vertical="center" wrapText="1"/>
    </xf>
    <xf numFmtId="0" fontId="178" fillId="15" borderId="121" xfId="0" applyFont="1" applyFill="1" applyBorder="1" applyAlignment="1">
      <alignment horizontal="center" vertical="center" wrapText="1"/>
    </xf>
    <xf numFmtId="0" fontId="178" fillId="15" borderId="579" xfId="0" applyFont="1" applyFill="1" applyBorder="1" applyAlignment="1">
      <alignment horizontal="center" vertical="center" wrapText="1"/>
    </xf>
    <xf numFmtId="0" fontId="178" fillId="6" borderId="271" xfId="0" applyFont="1" applyFill="1" applyBorder="1" applyAlignment="1">
      <alignment horizontal="center" vertical="center" wrapText="1"/>
    </xf>
    <xf numFmtId="0" fontId="178" fillId="15" borderId="137" xfId="0" applyFont="1" applyFill="1" applyBorder="1" applyAlignment="1">
      <alignment horizontal="center" vertical="center" wrapText="1"/>
    </xf>
    <xf numFmtId="0" fontId="178" fillId="15" borderId="40" xfId="0" applyFont="1" applyFill="1" applyBorder="1" applyAlignment="1">
      <alignment horizontal="center" vertical="center" wrapText="1"/>
    </xf>
    <xf numFmtId="0" fontId="178" fillId="15" borderId="497" xfId="0" applyFont="1" applyFill="1" applyBorder="1" applyAlignment="1">
      <alignment horizontal="center" vertical="center" wrapText="1"/>
    </xf>
    <xf numFmtId="0" fontId="176" fillId="125" borderId="202" xfId="0" applyFont="1" applyFill="1" applyBorder="1" applyAlignment="1">
      <alignment horizontal="center" vertical="center" wrapText="1"/>
    </xf>
    <xf numFmtId="0" fontId="176" fillId="125" borderId="40" xfId="0" applyFont="1" applyFill="1" applyBorder="1" applyAlignment="1">
      <alignment horizontal="center" vertical="center" wrapText="1"/>
    </xf>
    <xf numFmtId="0" fontId="176" fillId="125" borderId="463" xfId="0" applyFont="1" applyFill="1" applyBorder="1" applyAlignment="1">
      <alignment horizontal="center" vertical="center" wrapText="1"/>
    </xf>
    <xf numFmtId="0" fontId="176" fillId="125" borderId="517" xfId="0" applyFont="1" applyFill="1" applyBorder="1" applyAlignment="1">
      <alignment horizontal="center" vertical="center" wrapText="1"/>
    </xf>
    <xf numFmtId="0" fontId="178" fillId="15" borderId="463" xfId="0" applyFont="1" applyFill="1" applyBorder="1" applyAlignment="1">
      <alignment horizontal="center" vertical="center" wrapText="1"/>
    </xf>
    <xf numFmtId="0" fontId="176" fillId="125" borderId="497" xfId="0" applyFont="1" applyFill="1" applyBorder="1" applyAlignment="1">
      <alignment horizontal="center" vertical="center" wrapText="1"/>
    </xf>
    <xf numFmtId="0" fontId="178" fillId="15" borderId="263" xfId="0" applyFont="1" applyFill="1" applyBorder="1" applyAlignment="1">
      <alignment horizontal="center" vertical="center" wrapText="1"/>
    </xf>
    <xf numFmtId="0" fontId="178" fillId="15" borderId="221" xfId="0" applyFont="1" applyFill="1" applyBorder="1" applyAlignment="1">
      <alignment horizontal="center" vertical="center" wrapText="1"/>
    </xf>
    <xf numFmtId="0" fontId="34" fillId="15" borderId="601" xfId="0" applyFont="1" applyFill="1" applyBorder="1" applyAlignment="1">
      <alignment horizontal="center" vertical="center"/>
    </xf>
    <xf numFmtId="0" fontId="34" fillId="15" borderId="607" xfId="0" applyFont="1" applyFill="1" applyBorder="1" applyAlignment="1">
      <alignment horizontal="center" vertical="center"/>
    </xf>
    <xf numFmtId="0" fontId="34" fillId="15" borderId="498" xfId="0" applyFont="1" applyFill="1" applyBorder="1" applyAlignment="1">
      <alignment horizontal="center" vertical="center"/>
    </xf>
    <xf numFmtId="0" fontId="34" fillId="15" borderId="472" xfId="0" applyFont="1" applyFill="1" applyBorder="1" applyAlignment="1">
      <alignment horizontal="center" vertical="center"/>
    </xf>
    <xf numFmtId="0" fontId="171" fillId="15" borderId="216" xfId="0" applyFont="1" applyFill="1" applyBorder="1" applyAlignment="1">
      <alignment horizontal="center" vertical="center" wrapText="1"/>
    </xf>
    <xf numFmtId="0" fontId="171" fillId="15" borderId="216" xfId="0" applyFont="1" applyFill="1" applyBorder="1" applyAlignment="1">
      <alignment horizontal="center" vertical="center"/>
    </xf>
    <xf numFmtId="0" fontId="165" fillId="0" borderId="196" xfId="0" applyFont="1" applyBorder="1" applyAlignment="1">
      <alignment horizontal="center" vertical="center" wrapText="1"/>
    </xf>
    <xf numFmtId="0" fontId="165" fillId="0" borderId="198" xfId="0" applyFont="1" applyBorder="1" applyAlignment="1">
      <alignment horizontal="center" vertical="center" wrapText="1"/>
    </xf>
    <xf numFmtId="0" fontId="34" fillId="15" borderId="216" xfId="0" applyFont="1" applyFill="1" applyBorder="1" applyAlignment="1">
      <alignment horizontal="center" vertical="center"/>
    </xf>
    <xf numFmtId="0" fontId="178" fillId="15" borderId="216" xfId="0" applyFont="1" applyFill="1" applyBorder="1" applyAlignment="1">
      <alignment horizontal="center" vertical="center" wrapText="1"/>
    </xf>
    <xf numFmtId="0" fontId="178" fillId="6" borderId="216" xfId="0" applyFont="1" applyFill="1" applyBorder="1" applyAlignment="1">
      <alignment horizontal="center" vertical="center" wrapText="1"/>
    </xf>
    <xf numFmtId="0" fontId="34" fillId="116" borderId="0" xfId="0" applyFont="1" applyFill="1" applyBorder="1" applyAlignment="1" applyProtection="1">
      <alignment horizontal="center" vertical="center" readingOrder="1"/>
      <protection locked="0"/>
    </xf>
    <xf numFmtId="0" fontId="178" fillId="0" borderId="0" xfId="0" applyFont="1" applyBorder="1" applyAlignment="1">
      <alignment horizontal="left" vertical="center" wrapText="1" readingOrder="1"/>
    </xf>
    <xf numFmtId="0" fontId="167" fillId="0" borderId="0" xfId="0" applyFont="1" applyBorder="1" applyAlignment="1">
      <alignment horizontal="left" vertical="center" wrapText="1" readingOrder="1"/>
    </xf>
    <xf numFmtId="177" fontId="188" fillId="3" borderId="479" xfId="1" applyNumberFormat="1" applyFont="1" applyFill="1" applyBorder="1" applyAlignment="1">
      <alignment horizontal="center" vertical="center" wrapText="1"/>
    </xf>
    <xf numFmtId="177" fontId="188" fillId="3" borderId="674" xfId="1" applyNumberFormat="1" applyFont="1" applyFill="1" applyBorder="1" applyAlignment="1">
      <alignment horizontal="center" vertical="center" wrapText="1"/>
    </xf>
    <xf numFmtId="177" fontId="188" fillId="3" borderId="675" xfId="1" applyNumberFormat="1" applyFont="1" applyFill="1" applyBorder="1" applyAlignment="1">
      <alignment horizontal="center" vertical="center" wrapText="1"/>
    </xf>
    <xf numFmtId="0" fontId="176" fillId="128" borderId="56" xfId="0" applyFont="1" applyFill="1" applyBorder="1" applyAlignment="1">
      <alignment horizontal="center" vertical="center" wrapText="1" readingOrder="1"/>
    </xf>
    <xf numFmtId="0" fontId="176" fillId="125" borderId="313" xfId="0" applyFont="1" applyFill="1" applyBorder="1" applyAlignment="1">
      <alignment horizontal="center" vertical="center" wrapText="1" readingOrder="1"/>
    </xf>
    <xf numFmtId="0" fontId="176" fillId="125" borderId="392" xfId="0" applyFont="1" applyFill="1" applyBorder="1" applyAlignment="1">
      <alignment horizontal="center" vertical="center" wrapText="1" readingOrder="1"/>
    </xf>
    <xf numFmtId="0" fontId="177" fillId="127" borderId="84" xfId="0" applyFont="1" applyFill="1" applyBorder="1" applyAlignment="1">
      <alignment horizontal="center" vertical="center" wrapText="1" readingOrder="1"/>
    </xf>
    <xf numFmtId="0" fontId="177" fillId="127" borderId="255" xfId="0" applyFont="1" applyFill="1" applyBorder="1" applyAlignment="1">
      <alignment horizontal="center" vertical="center" wrapText="1" readingOrder="1"/>
    </xf>
    <xf numFmtId="0" fontId="177" fillId="127" borderId="479" xfId="0" applyFont="1" applyFill="1" applyBorder="1" applyAlignment="1">
      <alignment horizontal="center" vertical="center" wrapText="1" readingOrder="1"/>
    </xf>
    <xf numFmtId="0" fontId="177" fillId="127" borderId="85" xfId="0" applyFont="1" applyFill="1" applyBorder="1" applyAlignment="1">
      <alignment horizontal="center" vertical="center" wrapText="1" readingOrder="1"/>
    </xf>
    <xf numFmtId="0" fontId="171" fillId="15" borderId="515" xfId="0" applyFont="1" applyFill="1" applyBorder="1" applyAlignment="1">
      <alignment horizontal="center" vertical="center"/>
    </xf>
    <xf numFmtId="0" fontId="171" fillId="15" borderId="516" xfId="0" applyFont="1" applyFill="1" applyBorder="1" applyAlignment="1">
      <alignment horizontal="center" vertical="center"/>
    </xf>
    <xf numFmtId="0" fontId="171" fillId="15" borderId="212" xfId="0" applyFont="1" applyFill="1" applyBorder="1" applyAlignment="1">
      <alignment horizontal="center" vertical="center"/>
    </xf>
    <xf numFmtId="0" fontId="171" fillId="15" borderId="163" xfId="0" applyFont="1" applyFill="1" applyBorder="1" applyAlignment="1">
      <alignment horizontal="center" vertical="center"/>
    </xf>
    <xf numFmtId="0" fontId="57" fillId="15" borderId="610" xfId="0" applyFont="1" applyFill="1" applyBorder="1" applyAlignment="1">
      <alignment horizontal="center" vertical="center"/>
    </xf>
    <xf numFmtId="0" fontId="57" fillId="15" borderId="603" xfId="0" applyFont="1" applyFill="1" applyBorder="1" applyAlignment="1">
      <alignment horizontal="center" vertical="center"/>
    </xf>
    <xf numFmtId="0" fontId="57" fillId="15" borderId="6" xfId="0" applyFont="1" applyFill="1" applyBorder="1" applyAlignment="1">
      <alignment horizontal="center" vertical="center"/>
    </xf>
    <xf numFmtId="0" fontId="171" fillId="15" borderId="230" xfId="0" applyFont="1" applyFill="1" applyBorder="1" applyAlignment="1">
      <alignment horizontal="center" vertical="center" wrapText="1"/>
    </xf>
    <xf numFmtId="0" fontId="171" fillId="15" borderId="6" xfId="0" applyFont="1" applyFill="1" applyBorder="1" applyAlignment="1">
      <alignment horizontal="center" vertical="center" wrapText="1"/>
    </xf>
    <xf numFmtId="0" fontId="57" fillId="15" borderId="602" xfId="0" applyFont="1" applyFill="1" applyBorder="1" applyAlignment="1">
      <alignment horizontal="center" vertical="center"/>
    </xf>
    <xf numFmtId="0" fontId="57" fillId="15" borderId="97" xfId="0" applyFont="1" applyFill="1" applyBorder="1" applyAlignment="1">
      <alignment horizontal="center" vertical="center"/>
    </xf>
    <xf numFmtId="0" fontId="171" fillId="15" borderId="123" xfId="0" applyFont="1" applyFill="1" applyBorder="1" applyAlignment="1">
      <alignment horizontal="center" vertical="center"/>
    </xf>
    <xf numFmtId="0" fontId="171" fillId="15" borderId="203" xfId="0" applyFont="1" applyFill="1" applyBorder="1" applyAlignment="1">
      <alignment horizontal="center" vertical="center"/>
    </xf>
    <xf numFmtId="0" fontId="57" fillId="15" borderId="599" xfId="0" applyFont="1" applyFill="1" applyBorder="1" applyAlignment="1">
      <alignment horizontal="center" vertical="center"/>
    </xf>
    <xf numFmtId="0" fontId="57" fillId="15" borderId="601" xfId="0" applyFont="1" applyFill="1" applyBorder="1" applyAlignment="1">
      <alignment horizontal="center" vertical="center"/>
    </xf>
    <xf numFmtId="0" fontId="57" fillId="15" borderId="309" xfId="0" applyFont="1" applyFill="1" applyBorder="1" applyAlignment="1">
      <alignment horizontal="center" vertical="center"/>
    </xf>
    <xf numFmtId="0" fontId="171" fillId="15" borderId="122" xfId="0" applyFont="1" applyFill="1" applyBorder="1" applyAlignment="1">
      <alignment horizontal="center" vertical="center" wrapText="1"/>
    </xf>
    <xf numFmtId="0" fontId="57" fillId="15" borderId="263" xfId="0" applyFont="1" applyFill="1" applyBorder="1" applyAlignment="1">
      <alignment horizontal="center" vertical="center" wrapText="1"/>
    </xf>
    <xf numFmtId="0" fontId="57" fillId="15" borderId="161" xfId="0" applyFont="1" applyFill="1" applyBorder="1" applyAlignment="1">
      <alignment horizontal="center" vertical="center"/>
    </xf>
    <xf numFmtId="0" fontId="171" fillId="15" borderId="121" xfId="0" applyFont="1" applyFill="1" applyBorder="1" applyAlignment="1">
      <alignment horizontal="center" vertical="center"/>
    </xf>
    <xf numFmtId="0" fontId="171" fillId="15" borderId="610" xfId="0" applyFont="1" applyFill="1" applyBorder="1" applyAlignment="1">
      <alignment horizontal="center" vertical="center"/>
    </xf>
    <xf numFmtId="0" fontId="171" fillId="15" borderId="122" xfId="0" applyFont="1" applyFill="1" applyBorder="1" applyAlignment="1">
      <alignment horizontal="center" vertical="center"/>
    </xf>
    <xf numFmtId="0" fontId="171" fillId="15" borderId="603" xfId="0" applyFont="1" applyFill="1" applyBorder="1" applyAlignment="1">
      <alignment horizontal="center" vertical="center"/>
    </xf>
    <xf numFmtId="0" fontId="171" fillId="15" borderId="47" xfId="0" applyFont="1" applyFill="1" applyBorder="1" applyAlignment="1">
      <alignment horizontal="center" vertical="center"/>
    </xf>
    <xf numFmtId="0" fontId="171" fillId="15" borderId="604" xfId="0" applyFont="1" applyFill="1" applyBorder="1" applyAlignment="1">
      <alignment horizontal="center" vertical="center"/>
    </xf>
    <xf numFmtId="0" fontId="171" fillId="15" borderId="48" xfId="0" applyFont="1" applyFill="1" applyBorder="1" applyAlignment="1">
      <alignment horizontal="center" vertical="center"/>
    </xf>
    <xf numFmtId="0" fontId="171" fillId="15" borderId="49" xfId="0" applyFont="1" applyFill="1" applyBorder="1" applyAlignment="1">
      <alignment horizontal="center" vertical="center"/>
    </xf>
    <xf numFmtId="0" fontId="57" fillId="15" borderId="263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1" fillId="7" borderId="21" xfId="0" applyFont="1" applyFill="1" applyBorder="1" applyAlignment="1">
      <alignment horizontal="center" vertical="center"/>
    </xf>
    <xf numFmtId="0" fontId="27" fillId="7" borderId="21" xfId="0" applyFont="1" applyFill="1" applyBorder="1" applyAlignment="1">
      <alignment horizontal="center" vertical="center"/>
    </xf>
    <xf numFmtId="0" fontId="31" fillId="7" borderId="22" xfId="0" applyFont="1" applyFill="1" applyBorder="1" applyAlignment="1">
      <alignment horizontal="center" vertical="center"/>
    </xf>
    <xf numFmtId="0" fontId="31" fillId="7" borderId="12" xfId="0" applyFont="1" applyFill="1" applyBorder="1" applyAlignment="1">
      <alignment horizontal="center" vertical="center"/>
    </xf>
    <xf numFmtId="0" fontId="31" fillId="7" borderId="14" xfId="0" applyFont="1" applyFill="1" applyBorder="1" applyAlignment="1">
      <alignment horizontal="center" vertical="center"/>
    </xf>
    <xf numFmtId="0" fontId="31" fillId="7" borderId="38" xfId="0" applyFont="1" applyFill="1" applyBorder="1" applyAlignment="1">
      <alignment horizontal="center" vertical="center"/>
    </xf>
    <xf numFmtId="0" fontId="31" fillId="7" borderId="31" xfId="0" applyFont="1" applyFill="1" applyBorder="1" applyAlignment="1">
      <alignment horizontal="center" vertical="center"/>
    </xf>
    <xf numFmtId="0" fontId="31" fillId="7" borderId="39" xfId="0" applyFont="1" applyFill="1" applyBorder="1" applyAlignment="1">
      <alignment horizontal="center" vertical="center"/>
    </xf>
    <xf numFmtId="0" fontId="27" fillId="7" borderId="39" xfId="0" applyFont="1" applyFill="1" applyBorder="1" applyAlignment="1">
      <alignment horizontal="center" vertical="center"/>
    </xf>
    <xf numFmtId="0" fontId="27" fillId="7" borderId="26" xfId="0" applyFont="1" applyFill="1" applyBorder="1" applyAlignment="1">
      <alignment horizontal="center" vertical="center"/>
    </xf>
    <xf numFmtId="0" fontId="27" fillId="7" borderId="15" xfId="0" applyFont="1" applyFill="1" applyBorder="1" applyAlignment="1">
      <alignment horizontal="center" vertical="center"/>
    </xf>
    <xf numFmtId="0" fontId="27" fillId="7" borderId="27" xfId="0" applyFont="1" applyFill="1" applyBorder="1" applyAlignment="1">
      <alignment horizontal="center" vertical="center"/>
    </xf>
    <xf numFmtId="0" fontId="27" fillId="3" borderId="21" xfId="0" applyFont="1" applyFill="1" applyBorder="1" applyAlignment="1" applyProtection="1">
      <alignment horizontal="center" vertical="center"/>
      <protection locked="0"/>
    </xf>
    <xf numFmtId="0" fontId="186" fillId="116" borderId="622" xfId="0" applyFont="1" applyFill="1" applyBorder="1" applyAlignment="1">
      <alignment horizontal="center" vertical="center"/>
    </xf>
    <xf numFmtId="0" fontId="186" fillId="116" borderId="623" xfId="0" applyFont="1" applyFill="1" applyBorder="1" applyAlignment="1">
      <alignment horizontal="center" vertical="center"/>
    </xf>
    <xf numFmtId="0" fontId="186" fillId="4" borderId="620" xfId="0" applyFont="1" applyFill="1" applyBorder="1" applyAlignment="1">
      <alignment horizontal="center" vertical="center"/>
    </xf>
    <xf numFmtId="0" fontId="186" fillId="4" borderId="129" xfId="0" applyFont="1" applyFill="1" applyBorder="1" applyAlignment="1">
      <alignment horizontal="center" vertical="center"/>
    </xf>
    <xf numFmtId="0" fontId="186" fillId="4" borderId="263" xfId="0" applyFont="1" applyFill="1" applyBorder="1" applyAlignment="1">
      <alignment horizontal="center" vertical="center"/>
    </xf>
    <xf numFmtId="0" fontId="186" fillId="4" borderId="97" xfId="0" applyFont="1" applyFill="1" applyBorder="1" applyAlignment="1">
      <alignment horizontal="center" vertical="center"/>
    </xf>
    <xf numFmtId="0" fontId="186" fillId="4" borderId="161" xfId="0" applyFont="1" applyFill="1" applyBorder="1" applyAlignment="1">
      <alignment horizontal="center" vertical="center"/>
    </xf>
    <xf numFmtId="0" fontId="124" fillId="5" borderId="368" xfId="0" applyFont="1" applyFill="1" applyBorder="1" applyAlignment="1">
      <alignment horizontal="center" vertical="center"/>
    </xf>
    <xf numFmtId="0" fontId="124" fillId="5" borderId="125" xfId="0" applyFont="1" applyFill="1" applyBorder="1" applyAlignment="1">
      <alignment horizontal="center" vertical="center"/>
    </xf>
    <xf numFmtId="0" fontId="124" fillId="5" borderId="309" xfId="0" applyFont="1" applyFill="1" applyBorder="1" applyAlignment="1">
      <alignment horizontal="center" vertical="center"/>
    </xf>
    <xf numFmtId="0" fontId="124" fillId="5" borderId="120" xfId="0" applyFont="1" applyFill="1" applyBorder="1" applyAlignment="1">
      <alignment horizontal="center" vertical="center"/>
    </xf>
    <xf numFmtId="0" fontId="124" fillId="5" borderId="520" xfId="0" applyFont="1" applyFill="1" applyBorder="1" applyAlignment="1">
      <alignment horizontal="center" vertical="center"/>
    </xf>
    <xf numFmtId="0" fontId="124" fillId="5" borderId="164" xfId="0" applyFont="1" applyFill="1" applyBorder="1" applyAlignment="1">
      <alignment horizontal="center" vertical="center"/>
    </xf>
    <xf numFmtId="0" fontId="186" fillId="4" borderId="287" xfId="0" applyFont="1" applyFill="1" applyBorder="1" applyAlignment="1">
      <alignment horizontal="center" vertical="center"/>
    </xf>
    <xf numFmtId="0" fontId="186" fillId="4" borderId="391" xfId="0" applyFont="1" applyFill="1" applyBorder="1" applyAlignment="1">
      <alignment horizontal="center" vertical="center"/>
    </xf>
    <xf numFmtId="0" fontId="34" fillId="139" borderId="47" xfId="0" applyFont="1" applyFill="1" applyBorder="1" applyAlignment="1">
      <alignment horizontal="center" vertical="center"/>
    </xf>
    <xf numFmtId="0" fontId="34" fillId="139" borderId="49" xfId="0" applyFont="1" applyFill="1" applyBorder="1" applyAlignment="1">
      <alignment horizontal="center" vertical="center"/>
    </xf>
    <xf numFmtId="0" fontId="34" fillId="139" borderId="137" xfId="0" applyFont="1" applyFill="1" applyBorder="1" applyAlignment="1">
      <alignment horizontal="center" vertical="center" wrapText="1"/>
    </xf>
    <xf numFmtId="0" fontId="34" fillId="139" borderId="163" xfId="0" applyFont="1" applyFill="1" applyBorder="1" applyAlignment="1">
      <alignment horizontal="center" vertical="center"/>
    </xf>
    <xf numFmtId="0" fontId="34" fillId="139" borderId="230" xfId="0" applyFont="1" applyFill="1" applyBorder="1" applyAlignment="1">
      <alignment horizontal="center" vertical="center" wrapText="1"/>
    </xf>
    <xf numFmtId="0" fontId="34" fillId="139" borderId="212" xfId="0" applyFont="1" applyFill="1" applyBorder="1" applyAlignment="1">
      <alignment horizontal="center" vertical="center"/>
    </xf>
    <xf numFmtId="0" fontId="250" fillId="139" borderId="64" xfId="0" applyFont="1" applyFill="1" applyBorder="1" applyAlignment="1">
      <alignment horizontal="center" vertical="center"/>
    </xf>
    <xf numFmtId="0" fontId="250" fillId="139" borderId="48" xfId="0" applyFont="1" applyFill="1" applyBorder="1" applyAlignment="1">
      <alignment horizontal="center" vertical="center"/>
    </xf>
    <xf numFmtId="0" fontId="250" fillId="139" borderId="125" xfId="0" applyFont="1" applyFill="1" applyBorder="1" applyAlignment="1">
      <alignment horizontal="center" vertical="center"/>
    </xf>
    <xf numFmtId="0" fontId="34" fillId="139" borderId="121" xfId="0" applyFont="1" applyFill="1" applyBorder="1" applyAlignment="1">
      <alignment horizontal="center" vertical="center"/>
    </xf>
    <xf numFmtId="0" fontId="34" fillId="139" borderId="483" xfId="0" applyFont="1" applyFill="1" applyBorder="1" applyAlignment="1">
      <alignment horizontal="center" vertical="center"/>
    </xf>
    <xf numFmtId="0" fontId="34" fillId="139" borderId="48" xfId="0" applyFont="1" applyFill="1" applyBorder="1" applyAlignment="1">
      <alignment horizontal="center" vertical="center"/>
    </xf>
    <xf numFmtId="0" fontId="232" fillId="130" borderId="368" xfId="0" applyFont="1" applyFill="1" applyBorder="1" applyAlignment="1">
      <alignment horizontal="center" vertical="center"/>
    </xf>
    <xf numFmtId="0" fontId="232" fillId="130" borderId="520" xfId="0" applyFont="1" applyFill="1" applyBorder="1" applyAlignment="1">
      <alignment horizontal="center" vertical="center"/>
    </xf>
    <xf numFmtId="0" fontId="34" fillId="143" borderId="123" xfId="0" applyFont="1" applyFill="1" applyBorder="1" applyAlignment="1">
      <alignment horizontal="center" vertical="center" wrapText="1"/>
    </xf>
    <xf numFmtId="0" fontId="34" fillId="143" borderId="611" xfId="0" applyFont="1" applyFill="1" applyBorder="1" applyAlignment="1">
      <alignment horizontal="center" vertical="center"/>
    </xf>
    <xf numFmtId="0" fontId="34" fillId="143" borderId="122" xfId="0" applyFont="1" applyFill="1" applyBorder="1" applyAlignment="1">
      <alignment horizontal="center" vertical="center" wrapText="1"/>
    </xf>
    <xf numFmtId="0" fontId="34" fillId="143" borderId="609" xfId="0" applyFont="1" applyFill="1" applyBorder="1" applyAlignment="1">
      <alignment horizontal="center" vertical="center"/>
    </xf>
    <xf numFmtId="0" fontId="34" fillId="143" borderId="121" xfId="0" applyFont="1" applyFill="1" applyBorder="1" applyAlignment="1">
      <alignment horizontal="center" vertical="center"/>
    </xf>
    <xf numFmtId="0" fontId="34" fillId="143" borderId="610" xfId="0" applyFont="1" applyFill="1" applyBorder="1" applyAlignment="1">
      <alignment horizontal="center" vertical="center"/>
    </xf>
    <xf numFmtId="0" fontId="34" fillId="138" borderId="121" xfId="0" applyFont="1" applyFill="1" applyBorder="1" applyAlignment="1">
      <alignment horizontal="center" vertical="center" wrapText="1"/>
    </xf>
    <xf numFmtId="0" fontId="34" fillId="138" borderId="515" xfId="0" applyFont="1" applyFill="1" applyBorder="1" applyAlignment="1">
      <alignment horizontal="center" vertical="center"/>
    </xf>
    <xf numFmtId="0" fontId="198" fillId="0" borderId="5" xfId="0" applyFont="1" applyBorder="1" applyAlignment="1">
      <alignment horizontal="center" vertical="center" wrapText="1"/>
    </xf>
    <xf numFmtId="0" fontId="198" fillId="0" borderId="212" xfId="0" applyFont="1" applyBorder="1" applyAlignment="1">
      <alignment horizontal="center" vertical="center" wrapText="1"/>
    </xf>
    <xf numFmtId="0" fontId="249" fillId="138" borderId="121" xfId="0" applyFont="1" applyFill="1" applyBorder="1" applyAlignment="1">
      <alignment horizontal="center" vertical="center"/>
    </xf>
    <xf numFmtId="0" fontId="249" fillId="138" borderId="122" xfId="0" applyFont="1" applyFill="1" applyBorder="1" applyAlignment="1">
      <alignment horizontal="center" vertical="center"/>
    </xf>
    <xf numFmtId="0" fontId="249" fillId="138" borderId="137" xfId="0" applyFont="1" applyFill="1" applyBorder="1" applyAlignment="1">
      <alignment horizontal="center" vertical="center"/>
    </xf>
    <xf numFmtId="0" fontId="232" fillId="142" borderId="64" xfId="0" applyFont="1" applyFill="1" applyBorder="1" applyAlignment="1">
      <alignment horizontal="center" vertical="center"/>
    </xf>
    <xf numFmtId="0" fontId="232" fillId="142" borderId="521" xfId="0" applyFont="1" applyFill="1" applyBorder="1" applyAlignment="1">
      <alignment horizontal="center" vertical="center"/>
    </xf>
    <xf numFmtId="0" fontId="55" fillId="142" borderId="121" xfId="0" applyFont="1" applyFill="1" applyBorder="1" applyAlignment="1">
      <alignment horizontal="center" vertical="center"/>
    </xf>
    <xf numFmtId="0" fontId="55" fillId="142" borderId="122" xfId="0" applyFont="1" applyFill="1" applyBorder="1" applyAlignment="1">
      <alignment horizontal="center" vertical="center"/>
    </xf>
    <xf numFmtId="0" fontId="55" fillId="142" borderId="47" xfId="0" applyFont="1" applyFill="1" applyBorder="1" applyAlignment="1">
      <alignment horizontal="center" vertical="center"/>
    </xf>
    <xf numFmtId="0" fontId="232" fillId="142" borderId="137" xfId="0" applyFont="1" applyFill="1" applyBorder="1" applyAlignment="1">
      <alignment horizontal="center" vertical="center" wrapText="1"/>
    </xf>
    <xf numFmtId="0" fontId="232" fillId="142" borderId="163" xfId="0" applyFont="1" applyFill="1" applyBorder="1" applyAlignment="1">
      <alignment horizontal="center" vertical="center"/>
    </xf>
    <xf numFmtId="0" fontId="34" fillId="138" borderId="483" xfId="0" applyFont="1" applyFill="1" applyBorder="1" applyAlignment="1">
      <alignment horizontal="center" vertical="center"/>
    </xf>
    <xf numFmtId="0" fontId="34" fillId="138" borderId="122" xfId="0" applyFont="1" applyFill="1" applyBorder="1" applyAlignment="1">
      <alignment horizontal="center" vertical="center"/>
    </xf>
    <xf numFmtId="0" fontId="34" fillId="138" borderId="516" xfId="0" applyFont="1" applyFill="1" applyBorder="1" applyAlignment="1">
      <alignment horizontal="center" vertical="center"/>
    </xf>
    <xf numFmtId="0" fontId="34" fillId="138" borderId="123" xfId="0" applyFont="1" applyFill="1" applyBorder="1" applyAlignment="1">
      <alignment horizontal="center" vertical="center"/>
    </xf>
    <xf numFmtId="0" fontId="34" fillId="138" borderId="518" xfId="0" applyFont="1" applyFill="1" applyBorder="1" applyAlignment="1">
      <alignment horizontal="center" vertical="center"/>
    </xf>
    <xf numFmtId="0" fontId="34" fillId="142" borderId="64" xfId="0" applyFont="1" applyFill="1" applyBorder="1" applyAlignment="1">
      <alignment horizontal="center" vertical="center"/>
    </xf>
    <xf numFmtId="0" fontId="34" fillId="142" borderId="48" xfId="0" applyFont="1" applyFill="1" applyBorder="1" applyAlignment="1">
      <alignment horizontal="center" vertical="center"/>
    </xf>
    <xf numFmtId="0" fontId="34" fillId="142" borderId="125" xfId="0" applyFont="1" applyFill="1" applyBorder="1" applyAlignment="1">
      <alignment horizontal="center" vertical="center"/>
    </xf>
    <xf numFmtId="0" fontId="250" fillId="130" borderId="49" xfId="0" applyFont="1" applyFill="1" applyBorder="1" applyAlignment="1">
      <alignment horizontal="center" vertical="center"/>
    </xf>
    <xf numFmtId="0" fontId="250" fillId="130" borderId="122" xfId="0" applyFont="1" applyFill="1" applyBorder="1" applyAlignment="1">
      <alignment horizontal="center" vertical="center"/>
    </xf>
    <xf numFmtId="0" fontId="250" fillId="130" borderId="137" xfId="0" applyFont="1" applyFill="1" applyBorder="1" applyAlignment="1">
      <alignment horizontal="center" vertical="center"/>
    </xf>
    <xf numFmtId="0" fontId="250" fillId="143" borderId="121" xfId="0" applyFont="1" applyFill="1" applyBorder="1" applyAlignment="1">
      <alignment horizontal="center" vertical="center"/>
    </xf>
    <xf numFmtId="0" fontId="250" fillId="143" borderId="122" xfId="0" applyFont="1" applyFill="1" applyBorder="1" applyAlignment="1">
      <alignment horizontal="center" vertical="center"/>
    </xf>
    <xf numFmtId="0" fontId="250" fillId="143" borderId="137" xfId="0" applyFont="1" applyFill="1" applyBorder="1" applyAlignment="1">
      <alignment horizontal="center" vertical="center"/>
    </xf>
    <xf numFmtId="0" fontId="232" fillId="142" borderId="334" xfId="0" applyFont="1" applyFill="1" applyBorder="1" applyAlignment="1">
      <alignment horizontal="center" vertical="center" wrapText="1"/>
    </xf>
    <xf numFmtId="0" fontId="232" fillId="142" borderId="162" xfId="0" applyFont="1" applyFill="1" applyBorder="1" applyAlignment="1">
      <alignment horizontal="center" vertical="center"/>
    </xf>
    <xf numFmtId="0" fontId="34" fillId="130" borderId="123" xfId="0" applyFont="1" applyFill="1" applyBorder="1" applyAlignment="1">
      <alignment horizontal="center" vertical="center" wrapText="1"/>
    </xf>
    <xf numFmtId="177" fontId="34" fillId="130" borderId="122" xfId="0" applyNumberFormat="1" applyFont="1" applyFill="1" applyBorder="1" applyAlignment="1">
      <alignment horizontal="center" vertical="center" wrapText="1"/>
    </xf>
    <xf numFmtId="177" fontId="34" fillId="130" borderId="516" xfId="0" applyNumberFormat="1" applyFont="1" applyFill="1" applyBorder="1" applyAlignment="1">
      <alignment horizontal="center" vertical="center"/>
    </xf>
    <xf numFmtId="0" fontId="44" fillId="0" borderId="309" xfId="0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232" fillId="0" borderId="610" xfId="0" applyFont="1" applyBorder="1" applyAlignment="1">
      <alignment horizontal="center" vertical="center"/>
    </xf>
    <xf numFmtId="0" fontId="232" fillId="0" borderId="609" xfId="0" applyFont="1" applyBorder="1" applyAlignment="1">
      <alignment horizontal="center" vertical="center"/>
    </xf>
    <xf numFmtId="0" fontId="232" fillId="0" borderId="611" xfId="0" applyFont="1" applyBorder="1" applyAlignment="1">
      <alignment horizontal="center" vertical="center"/>
    </xf>
    <xf numFmtId="0" fontId="29" fillId="130" borderId="121" xfId="0" applyFont="1" applyFill="1" applyBorder="1" applyAlignment="1">
      <alignment horizontal="center" vertical="center"/>
    </xf>
    <xf numFmtId="0" fontId="29" fillId="130" borderId="122" xfId="0" applyFont="1" applyFill="1" applyBorder="1" applyAlignment="1">
      <alignment horizontal="center" vertical="center"/>
    </xf>
    <xf numFmtId="0" fontId="29" fillId="130" borderId="123" xfId="0" applyFont="1" applyFill="1" applyBorder="1" applyAlignment="1">
      <alignment horizontal="center" vertical="center"/>
    </xf>
    <xf numFmtId="223" fontId="259" fillId="137" borderId="609" xfId="0" applyNumberFormat="1" applyFont="1" applyFill="1" applyBorder="1" applyAlignment="1">
      <alignment horizontal="center" vertical="center"/>
    </xf>
    <xf numFmtId="223" fontId="260" fillId="144" borderId="603" xfId="0" applyNumberFormat="1" applyFont="1" applyFill="1" applyBorder="1" applyAlignment="1">
      <alignment horizontal="center" vertical="center" wrapText="1"/>
    </xf>
    <xf numFmtId="223" fontId="260" fillId="144" borderId="5" xfId="0" applyNumberFormat="1" applyFont="1" applyFill="1" applyBorder="1" applyAlignment="1">
      <alignment horizontal="center" vertical="center" wrapText="1"/>
    </xf>
    <xf numFmtId="223" fontId="260" fillId="144" borderId="6" xfId="0" applyNumberFormat="1" applyFont="1" applyFill="1" applyBorder="1" applyAlignment="1">
      <alignment horizontal="center" vertical="center" wrapText="1"/>
    </xf>
    <xf numFmtId="0" fontId="29" fillId="130" borderId="515" xfId="0" applyFont="1" applyFill="1" applyBorder="1" applyAlignment="1">
      <alignment horizontal="center" vertical="center"/>
    </xf>
    <xf numFmtId="0" fontId="29" fillId="130" borderId="516" xfId="0" applyFont="1" applyFill="1" applyBorder="1" applyAlignment="1">
      <alignment horizontal="center" vertical="center"/>
    </xf>
    <xf numFmtId="0" fontId="29" fillId="130" borderId="518" xfId="0" applyFont="1" applyFill="1" applyBorder="1" applyAlignment="1">
      <alignment horizontal="center" vertical="center"/>
    </xf>
    <xf numFmtId="0" fontId="232" fillId="138" borderId="64" xfId="0" applyFont="1" applyFill="1" applyBorder="1" applyAlignment="1">
      <alignment horizontal="center" vertical="center"/>
    </xf>
    <xf numFmtId="0" fontId="232" fillId="138" borderId="48" xfId="0" applyFont="1" applyFill="1" applyBorder="1" applyAlignment="1">
      <alignment horizontal="center" vertical="center"/>
    </xf>
    <xf numFmtId="0" fontId="232" fillId="138" borderId="59" xfId="0" applyFont="1" applyFill="1" applyBorder="1" applyAlignment="1">
      <alignment horizontal="center" vertical="center"/>
    </xf>
    <xf numFmtId="0" fontId="34" fillId="138" borderId="137" xfId="0" applyFont="1" applyFill="1" applyBorder="1" applyAlignment="1">
      <alignment horizontal="center" vertical="center"/>
    </xf>
    <xf numFmtId="0" fontId="34" fillId="138" borderId="163" xfId="0" applyFont="1" applyFill="1" applyBorder="1" applyAlignment="1">
      <alignment horizontal="center" vertical="center"/>
    </xf>
    <xf numFmtId="0" fontId="34" fillId="138" borderId="230" xfId="0" applyFont="1" applyFill="1" applyBorder="1" applyAlignment="1">
      <alignment horizontal="center" vertical="center"/>
    </xf>
    <xf numFmtId="0" fontId="34" fillId="138" borderId="212" xfId="0" applyFont="1" applyFill="1" applyBorder="1" applyAlignment="1">
      <alignment horizontal="center" vertical="center"/>
    </xf>
    <xf numFmtId="223" fontId="57" fillId="0" borderId="46" xfId="0" applyNumberFormat="1" applyFont="1" applyBorder="1" applyAlignment="1">
      <alignment horizontal="center" vertical="center"/>
    </xf>
    <xf numFmtId="223" fontId="57" fillId="0" borderId="308" xfId="0" applyNumberFormat="1" applyFont="1" applyBorder="1" applyAlignment="1">
      <alignment horizontal="center" vertical="center"/>
    </xf>
    <xf numFmtId="38" fontId="57" fillId="7" borderId="611" xfId="2" applyNumberFormat="1" applyFont="1" applyFill="1" applyBorder="1" applyAlignment="1">
      <alignment horizontal="center" vertical="center"/>
    </xf>
    <xf numFmtId="38" fontId="176" fillId="127" borderId="226" xfId="0" applyNumberFormat="1" applyFont="1" applyFill="1" applyBorder="1" applyAlignment="1">
      <alignment horizontal="center" vertical="center"/>
    </xf>
    <xf numFmtId="223" fontId="57" fillId="0" borderId="597" xfId="0" applyNumberFormat="1" applyFont="1" applyBorder="1" applyAlignment="1">
      <alignment horizontal="center" vertical="center"/>
    </xf>
    <xf numFmtId="0" fontId="177" fillId="127" borderId="610" xfId="0" applyFont="1" applyFill="1" applyBorder="1" applyAlignment="1">
      <alignment horizontal="center" vertical="center"/>
    </xf>
    <xf numFmtId="0" fontId="177" fillId="127" borderId="602" xfId="0" applyFont="1" applyFill="1" applyBorder="1" applyAlignment="1">
      <alignment horizontal="center" vertical="center"/>
    </xf>
    <xf numFmtId="0" fontId="176" fillId="127" borderId="226" xfId="0" applyFont="1" applyFill="1" applyBorder="1" applyAlignment="1">
      <alignment horizontal="center" vertical="center"/>
    </xf>
    <xf numFmtId="223" fontId="57" fillId="0" borderId="611" xfId="0" applyNumberFormat="1" applyFont="1" applyBorder="1" applyAlignment="1">
      <alignment horizontal="center" vertical="center"/>
    </xf>
    <xf numFmtId="0" fontId="177" fillId="127" borderId="515" xfId="0" applyFont="1" applyFill="1" applyBorder="1" applyAlignment="1">
      <alignment horizontal="center" vertical="center"/>
    </xf>
    <xf numFmtId="0" fontId="177" fillId="127" borderId="594" xfId="0" applyFont="1" applyFill="1" applyBorder="1" applyAlignment="1">
      <alignment horizontal="center" vertical="center"/>
    </xf>
    <xf numFmtId="0" fontId="0" fillId="0" borderId="23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65" fillId="117" borderId="0" xfId="0" applyFont="1" applyFill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60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03" xfId="0" applyBorder="1" applyAlignment="1">
      <alignment horizontal="center" vertical="center"/>
    </xf>
    <xf numFmtId="0" fontId="0" fillId="0" borderId="682" xfId="0" applyBorder="1" applyAlignment="1">
      <alignment horizontal="center" vertical="center"/>
    </xf>
    <xf numFmtId="0" fontId="0" fillId="0" borderId="212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266" fillId="117" borderId="0" xfId="0" applyFont="1" applyFill="1" applyAlignment="1">
      <alignment horizontal="center" vertical="center"/>
    </xf>
  </cellXfs>
  <cellStyles count="45151">
    <cellStyle name=" " xfId="7"/>
    <cellStyle name=" _97연말" xfId="8"/>
    <cellStyle name=" _97연말1" xfId="9"/>
    <cellStyle name=" _Book1" xfId="10"/>
    <cellStyle name="&quot;" xfId="11"/>
    <cellStyle name="&quot; 2" xfId="20842"/>
    <cellStyle name="&quot; 2 2" xfId="41718"/>
    <cellStyle name="&quot; 3" xfId="24131"/>
    <cellStyle name="&quot; 3 2" xfId="45001"/>
    <cellStyle name="&quot; 4" xfId="24297"/>
    <cellStyle name="&quot;큰제목&quot;" xfId="12"/>
    <cellStyle name="#,##0" xfId="13"/>
    <cellStyle name="#,##0 10" xfId="24298"/>
    <cellStyle name="#,##0 2" xfId="1202"/>
    <cellStyle name="#,##0 2 2" xfId="3323"/>
    <cellStyle name="#,##0 2 2 2" xfId="5596"/>
    <cellStyle name="#,##0 2 2 2 2" xfId="22304"/>
    <cellStyle name="#,##0 2 2 2 2 2" xfId="43179"/>
    <cellStyle name="#,##0 2 2 2 3" xfId="21340"/>
    <cellStyle name="#,##0 2 2 2 3 2" xfId="42215"/>
    <cellStyle name="#,##0 2 2 2 4" xfId="23809"/>
    <cellStyle name="#,##0 2 2 2 4 2" xfId="44681"/>
    <cellStyle name="#,##0 2 2 2 5" xfId="14605"/>
    <cellStyle name="#,##0 2 2 2 5 2" xfId="35481"/>
    <cellStyle name="#,##0 2 2 2 6" xfId="26743"/>
    <cellStyle name="#,##0 2 2 3" xfId="21675"/>
    <cellStyle name="#,##0 2 2 3 2" xfId="42550"/>
    <cellStyle name="#,##0 2 2 4" xfId="23316"/>
    <cellStyle name="#,##0 2 2 4 2" xfId="44188"/>
    <cellStyle name="#,##0 2 2 5" xfId="21368"/>
    <cellStyle name="#,##0 2 2 5 2" xfId="42243"/>
    <cellStyle name="#,##0 2 2 6" xfId="12786"/>
    <cellStyle name="#,##0 2 2 6 2" xfId="33663"/>
    <cellStyle name="#,##0 2 2 7" xfId="24913"/>
    <cellStyle name="#,##0 2 3" xfId="9207"/>
    <cellStyle name="#,##0 2 3 2" xfId="21134"/>
    <cellStyle name="#,##0 2 3 2 2" xfId="42009"/>
    <cellStyle name="#,##0 2 3 3" xfId="22189"/>
    <cellStyle name="#,##0 2 3 3 2" xfId="43064"/>
    <cellStyle name="#,##0 2 3 4" xfId="18210"/>
    <cellStyle name="#,##0 2 3 4 2" xfId="39086"/>
    <cellStyle name="#,##0 2 3 5" xfId="30348"/>
    <cellStyle name="#,##0 2 4" xfId="21148"/>
    <cellStyle name="#,##0 2 4 2" xfId="42023"/>
    <cellStyle name="#,##0 2 5" xfId="12201"/>
    <cellStyle name="#,##0 2 5 2" xfId="33090"/>
    <cellStyle name="#,##0 2 6" xfId="24305"/>
    <cellStyle name="#,##0 3" xfId="3322"/>
    <cellStyle name="#,##0 3 2" xfId="5595"/>
    <cellStyle name="#,##0 3 2 2" xfId="22303"/>
    <cellStyle name="#,##0 3 2 2 2" xfId="43178"/>
    <cellStyle name="#,##0 3 2 3" xfId="23723"/>
    <cellStyle name="#,##0 3 2 3 2" xfId="44595"/>
    <cellStyle name="#,##0 3 2 4" xfId="21016"/>
    <cellStyle name="#,##0 3 2 4 2" xfId="41891"/>
    <cellStyle name="#,##0 3 2 5" xfId="14604"/>
    <cellStyle name="#,##0 3 2 5 2" xfId="35480"/>
    <cellStyle name="#,##0 3 2 6" xfId="26742"/>
    <cellStyle name="#,##0 3 3" xfId="21674"/>
    <cellStyle name="#,##0 3 3 2" xfId="42549"/>
    <cellStyle name="#,##0 3 4" xfId="21825"/>
    <cellStyle name="#,##0 3 4 2" xfId="42700"/>
    <cellStyle name="#,##0 3 5" xfId="23245"/>
    <cellStyle name="#,##0 3 5 2" xfId="44118"/>
    <cellStyle name="#,##0 3 6" xfId="12785"/>
    <cellStyle name="#,##0 3 6 2" xfId="33662"/>
    <cellStyle name="#,##0 3 7" xfId="24912"/>
    <cellStyle name="#,##0 4" xfId="9206"/>
    <cellStyle name="#,##0 4 2" xfId="23799"/>
    <cellStyle name="#,##0 4 2 2" xfId="44671"/>
    <cellStyle name="#,##0 4 3" xfId="21359"/>
    <cellStyle name="#,##0 4 3 2" xfId="42234"/>
    <cellStyle name="#,##0 4 4" xfId="18209"/>
    <cellStyle name="#,##0 4 4 2" xfId="39085"/>
    <cellStyle name="#,##0 4 5" xfId="30347"/>
    <cellStyle name="#,##0 5" xfId="12183"/>
    <cellStyle name="#,##0 5 2" xfId="33082"/>
    <cellStyle name="#,##0 6" xfId="20859"/>
    <cellStyle name="#,##0 6 2" xfId="41735"/>
    <cellStyle name="#,##0 7" xfId="12089"/>
    <cellStyle name="#,##0 7 2" xfId="32994"/>
    <cellStyle name="#,##0 8" xfId="24132"/>
    <cellStyle name="#,##0 8 2" xfId="45002"/>
    <cellStyle name="#,##0 9" xfId="24181"/>
    <cellStyle name="#,##0 9 2" xfId="45049"/>
    <cellStyle name="??&amp;O?&amp;H?_x0008__x000f__x0007_?_x0007__x0001__x0001_" xfId="14"/>
    <cellStyle name="??&amp;O?&amp;H?_x0008_??_x0007__x0001__x0001_" xfId="15"/>
    <cellStyle name="?W?_laroux" xfId="17"/>
    <cellStyle name="?曹%U?&amp;H?_x0008_?s_x000a__x0007__x0001__x0001_" xfId="16"/>
    <cellStyle name="_02-02-P004 마가렛트호텔현설용물량" xfId="18"/>
    <cellStyle name="_02-02-P004 마가렛트호텔현설용물량_06년판매계획(최종)" xfId="19"/>
    <cellStyle name="_02-02-P004 마가렛트호텔현설용물량_06년판매계획(최종)_12" xfId="1203"/>
    <cellStyle name="_02-02-P004 마가렛트호텔현설용물량_06년판매계획(최종)_2006년실적" xfId="20"/>
    <cellStyle name="_02-02-P004 마가렛트호텔현설용물량_06년판매계획(최종)_2006년실적_2007년도 경영계획" xfId="21"/>
    <cellStyle name="_02-02-P004 마가렛트호텔현설용물량_06년판매계획(최종)_2006년실적_2007년도 경영계획_GI 수정안" xfId="22"/>
    <cellStyle name="_02-02-P004 마가렛트호텔현설용물량_06년판매계획(최종)_2007년 판매계획(GI)" xfId="23"/>
    <cellStyle name="_02-02-P004 마가렛트호텔현설용물량_06년판매계획(최종)_2007년 판매계획(GI)_2007년도 경영계획" xfId="24"/>
    <cellStyle name="_02-02-P004 마가렛트호텔현설용물량_06년판매계획(최종)_2007년 판매계획(GI)_2007년도 경영계획_GI 수정안" xfId="25"/>
    <cellStyle name="_02-02-P004 마가렛트호텔현설용물량_06년판매계획(최종)_2007년판매계획(영업안)_영업2차확정안_20061103" xfId="26"/>
    <cellStyle name="_02-02-P004 마가렛트호텔현설용물량_06년판매계획(최종)_2007년판매계획(영업안)_영업2차확정안_20061103_2007년도 경영계획" xfId="27"/>
    <cellStyle name="_02-02-P004 마가렛트호텔현설용물량_06년판매계획(최종)_2007년판매계획(영업안)_영업2차확정안_20061103_2007년도 경영계획_GI 수정안" xfId="28"/>
    <cellStyle name="_02-02-P004 마가렛트호텔현설용물량_06년판매계획(최종)_5월 경영실적" xfId="1204"/>
    <cellStyle name="_02-02-P004 마가렛트호텔현설용물량_06년판매계획(최종)_6월 경영실적" xfId="1205"/>
    <cellStyle name="_02-02-P004 마가렛트호텔현설용물량_06년판매계획(최종)_7월 경영실적" xfId="1206"/>
    <cellStyle name="_02-02-P004 마가렛트호텔현설용물량_06년판매계획(최종)_7월 경영실적_9월 경영실적" xfId="1207"/>
    <cellStyle name="_02-02-P004 마가렛트호텔현설용물량_06년판매계획(최종)_7월 경영실적_9월 경영실적_12" xfId="1208"/>
    <cellStyle name="_02-02-P004 마가렛트호텔현설용물량_06년판매계획(최종)_7월 경영실적_9월 경영실적_5월 경영실적" xfId="1209"/>
    <cellStyle name="_02-02-P004 마가렛트호텔현설용물량_06년판매계획(최종)_7월 경영실적_9월 경영실적_6월 경영실적" xfId="1210"/>
    <cellStyle name="_02-02-P004 마가렛트호텔현설용물량_06년판매계획(최종)_7월 경영실적_9월 경영실적_7월 경영실적" xfId="1211"/>
    <cellStyle name="_02-02-P004 마가렛트호텔현설용물량_06년판매계획(최종)_7월 경영실적_9월 경영실적_GI매원" xfId="1212"/>
    <cellStyle name="_02-02-P004 마가렛트호텔현설용물량_06년판매계획(최종)_7월 경영실적_9월 경영실적_Sheet1" xfId="1213"/>
    <cellStyle name="_02-02-P004 마가렛트호텔현설용물량_06년판매계획(최종)_7월 경영실적_9월 경영실적_칼라매원" xfId="1214"/>
    <cellStyle name="_02-02-P004 마가렛트호텔현설용물량_06년판매계획(최종)_GI매원" xfId="1215"/>
    <cellStyle name="_02-02-P004 마가렛트호텔현설용물량_06년판매계획(최종)_Sheet1" xfId="1216"/>
    <cellStyle name="_02-02-P004 마가렛트호텔현설용물량_06년판매계획(최종)_칼라매원" xfId="1217"/>
    <cellStyle name="_02-02-P004 마가렛트호텔현설용물량_12" xfId="1218"/>
    <cellStyle name="_02-02-P004 마가렛트호텔현설용물량_2006년 경영계획(1안)" xfId="29"/>
    <cellStyle name="_02-02-P004 마가렛트호텔현설용물량_2006년 경영계획(1안)_12" xfId="1219"/>
    <cellStyle name="_02-02-P004 마가렛트호텔현설용물량_2006년 경영계획(1안)_2006년실적" xfId="30"/>
    <cellStyle name="_02-02-P004 마가렛트호텔현설용물량_2006년 경영계획(1안)_2006년실적_2007년도 경영계획" xfId="31"/>
    <cellStyle name="_02-02-P004 마가렛트호텔현설용물량_2006년 경영계획(1안)_2006년실적_2007년도 경영계획_GI 수정안" xfId="32"/>
    <cellStyle name="_02-02-P004 마가렛트호텔현설용물량_2006년 경영계획(1안)_2007년 판매계획(GI)" xfId="33"/>
    <cellStyle name="_02-02-P004 마가렛트호텔현설용물량_2006년 경영계획(1안)_2007년 판매계획(GI)_2007년도 경영계획" xfId="34"/>
    <cellStyle name="_02-02-P004 마가렛트호텔현설용물량_2006년 경영계획(1안)_2007년 판매계획(GI)_2007년도 경영계획_GI 수정안" xfId="35"/>
    <cellStyle name="_02-02-P004 마가렛트호텔현설용물량_2006년 경영계획(1안)_2007년판매계획(영업안)_영업2차확정안_20061103" xfId="36"/>
    <cellStyle name="_02-02-P004 마가렛트호텔현설용물량_2006년 경영계획(1안)_2007년판매계획(영업안)_영업2차확정안_20061103_2007년도 경영계획" xfId="37"/>
    <cellStyle name="_02-02-P004 마가렛트호텔현설용물량_2006년 경영계획(1안)_2007년판매계획(영업안)_영업2차확정안_20061103_2007년도 경영계획_GI 수정안" xfId="38"/>
    <cellStyle name="_02-02-P004 마가렛트호텔현설용물량_2006년 경영계획(1안)_5월 경영실적" xfId="1220"/>
    <cellStyle name="_02-02-P004 마가렛트호텔현설용물량_2006년 경영계획(1안)_6월 경영실적" xfId="1221"/>
    <cellStyle name="_02-02-P004 마가렛트호텔현설용물량_2006년 경영계획(1안)_7월 경영실적" xfId="1222"/>
    <cellStyle name="_02-02-P004 마가렛트호텔현설용물량_2006년 경영계획(1안)_7월 경영실적_9월 경영실적" xfId="1223"/>
    <cellStyle name="_02-02-P004 마가렛트호텔현설용물량_2006년 경영계획(1안)_7월 경영실적_9월 경영실적_12" xfId="1224"/>
    <cellStyle name="_02-02-P004 마가렛트호텔현설용물량_2006년 경영계획(1안)_7월 경영실적_9월 경영실적_5월 경영실적" xfId="1225"/>
    <cellStyle name="_02-02-P004 마가렛트호텔현설용물량_2006년 경영계획(1안)_7월 경영실적_9월 경영실적_6월 경영실적" xfId="1226"/>
    <cellStyle name="_02-02-P004 마가렛트호텔현설용물량_2006년 경영계획(1안)_7월 경영실적_9월 경영실적_7월 경영실적" xfId="1227"/>
    <cellStyle name="_02-02-P004 마가렛트호텔현설용물량_2006년 경영계획(1안)_7월 경영실적_9월 경영실적_GI매원" xfId="1228"/>
    <cellStyle name="_02-02-P004 마가렛트호텔현설용물량_2006년 경영계획(1안)_7월 경영실적_9월 경영실적_Sheet1" xfId="1229"/>
    <cellStyle name="_02-02-P004 마가렛트호텔현설용물량_2006년 경영계획(1안)_7월 경영실적_9월 경영실적_칼라매원" xfId="1230"/>
    <cellStyle name="_02-02-P004 마가렛트호텔현설용물량_2006년 경영계획(1안)_GI매원" xfId="1231"/>
    <cellStyle name="_02-02-P004 마가렛트호텔현설용물량_2006년 경영계획(1안)_Sheet1" xfId="1232"/>
    <cellStyle name="_02-02-P004 마가렛트호텔현설용물량_2006년 경영계획(1안)_칼라매원" xfId="1233"/>
    <cellStyle name="_02-02-P004 마가렛트호텔현설용물량_2006년 경영계획(안)" xfId="39"/>
    <cellStyle name="_02-02-P004 마가렛트호텔현설용물량_2006년 경영계획(안)_12" xfId="1234"/>
    <cellStyle name="_02-02-P004 마가렛트호텔현설용물량_2006년 경영계획(안)_2006년실적" xfId="40"/>
    <cellStyle name="_02-02-P004 마가렛트호텔현설용물량_2006년 경영계획(안)_2006년실적_2007년도 경영계획" xfId="41"/>
    <cellStyle name="_02-02-P004 마가렛트호텔현설용물량_2006년 경영계획(안)_2006년실적_2007년도 경영계획_GI 수정안" xfId="42"/>
    <cellStyle name="_02-02-P004 마가렛트호텔현설용물량_2006년 경영계획(안)_2007년 판매계획(GI)" xfId="43"/>
    <cellStyle name="_02-02-P004 마가렛트호텔현설용물량_2006년 경영계획(안)_2007년 판매계획(GI)_2007년도 경영계획" xfId="44"/>
    <cellStyle name="_02-02-P004 마가렛트호텔현설용물량_2006년 경영계획(안)_2007년 판매계획(GI)_2007년도 경영계획_GI 수정안" xfId="45"/>
    <cellStyle name="_02-02-P004 마가렛트호텔현설용물량_2006년 경영계획(안)_2007년판매계획(영업안)_영업2차확정안_20061103" xfId="46"/>
    <cellStyle name="_02-02-P004 마가렛트호텔현설용물량_2006년 경영계획(안)_2007년판매계획(영업안)_영업2차확정안_20061103_2007년도 경영계획" xfId="47"/>
    <cellStyle name="_02-02-P004 마가렛트호텔현설용물량_2006년 경영계획(안)_2007년판매계획(영업안)_영업2차확정안_20061103_2007년도 경영계획_GI 수정안" xfId="48"/>
    <cellStyle name="_02-02-P004 마가렛트호텔현설용물량_2006년 경영계획(안)_5월 경영실적" xfId="1235"/>
    <cellStyle name="_02-02-P004 마가렛트호텔현설용물량_2006년 경영계획(안)_6월 경영실적" xfId="1236"/>
    <cellStyle name="_02-02-P004 마가렛트호텔현설용물량_2006년 경영계획(안)_7월 경영실적" xfId="1237"/>
    <cellStyle name="_02-02-P004 마가렛트호텔현설용물량_2006년 경영계획(안)_7월 경영실적_9월 경영실적" xfId="1238"/>
    <cellStyle name="_02-02-P004 마가렛트호텔현설용물량_2006년 경영계획(안)_7월 경영실적_9월 경영실적_12" xfId="1239"/>
    <cellStyle name="_02-02-P004 마가렛트호텔현설용물량_2006년 경영계획(안)_7월 경영실적_9월 경영실적_5월 경영실적" xfId="1240"/>
    <cellStyle name="_02-02-P004 마가렛트호텔현설용물량_2006년 경영계획(안)_7월 경영실적_9월 경영실적_6월 경영실적" xfId="1241"/>
    <cellStyle name="_02-02-P004 마가렛트호텔현설용물량_2006년 경영계획(안)_7월 경영실적_9월 경영실적_7월 경영실적" xfId="1242"/>
    <cellStyle name="_02-02-P004 마가렛트호텔현설용물량_2006년 경영계획(안)_7월 경영실적_9월 경영실적_GI매원" xfId="1243"/>
    <cellStyle name="_02-02-P004 마가렛트호텔현설용물량_2006년 경영계획(안)_7월 경영실적_9월 경영실적_Sheet1" xfId="1244"/>
    <cellStyle name="_02-02-P004 마가렛트호텔현설용물량_2006년 경영계획(안)_7월 경영실적_9월 경영실적_칼라매원" xfId="1245"/>
    <cellStyle name="_02-02-P004 마가렛트호텔현설용물량_2006년 경영계획(안)_GI매원" xfId="1246"/>
    <cellStyle name="_02-02-P004 마가렛트호텔현설용물량_2006년 경영계획(안)_Sheet1" xfId="1247"/>
    <cellStyle name="_02-02-P004 마가렛트호텔현설용물량_2006년 경영계획(안)_칼라매원" xfId="1248"/>
    <cellStyle name="_02-02-P004 마가렛트호텔현설용물량_2006년실적" xfId="49"/>
    <cellStyle name="_02-02-P004 마가렛트호텔현설용물량_2006년실적_2007년도 경영계획" xfId="50"/>
    <cellStyle name="_02-02-P004 마가렛트호텔현설용물량_2006년실적_2007년도 경영계획_GI 수정안" xfId="51"/>
    <cellStyle name="_02-02-P004 마가렛트호텔현설용물량_2007년 판매계획(GI)" xfId="52"/>
    <cellStyle name="_02-02-P004 마가렛트호텔현설용물량_2007년 판매계획(GI)_2007년도 경영계획" xfId="53"/>
    <cellStyle name="_02-02-P004 마가렛트호텔현설용물량_2007년 판매계획(GI)_2007년도 경영계획_GI 수정안" xfId="54"/>
    <cellStyle name="_02-02-P004 마가렛트호텔현설용물량_2007년판매계획(영업안)_영업2차확정안_20061103" xfId="55"/>
    <cellStyle name="_02-02-P004 마가렛트호텔현설용물량_2007년판매계획(영업안)_영업2차확정안_20061103_2007년도 경영계획" xfId="56"/>
    <cellStyle name="_02-02-P004 마가렛트호텔현설용물량_2007년판매계획(영업안)_영업2차확정안_20061103_2007년도 경영계획_GI 수정안" xfId="57"/>
    <cellStyle name="_02-02-P004 마가렛트호텔현설용물량_2008년 도급비 지급현황" xfId="4469"/>
    <cellStyle name="_02-02-P004 마가렛트호텔현설용물량_2008년 도급비 지급현황_2008년 도급비 지급현황" xfId="4464"/>
    <cellStyle name="_02-02-P004 마가렛트호텔현설용물량_2008년 도급비 지급현황_2008년 도급비 지급현황_2008년 도급비 지급현황" xfId="4459"/>
    <cellStyle name="_02-02-P004 마가렛트호텔현설용물량_2008년 도급비 지급현황_2008년 도급비 지급현황_2008년 도급비 지급현황_2009년 도급비 지급현황" xfId="4454"/>
    <cellStyle name="_02-02-P004 마가렛트호텔현설용물량_2008년 도급비 지급현황_2009년 도급비 지급현황" xfId="4449"/>
    <cellStyle name="_02-02-P004 마가렛트호텔현설용물량_5월 경영실적" xfId="1249"/>
    <cellStyle name="_02-02-P004 마가렛트호텔현설용물량_6월 경영실적" xfId="1250"/>
    <cellStyle name="_02-02-P004 마가렛트호텔현설용물량_7월 경영실적" xfId="1251"/>
    <cellStyle name="_02-02-P004 마가렛트호텔현설용물량_7월 경영실적_9월 경영실적" xfId="1252"/>
    <cellStyle name="_02-02-P004 마가렛트호텔현설용물량_7월 경영실적_9월 경영실적_12" xfId="1253"/>
    <cellStyle name="_02-02-P004 마가렛트호텔현설용물량_7월 경영실적_9월 경영실적_5월 경영실적" xfId="1254"/>
    <cellStyle name="_02-02-P004 마가렛트호텔현설용물량_7월 경영실적_9월 경영실적_6월 경영실적" xfId="1255"/>
    <cellStyle name="_02-02-P004 마가렛트호텔현설용물량_7월 경영실적_9월 경영실적_7월 경영실적" xfId="1256"/>
    <cellStyle name="_02-02-P004 마가렛트호텔현설용물량_7월 경영실적_9월 경영실적_GI매원" xfId="1257"/>
    <cellStyle name="_02-02-P004 마가렛트호텔현설용물량_7월 경영실적_9월 경영실적_Sheet1" xfId="1258"/>
    <cellStyle name="_02-02-P004 마가렛트호텔현설용물량_7월 경영실적_9월 경영실적_칼라매원" xfId="1259"/>
    <cellStyle name="_02-02-P004 마가렛트호텔현설용물량_GI매원" xfId="1260"/>
    <cellStyle name="_02-02-P004 마가렛트호텔현설용물량_Sheet1" xfId="1261"/>
    <cellStyle name="_02-02-P004 마가렛트호텔현설용물량_칼라매원" xfId="1262"/>
    <cellStyle name="_02-02-P007 온양반도체" xfId="58"/>
    <cellStyle name="_02-02-P007 온양반도체_06년판매계획(최종)" xfId="59"/>
    <cellStyle name="_02-02-P007 온양반도체_06년판매계획(최종)_12" xfId="1263"/>
    <cellStyle name="_02-02-P007 온양반도체_06년판매계획(최종)_2006년실적" xfId="60"/>
    <cellStyle name="_02-02-P007 온양반도체_06년판매계획(최종)_2006년실적_2007년도 경영계획" xfId="61"/>
    <cellStyle name="_02-02-P007 온양반도체_06년판매계획(최종)_2006년실적_2007년도 경영계획_GI 수정안" xfId="62"/>
    <cellStyle name="_02-02-P007 온양반도체_06년판매계획(최종)_2007년 판매계획(GI)" xfId="63"/>
    <cellStyle name="_02-02-P007 온양반도체_06년판매계획(최종)_2007년 판매계획(GI)_2007년도 경영계획" xfId="64"/>
    <cellStyle name="_02-02-P007 온양반도체_06년판매계획(최종)_2007년 판매계획(GI)_2007년도 경영계획_GI 수정안" xfId="65"/>
    <cellStyle name="_02-02-P007 온양반도체_06년판매계획(최종)_2007년판매계획(영업안)_영업2차확정안_20061103" xfId="66"/>
    <cellStyle name="_02-02-P007 온양반도체_06년판매계획(최종)_2007년판매계획(영업안)_영업2차확정안_20061103_2007년도 경영계획" xfId="67"/>
    <cellStyle name="_02-02-P007 온양반도체_06년판매계획(최종)_2007년판매계획(영업안)_영업2차확정안_20061103_2007년도 경영계획_GI 수정안" xfId="68"/>
    <cellStyle name="_02-02-P007 온양반도체_06년판매계획(최종)_5월 경영실적" xfId="1264"/>
    <cellStyle name="_02-02-P007 온양반도체_06년판매계획(최종)_6월 경영실적" xfId="1265"/>
    <cellStyle name="_02-02-P007 온양반도체_06년판매계획(최종)_7월 경영실적" xfId="1266"/>
    <cellStyle name="_02-02-P007 온양반도체_06년판매계획(최종)_7월 경영실적_9월 경영실적" xfId="1267"/>
    <cellStyle name="_02-02-P007 온양반도체_06년판매계획(최종)_7월 경영실적_9월 경영실적_12" xfId="1268"/>
    <cellStyle name="_02-02-P007 온양반도체_06년판매계획(최종)_7월 경영실적_9월 경영실적_5월 경영실적" xfId="1269"/>
    <cellStyle name="_02-02-P007 온양반도체_06년판매계획(최종)_7월 경영실적_9월 경영실적_6월 경영실적" xfId="1270"/>
    <cellStyle name="_02-02-P007 온양반도체_06년판매계획(최종)_7월 경영실적_9월 경영실적_7월 경영실적" xfId="1271"/>
    <cellStyle name="_02-02-P007 온양반도체_06년판매계획(최종)_7월 경영실적_9월 경영실적_GI매원" xfId="1272"/>
    <cellStyle name="_02-02-P007 온양반도체_06년판매계획(최종)_7월 경영실적_9월 경영실적_Sheet1" xfId="1273"/>
    <cellStyle name="_02-02-P007 온양반도체_06년판매계획(최종)_7월 경영실적_9월 경영실적_칼라매원" xfId="1274"/>
    <cellStyle name="_02-02-P007 온양반도체_06년판매계획(최종)_GI매원" xfId="1275"/>
    <cellStyle name="_02-02-P007 온양반도체_06년판매계획(최종)_Sheet1" xfId="1276"/>
    <cellStyle name="_02-02-P007 온양반도체_06년판매계획(최종)_칼라매원" xfId="1277"/>
    <cellStyle name="_02-02-P007 온양반도체_12" xfId="1278"/>
    <cellStyle name="_02-02-P007 온양반도체_2006년 경영계획(1안)" xfId="69"/>
    <cellStyle name="_02-02-P007 온양반도체_2006년 경영계획(1안)_12" xfId="1279"/>
    <cellStyle name="_02-02-P007 온양반도체_2006년 경영계획(1안)_2006년실적" xfId="70"/>
    <cellStyle name="_02-02-P007 온양반도체_2006년 경영계획(1안)_2006년실적_2007년도 경영계획" xfId="71"/>
    <cellStyle name="_02-02-P007 온양반도체_2006년 경영계획(1안)_2006년실적_2007년도 경영계획_GI 수정안" xfId="72"/>
    <cellStyle name="_02-02-P007 온양반도체_2006년 경영계획(1안)_2007년 판매계획(GI)" xfId="73"/>
    <cellStyle name="_02-02-P007 온양반도체_2006년 경영계획(1안)_2007년 판매계획(GI)_2007년도 경영계획" xfId="74"/>
    <cellStyle name="_02-02-P007 온양반도체_2006년 경영계획(1안)_2007년 판매계획(GI)_2007년도 경영계획_GI 수정안" xfId="75"/>
    <cellStyle name="_02-02-P007 온양반도체_2006년 경영계획(1안)_2007년판매계획(영업안)_영업2차확정안_20061103" xfId="76"/>
    <cellStyle name="_02-02-P007 온양반도체_2006년 경영계획(1안)_2007년판매계획(영업안)_영업2차확정안_20061103_2007년도 경영계획" xfId="77"/>
    <cellStyle name="_02-02-P007 온양반도체_2006년 경영계획(1안)_2007년판매계획(영업안)_영업2차확정안_20061103_2007년도 경영계획_GI 수정안" xfId="78"/>
    <cellStyle name="_02-02-P007 온양반도체_2006년 경영계획(1안)_5월 경영실적" xfId="1280"/>
    <cellStyle name="_02-02-P007 온양반도체_2006년 경영계획(1안)_6월 경영실적" xfId="1281"/>
    <cellStyle name="_02-02-P007 온양반도체_2006년 경영계획(1안)_7월 경영실적" xfId="1282"/>
    <cellStyle name="_02-02-P007 온양반도체_2006년 경영계획(1안)_7월 경영실적_9월 경영실적" xfId="1283"/>
    <cellStyle name="_02-02-P007 온양반도체_2006년 경영계획(1안)_7월 경영실적_9월 경영실적_12" xfId="1284"/>
    <cellStyle name="_02-02-P007 온양반도체_2006년 경영계획(1안)_7월 경영실적_9월 경영실적_5월 경영실적" xfId="1285"/>
    <cellStyle name="_02-02-P007 온양반도체_2006년 경영계획(1안)_7월 경영실적_9월 경영실적_6월 경영실적" xfId="1286"/>
    <cellStyle name="_02-02-P007 온양반도체_2006년 경영계획(1안)_7월 경영실적_9월 경영실적_7월 경영실적" xfId="1287"/>
    <cellStyle name="_02-02-P007 온양반도체_2006년 경영계획(1안)_7월 경영실적_9월 경영실적_GI매원" xfId="1288"/>
    <cellStyle name="_02-02-P007 온양반도체_2006년 경영계획(1안)_7월 경영실적_9월 경영실적_Sheet1" xfId="1289"/>
    <cellStyle name="_02-02-P007 온양반도체_2006년 경영계획(1안)_7월 경영실적_9월 경영실적_칼라매원" xfId="1290"/>
    <cellStyle name="_02-02-P007 온양반도체_2006년 경영계획(1안)_GI매원" xfId="1291"/>
    <cellStyle name="_02-02-P007 온양반도체_2006년 경영계획(1안)_Sheet1" xfId="1292"/>
    <cellStyle name="_02-02-P007 온양반도체_2006년 경영계획(1안)_칼라매원" xfId="1293"/>
    <cellStyle name="_02-02-P007 온양반도체_2006년 경영계획(안)" xfId="79"/>
    <cellStyle name="_02-02-P007 온양반도체_2006년 경영계획(안)_12" xfId="1294"/>
    <cellStyle name="_02-02-P007 온양반도체_2006년 경영계획(안)_2006년실적" xfId="80"/>
    <cellStyle name="_02-02-P007 온양반도체_2006년 경영계획(안)_2006년실적_2007년도 경영계획" xfId="81"/>
    <cellStyle name="_02-02-P007 온양반도체_2006년 경영계획(안)_2006년실적_2007년도 경영계획_GI 수정안" xfId="82"/>
    <cellStyle name="_02-02-P007 온양반도체_2006년 경영계획(안)_2007년 판매계획(GI)" xfId="83"/>
    <cellStyle name="_02-02-P007 온양반도체_2006년 경영계획(안)_2007년 판매계획(GI)_2007년도 경영계획" xfId="84"/>
    <cellStyle name="_02-02-P007 온양반도체_2006년 경영계획(안)_2007년 판매계획(GI)_2007년도 경영계획_GI 수정안" xfId="85"/>
    <cellStyle name="_02-02-P007 온양반도체_2006년 경영계획(안)_2007년판매계획(영업안)_영업2차확정안_20061103" xfId="86"/>
    <cellStyle name="_02-02-P007 온양반도체_2006년 경영계획(안)_2007년판매계획(영업안)_영업2차확정안_20061103_2007년도 경영계획" xfId="87"/>
    <cellStyle name="_02-02-P007 온양반도체_2006년 경영계획(안)_2007년판매계획(영업안)_영업2차확정안_20061103_2007년도 경영계획_GI 수정안" xfId="88"/>
    <cellStyle name="_02-02-P007 온양반도체_2006년 경영계획(안)_5월 경영실적" xfId="1295"/>
    <cellStyle name="_02-02-P007 온양반도체_2006년 경영계획(안)_6월 경영실적" xfId="1296"/>
    <cellStyle name="_02-02-P007 온양반도체_2006년 경영계획(안)_7월 경영실적" xfId="1297"/>
    <cellStyle name="_02-02-P007 온양반도체_2006년 경영계획(안)_7월 경영실적_9월 경영실적" xfId="1298"/>
    <cellStyle name="_02-02-P007 온양반도체_2006년 경영계획(안)_7월 경영실적_9월 경영실적_12" xfId="1299"/>
    <cellStyle name="_02-02-P007 온양반도체_2006년 경영계획(안)_7월 경영실적_9월 경영실적_5월 경영실적" xfId="1300"/>
    <cellStyle name="_02-02-P007 온양반도체_2006년 경영계획(안)_7월 경영실적_9월 경영실적_6월 경영실적" xfId="1301"/>
    <cellStyle name="_02-02-P007 온양반도체_2006년 경영계획(안)_7월 경영실적_9월 경영실적_7월 경영실적" xfId="1302"/>
    <cellStyle name="_02-02-P007 온양반도체_2006년 경영계획(안)_7월 경영실적_9월 경영실적_GI매원" xfId="1303"/>
    <cellStyle name="_02-02-P007 온양반도체_2006년 경영계획(안)_7월 경영실적_9월 경영실적_Sheet1" xfId="1304"/>
    <cellStyle name="_02-02-P007 온양반도체_2006년 경영계획(안)_7월 경영실적_9월 경영실적_칼라매원" xfId="1305"/>
    <cellStyle name="_02-02-P007 온양반도체_2006년 경영계획(안)_GI매원" xfId="1306"/>
    <cellStyle name="_02-02-P007 온양반도체_2006년 경영계획(안)_Sheet1" xfId="1307"/>
    <cellStyle name="_02-02-P007 온양반도체_2006년 경영계획(안)_칼라매원" xfId="1308"/>
    <cellStyle name="_02-02-P007 온양반도체_2006년실적" xfId="89"/>
    <cellStyle name="_02-02-P007 온양반도체_2006년실적_2007년도 경영계획" xfId="90"/>
    <cellStyle name="_02-02-P007 온양반도체_2006년실적_2007년도 경영계획_GI 수정안" xfId="91"/>
    <cellStyle name="_02-02-P007 온양반도체_2007년 판매계획(GI)" xfId="92"/>
    <cellStyle name="_02-02-P007 온양반도체_2007년 판매계획(GI)_2007년도 경영계획" xfId="93"/>
    <cellStyle name="_02-02-P007 온양반도체_2007년 판매계획(GI)_2007년도 경영계획_GI 수정안" xfId="94"/>
    <cellStyle name="_02-02-P007 온양반도체_2007년판매계획(영업안)_영업2차확정안_20061103" xfId="95"/>
    <cellStyle name="_02-02-P007 온양반도체_2007년판매계획(영업안)_영업2차확정안_20061103_2007년도 경영계획" xfId="96"/>
    <cellStyle name="_02-02-P007 온양반도체_2007년판매계획(영업안)_영업2차확정안_20061103_2007년도 경영계획_GI 수정안" xfId="97"/>
    <cellStyle name="_02-02-P007 온양반도체_2008년 도급비 지급현황" xfId="4426"/>
    <cellStyle name="_02-02-P007 온양반도체_2008년 도급비 지급현황_2008년 도급비 지급현황" xfId="4421"/>
    <cellStyle name="_02-02-P007 온양반도체_2008년 도급비 지급현황_2008년 도급비 지급현황_2008년 도급비 지급현황" xfId="4416"/>
    <cellStyle name="_02-02-P007 온양반도체_2008년 도급비 지급현황_2008년 도급비 지급현황_2008년 도급비 지급현황_2009년 도급비 지급현황" xfId="4411"/>
    <cellStyle name="_02-02-P007 온양반도체_2008년 도급비 지급현황_2009년 도급비 지급현황" xfId="4406"/>
    <cellStyle name="_02-02-P007 온양반도체_5월 경영실적" xfId="1309"/>
    <cellStyle name="_02-02-P007 온양반도체_6월 경영실적" xfId="1310"/>
    <cellStyle name="_02-02-P007 온양반도체_7월 경영실적" xfId="1311"/>
    <cellStyle name="_02-02-P007 온양반도체_7월 경영실적_9월 경영실적" xfId="1312"/>
    <cellStyle name="_02-02-P007 온양반도체_7월 경영실적_9월 경영실적_12" xfId="1313"/>
    <cellStyle name="_02-02-P007 온양반도체_7월 경영실적_9월 경영실적_5월 경영실적" xfId="1314"/>
    <cellStyle name="_02-02-P007 온양반도체_7월 경영실적_9월 경영실적_6월 경영실적" xfId="1315"/>
    <cellStyle name="_02-02-P007 온양반도체_7월 경영실적_9월 경영실적_7월 경영실적" xfId="1316"/>
    <cellStyle name="_02-02-P007 온양반도체_7월 경영실적_9월 경영실적_GI매원" xfId="1317"/>
    <cellStyle name="_02-02-P007 온양반도체_7월 경영실적_9월 경영실적_Sheet1" xfId="1318"/>
    <cellStyle name="_02-02-P007 온양반도체_7월 경영실적_9월 경영실적_칼라매원" xfId="1319"/>
    <cellStyle name="_02-02-P007 온양반도체_GI매원" xfId="1320"/>
    <cellStyle name="_02-02-P007 온양반도체_Sheet1" xfId="1321"/>
    <cellStyle name="_02-02-P007 온양반도체_칼라매원" xfId="1322"/>
    <cellStyle name="_02-03-P006 삼성전자2단지공사" xfId="98"/>
    <cellStyle name="_02-03-P006 삼성전자2단지공사_06년판매계획(최종)" xfId="99"/>
    <cellStyle name="_02-03-P006 삼성전자2단지공사_06년판매계획(최종)_12" xfId="1323"/>
    <cellStyle name="_02-03-P006 삼성전자2단지공사_06년판매계획(최종)_2006년실적" xfId="100"/>
    <cellStyle name="_02-03-P006 삼성전자2단지공사_06년판매계획(최종)_2006년실적_2007년도 경영계획" xfId="101"/>
    <cellStyle name="_02-03-P006 삼성전자2단지공사_06년판매계획(최종)_2006년실적_2007년도 경영계획_GI 수정안" xfId="102"/>
    <cellStyle name="_02-03-P006 삼성전자2단지공사_06년판매계획(최종)_2007년 판매계획(GI)" xfId="103"/>
    <cellStyle name="_02-03-P006 삼성전자2단지공사_06년판매계획(최종)_2007년 판매계획(GI)_2007년도 경영계획" xfId="104"/>
    <cellStyle name="_02-03-P006 삼성전자2단지공사_06년판매계획(최종)_2007년 판매계획(GI)_2007년도 경영계획_GI 수정안" xfId="105"/>
    <cellStyle name="_02-03-P006 삼성전자2단지공사_06년판매계획(최종)_2007년판매계획(영업안)_영업2차확정안_20061103" xfId="106"/>
    <cellStyle name="_02-03-P006 삼성전자2단지공사_06년판매계획(최종)_2007년판매계획(영업안)_영업2차확정안_20061103_2007년도 경영계획" xfId="107"/>
    <cellStyle name="_02-03-P006 삼성전자2단지공사_06년판매계획(최종)_2007년판매계획(영업안)_영업2차확정안_20061103_2007년도 경영계획_GI 수정안" xfId="108"/>
    <cellStyle name="_02-03-P006 삼성전자2단지공사_06년판매계획(최종)_5월 경영실적" xfId="1324"/>
    <cellStyle name="_02-03-P006 삼성전자2단지공사_06년판매계획(최종)_6월 경영실적" xfId="1325"/>
    <cellStyle name="_02-03-P006 삼성전자2단지공사_06년판매계획(최종)_7월 경영실적" xfId="1326"/>
    <cellStyle name="_02-03-P006 삼성전자2단지공사_06년판매계획(최종)_7월 경영실적_9월 경영실적" xfId="1327"/>
    <cellStyle name="_02-03-P006 삼성전자2단지공사_06년판매계획(최종)_7월 경영실적_9월 경영실적_12" xfId="1328"/>
    <cellStyle name="_02-03-P006 삼성전자2단지공사_06년판매계획(최종)_7월 경영실적_9월 경영실적_5월 경영실적" xfId="1329"/>
    <cellStyle name="_02-03-P006 삼성전자2단지공사_06년판매계획(최종)_7월 경영실적_9월 경영실적_6월 경영실적" xfId="1330"/>
    <cellStyle name="_02-03-P006 삼성전자2단지공사_06년판매계획(최종)_7월 경영실적_9월 경영실적_7월 경영실적" xfId="1331"/>
    <cellStyle name="_02-03-P006 삼성전자2단지공사_06년판매계획(최종)_7월 경영실적_9월 경영실적_GI매원" xfId="1332"/>
    <cellStyle name="_02-03-P006 삼성전자2단지공사_06년판매계획(최종)_7월 경영실적_9월 경영실적_Sheet1" xfId="1333"/>
    <cellStyle name="_02-03-P006 삼성전자2단지공사_06년판매계획(최종)_7월 경영실적_9월 경영실적_칼라매원" xfId="1334"/>
    <cellStyle name="_02-03-P006 삼성전자2단지공사_06년판매계획(최종)_GI매원" xfId="1335"/>
    <cellStyle name="_02-03-P006 삼성전자2단지공사_06년판매계획(최종)_Sheet1" xfId="1336"/>
    <cellStyle name="_02-03-P006 삼성전자2단지공사_06년판매계획(최종)_칼라매원" xfId="1337"/>
    <cellStyle name="_02-03-P006 삼성전자2단지공사_12" xfId="1338"/>
    <cellStyle name="_02-03-P006 삼성전자2단지공사_2006년 경영계획(1안)" xfId="109"/>
    <cellStyle name="_02-03-P006 삼성전자2단지공사_2006년 경영계획(1안)_12" xfId="1339"/>
    <cellStyle name="_02-03-P006 삼성전자2단지공사_2006년 경영계획(1안)_2006년실적" xfId="110"/>
    <cellStyle name="_02-03-P006 삼성전자2단지공사_2006년 경영계획(1안)_2006년실적_2007년도 경영계획" xfId="111"/>
    <cellStyle name="_02-03-P006 삼성전자2단지공사_2006년 경영계획(1안)_2006년실적_2007년도 경영계획_GI 수정안" xfId="112"/>
    <cellStyle name="_02-03-P006 삼성전자2단지공사_2006년 경영계획(1안)_2007년 판매계획(GI)" xfId="113"/>
    <cellStyle name="_02-03-P006 삼성전자2단지공사_2006년 경영계획(1안)_2007년 판매계획(GI)_2007년도 경영계획" xfId="114"/>
    <cellStyle name="_02-03-P006 삼성전자2단지공사_2006년 경영계획(1안)_2007년 판매계획(GI)_2007년도 경영계획_GI 수정안" xfId="115"/>
    <cellStyle name="_02-03-P006 삼성전자2단지공사_2006년 경영계획(1안)_2007년판매계획(영업안)_영업2차확정안_20061103" xfId="116"/>
    <cellStyle name="_02-03-P006 삼성전자2단지공사_2006년 경영계획(1안)_2007년판매계획(영업안)_영업2차확정안_20061103_2007년도 경영계획" xfId="117"/>
    <cellStyle name="_02-03-P006 삼성전자2단지공사_2006년 경영계획(1안)_2007년판매계획(영업안)_영업2차확정안_20061103_2007년도 경영계획_GI 수정안" xfId="118"/>
    <cellStyle name="_02-03-P006 삼성전자2단지공사_2006년 경영계획(1안)_5월 경영실적" xfId="1340"/>
    <cellStyle name="_02-03-P006 삼성전자2단지공사_2006년 경영계획(1안)_6월 경영실적" xfId="1341"/>
    <cellStyle name="_02-03-P006 삼성전자2단지공사_2006년 경영계획(1안)_7월 경영실적" xfId="1342"/>
    <cellStyle name="_02-03-P006 삼성전자2단지공사_2006년 경영계획(1안)_7월 경영실적_9월 경영실적" xfId="1343"/>
    <cellStyle name="_02-03-P006 삼성전자2단지공사_2006년 경영계획(1안)_7월 경영실적_9월 경영실적_12" xfId="1344"/>
    <cellStyle name="_02-03-P006 삼성전자2단지공사_2006년 경영계획(1안)_7월 경영실적_9월 경영실적_5월 경영실적" xfId="1345"/>
    <cellStyle name="_02-03-P006 삼성전자2단지공사_2006년 경영계획(1안)_7월 경영실적_9월 경영실적_6월 경영실적" xfId="1346"/>
    <cellStyle name="_02-03-P006 삼성전자2단지공사_2006년 경영계획(1안)_7월 경영실적_9월 경영실적_7월 경영실적" xfId="1347"/>
    <cellStyle name="_02-03-P006 삼성전자2단지공사_2006년 경영계획(1안)_7월 경영실적_9월 경영실적_GI매원" xfId="1348"/>
    <cellStyle name="_02-03-P006 삼성전자2단지공사_2006년 경영계획(1안)_7월 경영실적_9월 경영실적_Sheet1" xfId="1349"/>
    <cellStyle name="_02-03-P006 삼성전자2단지공사_2006년 경영계획(1안)_7월 경영실적_9월 경영실적_칼라매원" xfId="1350"/>
    <cellStyle name="_02-03-P006 삼성전자2단지공사_2006년 경영계획(1안)_GI매원" xfId="1351"/>
    <cellStyle name="_02-03-P006 삼성전자2단지공사_2006년 경영계획(1안)_Sheet1" xfId="1352"/>
    <cellStyle name="_02-03-P006 삼성전자2단지공사_2006년 경영계획(1안)_칼라매원" xfId="1353"/>
    <cellStyle name="_02-03-P006 삼성전자2단지공사_2006년 경영계획(안)" xfId="119"/>
    <cellStyle name="_02-03-P006 삼성전자2단지공사_2006년 경영계획(안)_12" xfId="1354"/>
    <cellStyle name="_02-03-P006 삼성전자2단지공사_2006년 경영계획(안)_2006년실적" xfId="120"/>
    <cellStyle name="_02-03-P006 삼성전자2단지공사_2006년 경영계획(안)_2006년실적_2007년도 경영계획" xfId="121"/>
    <cellStyle name="_02-03-P006 삼성전자2단지공사_2006년 경영계획(안)_2006년실적_2007년도 경영계획_GI 수정안" xfId="122"/>
    <cellStyle name="_02-03-P006 삼성전자2단지공사_2006년 경영계획(안)_2007년 판매계획(GI)" xfId="123"/>
    <cellStyle name="_02-03-P006 삼성전자2단지공사_2006년 경영계획(안)_2007년 판매계획(GI)_2007년도 경영계획" xfId="124"/>
    <cellStyle name="_02-03-P006 삼성전자2단지공사_2006년 경영계획(안)_2007년 판매계획(GI)_2007년도 경영계획_GI 수정안" xfId="125"/>
    <cellStyle name="_02-03-P006 삼성전자2단지공사_2006년 경영계획(안)_2007년판매계획(영업안)_영업2차확정안_20061103" xfId="126"/>
    <cellStyle name="_02-03-P006 삼성전자2단지공사_2006년 경영계획(안)_2007년판매계획(영업안)_영업2차확정안_20061103_2007년도 경영계획" xfId="127"/>
    <cellStyle name="_02-03-P006 삼성전자2단지공사_2006년 경영계획(안)_2007년판매계획(영업안)_영업2차확정안_20061103_2007년도 경영계획_GI 수정안" xfId="128"/>
    <cellStyle name="_02-03-P006 삼성전자2단지공사_2006년 경영계획(안)_5월 경영실적" xfId="1355"/>
    <cellStyle name="_02-03-P006 삼성전자2단지공사_2006년 경영계획(안)_6월 경영실적" xfId="1356"/>
    <cellStyle name="_02-03-P006 삼성전자2단지공사_2006년 경영계획(안)_7월 경영실적" xfId="1357"/>
    <cellStyle name="_02-03-P006 삼성전자2단지공사_2006년 경영계획(안)_7월 경영실적_9월 경영실적" xfId="1358"/>
    <cellStyle name="_02-03-P006 삼성전자2단지공사_2006년 경영계획(안)_7월 경영실적_9월 경영실적_12" xfId="1359"/>
    <cellStyle name="_02-03-P006 삼성전자2단지공사_2006년 경영계획(안)_7월 경영실적_9월 경영실적_5월 경영실적" xfId="1360"/>
    <cellStyle name="_02-03-P006 삼성전자2단지공사_2006년 경영계획(안)_7월 경영실적_9월 경영실적_6월 경영실적" xfId="1361"/>
    <cellStyle name="_02-03-P006 삼성전자2단지공사_2006년 경영계획(안)_7월 경영실적_9월 경영실적_7월 경영실적" xfId="1362"/>
    <cellStyle name="_02-03-P006 삼성전자2단지공사_2006년 경영계획(안)_7월 경영실적_9월 경영실적_GI매원" xfId="1363"/>
    <cellStyle name="_02-03-P006 삼성전자2단지공사_2006년 경영계획(안)_7월 경영실적_9월 경영실적_Sheet1" xfId="1364"/>
    <cellStyle name="_02-03-P006 삼성전자2단지공사_2006년 경영계획(안)_7월 경영실적_9월 경영실적_칼라매원" xfId="1365"/>
    <cellStyle name="_02-03-P006 삼성전자2단지공사_2006년 경영계획(안)_GI매원" xfId="1366"/>
    <cellStyle name="_02-03-P006 삼성전자2단지공사_2006년 경영계획(안)_Sheet1" xfId="1367"/>
    <cellStyle name="_02-03-P006 삼성전자2단지공사_2006년 경영계획(안)_칼라매원" xfId="1368"/>
    <cellStyle name="_02-03-P006 삼성전자2단지공사_2006년실적" xfId="129"/>
    <cellStyle name="_02-03-P006 삼성전자2단지공사_2006년실적_2007년도 경영계획" xfId="130"/>
    <cellStyle name="_02-03-P006 삼성전자2단지공사_2006년실적_2007년도 경영계획_GI 수정안" xfId="131"/>
    <cellStyle name="_02-03-P006 삼성전자2단지공사_2007년 판매계획(GI)" xfId="132"/>
    <cellStyle name="_02-03-P006 삼성전자2단지공사_2007년 판매계획(GI)_2007년도 경영계획" xfId="133"/>
    <cellStyle name="_02-03-P006 삼성전자2단지공사_2007년 판매계획(GI)_2007년도 경영계획_GI 수정안" xfId="134"/>
    <cellStyle name="_02-03-P006 삼성전자2단지공사_2007년판매계획(영업안)_영업2차확정안_20061103" xfId="135"/>
    <cellStyle name="_02-03-P006 삼성전자2단지공사_2007년판매계획(영업안)_영업2차확정안_20061103_2007년도 경영계획" xfId="136"/>
    <cellStyle name="_02-03-P006 삼성전자2단지공사_2007년판매계획(영업안)_영업2차확정안_20061103_2007년도 경영계획_GI 수정안" xfId="137"/>
    <cellStyle name="_02-03-P006 삼성전자2단지공사_2008년 도급비 지급현황" xfId="4389"/>
    <cellStyle name="_02-03-P006 삼성전자2단지공사_2008년 도급비 지급현황_2008년 도급비 지급현황" xfId="4387"/>
    <cellStyle name="_02-03-P006 삼성전자2단지공사_2008년 도급비 지급현황_2008년 도급비 지급현황_2008년 도급비 지급현황" xfId="4382"/>
    <cellStyle name="_02-03-P006 삼성전자2단지공사_2008년 도급비 지급현황_2008년 도급비 지급현황_2008년 도급비 지급현황_2009년 도급비 지급현황" xfId="4377"/>
    <cellStyle name="_02-03-P006 삼성전자2단지공사_2008년 도급비 지급현황_2009년 도급비 지급현황" xfId="4372"/>
    <cellStyle name="_02-03-P006 삼성전자2단지공사_5월 경영실적" xfId="1369"/>
    <cellStyle name="_02-03-P006 삼성전자2단지공사_6월 경영실적" xfId="1370"/>
    <cellStyle name="_02-03-P006 삼성전자2단지공사_7월 경영실적" xfId="1371"/>
    <cellStyle name="_02-03-P006 삼성전자2단지공사_7월 경영실적_9월 경영실적" xfId="1372"/>
    <cellStyle name="_02-03-P006 삼성전자2단지공사_7월 경영실적_9월 경영실적_12" xfId="1373"/>
    <cellStyle name="_02-03-P006 삼성전자2단지공사_7월 경영실적_9월 경영실적_5월 경영실적" xfId="1374"/>
    <cellStyle name="_02-03-P006 삼성전자2단지공사_7월 경영실적_9월 경영실적_6월 경영실적" xfId="1375"/>
    <cellStyle name="_02-03-P006 삼성전자2단지공사_7월 경영실적_9월 경영실적_7월 경영실적" xfId="1376"/>
    <cellStyle name="_02-03-P006 삼성전자2단지공사_7월 경영실적_9월 경영실적_GI매원" xfId="1377"/>
    <cellStyle name="_02-03-P006 삼성전자2단지공사_7월 경영실적_9월 경영실적_Sheet1" xfId="1378"/>
    <cellStyle name="_02-03-P006 삼성전자2단지공사_7월 경영실적_9월 경영실적_칼라매원" xfId="1379"/>
    <cellStyle name="_02-03-P006 삼성전자2단지공사_GI매원" xfId="1380"/>
    <cellStyle name="_02-03-P006 삼성전자2단지공사_Sheet1" xfId="1381"/>
    <cellStyle name="_02-03-P006 삼성전자2단지공사_칼라매원" xfId="1382"/>
    <cellStyle name="_02-03-P007 아산페기물매립장" xfId="138"/>
    <cellStyle name="_02-03-P011-01 삼성전자2단지 폐수처리시설공사" xfId="139"/>
    <cellStyle name="_02-11-P002 서초 오피스텔신축전기공사" xfId="140"/>
    <cellStyle name="_02-11-P002 서초 오피스텔신축전기공사_06년판매계획(최종)" xfId="141"/>
    <cellStyle name="_02-11-P002 서초 오피스텔신축전기공사_06년판매계획(최종)_12" xfId="1383"/>
    <cellStyle name="_02-11-P002 서초 오피스텔신축전기공사_06년판매계획(최종)_2006년실적" xfId="142"/>
    <cellStyle name="_02-11-P002 서초 오피스텔신축전기공사_06년판매계획(최종)_2006년실적_2007년도 경영계획" xfId="143"/>
    <cellStyle name="_02-11-P002 서초 오피스텔신축전기공사_06년판매계획(최종)_2006년실적_2007년도 경영계획_GI 수정안" xfId="144"/>
    <cellStyle name="_02-11-P002 서초 오피스텔신축전기공사_06년판매계획(최종)_2007년 판매계획(GI)" xfId="145"/>
    <cellStyle name="_02-11-P002 서초 오피스텔신축전기공사_06년판매계획(최종)_2007년 판매계획(GI)_2007년도 경영계획" xfId="146"/>
    <cellStyle name="_02-11-P002 서초 오피스텔신축전기공사_06년판매계획(최종)_2007년 판매계획(GI)_2007년도 경영계획_GI 수정안" xfId="147"/>
    <cellStyle name="_02-11-P002 서초 오피스텔신축전기공사_06년판매계획(최종)_2007년판매계획(영업안)_영업2차확정안_20061103" xfId="148"/>
    <cellStyle name="_02-11-P002 서초 오피스텔신축전기공사_06년판매계획(최종)_2007년판매계획(영업안)_영업2차확정안_20061103_2007년도 경영계획" xfId="149"/>
    <cellStyle name="_02-11-P002 서초 오피스텔신축전기공사_06년판매계획(최종)_2007년판매계획(영업안)_영업2차확정안_20061103_2007년도 경영계획_GI 수정안" xfId="150"/>
    <cellStyle name="_02-11-P002 서초 오피스텔신축전기공사_06년판매계획(최종)_5월 경영실적" xfId="1384"/>
    <cellStyle name="_02-11-P002 서초 오피스텔신축전기공사_06년판매계획(최종)_6월 경영실적" xfId="1385"/>
    <cellStyle name="_02-11-P002 서초 오피스텔신축전기공사_06년판매계획(최종)_7월 경영실적" xfId="1386"/>
    <cellStyle name="_02-11-P002 서초 오피스텔신축전기공사_06년판매계획(최종)_7월 경영실적_9월 경영실적" xfId="1387"/>
    <cellStyle name="_02-11-P002 서초 오피스텔신축전기공사_06년판매계획(최종)_7월 경영실적_9월 경영실적_12" xfId="1388"/>
    <cellStyle name="_02-11-P002 서초 오피스텔신축전기공사_06년판매계획(최종)_7월 경영실적_9월 경영실적_5월 경영실적" xfId="1389"/>
    <cellStyle name="_02-11-P002 서초 오피스텔신축전기공사_06년판매계획(최종)_7월 경영실적_9월 경영실적_6월 경영실적" xfId="1390"/>
    <cellStyle name="_02-11-P002 서초 오피스텔신축전기공사_06년판매계획(최종)_7월 경영실적_9월 경영실적_7월 경영실적" xfId="1391"/>
    <cellStyle name="_02-11-P002 서초 오피스텔신축전기공사_06년판매계획(최종)_7월 경영실적_9월 경영실적_GI매원" xfId="1392"/>
    <cellStyle name="_02-11-P002 서초 오피스텔신축전기공사_06년판매계획(최종)_7월 경영실적_9월 경영실적_Sheet1" xfId="1393"/>
    <cellStyle name="_02-11-P002 서초 오피스텔신축전기공사_06년판매계획(최종)_7월 경영실적_9월 경영실적_칼라매원" xfId="1394"/>
    <cellStyle name="_02-11-P002 서초 오피스텔신축전기공사_06년판매계획(최종)_GI매원" xfId="1395"/>
    <cellStyle name="_02-11-P002 서초 오피스텔신축전기공사_06년판매계획(최종)_Sheet1" xfId="1396"/>
    <cellStyle name="_02-11-P002 서초 오피스텔신축전기공사_06년판매계획(최종)_칼라매원" xfId="1397"/>
    <cellStyle name="_02-11-P002 서초 오피스텔신축전기공사_12" xfId="1398"/>
    <cellStyle name="_02-11-P002 서초 오피스텔신축전기공사_2006년 경영계획(1안)" xfId="151"/>
    <cellStyle name="_02-11-P002 서초 오피스텔신축전기공사_2006년 경영계획(1안)_12" xfId="1399"/>
    <cellStyle name="_02-11-P002 서초 오피스텔신축전기공사_2006년 경영계획(1안)_2006년실적" xfId="152"/>
    <cellStyle name="_02-11-P002 서초 오피스텔신축전기공사_2006년 경영계획(1안)_2006년실적_2007년도 경영계획" xfId="153"/>
    <cellStyle name="_02-11-P002 서초 오피스텔신축전기공사_2006년 경영계획(1안)_2006년실적_2007년도 경영계획_GI 수정안" xfId="154"/>
    <cellStyle name="_02-11-P002 서초 오피스텔신축전기공사_2006년 경영계획(1안)_2007년 판매계획(GI)" xfId="155"/>
    <cellStyle name="_02-11-P002 서초 오피스텔신축전기공사_2006년 경영계획(1안)_2007년 판매계획(GI)_2007년도 경영계획" xfId="156"/>
    <cellStyle name="_02-11-P002 서초 오피스텔신축전기공사_2006년 경영계획(1안)_2007년 판매계획(GI)_2007년도 경영계획_GI 수정안" xfId="157"/>
    <cellStyle name="_02-11-P002 서초 오피스텔신축전기공사_2006년 경영계획(1안)_2007년판매계획(영업안)_영업2차확정안_20061103" xfId="158"/>
    <cellStyle name="_02-11-P002 서초 오피스텔신축전기공사_2006년 경영계획(1안)_2007년판매계획(영업안)_영업2차확정안_20061103_2007년도 경영계획" xfId="159"/>
    <cellStyle name="_02-11-P002 서초 오피스텔신축전기공사_2006년 경영계획(1안)_2007년판매계획(영업안)_영업2차확정안_20061103_2007년도 경영계획_GI 수정안" xfId="160"/>
    <cellStyle name="_02-11-P002 서초 오피스텔신축전기공사_2006년 경영계획(1안)_5월 경영실적" xfId="1400"/>
    <cellStyle name="_02-11-P002 서초 오피스텔신축전기공사_2006년 경영계획(1안)_6월 경영실적" xfId="1401"/>
    <cellStyle name="_02-11-P002 서초 오피스텔신축전기공사_2006년 경영계획(1안)_7월 경영실적" xfId="1402"/>
    <cellStyle name="_02-11-P002 서초 오피스텔신축전기공사_2006년 경영계획(1안)_7월 경영실적_9월 경영실적" xfId="1403"/>
    <cellStyle name="_02-11-P002 서초 오피스텔신축전기공사_2006년 경영계획(1안)_7월 경영실적_9월 경영실적_12" xfId="1404"/>
    <cellStyle name="_02-11-P002 서초 오피스텔신축전기공사_2006년 경영계획(1안)_7월 경영실적_9월 경영실적_5월 경영실적" xfId="1405"/>
    <cellStyle name="_02-11-P002 서초 오피스텔신축전기공사_2006년 경영계획(1안)_7월 경영실적_9월 경영실적_6월 경영실적" xfId="1406"/>
    <cellStyle name="_02-11-P002 서초 오피스텔신축전기공사_2006년 경영계획(1안)_7월 경영실적_9월 경영실적_7월 경영실적" xfId="1407"/>
    <cellStyle name="_02-11-P002 서초 오피스텔신축전기공사_2006년 경영계획(1안)_7월 경영실적_9월 경영실적_GI매원" xfId="1408"/>
    <cellStyle name="_02-11-P002 서초 오피스텔신축전기공사_2006년 경영계획(1안)_7월 경영실적_9월 경영실적_Sheet1" xfId="1409"/>
    <cellStyle name="_02-11-P002 서초 오피스텔신축전기공사_2006년 경영계획(1안)_7월 경영실적_9월 경영실적_칼라매원" xfId="1410"/>
    <cellStyle name="_02-11-P002 서초 오피스텔신축전기공사_2006년 경영계획(1안)_GI매원" xfId="1411"/>
    <cellStyle name="_02-11-P002 서초 오피스텔신축전기공사_2006년 경영계획(1안)_Sheet1" xfId="1412"/>
    <cellStyle name="_02-11-P002 서초 오피스텔신축전기공사_2006년 경영계획(1안)_칼라매원" xfId="1413"/>
    <cellStyle name="_02-11-P002 서초 오피스텔신축전기공사_2006년 경영계획(안)" xfId="161"/>
    <cellStyle name="_02-11-P002 서초 오피스텔신축전기공사_2006년 경영계획(안)_12" xfId="1414"/>
    <cellStyle name="_02-11-P002 서초 오피스텔신축전기공사_2006년 경영계획(안)_2006년실적" xfId="162"/>
    <cellStyle name="_02-11-P002 서초 오피스텔신축전기공사_2006년 경영계획(안)_2006년실적_2007년도 경영계획" xfId="163"/>
    <cellStyle name="_02-11-P002 서초 오피스텔신축전기공사_2006년 경영계획(안)_2006년실적_2007년도 경영계획_GI 수정안" xfId="164"/>
    <cellStyle name="_02-11-P002 서초 오피스텔신축전기공사_2006년 경영계획(안)_2007년 판매계획(GI)" xfId="165"/>
    <cellStyle name="_02-11-P002 서초 오피스텔신축전기공사_2006년 경영계획(안)_2007년 판매계획(GI)_2007년도 경영계획" xfId="166"/>
    <cellStyle name="_02-11-P002 서초 오피스텔신축전기공사_2006년 경영계획(안)_2007년 판매계획(GI)_2007년도 경영계획_GI 수정안" xfId="167"/>
    <cellStyle name="_02-11-P002 서초 오피스텔신축전기공사_2006년 경영계획(안)_2007년판매계획(영업안)_영업2차확정안_20061103" xfId="168"/>
    <cellStyle name="_02-11-P002 서초 오피스텔신축전기공사_2006년 경영계획(안)_2007년판매계획(영업안)_영업2차확정안_20061103_2007년도 경영계획" xfId="169"/>
    <cellStyle name="_02-11-P002 서초 오피스텔신축전기공사_2006년 경영계획(안)_2007년판매계획(영업안)_영업2차확정안_20061103_2007년도 경영계획_GI 수정안" xfId="170"/>
    <cellStyle name="_02-11-P002 서초 오피스텔신축전기공사_2006년 경영계획(안)_5월 경영실적" xfId="1415"/>
    <cellStyle name="_02-11-P002 서초 오피스텔신축전기공사_2006년 경영계획(안)_6월 경영실적" xfId="1416"/>
    <cellStyle name="_02-11-P002 서초 오피스텔신축전기공사_2006년 경영계획(안)_7월 경영실적" xfId="1417"/>
    <cellStyle name="_02-11-P002 서초 오피스텔신축전기공사_2006년 경영계획(안)_7월 경영실적_9월 경영실적" xfId="1418"/>
    <cellStyle name="_02-11-P002 서초 오피스텔신축전기공사_2006년 경영계획(안)_7월 경영실적_9월 경영실적_12" xfId="1419"/>
    <cellStyle name="_02-11-P002 서초 오피스텔신축전기공사_2006년 경영계획(안)_7월 경영실적_9월 경영실적_5월 경영실적" xfId="1420"/>
    <cellStyle name="_02-11-P002 서초 오피스텔신축전기공사_2006년 경영계획(안)_7월 경영실적_9월 경영실적_6월 경영실적" xfId="1421"/>
    <cellStyle name="_02-11-P002 서초 오피스텔신축전기공사_2006년 경영계획(안)_7월 경영실적_9월 경영실적_7월 경영실적" xfId="1422"/>
    <cellStyle name="_02-11-P002 서초 오피스텔신축전기공사_2006년 경영계획(안)_7월 경영실적_9월 경영실적_GI매원" xfId="1423"/>
    <cellStyle name="_02-11-P002 서초 오피스텔신축전기공사_2006년 경영계획(안)_7월 경영실적_9월 경영실적_Sheet1" xfId="1424"/>
    <cellStyle name="_02-11-P002 서초 오피스텔신축전기공사_2006년 경영계획(안)_7월 경영실적_9월 경영실적_칼라매원" xfId="1425"/>
    <cellStyle name="_02-11-P002 서초 오피스텔신축전기공사_2006년 경영계획(안)_GI매원" xfId="1426"/>
    <cellStyle name="_02-11-P002 서초 오피스텔신축전기공사_2006년 경영계획(안)_Sheet1" xfId="1427"/>
    <cellStyle name="_02-11-P002 서초 오피스텔신축전기공사_2006년 경영계획(안)_칼라매원" xfId="1428"/>
    <cellStyle name="_02-11-P002 서초 오피스텔신축전기공사_2006년실적" xfId="171"/>
    <cellStyle name="_02-11-P002 서초 오피스텔신축전기공사_2006년실적_2007년도 경영계획" xfId="172"/>
    <cellStyle name="_02-11-P002 서초 오피스텔신축전기공사_2006년실적_2007년도 경영계획_GI 수정안" xfId="173"/>
    <cellStyle name="_02-11-P002 서초 오피스텔신축전기공사_2007년 판매계획(GI)" xfId="174"/>
    <cellStyle name="_02-11-P002 서초 오피스텔신축전기공사_2007년 판매계획(GI)_2007년도 경영계획" xfId="175"/>
    <cellStyle name="_02-11-P002 서초 오피스텔신축전기공사_2007년 판매계획(GI)_2007년도 경영계획_GI 수정안" xfId="176"/>
    <cellStyle name="_02-11-P002 서초 오피스텔신축전기공사_2007년판매계획(영업안)_영업2차확정안_20061103" xfId="177"/>
    <cellStyle name="_02-11-P002 서초 오피스텔신축전기공사_2007년판매계획(영업안)_영업2차확정안_20061103_2007년도 경영계획" xfId="178"/>
    <cellStyle name="_02-11-P002 서초 오피스텔신축전기공사_2007년판매계획(영업안)_영업2차확정안_20061103_2007년도 경영계획_GI 수정안" xfId="179"/>
    <cellStyle name="_02-11-P002 서초 오피스텔신축전기공사_2008년 도급비 지급현황" xfId="4343"/>
    <cellStyle name="_02-11-P002 서초 오피스텔신축전기공사_2008년 도급비 지급현황_2008년 도급비 지급현황" xfId="4338"/>
    <cellStyle name="_02-11-P002 서초 오피스텔신축전기공사_2008년 도급비 지급현황_2008년 도급비 지급현황_2008년 도급비 지급현황" xfId="4333"/>
    <cellStyle name="_02-11-P002 서초 오피스텔신축전기공사_2008년 도급비 지급현황_2008년 도급비 지급현황_2008년 도급비 지급현황_2009년 도급비 지급현황" xfId="4328"/>
    <cellStyle name="_02-11-P002 서초 오피스텔신축전기공사_2008년 도급비 지급현황_2009년 도급비 지급현황" xfId="4323"/>
    <cellStyle name="_02-11-P002 서초 오피스텔신축전기공사_5월 경영실적" xfId="1429"/>
    <cellStyle name="_02-11-P002 서초 오피스텔신축전기공사_6월 경영실적" xfId="1430"/>
    <cellStyle name="_02-11-P002 서초 오피스텔신축전기공사_7월 경영실적" xfId="1431"/>
    <cellStyle name="_02-11-P002 서초 오피스텔신축전기공사_7월 경영실적_9월 경영실적" xfId="1432"/>
    <cellStyle name="_02-11-P002 서초 오피스텔신축전기공사_7월 경영실적_9월 경영실적_12" xfId="1433"/>
    <cellStyle name="_02-11-P002 서초 오피스텔신축전기공사_7월 경영실적_9월 경영실적_5월 경영실적" xfId="1434"/>
    <cellStyle name="_02-11-P002 서초 오피스텔신축전기공사_7월 경영실적_9월 경영실적_6월 경영실적" xfId="1435"/>
    <cellStyle name="_02-11-P002 서초 오피스텔신축전기공사_7월 경영실적_9월 경영실적_7월 경영실적" xfId="1436"/>
    <cellStyle name="_02-11-P002 서초 오피스텔신축전기공사_7월 경영실적_9월 경영실적_GI매원" xfId="1437"/>
    <cellStyle name="_02-11-P002 서초 오피스텔신축전기공사_7월 경영실적_9월 경영실적_Sheet1" xfId="1438"/>
    <cellStyle name="_02-11-P002 서초 오피스텔신축전기공사_7월 경영실적_9월 경영실적_칼라매원" xfId="1439"/>
    <cellStyle name="_02-11-P002 서초 오피스텔신축전기공사_GI매원" xfId="1440"/>
    <cellStyle name="_02-11-P002 서초 오피스텔신축전기공사_Sheet1" xfId="1441"/>
    <cellStyle name="_02-11-P002 서초 오피스텔신축전기공사_칼라매원" xfId="1442"/>
    <cellStyle name="_03-03-P003-01 수도권 전기계장내역서" xfId="180"/>
    <cellStyle name="_06년판매계획(최종)" xfId="181"/>
    <cellStyle name="_06년판매계획(최종)_12" xfId="1443"/>
    <cellStyle name="_06년판매계획(최종)_2006년실적" xfId="182"/>
    <cellStyle name="_06년판매계획(최종)_2006년실적_2007년도 경영계획" xfId="183"/>
    <cellStyle name="_06년판매계획(최종)_2006년실적_2007년도 경영계획_GI 수정안" xfId="184"/>
    <cellStyle name="_06년판매계획(최종)_2007년 판매계획(GI)" xfId="185"/>
    <cellStyle name="_06년판매계획(최종)_2007년 판매계획(GI)_2007년도 경영계획" xfId="186"/>
    <cellStyle name="_06년판매계획(최종)_2007년 판매계획(GI)_2007년도 경영계획_GI 수정안" xfId="187"/>
    <cellStyle name="_06년판매계획(최종)_2007년판매계획(영업안)_영업2차확정안_20061103" xfId="188"/>
    <cellStyle name="_06년판매계획(최종)_2007년판매계획(영업안)_영업2차확정안_20061103_2007년도 경영계획" xfId="189"/>
    <cellStyle name="_06년판매계획(최종)_2007년판매계획(영업안)_영업2차확정안_20061103_2007년도 경영계획_GI 수정안" xfId="190"/>
    <cellStyle name="_06년판매계획(최종)_5월 경영실적" xfId="1444"/>
    <cellStyle name="_06년판매계획(최종)_6월 경영실적" xfId="1445"/>
    <cellStyle name="_06년판매계획(최종)_7월 경영실적" xfId="1446"/>
    <cellStyle name="_06년판매계획(최종)_7월 경영실적_9월 경영실적" xfId="1447"/>
    <cellStyle name="_06년판매계획(최종)_7월 경영실적_9월 경영실적_12" xfId="1448"/>
    <cellStyle name="_06년판매계획(최종)_7월 경영실적_9월 경영실적_5월 경영실적" xfId="1449"/>
    <cellStyle name="_06년판매계획(최종)_7월 경영실적_9월 경영실적_6월 경영실적" xfId="1450"/>
    <cellStyle name="_06년판매계획(최종)_7월 경영실적_9월 경영실적_7월 경영실적" xfId="1451"/>
    <cellStyle name="_06년판매계획(최종)_7월 경영실적_9월 경영실적_GI매원" xfId="1452"/>
    <cellStyle name="_06년판매계획(최종)_7월 경영실적_9월 경영실적_Sheet1" xfId="1453"/>
    <cellStyle name="_06년판매계획(최종)_7월 경영실적_9월 경영실적_칼라매원" xfId="1454"/>
    <cellStyle name="_06년판매계획(최종)_GI매원" xfId="1455"/>
    <cellStyle name="_06년판매계획(최종)_Sheet1" xfId="1456"/>
    <cellStyle name="_06년판매계획(최종)_칼라매원" xfId="1457"/>
    <cellStyle name="_07-02-P008 서초화재신축공사" xfId="191"/>
    <cellStyle name="_07-02-P008 서초화재신축공사_06년판매계획(최종)" xfId="192"/>
    <cellStyle name="_07-02-P008 서초화재신축공사_06년판매계획(최종)_12" xfId="1458"/>
    <cellStyle name="_07-02-P008 서초화재신축공사_06년판매계획(최종)_2006년실적" xfId="193"/>
    <cellStyle name="_07-02-P008 서초화재신축공사_06년판매계획(최종)_2006년실적_2007년도 경영계획" xfId="194"/>
    <cellStyle name="_07-02-P008 서초화재신축공사_06년판매계획(최종)_2006년실적_2007년도 경영계획_GI 수정안" xfId="195"/>
    <cellStyle name="_07-02-P008 서초화재신축공사_06년판매계획(최종)_2007년 판매계획(GI)" xfId="196"/>
    <cellStyle name="_07-02-P008 서초화재신축공사_06년판매계획(최종)_2007년 판매계획(GI)_2007년도 경영계획" xfId="197"/>
    <cellStyle name="_07-02-P008 서초화재신축공사_06년판매계획(최종)_2007년 판매계획(GI)_2007년도 경영계획_GI 수정안" xfId="198"/>
    <cellStyle name="_07-02-P008 서초화재신축공사_06년판매계획(최종)_2007년판매계획(영업안)_영업2차확정안_20061103" xfId="199"/>
    <cellStyle name="_07-02-P008 서초화재신축공사_06년판매계획(최종)_2007년판매계획(영업안)_영업2차확정안_20061103_2007년도 경영계획" xfId="200"/>
    <cellStyle name="_07-02-P008 서초화재신축공사_06년판매계획(최종)_2007년판매계획(영업안)_영업2차확정안_20061103_2007년도 경영계획_GI 수정안" xfId="201"/>
    <cellStyle name="_07-02-P008 서초화재신축공사_06년판매계획(최종)_5월 경영실적" xfId="1459"/>
    <cellStyle name="_07-02-P008 서초화재신축공사_06년판매계획(최종)_6월 경영실적" xfId="1460"/>
    <cellStyle name="_07-02-P008 서초화재신축공사_06년판매계획(최종)_7월 경영실적" xfId="1461"/>
    <cellStyle name="_07-02-P008 서초화재신축공사_06년판매계획(최종)_7월 경영실적_9월 경영실적" xfId="1462"/>
    <cellStyle name="_07-02-P008 서초화재신축공사_06년판매계획(최종)_7월 경영실적_9월 경영실적_12" xfId="1463"/>
    <cellStyle name="_07-02-P008 서초화재신축공사_06년판매계획(최종)_7월 경영실적_9월 경영실적_5월 경영실적" xfId="1464"/>
    <cellStyle name="_07-02-P008 서초화재신축공사_06년판매계획(최종)_7월 경영실적_9월 경영실적_6월 경영실적" xfId="1465"/>
    <cellStyle name="_07-02-P008 서초화재신축공사_06년판매계획(최종)_7월 경영실적_9월 경영실적_7월 경영실적" xfId="1466"/>
    <cellStyle name="_07-02-P008 서초화재신축공사_06년판매계획(최종)_7월 경영실적_9월 경영실적_GI매원" xfId="1467"/>
    <cellStyle name="_07-02-P008 서초화재신축공사_06년판매계획(최종)_7월 경영실적_9월 경영실적_Sheet1" xfId="1468"/>
    <cellStyle name="_07-02-P008 서초화재신축공사_06년판매계획(최종)_7월 경영실적_9월 경영실적_칼라매원" xfId="1469"/>
    <cellStyle name="_07-02-P008 서초화재신축공사_06년판매계획(최종)_GI매원" xfId="1470"/>
    <cellStyle name="_07-02-P008 서초화재신축공사_06년판매계획(최종)_Sheet1" xfId="1471"/>
    <cellStyle name="_07-02-P008 서초화재신축공사_06년판매계획(최종)_칼라매원" xfId="1472"/>
    <cellStyle name="_07-02-P008 서초화재신축공사_12" xfId="1473"/>
    <cellStyle name="_07-02-P008 서초화재신축공사_2006년 경영계획(1안)" xfId="202"/>
    <cellStyle name="_07-02-P008 서초화재신축공사_2006년 경영계획(1안)_12" xfId="1474"/>
    <cellStyle name="_07-02-P008 서초화재신축공사_2006년 경영계획(1안)_2006년실적" xfId="203"/>
    <cellStyle name="_07-02-P008 서초화재신축공사_2006년 경영계획(1안)_2006년실적_2007년도 경영계획" xfId="204"/>
    <cellStyle name="_07-02-P008 서초화재신축공사_2006년 경영계획(1안)_2006년실적_2007년도 경영계획_GI 수정안" xfId="205"/>
    <cellStyle name="_07-02-P008 서초화재신축공사_2006년 경영계획(1안)_2007년 판매계획(GI)" xfId="206"/>
    <cellStyle name="_07-02-P008 서초화재신축공사_2006년 경영계획(1안)_2007년 판매계획(GI)_2007년도 경영계획" xfId="207"/>
    <cellStyle name="_07-02-P008 서초화재신축공사_2006년 경영계획(1안)_2007년 판매계획(GI)_2007년도 경영계획_GI 수정안" xfId="208"/>
    <cellStyle name="_07-02-P008 서초화재신축공사_2006년 경영계획(1안)_2007년판매계획(영업안)_영업2차확정안_20061103" xfId="209"/>
    <cellStyle name="_07-02-P008 서초화재신축공사_2006년 경영계획(1안)_2007년판매계획(영업안)_영업2차확정안_20061103_2007년도 경영계획" xfId="210"/>
    <cellStyle name="_07-02-P008 서초화재신축공사_2006년 경영계획(1안)_2007년판매계획(영업안)_영업2차확정안_20061103_2007년도 경영계획_GI 수정안" xfId="211"/>
    <cellStyle name="_07-02-P008 서초화재신축공사_2006년 경영계획(1안)_5월 경영실적" xfId="1475"/>
    <cellStyle name="_07-02-P008 서초화재신축공사_2006년 경영계획(1안)_6월 경영실적" xfId="1476"/>
    <cellStyle name="_07-02-P008 서초화재신축공사_2006년 경영계획(1안)_7월 경영실적" xfId="1477"/>
    <cellStyle name="_07-02-P008 서초화재신축공사_2006년 경영계획(1안)_7월 경영실적_9월 경영실적" xfId="1478"/>
    <cellStyle name="_07-02-P008 서초화재신축공사_2006년 경영계획(1안)_7월 경영실적_9월 경영실적_12" xfId="1479"/>
    <cellStyle name="_07-02-P008 서초화재신축공사_2006년 경영계획(1안)_7월 경영실적_9월 경영실적_5월 경영실적" xfId="1480"/>
    <cellStyle name="_07-02-P008 서초화재신축공사_2006년 경영계획(1안)_7월 경영실적_9월 경영실적_6월 경영실적" xfId="1481"/>
    <cellStyle name="_07-02-P008 서초화재신축공사_2006년 경영계획(1안)_7월 경영실적_9월 경영실적_7월 경영실적" xfId="1482"/>
    <cellStyle name="_07-02-P008 서초화재신축공사_2006년 경영계획(1안)_7월 경영실적_9월 경영실적_GI매원" xfId="1483"/>
    <cellStyle name="_07-02-P008 서초화재신축공사_2006년 경영계획(1안)_7월 경영실적_9월 경영실적_Sheet1" xfId="1484"/>
    <cellStyle name="_07-02-P008 서초화재신축공사_2006년 경영계획(1안)_7월 경영실적_9월 경영실적_칼라매원" xfId="1485"/>
    <cellStyle name="_07-02-P008 서초화재신축공사_2006년 경영계획(1안)_GI매원" xfId="1486"/>
    <cellStyle name="_07-02-P008 서초화재신축공사_2006년 경영계획(1안)_Sheet1" xfId="1487"/>
    <cellStyle name="_07-02-P008 서초화재신축공사_2006년 경영계획(1안)_칼라매원" xfId="1488"/>
    <cellStyle name="_07-02-P008 서초화재신축공사_2006년 경영계획(안)" xfId="212"/>
    <cellStyle name="_07-02-P008 서초화재신축공사_2006년 경영계획(안)_12" xfId="1489"/>
    <cellStyle name="_07-02-P008 서초화재신축공사_2006년 경영계획(안)_2006년실적" xfId="213"/>
    <cellStyle name="_07-02-P008 서초화재신축공사_2006년 경영계획(안)_2006년실적_2007년도 경영계획" xfId="214"/>
    <cellStyle name="_07-02-P008 서초화재신축공사_2006년 경영계획(안)_2006년실적_2007년도 경영계획_GI 수정안" xfId="215"/>
    <cellStyle name="_07-02-P008 서초화재신축공사_2006년 경영계획(안)_2007년 판매계획(GI)" xfId="216"/>
    <cellStyle name="_07-02-P008 서초화재신축공사_2006년 경영계획(안)_2007년 판매계획(GI)_2007년도 경영계획" xfId="217"/>
    <cellStyle name="_07-02-P008 서초화재신축공사_2006년 경영계획(안)_2007년 판매계획(GI)_2007년도 경영계획_GI 수정안" xfId="218"/>
    <cellStyle name="_07-02-P008 서초화재신축공사_2006년 경영계획(안)_2007년판매계획(영업안)_영업2차확정안_20061103" xfId="219"/>
    <cellStyle name="_07-02-P008 서초화재신축공사_2006년 경영계획(안)_2007년판매계획(영업안)_영업2차확정안_20061103_2007년도 경영계획" xfId="220"/>
    <cellStyle name="_07-02-P008 서초화재신축공사_2006년 경영계획(안)_2007년판매계획(영업안)_영업2차확정안_20061103_2007년도 경영계획_GI 수정안" xfId="221"/>
    <cellStyle name="_07-02-P008 서초화재신축공사_2006년 경영계획(안)_5월 경영실적" xfId="1490"/>
    <cellStyle name="_07-02-P008 서초화재신축공사_2006년 경영계획(안)_6월 경영실적" xfId="1491"/>
    <cellStyle name="_07-02-P008 서초화재신축공사_2006년 경영계획(안)_7월 경영실적" xfId="1492"/>
    <cellStyle name="_07-02-P008 서초화재신축공사_2006년 경영계획(안)_7월 경영실적_9월 경영실적" xfId="1493"/>
    <cellStyle name="_07-02-P008 서초화재신축공사_2006년 경영계획(안)_7월 경영실적_9월 경영실적_12" xfId="1494"/>
    <cellStyle name="_07-02-P008 서초화재신축공사_2006년 경영계획(안)_7월 경영실적_9월 경영실적_5월 경영실적" xfId="1495"/>
    <cellStyle name="_07-02-P008 서초화재신축공사_2006년 경영계획(안)_7월 경영실적_9월 경영실적_6월 경영실적" xfId="1496"/>
    <cellStyle name="_07-02-P008 서초화재신축공사_2006년 경영계획(안)_7월 경영실적_9월 경영실적_7월 경영실적" xfId="1497"/>
    <cellStyle name="_07-02-P008 서초화재신축공사_2006년 경영계획(안)_7월 경영실적_9월 경영실적_GI매원" xfId="1498"/>
    <cellStyle name="_07-02-P008 서초화재신축공사_2006년 경영계획(안)_7월 경영실적_9월 경영실적_Sheet1" xfId="1499"/>
    <cellStyle name="_07-02-P008 서초화재신축공사_2006년 경영계획(안)_7월 경영실적_9월 경영실적_칼라매원" xfId="1500"/>
    <cellStyle name="_07-02-P008 서초화재신축공사_2006년 경영계획(안)_GI매원" xfId="1501"/>
    <cellStyle name="_07-02-P008 서초화재신축공사_2006년 경영계획(안)_Sheet1" xfId="1502"/>
    <cellStyle name="_07-02-P008 서초화재신축공사_2006년 경영계획(안)_칼라매원" xfId="1503"/>
    <cellStyle name="_07-02-P008 서초화재신축공사_2006년실적" xfId="222"/>
    <cellStyle name="_07-02-P008 서초화재신축공사_2006년실적_2007년도 경영계획" xfId="223"/>
    <cellStyle name="_07-02-P008 서초화재신축공사_2006년실적_2007년도 경영계획_GI 수정안" xfId="224"/>
    <cellStyle name="_07-02-P008 서초화재신축공사_2007년 판매계획(GI)" xfId="225"/>
    <cellStyle name="_07-02-P008 서초화재신축공사_2007년 판매계획(GI)_2007년도 경영계획" xfId="226"/>
    <cellStyle name="_07-02-P008 서초화재신축공사_2007년 판매계획(GI)_2007년도 경영계획_GI 수정안" xfId="227"/>
    <cellStyle name="_07-02-P008 서초화재신축공사_2007년판매계획(영업안)_영업2차확정안_20061103" xfId="228"/>
    <cellStyle name="_07-02-P008 서초화재신축공사_2007년판매계획(영업안)_영업2차확정안_20061103_2007년도 경영계획" xfId="229"/>
    <cellStyle name="_07-02-P008 서초화재신축공사_2007년판매계획(영업안)_영업2차확정안_20061103_2007년도 경영계획_GI 수정안" xfId="230"/>
    <cellStyle name="_07-02-P008 서초화재신축공사_2008년 도급비 지급현황" xfId="4318"/>
    <cellStyle name="_07-02-P008 서초화재신축공사_2008년 도급비 지급현황_2008년 도급비 지급현황" xfId="4317"/>
    <cellStyle name="_07-02-P008 서초화재신축공사_2008년 도급비 지급현황_2008년 도급비 지급현황_2008년 도급비 지급현황" xfId="4316"/>
    <cellStyle name="_07-02-P008 서초화재신축공사_2008년 도급비 지급현황_2008년 도급비 지급현황_2008년 도급비 지급현황_2009년 도급비 지급현황" xfId="4315"/>
    <cellStyle name="_07-02-P008 서초화재신축공사_2008년 도급비 지급현황_2009년 도급비 지급현황" xfId="4314"/>
    <cellStyle name="_07-02-P008 서초화재신축공사_5월 경영실적" xfId="1504"/>
    <cellStyle name="_07-02-P008 서초화재신축공사_6월 경영실적" xfId="1505"/>
    <cellStyle name="_07-02-P008 서초화재신축공사_7월 경영실적" xfId="1506"/>
    <cellStyle name="_07-02-P008 서초화재신축공사_7월 경영실적_9월 경영실적" xfId="1507"/>
    <cellStyle name="_07-02-P008 서초화재신축공사_7월 경영실적_9월 경영실적_12" xfId="1508"/>
    <cellStyle name="_07-02-P008 서초화재신축공사_7월 경영실적_9월 경영실적_5월 경영실적" xfId="1509"/>
    <cellStyle name="_07-02-P008 서초화재신축공사_7월 경영실적_9월 경영실적_6월 경영실적" xfId="1510"/>
    <cellStyle name="_07-02-P008 서초화재신축공사_7월 경영실적_9월 경영실적_7월 경영실적" xfId="1511"/>
    <cellStyle name="_07-02-P008 서초화재신축공사_7월 경영실적_9월 경영실적_GI매원" xfId="1512"/>
    <cellStyle name="_07-02-P008 서초화재신축공사_7월 경영실적_9월 경영실적_Sheet1" xfId="1513"/>
    <cellStyle name="_07-02-P008 서초화재신축공사_7월 경영실적_9월 경영실적_칼라매원" xfId="1514"/>
    <cellStyle name="_07-02-P008 서초화재신축공사_GI매원" xfId="1515"/>
    <cellStyle name="_07-02-P008 서초화재신축공사_Sheet1" xfId="1516"/>
    <cellStyle name="_07-02-P008 서초화재신축공사_칼라매원" xfId="1517"/>
    <cellStyle name="_08년 판재사업본부예산_품의" xfId="4313"/>
    <cellStyle name="_09년판재예산집계표_LIM" xfId="4312"/>
    <cellStyle name="_12" xfId="1518"/>
    <cellStyle name="_2006년 경영계획(1안)" xfId="231"/>
    <cellStyle name="_2006년 경영계획(1안)_12" xfId="1519"/>
    <cellStyle name="_2006년 경영계획(1안)_2006년실적" xfId="232"/>
    <cellStyle name="_2006년 경영계획(1안)_2006년실적_2007년도 경영계획" xfId="233"/>
    <cellStyle name="_2006년 경영계획(1안)_2006년실적_2007년도 경영계획_GI 수정안" xfId="234"/>
    <cellStyle name="_2006년 경영계획(1안)_2007년 판매계획(GI)" xfId="235"/>
    <cellStyle name="_2006년 경영계획(1안)_2007년 판매계획(GI)_2007년도 경영계획" xfId="236"/>
    <cellStyle name="_2006년 경영계획(1안)_2007년 판매계획(GI)_2007년도 경영계획_GI 수정안" xfId="237"/>
    <cellStyle name="_2006년 경영계획(1안)_2007년판매계획(영업안)_영업2차확정안_20061103" xfId="238"/>
    <cellStyle name="_2006년 경영계획(1안)_2007년판매계획(영업안)_영업2차확정안_20061103_2007년도 경영계획" xfId="239"/>
    <cellStyle name="_2006년 경영계획(1안)_2007년판매계획(영업안)_영업2차확정안_20061103_2007년도 경영계획_GI 수정안" xfId="240"/>
    <cellStyle name="_2006년 경영계획(1안)_5월 경영실적" xfId="1520"/>
    <cellStyle name="_2006년 경영계획(1안)_6월 경영실적" xfId="1521"/>
    <cellStyle name="_2006년 경영계획(1안)_7월 경영실적" xfId="1522"/>
    <cellStyle name="_2006년 경영계획(1안)_7월 경영실적_9월 경영실적" xfId="1523"/>
    <cellStyle name="_2006년 경영계획(1안)_7월 경영실적_9월 경영실적_12" xfId="1524"/>
    <cellStyle name="_2006년 경영계획(1안)_7월 경영실적_9월 경영실적_5월 경영실적" xfId="1525"/>
    <cellStyle name="_2006년 경영계획(1안)_7월 경영실적_9월 경영실적_6월 경영실적" xfId="1526"/>
    <cellStyle name="_2006년 경영계획(1안)_7월 경영실적_9월 경영실적_7월 경영실적" xfId="1527"/>
    <cellStyle name="_2006년 경영계획(1안)_7월 경영실적_9월 경영실적_GI매원" xfId="1528"/>
    <cellStyle name="_2006년 경영계획(1안)_7월 경영실적_9월 경영실적_Sheet1" xfId="1529"/>
    <cellStyle name="_2006년 경영계획(1안)_7월 경영실적_9월 경영실적_칼라매원" xfId="1530"/>
    <cellStyle name="_2006년 경영계획(1안)_GI매원" xfId="1531"/>
    <cellStyle name="_2006년 경영계획(1안)_Sheet1" xfId="1532"/>
    <cellStyle name="_2006년 경영계획(1안)_칼라매원" xfId="1533"/>
    <cellStyle name="_2006년 경영계획(안)" xfId="241"/>
    <cellStyle name="_2006년 경영계획(안)_12" xfId="1534"/>
    <cellStyle name="_2006년 경영계획(안)_2006년실적" xfId="242"/>
    <cellStyle name="_2006년 경영계획(안)_2006년실적_2007년도 경영계획" xfId="243"/>
    <cellStyle name="_2006년 경영계획(안)_2006년실적_2007년도 경영계획_GI 수정안" xfId="244"/>
    <cellStyle name="_2006년 경영계획(안)_2007년 판매계획(GI)" xfId="245"/>
    <cellStyle name="_2006년 경영계획(안)_2007년 판매계획(GI)_2007년도 경영계획" xfId="246"/>
    <cellStyle name="_2006년 경영계획(안)_2007년 판매계획(GI)_2007년도 경영계획_GI 수정안" xfId="247"/>
    <cellStyle name="_2006년 경영계획(안)_2007년판매계획(영업안)_영업2차확정안_20061103" xfId="248"/>
    <cellStyle name="_2006년 경영계획(안)_2007년판매계획(영업안)_영업2차확정안_20061103_2007년도 경영계획" xfId="249"/>
    <cellStyle name="_2006년 경영계획(안)_2007년판매계획(영업안)_영업2차확정안_20061103_2007년도 경영계획_GI 수정안" xfId="250"/>
    <cellStyle name="_2006년 경영계획(안)_5월 경영실적" xfId="1535"/>
    <cellStyle name="_2006년 경영계획(안)_6월 경영실적" xfId="1536"/>
    <cellStyle name="_2006년 경영계획(안)_7월 경영실적" xfId="1537"/>
    <cellStyle name="_2006년 경영계획(안)_7월 경영실적_9월 경영실적" xfId="1538"/>
    <cellStyle name="_2006년 경영계획(안)_7월 경영실적_9월 경영실적_12" xfId="1539"/>
    <cellStyle name="_2006년 경영계획(안)_7월 경영실적_9월 경영실적_5월 경영실적" xfId="1540"/>
    <cellStyle name="_2006년 경영계획(안)_7월 경영실적_9월 경영실적_6월 경영실적" xfId="1541"/>
    <cellStyle name="_2006년 경영계획(안)_7월 경영실적_9월 경영실적_7월 경영실적" xfId="1542"/>
    <cellStyle name="_2006년 경영계획(안)_7월 경영실적_9월 경영실적_GI매원" xfId="1543"/>
    <cellStyle name="_2006년 경영계획(안)_7월 경영실적_9월 경영실적_Sheet1" xfId="1544"/>
    <cellStyle name="_2006년 경영계획(안)_7월 경영실적_9월 경영실적_칼라매원" xfId="1545"/>
    <cellStyle name="_2006년 경영계획(안)_GI매원" xfId="1546"/>
    <cellStyle name="_2006년 경영계획(안)_Sheet1" xfId="1547"/>
    <cellStyle name="_2006년 경영계획(안)_칼라매원" xfId="1548"/>
    <cellStyle name="_2006년실적" xfId="251"/>
    <cellStyle name="_2006년실적_2007년도 경영계획" xfId="252"/>
    <cellStyle name="_2006년실적_2007년도 경영계획_GI 수정안" xfId="253"/>
    <cellStyle name="_2007년 판매계획(GI)" xfId="254"/>
    <cellStyle name="_2007년 판매계획(GI)_2007년도 경영계획" xfId="255"/>
    <cellStyle name="_2007년 판매계획(GI)_2007년도 경영계획_GI 수정안" xfId="256"/>
    <cellStyle name="_2007년판매계획(영업안)_영업2차확정안_20061103" xfId="257"/>
    <cellStyle name="_2007년판매계획(영업안)_영업2차확정안_20061103_2007년도 경영계획" xfId="258"/>
    <cellStyle name="_2007년판매계획(영업안)_영업2차확정안_20061103_2007년도 경영계획_GI 수정안" xfId="259"/>
    <cellStyle name="_2008년 도급비 지급현황" xfId="4306"/>
    <cellStyle name="_2008년 도급비 지급현황_2008년 도급비 지급현황" xfId="4305"/>
    <cellStyle name="_2008년 도급비 지급현황_2008년 도급비 지급현황_2008년 도급비 지급현황" xfId="4299"/>
    <cellStyle name="_2008년 도급비 지급현황_2008년 도급비 지급현황_2008년 도급비 지급현황_2009년 도급비 지급현황" xfId="4298"/>
    <cellStyle name="_2008년 도급비 지급현황_2009년 도급비 지급현황" xfId="4297"/>
    <cellStyle name="_2009년 예산편성안(최종)" xfId="4296"/>
    <cellStyle name="_2009예산실적" xfId="4295"/>
    <cellStyle name="_2009예산편성_창원업무지원팀" xfId="4294"/>
    <cellStyle name="_2010 군산 예산" xfId="4293"/>
    <cellStyle name="_2010년 예산편성안(최종)" xfId="4292"/>
    <cellStyle name="_3_2009년 예산편성" xfId="4291"/>
    <cellStyle name="_3_2009년 예산편성(국)" xfId="4290"/>
    <cellStyle name="_3-8.동력산출서" xfId="260"/>
    <cellStyle name="_3-8.동력산출서_06년판매계획(최종)" xfId="261"/>
    <cellStyle name="_3-8.동력산출서_06년판매계획(최종)_12" xfId="1549"/>
    <cellStyle name="_3-8.동력산출서_06년판매계획(최종)_2006년실적" xfId="262"/>
    <cellStyle name="_3-8.동력산출서_06년판매계획(최종)_2006년실적_2007년도 경영계획" xfId="263"/>
    <cellStyle name="_3-8.동력산출서_06년판매계획(최종)_2006년실적_2007년도 경영계획_GI 수정안" xfId="264"/>
    <cellStyle name="_3-8.동력산출서_06년판매계획(최종)_2007년 판매계획(GI)" xfId="265"/>
    <cellStyle name="_3-8.동력산출서_06년판매계획(최종)_2007년 판매계획(GI)_2007년도 경영계획" xfId="266"/>
    <cellStyle name="_3-8.동력산출서_06년판매계획(최종)_2007년 판매계획(GI)_2007년도 경영계획_GI 수정안" xfId="267"/>
    <cellStyle name="_3-8.동력산출서_06년판매계획(최종)_2007년판매계획(영업안)_영업2차확정안_20061103" xfId="268"/>
    <cellStyle name="_3-8.동력산출서_06년판매계획(최종)_2007년판매계획(영업안)_영업2차확정안_20061103_2007년도 경영계획" xfId="269"/>
    <cellStyle name="_3-8.동력산출서_06년판매계획(최종)_2007년판매계획(영업안)_영업2차확정안_20061103_2007년도 경영계획_GI 수정안" xfId="270"/>
    <cellStyle name="_3-8.동력산출서_06년판매계획(최종)_5월 경영실적" xfId="1550"/>
    <cellStyle name="_3-8.동력산출서_06년판매계획(최종)_6월 경영실적" xfId="1551"/>
    <cellStyle name="_3-8.동력산출서_06년판매계획(최종)_7월 경영실적" xfId="1552"/>
    <cellStyle name="_3-8.동력산출서_06년판매계획(최종)_7월 경영실적_9월 경영실적" xfId="1553"/>
    <cellStyle name="_3-8.동력산출서_06년판매계획(최종)_7월 경영실적_9월 경영실적_12" xfId="1554"/>
    <cellStyle name="_3-8.동력산출서_06년판매계획(최종)_7월 경영실적_9월 경영실적_5월 경영실적" xfId="1555"/>
    <cellStyle name="_3-8.동력산출서_06년판매계획(최종)_7월 경영실적_9월 경영실적_6월 경영실적" xfId="1556"/>
    <cellStyle name="_3-8.동력산출서_06년판매계획(최종)_7월 경영실적_9월 경영실적_7월 경영실적" xfId="1557"/>
    <cellStyle name="_3-8.동력산출서_06년판매계획(최종)_7월 경영실적_9월 경영실적_GI매원" xfId="1558"/>
    <cellStyle name="_3-8.동력산출서_06년판매계획(최종)_7월 경영실적_9월 경영실적_Sheet1" xfId="1559"/>
    <cellStyle name="_3-8.동력산출서_06년판매계획(최종)_7월 경영실적_9월 경영실적_칼라매원" xfId="1560"/>
    <cellStyle name="_3-8.동력산출서_06년판매계획(최종)_GI매원" xfId="1561"/>
    <cellStyle name="_3-8.동력산출서_06년판매계획(최종)_Sheet1" xfId="1562"/>
    <cellStyle name="_3-8.동력산출서_06년판매계획(최종)_칼라매원" xfId="1563"/>
    <cellStyle name="_3-8.동력산출서_12" xfId="1564"/>
    <cellStyle name="_3-8.동력산출서_2006년 경영계획(1안)" xfId="271"/>
    <cellStyle name="_3-8.동력산출서_2006년 경영계획(1안)_12" xfId="1565"/>
    <cellStyle name="_3-8.동력산출서_2006년 경영계획(1안)_2006년실적" xfId="272"/>
    <cellStyle name="_3-8.동력산출서_2006년 경영계획(1안)_2006년실적_2007년도 경영계획" xfId="273"/>
    <cellStyle name="_3-8.동력산출서_2006년 경영계획(1안)_2006년실적_2007년도 경영계획_GI 수정안" xfId="274"/>
    <cellStyle name="_3-8.동력산출서_2006년 경영계획(1안)_2007년 판매계획(GI)" xfId="275"/>
    <cellStyle name="_3-8.동력산출서_2006년 경영계획(1안)_2007년 판매계획(GI)_2007년도 경영계획" xfId="276"/>
    <cellStyle name="_3-8.동력산출서_2006년 경영계획(1안)_2007년 판매계획(GI)_2007년도 경영계획_GI 수정안" xfId="277"/>
    <cellStyle name="_3-8.동력산출서_2006년 경영계획(1안)_2007년판매계획(영업안)_영업2차확정안_20061103" xfId="278"/>
    <cellStyle name="_3-8.동력산출서_2006년 경영계획(1안)_2007년판매계획(영업안)_영업2차확정안_20061103_2007년도 경영계획" xfId="279"/>
    <cellStyle name="_3-8.동력산출서_2006년 경영계획(1안)_2007년판매계획(영업안)_영업2차확정안_20061103_2007년도 경영계획_GI 수정안" xfId="280"/>
    <cellStyle name="_3-8.동력산출서_2006년 경영계획(1안)_5월 경영실적" xfId="1566"/>
    <cellStyle name="_3-8.동력산출서_2006년 경영계획(1안)_6월 경영실적" xfId="1567"/>
    <cellStyle name="_3-8.동력산출서_2006년 경영계획(1안)_7월 경영실적" xfId="1568"/>
    <cellStyle name="_3-8.동력산출서_2006년 경영계획(1안)_7월 경영실적_9월 경영실적" xfId="1569"/>
    <cellStyle name="_3-8.동력산출서_2006년 경영계획(1안)_7월 경영실적_9월 경영실적_12" xfId="1570"/>
    <cellStyle name="_3-8.동력산출서_2006년 경영계획(1안)_7월 경영실적_9월 경영실적_5월 경영실적" xfId="1571"/>
    <cellStyle name="_3-8.동력산출서_2006년 경영계획(1안)_7월 경영실적_9월 경영실적_6월 경영실적" xfId="1572"/>
    <cellStyle name="_3-8.동력산출서_2006년 경영계획(1안)_7월 경영실적_9월 경영실적_7월 경영실적" xfId="1573"/>
    <cellStyle name="_3-8.동력산출서_2006년 경영계획(1안)_7월 경영실적_9월 경영실적_GI매원" xfId="1574"/>
    <cellStyle name="_3-8.동력산출서_2006년 경영계획(1안)_7월 경영실적_9월 경영실적_Sheet1" xfId="1575"/>
    <cellStyle name="_3-8.동력산출서_2006년 경영계획(1안)_7월 경영실적_9월 경영실적_칼라매원" xfId="1576"/>
    <cellStyle name="_3-8.동력산출서_2006년 경영계획(1안)_GI매원" xfId="1577"/>
    <cellStyle name="_3-8.동력산출서_2006년 경영계획(1안)_Sheet1" xfId="1578"/>
    <cellStyle name="_3-8.동력산출서_2006년 경영계획(1안)_칼라매원" xfId="1579"/>
    <cellStyle name="_3-8.동력산출서_2006년 경영계획(안)" xfId="281"/>
    <cellStyle name="_3-8.동력산출서_2006년 경영계획(안)_12" xfId="1580"/>
    <cellStyle name="_3-8.동력산출서_2006년 경영계획(안)_2006년실적" xfId="282"/>
    <cellStyle name="_3-8.동력산출서_2006년 경영계획(안)_2006년실적_2007년도 경영계획" xfId="283"/>
    <cellStyle name="_3-8.동력산출서_2006년 경영계획(안)_2006년실적_2007년도 경영계획_GI 수정안" xfId="284"/>
    <cellStyle name="_3-8.동력산출서_2006년 경영계획(안)_2007년 판매계획(GI)" xfId="285"/>
    <cellStyle name="_3-8.동력산출서_2006년 경영계획(안)_2007년 판매계획(GI)_2007년도 경영계획" xfId="286"/>
    <cellStyle name="_3-8.동력산출서_2006년 경영계획(안)_2007년 판매계획(GI)_2007년도 경영계획_GI 수정안" xfId="287"/>
    <cellStyle name="_3-8.동력산출서_2006년 경영계획(안)_2007년판매계획(영업안)_영업2차확정안_20061103" xfId="288"/>
    <cellStyle name="_3-8.동력산출서_2006년 경영계획(안)_2007년판매계획(영업안)_영업2차확정안_20061103_2007년도 경영계획" xfId="289"/>
    <cellStyle name="_3-8.동력산출서_2006년 경영계획(안)_2007년판매계획(영업안)_영업2차확정안_20061103_2007년도 경영계획_GI 수정안" xfId="290"/>
    <cellStyle name="_3-8.동력산출서_2006년 경영계획(안)_5월 경영실적" xfId="1581"/>
    <cellStyle name="_3-8.동력산출서_2006년 경영계획(안)_6월 경영실적" xfId="1582"/>
    <cellStyle name="_3-8.동력산출서_2006년 경영계획(안)_7월 경영실적" xfId="1583"/>
    <cellStyle name="_3-8.동력산출서_2006년 경영계획(안)_7월 경영실적_9월 경영실적" xfId="1584"/>
    <cellStyle name="_3-8.동력산출서_2006년 경영계획(안)_7월 경영실적_9월 경영실적_12" xfId="1585"/>
    <cellStyle name="_3-8.동력산출서_2006년 경영계획(안)_7월 경영실적_9월 경영실적_5월 경영실적" xfId="1586"/>
    <cellStyle name="_3-8.동력산출서_2006년 경영계획(안)_7월 경영실적_9월 경영실적_6월 경영실적" xfId="1587"/>
    <cellStyle name="_3-8.동력산출서_2006년 경영계획(안)_7월 경영실적_9월 경영실적_7월 경영실적" xfId="1588"/>
    <cellStyle name="_3-8.동력산출서_2006년 경영계획(안)_7월 경영실적_9월 경영실적_GI매원" xfId="1589"/>
    <cellStyle name="_3-8.동력산출서_2006년 경영계획(안)_7월 경영실적_9월 경영실적_Sheet1" xfId="1590"/>
    <cellStyle name="_3-8.동력산출서_2006년 경영계획(안)_7월 경영실적_9월 경영실적_칼라매원" xfId="1591"/>
    <cellStyle name="_3-8.동력산출서_2006년 경영계획(안)_GI매원" xfId="1592"/>
    <cellStyle name="_3-8.동력산출서_2006년 경영계획(안)_Sheet1" xfId="1593"/>
    <cellStyle name="_3-8.동력산출서_2006년 경영계획(안)_칼라매원" xfId="1594"/>
    <cellStyle name="_3-8.동력산출서_2006년실적" xfId="291"/>
    <cellStyle name="_3-8.동력산출서_2006년실적_2007년도 경영계획" xfId="292"/>
    <cellStyle name="_3-8.동력산출서_2006년실적_2007년도 경영계획_GI 수정안" xfId="293"/>
    <cellStyle name="_3-8.동력산출서_2007년 판매계획(GI)" xfId="294"/>
    <cellStyle name="_3-8.동력산출서_2007년 판매계획(GI)_2007년도 경영계획" xfId="295"/>
    <cellStyle name="_3-8.동력산출서_2007년 판매계획(GI)_2007년도 경영계획_GI 수정안" xfId="296"/>
    <cellStyle name="_3-8.동력산출서_2007년판매계획(영업안)_영업2차확정안_20061103" xfId="297"/>
    <cellStyle name="_3-8.동력산출서_2007년판매계획(영업안)_영업2차확정안_20061103_2007년도 경영계획" xfId="298"/>
    <cellStyle name="_3-8.동력산출서_2007년판매계획(영업안)_영업2차확정안_20061103_2007년도 경영계획_GI 수정안" xfId="299"/>
    <cellStyle name="_3-8.동력산출서_2008년 도급비 지급현황" xfId="4289"/>
    <cellStyle name="_3-8.동력산출서_2008년 도급비 지급현황_2008년 도급비 지급현황" xfId="4288"/>
    <cellStyle name="_3-8.동력산출서_2008년 도급비 지급현황_2008년 도급비 지급현황_2008년 도급비 지급현황" xfId="4287"/>
    <cellStyle name="_3-8.동력산출서_2008년 도급비 지급현황_2008년 도급비 지급현황_2008년 도급비 지급현황_2009년 도급비 지급현황" xfId="4286"/>
    <cellStyle name="_3-8.동력산출서_2008년 도급비 지급현황_2009년 도급비 지급현황" xfId="4285"/>
    <cellStyle name="_3-8.동력산출서_5월 경영실적" xfId="1595"/>
    <cellStyle name="_3-8.동력산출서_6월 경영실적" xfId="1596"/>
    <cellStyle name="_3-8.동력산출서_7월 경영실적" xfId="1597"/>
    <cellStyle name="_3-8.동력산출서_7월 경영실적_9월 경영실적" xfId="1598"/>
    <cellStyle name="_3-8.동력산출서_7월 경영실적_9월 경영실적_12" xfId="1599"/>
    <cellStyle name="_3-8.동력산출서_7월 경영실적_9월 경영실적_5월 경영실적" xfId="1600"/>
    <cellStyle name="_3-8.동력산출서_7월 경영실적_9월 경영실적_6월 경영실적" xfId="1601"/>
    <cellStyle name="_3-8.동력산출서_7월 경영실적_9월 경영실적_7월 경영실적" xfId="1602"/>
    <cellStyle name="_3-8.동력산출서_7월 경영실적_9월 경영실적_GI매원" xfId="1603"/>
    <cellStyle name="_3-8.동력산출서_7월 경영실적_9월 경영실적_Sheet1" xfId="1604"/>
    <cellStyle name="_3-8.동력산출서_7월 경영실적_9월 경영실적_칼라매원" xfId="1605"/>
    <cellStyle name="_3-8.동력산출서_GI매원" xfId="1606"/>
    <cellStyle name="_3-8.동력산출서_Sheet1" xfId="1607"/>
    <cellStyle name="_3-8.동력산출서_칼라매원" xfId="1608"/>
    <cellStyle name="_4_1 2008 운영예산편성" xfId="4276"/>
    <cellStyle name="_5월 경영실적" xfId="1609"/>
    <cellStyle name="_6월 경영실적" xfId="1610"/>
    <cellStyle name="_7월 경영실적" xfId="1611"/>
    <cellStyle name="_7월 경영실적_9월 경영실적" xfId="1612"/>
    <cellStyle name="_7월 경영실적_9월 경영실적_12" xfId="1613"/>
    <cellStyle name="_7월 경영실적_9월 경영실적_5월 경영실적" xfId="1614"/>
    <cellStyle name="_7월 경영실적_9월 경영실적_6월 경영실적" xfId="1615"/>
    <cellStyle name="_7월 경영실적_9월 경영실적_7월 경영실적" xfId="1616"/>
    <cellStyle name="_7월 경영실적_9월 경영실적_GI매원" xfId="1617"/>
    <cellStyle name="_7월 경영실적_9월 경영실적_Sheet1" xfId="1618"/>
    <cellStyle name="_7월 경영실적_9월 경영실적_칼라매원" xfId="1619"/>
    <cellStyle name="_8월" xfId="300"/>
    <cellStyle name="_8월_1_2010년 예산편성_판재_태원이" xfId="4274"/>
    <cellStyle name="_8월_2010 군산 예산" xfId="4273"/>
    <cellStyle name="_Book1" xfId="951"/>
    <cellStyle name="_CGL0604월분석" xfId="952"/>
    <cellStyle name="_CGL0605월분석" xfId="953"/>
    <cellStyle name="_CGL0606월분석" xfId="954"/>
    <cellStyle name="_CGL0607월분석" xfId="955"/>
    <cellStyle name="_CGL0608월분석" xfId="956"/>
    <cellStyle name="_GI매원" xfId="1620"/>
    <cellStyle name="_H001 울산 E-MART 신축공사" xfId="957"/>
    <cellStyle name="_H002 남양주 양지리 쌍용아파트 신축공사" xfId="958"/>
    <cellStyle name="_H002 남양주 양지리 쌍용아파트 신축공사_06년판매계획(최종)" xfId="959"/>
    <cellStyle name="_H002 남양주 양지리 쌍용아파트 신축공사_06년판매계획(최종)_12" xfId="1621"/>
    <cellStyle name="_H002 남양주 양지리 쌍용아파트 신축공사_06년판매계획(최종)_2006년실적" xfId="960"/>
    <cellStyle name="_H002 남양주 양지리 쌍용아파트 신축공사_06년판매계획(최종)_2006년실적_2007년도 경영계획" xfId="961"/>
    <cellStyle name="_H002 남양주 양지리 쌍용아파트 신축공사_06년판매계획(최종)_2006년실적_2007년도 경영계획_GI 수정안" xfId="962"/>
    <cellStyle name="_H002 남양주 양지리 쌍용아파트 신축공사_06년판매계획(최종)_2007년 판매계획(GI)" xfId="963"/>
    <cellStyle name="_H002 남양주 양지리 쌍용아파트 신축공사_06년판매계획(최종)_2007년 판매계획(GI)_2007년도 경영계획" xfId="964"/>
    <cellStyle name="_H002 남양주 양지리 쌍용아파트 신축공사_06년판매계획(최종)_2007년 판매계획(GI)_2007년도 경영계획_GI 수정안" xfId="965"/>
    <cellStyle name="_H002 남양주 양지리 쌍용아파트 신축공사_06년판매계획(최종)_2007년판매계획(영업안)_영업2차확정안_20061103" xfId="966"/>
    <cellStyle name="_H002 남양주 양지리 쌍용아파트 신축공사_06년판매계획(최종)_2007년판매계획(영업안)_영업2차확정안_20061103_2007년도 경영계획" xfId="967"/>
    <cellStyle name="_H002 남양주 양지리 쌍용아파트 신축공사_06년판매계획(최종)_2007년판매계획(영업안)_영업2차확정안_20061103_2007년도 경영계획_GI 수정안" xfId="968"/>
    <cellStyle name="_H002 남양주 양지리 쌍용아파트 신축공사_06년판매계획(최종)_5월 경영실적" xfId="1622"/>
    <cellStyle name="_H002 남양주 양지리 쌍용아파트 신축공사_06년판매계획(최종)_6월 경영실적" xfId="1623"/>
    <cellStyle name="_H002 남양주 양지리 쌍용아파트 신축공사_06년판매계획(최종)_7월 경영실적" xfId="1624"/>
    <cellStyle name="_H002 남양주 양지리 쌍용아파트 신축공사_06년판매계획(최종)_7월 경영실적_9월 경영실적" xfId="1625"/>
    <cellStyle name="_H002 남양주 양지리 쌍용아파트 신축공사_06년판매계획(최종)_7월 경영실적_9월 경영실적_12" xfId="1626"/>
    <cellStyle name="_H002 남양주 양지리 쌍용아파트 신축공사_06년판매계획(최종)_7월 경영실적_9월 경영실적_5월 경영실적" xfId="1627"/>
    <cellStyle name="_H002 남양주 양지리 쌍용아파트 신축공사_06년판매계획(최종)_7월 경영실적_9월 경영실적_6월 경영실적" xfId="1628"/>
    <cellStyle name="_H002 남양주 양지리 쌍용아파트 신축공사_06년판매계획(최종)_7월 경영실적_9월 경영실적_7월 경영실적" xfId="1629"/>
    <cellStyle name="_H002 남양주 양지리 쌍용아파트 신축공사_06년판매계획(최종)_7월 경영실적_9월 경영실적_GI매원" xfId="1630"/>
    <cellStyle name="_H002 남양주 양지리 쌍용아파트 신축공사_06년판매계획(최종)_7월 경영실적_9월 경영실적_Sheet1" xfId="1631"/>
    <cellStyle name="_H002 남양주 양지리 쌍용아파트 신축공사_06년판매계획(최종)_7월 경영실적_9월 경영실적_칼라매원" xfId="1632"/>
    <cellStyle name="_H002 남양주 양지리 쌍용아파트 신축공사_06년판매계획(최종)_GI매원" xfId="1633"/>
    <cellStyle name="_H002 남양주 양지리 쌍용아파트 신축공사_06년판매계획(최종)_Sheet1" xfId="1634"/>
    <cellStyle name="_H002 남양주 양지리 쌍용아파트 신축공사_06년판매계획(최종)_칼라매원" xfId="1635"/>
    <cellStyle name="_H002 남양주 양지리 쌍용아파트 신축공사_12" xfId="1636"/>
    <cellStyle name="_H002 남양주 양지리 쌍용아파트 신축공사_2006년 경영계획(1안)" xfId="969"/>
    <cellStyle name="_H002 남양주 양지리 쌍용아파트 신축공사_2006년 경영계획(1안)_12" xfId="1637"/>
    <cellStyle name="_H002 남양주 양지리 쌍용아파트 신축공사_2006년 경영계획(1안)_2006년실적" xfId="970"/>
    <cellStyle name="_H002 남양주 양지리 쌍용아파트 신축공사_2006년 경영계획(1안)_2006년실적_2007년도 경영계획" xfId="971"/>
    <cellStyle name="_H002 남양주 양지리 쌍용아파트 신축공사_2006년 경영계획(1안)_2006년실적_2007년도 경영계획_GI 수정안" xfId="972"/>
    <cellStyle name="_H002 남양주 양지리 쌍용아파트 신축공사_2006년 경영계획(1안)_2007년 판매계획(GI)" xfId="973"/>
    <cellStyle name="_H002 남양주 양지리 쌍용아파트 신축공사_2006년 경영계획(1안)_2007년 판매계획(GI)_2007년도 경영계획" xfId="974"/>
    <cellStyle name="_H002 남양주 양지리 쌍용아파트 신축공사_2006년 경영계획(1안)_2007년 판매계획(GI)_2007년도 경영계획_GI 수정안" xfId="975"/>
    <cellStyle name="_H002 남양주 양지리 쌍용아파트 신축공사_2006년 경영계획(1안)_2007년판매계획(영업안)_영업2차확정안_20061103" xfId="976"/>
    <cellStyle name="_H002 남양주 양지리 쌍용아파트 신축공사_2006년 경영계획(1안)_2007년판매계획(영업안)_영업2차확정안_20061103_2007년도 경영계획" xfId="977"/>
    <cellStyle name="_H002 남양주 양지리 쌍용아파트 신축공사_2006년 경영계획(1안)_2007년판매계획(영업안)_영업2차확정안_20061103_2007년도 경영계획_GI 수정안" xfId="978"/>
    <cellStyle name="_H002 남양주 양지리 쌍용아파트 신축공사_2006년 경영계획(1안)_5월 경영실적" xfId="1638"/>
    <cellStyle name="_H002 남양주 양지리 쌍용아파트 신축공사_2006년 경영계획(1안)_6월 경영실적" xfId="1639"/>
    <cellStyle name="_H002 남양주 양지리 쌍용아파트 신축공사_2006년 경영계획(1안)_7월 경영실적" xfId="1640"/>
    <cellStyle name="_H002 남양주 양지리 쌍용아파트 신축공사_2006년 경영계획(1안)_7월 경영실적_9월 경영실적" xfId="1641"/>
    <cellStyle name="_H002 남양주 양지리 쌍용아파트 신축공사_2006년 경영계획(1안)_7월 경영실적_9월 경영실적_12" xfId="1642"/>
    <cellStyle name="_H002 남양주 양지리 쌍용아파트 신축공사_2006년 경영계획(1안)_7월 경영실적_9월 경영실적_5월 경영실적" xfId="1643"/>
    <cellStyle name="_H002 남양주 양지리 쌍용아파트 신축공사_2006년 경영계획(1안)_7월 경영실적_9월 경영실적_6월 경영실적" xfId="1644"/>
    <cellStyle name="_H002 남양주 양지리 쌍용아파트 신축공사_2006년 경영계획(1안)_7월 경영실적_9월 경영실적_7월 경영실적" xfId="1645"/>
    <cellStyle name="_H002 남양주 양지리 쌍용아파트 신축공사_2006년 경영계획(1안)_7월 경영실적_9월 경영실적_GI매원" xfId="1646"/>
    <cellStyle name="_H002 남양주 양지리 쌍용아파트 신축공사_2006년 경영계획(1안)_7월 경영실적_9월 경영실적_Sheet1" xfId="1647"/>
    <cellStyle name="_H002 남양주 양지리 쌍용아파트 신축공사_2006년 경영계획(1안)_7월 경영실적_9월 경영실적_칼라매원" xfId="1648"/>
    <cellStyle name="_H002 남양주 양지리 쌍용아파트 신축공사_2006년 경영계획(1안)_GI매원" xfId="1649"/>
    <cellStyle name="_H002 남양주 양지리 쌍용아파트 신축공사_2006년 경영계획(1안)_Sheet1" xfId="1650"/>
    <cellStyle name="_H002 남양주 양지리 쌍용아파트 신축공사_2006년 경영계획(1안)_칼라매원" xfId="1651"/>
    <cellStyle name="_H002 남양주 양지리 쌍용아파트 신축공사_2006년 경영계획(안)" xfId="979"/>
    <cellStyle name="_H002 남양주 양지리 쌍용아파트 신축공사_2006년 경영계획(안)_12" xfId="1652"/>
    <cellStyle name="_H002 남양주 양지리 쌍용아파트 신축공사_2006년 경영계획(안)_2006년실적" xfId="980"/>
    <cellStyle name="_H002 남양주 양지리 쌍용아파트 신축공사_2006년 경영계획(안)_2006년실적_2007년도 경영계획" xfId="981"/>
    <cellStyle name="_H002 남양주 양지리 쌍용아파트 신축공사_2006년 경영계획(안)_2006년실적_2007년도 경영계획_GI 수정안" xfId="982"/>
    <cellStyle name="_H002 남양주 양지리 쌍용아파트 신축공사_2006년 경영계획(안)_2007년 판매계획(GI)" xfId="983"/>
    <cellStyle name="_H002 남양주 양지리 쌍용아파트 신축공사_2006년 경영계획(안)_2007년 판매계획(GI)_2007년도 경영계획" xfId="984"/>
    <cellStyle name="_H002 남양주 양지리 쌍용아파트 신축공사_2006년 경영계획(안)_2007년 판매계획(GI)_2007년도 경영계획_GI 수정안" xfId="985"/>
    <cellStyle name="_H002 남양주 양지리 쌍용아파트 신축공사_2006년 경영계획(안)_2007년판매계획(영업안)_영업2차확정안_20061103" xfId="986"/>
    <cellStyle name="_H002 남양주 양지리 쌍용아파트 신축공사_2006년 경영계획(안)_2007년판매계획(영업안)_영업2차확정안_20061103_2007년도 경영계획" xfId="987"/>
    <cellStyle name="_H002 남양주 양지리 쌍용아파트 신축공사_2006년 경영계획(안)_2007년판매계획(영업안)_영업2차확정안_20061103_2007년도 경영계획_GI 수정안" xfId="988"/>
    <cellStyle name="_H002 남양주 양지리 쌍용아파트 신축공사_2006년 경영계획(안)_5월 경영실적" xfId="1653"/>
    <cellStyle name="_H002 남양주 양지리 쌍용아파트 신축공사_2006년 경영계획(안)_6월 경영실적" xfId="1654"/>
    <cellStyle name="_H002 남양주 양지리 쌍용아파트 신축공사_2006년 경영계획(안)_7월 경영실적" xfId="1655"/>
    <cellStyle name="_H002 남양주 양지리 쌍용아파트 신축공사_2006년 경영계획(안)_7월 경영실적_9월 경영실적" xfId="1656"/>
    <cellStyle name="_H002 남양주 양지리 쌍용아파트 신축공사_2006년 경영계획(안)_7월 경영실적_9월 경영실적_12" xfId="1657"/>
    <cellStyle name="_H002 남양주 양지리 쌍용아파트 신축공사_2006년 경영계획(안)_7월 경영실적_9월 경영실적_5월 경영실적" xfId="1658"/>
    <cellStyle name="_H002 남양주 양지리 쌍용아파트 신축공사_2006년 경영계획(안)_7월 경영실적_9월 경영실적_6월 경영실적" xfId="1659"/>
    <cellStyle name="_H002 남양주 양지리 쌍용아파트 신축공사_2006년 경영계획(안)_7월 경영실적_9월 경영실적_7월 경영실적" xfId="1660"/>
    <cellStyle name="_H002 남양주 양지리 쌍용아파트 신축공사_2006년 경영계획(안)_7월 경영실적_9월 경영실적_GI매원" xfId="1661"/>
    <cellStyle name="_H002 남양주 양지리 쌍용아파트 신축공사_2006년 경영계획(안)_7월 경영실적_9월 경영실적_Sheet1" xfId="1662"/>
    <cellStyle name="_H002 남양주 양지리 쌍용아파트 신축공사_2006년 경영계획(안)_7월 경영실적_9월 경영실적_칼라매원" xfId="1663"/>
    <cellStyle name="_H002 남양주 양지리 쌍용아파트 신축공사_2006년 경영계획(안)_GI매원" xfId="1664"/>
    <cellStyle name="_H002 남양주 양지리 쌍용아파트 신축공사_2006년 경영계획(안)_Sheet1" xfId="1665"/>
    <cellStyle name="_H002 남양주 양지리 쌍용아파트 신축공사_2006년 경영계획(안)_칼라매원" xfId="1666"/>
    <cellStyle name="_H002 남양주 양지리 쌍용아파트 신축공사_2006년실적" xfId="989"/>
    <cellStyle name="_H002 남양주 양지리 쌍용아파트 신축공사_2006년실적_2007년도 경영계획" xfId="990"/>
    <cellStyle name="_H002 남양주 양지리 쌍용아파트 신축공사_2006년실적_2007년도 경영계획_GI 수정안" xfId="991"/>
    <cellStyle name="_H002 남양주 양지리 쌍용아파트 신축공사_2007년 판매계획(GI)" xfId="992"/>
    <cellStyle name="_H002 남양주 양지리 쌍용아파트 신축공사_2007년 판매계획(GI)_2007년도 경영계획" xfId="993"/>
    <cellStyle name="_H002 남양주 양지리 쌍용아파트 신축공사_2007년 판매계획(GI)_2007년도 경영계획_GI 수정안" xfId="994"/>
    <cellStyle name="_H002 남양주 양지리 쌍용아파트 신축공사_2007년판매계획(영업안)_영업2차확정안_20061103" xfId="995"/>
    <cellStyle name="_H002 남양주 양지리 쌍용아파트 신축공사_2007년판매계획(영업안)_영업2차확정안_20061103_2007년도 경영계획" xfId="996"/>
    <cellStyle name="_H002 남양주 양지리 쌍용아파트 신축공사_2007년판매계획(영업안)_영업2차확정안_20061103_2007년도 경영계획_GI 수정안" xfId="997"/>
    <cellStyle name="_H002 남양주 양지리 쌍용아파트 신축공사_2008년 도급비 지급현황" xfId="4270"/>
    <cellStyle name="_H002 남양주 양지리 쌍용아파트 신축공사_2008년 도급비 지급현황_2008년 도급비 지급현황" xfId="4269"/>
    <cellStyle name="_H002 남양주 양지리 쌍용아파트 신축공사_2008년 도급비 지급현황_2008년 도급비 지급현황_2008년 도급비 지급현황" xfId="4268"/>
    <cellStyle name="_H002 남양주 양지리 쌍용아파트 신축공사_2008년 도급비 지급현황_2008년 도급비 지급현황_2008년 도급비 지급현황_2009년 도급비 지급현황" xfId="4267"/>
    <cellStyle name="_H002 남양주 양지리 쌍용아파트 신축공사_2008년 도급비 지급현황_2009년 도급비 지급현황" xfId="4266"/>
    <cellStyle name="_H002 남양주 양지리 쌍용아파트 신축공사_5월 경영실적" xfId="1667"/>
    <cellStyle name="_H002 남양주 양지리 쌍용아파트 신축공사_6월 경영실적" xfId="1668"/>
    <cellStyle name="_H002 남양주 양지리 쌍용아파트 신축공사_7월 경영실적" xfId="1669"/>
    <cellStyle name="_H002 남양주 양지리 쌍용아파트 신축공사_7월 경영실적_9월 경영실적" xfId="1670"/>
    <cellStyle name="_H002 남양주 양지리 쌍용아파트 신축공사_7월 경영실적_9월 경영실적_12" xfId="1671"/>
    <cellStyle name="_H002 남양주 양지리 쌍용아파트 신축공사_7월 경영실적_9월 경영실적_5월 경영실적" xfId="1672"/>
    <cellStyle name="_H002 남양주 양지리 쌍용아파트 신축공사_7월 경영실적_9월 경영실적_6월 경영실적" xfId="1673"/>
    <cellStyle name="_H002 남양주 양지리 쌍용아파트 신축공사_7월 경영실적_9월 경영실적_7월 경영실적" xfId="1674"/>
    <cellStyle name="_H002 남양주 양지리 쌍용아파트 신축공사_7월 경영실적_9월 경영실적_GI매원" xfId="1675"/>
    <cellStyle name="_H002 남양주 양지리 쌍용아파트 신축공사_7월 경영실적_9월 경영실적_Sheet1" xfId="1676"/>
    <cellStyle name="_H002 남양주 양지리 쌍용아파트 신축공사_7월 경영실적_9월 경영실적_칼라매원" xfId="1677"/>
    <cellStyle name="_H002 남양주 양지리 쌍용아파트 신축공사_GI매원" xfId="1678"/>
    <cellStyle name="_H002 남양주 양지리 쌍용아파트 신축공사_Sheet1" xfId="1679"/>
    <cellStyle name="_H002 남양주 양지리 쌍용아파트 신축공사_칼라매원" xfId="1680"/>
    <cellStyle name="_H003 삼성화재 서초사옥 신축공사" xfId="998"/>
    <cellStyle name="_H003-1 삼성화재 서초사옥 신축공사" xfId="999"/>
    <cellStyle name="_H006 신세계 도곡점 식품관 신축공사" xfId="1000"/>
    <cellStyle name="_LOSS COST84(CCL)" xfId="1001"/>
    <cellStyle name="_Sheet1" xfId="1681"/>
    <cellStyle name="_가실행양식" xfId="301"/>
    <cellStyle name="_갑지양식" xfId="302"/>
    <cellStyle name="_갑지양식_06년판매계획(최종)" xfId="303"/>
    <cellStyle name="_갑지양식_06년판매계획(최종)_12" xfId="1682"/>
    <cellStyle name="_갑지양식_06년판매계획(최종)_2006년실적" xfId="304"/>
    <cellStyle name="_갑지양식_06년판매계획(최종)_2006년실적_2007년도 경영계획" xfId="305"/>
    <cellStyle name="_갑지양식_06년판매계획(최종)_2006년실적_2007년도 경영계획_GI 수정안" xfId="306"/>
    <cellStyle name="_갑지양식_06년판매계획(최종)_2007년 판매계획(GI)" xfId="307"/>
    <cellStyle name="_갑지양식_06년판매계획(최종)_2007년 판매계획(GI)_2007년도 경영계획" xfId="308"/>
    <cellStyle name="_갑지양식_06년판매계획(최종)_2007년 판매계획(GI)_2007년도 경영계획_GI 수정안" xfId="309"/>
    <cellStyle name="_갑지양식_06년판매계획(최종)_2007년판매계획(영업안)_영업2차확정안_20061103" xfId="310"/>
    <cellStyle name="_갑지양식_06년판매계획(최종)_2007년판매계획(영업안)_영업2차확정안_20061103_2007년도 경영계획" xfId="311"/>
    <cellStyle name="_갑지양식_06년판매계획(최종)_2007년판매계획(영업안)_영업2차확정안_20061103_2007년도 경영계획_GI 수정안" xfId="312"/>
    <cellStyle name="_갑지양식_06년판매계획(최종)_5월 경영실적" xfId="1683"/>
    <cellStyle name="_갑지양식_06년판매계획(최종)_6월 경영실적" xfId="1684"/>
    <cellStyle name="_갑지양식_06년판매계획(최종)_7월 경영실적" xfId="1685"/>
    <cellStyle name="_갑지양식_06년판매계획(최종)_7월 경영실적_9월 경영실적" xfId="1686"/>
    <cellStyle name="_갑지양식_06년판매계획(최종)_7월 경영실적_9월 경영실적_12" xfId="1687"/>
    <cellStyle name="_갑지양식_06년판매계획(최종)_7월 경영실적_9월 경영실적_5월 경영실적" xfId="1688"/>
    <cellStyle name="_갑지양식_06년판매계획(최종)_7월 경영실적_9월 경영실적_6월 경영실적" xfId="1689"/>
    <cellStyle name="_갑지양식_06년판매계획(최종)_7월 경영실적_9월 경영실적_7월 경영실적" xfId="1690"/>
    <cellStyle name="_갑지양식_06년판매계획(최종)_7월 경영실적_9월 경영실적_GI매원" xfId="1691"/>
    <cellStyle name="_갑지양식_06년판매계획(최종)_7월 경영실적_9월 경영실적_Sheet1" xfId="1692"/>
    <cellStyle name="_갑지양식_06년판매계획(최종)_7월 경영실적_9월 경영실적_칼라매원" xfId="1693"/>
    <cellStyle name="_갑지양식_06년판매계획(최종)_GI매원" xfId="1694"/>
    <cellStyle name="_갑지양식_06년판매계획(최종)_Sheet1" xfId="1695"/>
    <cellStyle name="_갑지양식_06년판매계획(최종)_칼라매원" xfId="1696"/>
    <cellStyle name="_갑지양식_12" xfId="1697"/>
    <cellStyle name="_갑지양식_2006년 경영계획(1안)" xfId="313"/>
    <cellStyle name="_갑지양식_2006년 경영계획(1안)_12" xfId="1698"/>
    <cellStyle name="_갑지양식_2006년 경영계획(1안)_2006년실적" xfId="314"/>
    <cellStyle name="_갑지양식_2006년 경영계획(1안)_2006년실적_2007년도 경영계획" xfId="315"/>
    <cellStyle name="_갑지양식_2006년 경영계획(1안)_2006년실적_2007년도 경영계획_GI 수정안" xfId="316"/>
    <cellStyle name="_갑지양식_2006년 경영계획(1안)_2007년 판매계획(GI)" xfId="317"/>
    <cellStyle name="_갑지양식_2006년 경영계획(1안)_2007년 판매계획(GI)_2007년도 경영계획" xfId="318"/>
    <cellStyle name="_갑지양식_2006년 경영계획(1안)_2007년 판매계획(GI)_2007년도 경영계획_GI 수정안" xfId="319"/>
    <cellStyle name="_갑지양식_2006년 경영계획(1안)_2007년판매계획(영업안)_영업2차확정안_20061103" xfId="320"/>
    <cellStyle name="_갑지양식_2006년 경영계획(1안)_2007년판매계획(영업안)_영업2차확정안_20061103_2007년도 경영계획" xfId="321"/>
    <cellStyle name="_갑지양식_2006년 경영계획(1안)_2007년판매계획(영업안)_영업2차확정안_20061103_2007년도 경영계획_GI 수정안" xfId="322"/>
    <cellStyle name="_갑지양식_2006년 경영계획(1안)_5월 경영실적" xfId="1699"/>
    <cellStyle name="_갑지양식_2006년 경영계획(1안)_6월 경영실적" xfId="1700"/>
    <cellStyle name="_갑지양식_2006년 경영계획(1안)_7월 경영실적" xfId="1701"/>
    <cellStyle name="_갑지양식_2006년 경영계획(1안)_7월 경영실적_9월 경영실적" xfId="1702"/>
    <cellStyle name="_갑지양식_2006년 경영계획(1안)_7월 경영실적_9월 경영실적_12" xfId="1703"/>
    <cellStyle name="_갑지양식_2006년 경영계획(1안)_7월 경영실적_9월 경영실적_5월 경영실적" xfId="1704"/>
    <cellStyle name="_갑지양식_2006년 경영계획(1안)_7월 경영실적_9월 경영실적_6월 경영실적" xfId="1705"/>
    <cellStyle name="_갑지양식_2006년 경영계획(1안)_7월 경영실적_9월 경영실적_7월 경영실적" xfId="1706"/>
    <cellStyle name="_갑지양식_2006년 경영계획(1안)_7월 경영실적_9월 경영실적_GI매원" xfId="1707"/>
    <cellStyle name="_갑지양식_2006년 경영계획(1안)_7월 경영실적_9월 경영실적_Sheet1" xfId="1708"/>
    <cellStyle name="_갑지양식_2006년 경영계획(1안)_7월 경영실적_9월 경영실적_칼라매원" xfId="1709"/>
    <cellStyle name="_갑지양식_2006년 경영계획(1안)_GI매원" xfId="1710"/>
    <cellStyle name="_갑지양식_2006년 경영계획(1안)_Sheet1" xfId="1711"/>
    <cellStyle name="_갑지양식_2006년 경영계획(1안)_칼라매원" xfId="1712"/>
    <cellStyle name="_갑지양식_2006년 경영계획(안)" xfId="323"/>
    <cellStyle name="_갑지양식_2006년 경영계획(안)_12" xfId="1713"/>
    <cellStyle name="_갑지양식_2006년 경영계획(안)_2006년실적" xfId="324"/>
    <cellStyle name="_갑지양식_2006년 경영계획(안)_2006년실적_2007년도 경영계획" xfId="325"/>
    <cellStyle name="_갑지양식_2006년 경영계획(안)_2006년실적_2007년도 경영계획_GI 수정안" xfId="326"/>
    <cellStyle name="_갑지양식_2006년 경영계획(안)_2007년 판매계획(GI)" xfId="327"/>
    <cellStyle name="_갑지양식_2006년 경영계획(안)_2007년 판매계획(GI)_2007년도 경영계획" xfId="328"/>
    <cellStyle name="_갑지양식_2006년 경영계획(안)_2007년 판매계획(GI)_2007년도 경영계획_GI 수정안" xfId="329"/>
    <cellStyle name="_갑지양식_2006년 경영계획(안)_2007년판매계획(영업안)_영업2차확정안_20061103" xfId="330"/>
    <cellStyle name="_갑지양식_2006년 경영계획(안)_2007년판매계획(영업안)_영업2차확정안_20061103_2007년도 경영계획" xfId="331"/>
    <cellStyle name="_갑지양식_2006년 경영계획(안)_2007년판매계획(영업안)_영업2차확정안_20061103_2007년도 경영계획_GI 수정안" xfId="332"/>
    <cellStyle name="_갑지양식_2006년 경영계획(안)_5월 경영실적" xfId="1714"/>
    <cellStyle name="_갑지양식_2006년 경영계획(안)_6월 경영실적" xfId="1715"/>
    <cellStyle name="_갑지양식_2006년 경영계획(안)_7월 경영실적" xfId="1716"/>
    <cellStyle name="_갑지양식_2006년 경영계획(안)_7월 경영실적_9월 경영실적" xfId="1717"/>
    <cellStyle name="_갑지양식_2006년 경영계획(안)_7월 경영실적_9월 경영실적_12" xfId="1718"/>
    <cellStyle name="_갑지양식_2006년 경영계획(안)_7월 경영실적_9월 경영실적_5월 경영실적" xfId="1719"/>
    <cellStyle name="_갑지양식_2006년 경영계획(안)_7월 경영실적_9월 경영실적_6월 경영실적" xfId="1720"/>
    <cellStyle name="_갑지양식_2006년 경영계획(안)_7월 경영실적_9월 경영실적_7월 경영실적" xfId="1721"/>
    <cellStyle name="_갑지양식_2006년 경영계획(안)_7월 경영실적_9월 경영실적_GI매원" xfId="1722"/>
    <cellStyle name="_갑지양식_2006년 경영계획(안)_7월 경영실적_9월 경영실적_Sheet1" xfId="1723"/>
    <cellStyle name="_갑지양식_2006년 경영계획(안)_7월 경영실적_9월 경영실적_칼라매원" xfId="1724"/>
    <cellStyle name="_갑지양식_2006년 경영계획(안)_GI매원" xfId="1725"/>
    <cellStyle name="_갑지양식_2006년 경영계획(안)_Sheet1" xfId="1726"/>
    <cellStyle name="_갑지양식_2006년 경영계획(안)_칼라매원" xfId="1727"/>
    <cellStyle name="_갑지양식_2006년실적" xfId="333"/>
    <cellStyle name="_갑지양식_2006년실적_2007년도 경영계획" xfId="334"/>
    <cellStyle name="_갑지양식_2006년실적_2007년도 경영계획_GI 수정안" xfId="335"/>
    <cellStyle name="_갑지양식_2007년 판매계획(GI)" xfId="336"/>
    <cellStyle name="_갑지양식_2007년 판매계획(GI)_2007년도 경영계획" xfId="337"/>
    <cellStyle name="_갑지양식_2007년 판매계획(GI)_2007년도 경영계획_GI 수정안" xfId="338"/>
    <cellStyle name="_갑지양식_2007년판매계획(영업안)_영업2차확정안_20061103" xfId="339"/>
    <cellStyle name="_갑지양식_2007년판매계획(영업안)_영업2차확정안_20061103_2007년도 경영계획" xfId="340"/>
    <cellStyle name="_갑지양식_2007년판매계획(영업안)_영업2차확정안_20061103_2007년도 경영계획_GI 수정안" xfId="341"/>
    <cellStyle name="_갑지양식_2008년 도급비 지급현황" xfId="4265"/>
    <cellStyle name="_갑지양식_2008년 도급비 지급현황_2008년 도급비 지급현황" xfId="4264"/>
    <cellStyle name="_갑지양식_2008년 도급비 지급현황_2008년 도급비 지급현황_2008년 도급비 지급현황" xfId="4263"/>
    <cellStyle name="_갑지양식_2008년 도급비 지급현황_2008년 도급비 지급현황_2008년 도급비 지급현황_2009년 도급비 지급현황" xfId="4262"/>
    <cellStyle name="_갑지양식_2008년 도급비 지급현황_2009년 도급비 지급현황" xfId="4261"/>
    <cellStyle name="_갑지양식_5월 경영실적" xfId="1728"/>
    <cellStyle name="_갑지양식_6월 경영실적" xfId="1729"/>
    <cellStyle name="_갑지양식_7월 경영실적" xfId="1730"/>
    <cellStyle name="_갑지양식_7월 경영실적_9월 경영실적" xfId="1731"/>
    <cellStyle name="_갑지양식_7월 경영실적_9월 경영실적_12" xfId="1732"/>
    <cellStyle name="_갑지양식_7월 경영실적_9월 경영실적_5월 경영실적" xfId="1733"/>
    <cellStyle name="_갑지양식_7월 경영실적_9월 경영실적_6월 경영실적" xfId="1734"/>
    <cellStyle name="_갑지양식_7월 경영실적_9월 경영실적_7월 경영실적" xfId="1735"/>
    <cellStyle name="_갑지양식_7월 경영실적_9월 경영실적_GI매원" xfId="1736"/>
    <cellStyle name="_갑지양식_7월 경영실적_9월 경영실적_Sheet1" xfId="1737"/>
    <cellStyle name="_갑지양식_7월 경영실적_9월 경영실적_칼라매원" xfId="1738"/>
    <cellStyle name="_갑지양식_GI매원" xfId="1739"/>
    <cellStyle name="_갑지양식_Sheet1" xfId="1740"/>
    <cellStyle name="_갑지양식_칼라매원" xfId="1741"/>
    <cellStyle name="_견적공종대비" xfId="342"/>
    <cellStyle name="_견적공종대비_06년판매계획(최종)" xfId="343"/>
    <cellStyle name="_견적공종대비_06년판매계획(최종)_12" xfId="1742"/>
    <cellStyle name="_견적공종대비_06년판매계획(최종)_2006년실적" xfId="344"/>
    <cellStyle name="_견적공종대비_06년판매계획(최종)_2006년실적_2007년도 경영계획" xfId="345"/>
    <cellStyle name="_견적공종대비_06년판매계획(최종)_2006년실적_2007년도 경영계획_GI 수정안" xfId="346"/>
    <cellStyle name="_견적공종대비_06년판매계획(최종)_2007년 판매계획(GI)" xfId="347"/>
    <cellStyle name="_견적공종대비_06년판매계획(최종)_2007년 판매계획(GI)_2007년도 경영계획" xfId="348"/>
    <cellStyle name="_견적공종대비_06년판매계획(최종)_2007년 판매계획(GI)_2007년도 경영계획_GI 수정안" xfId="349"/>
    <cellStyle name="_견적공종대비_06년판매계획(최종)_2007년판매계획(영업안)_영업2차확정안_20061103" xfId="350"/>
    <cellStyle name="_견적공종대비_06년판매계획(최종)_2007년판매계획(영업안)_영업2차확정안_20061103_2007년도 경영계획" xfId="351"/>
    <cellStyle name="_견적공종대비_06년판매계획(최종)_2007년판매계획(영업안)_영업2차확정안_20061103_2007년도 경영계획_GI 수정안" xfId="352"/>
    <cellStyle name="_견적공종대비_06년판매계획(최종)_5월 경영실적" xfId="1743"/>
    <cellStyle name="_견적공종대비_06년판매계획(최종)_6월 경영실적" xfId="1744"/>
    <cellStyle name="_견적공종대비_06년판매계획(최종)_7월 경영실적" xfId="1745"/>
    <cellStyle name="_견적공종대비_06년판매계획(최종)_7월 경영실적_9월 경영실적" xfId="1746"/>
    <cellStyle name="_견적공종대비_06년판매계획(최종)_7월 경영실적_9월 경영실적_12" xfId="1747"/>
    <cellStyle name="_견적공종대비_06년판매계획(최종)_7월 경영실적_9월 경영실적_5월 경영실적" xfId="1748"/>
    <cellStyle name="_견적공종대비_06년판매계획(최종)_7월 경영실적_9월 경영실적_6월 경영실적" xfId="1749"/>
    <cellStyle name="_견적공종대비_06년판매계획(최종)_7월 경영실적_9월 경영실적_7월 경영실적" xfId="1750"/>
    <cellStyle name="_견적공종대비_06년판매계획(최종)_7월 경영실적_9월 경영실적_GI매원" xfId="1751"/>
    <cellStyle name="_견적공종대비_06년판매계획(최종)_7월 경영실적_9월 경영실적_Sheet1" xfId="1752"/>
    <cellStyle name="_견적공종대비_06년판매계획(최종)_7월 경영실적_9월 경영실적_칼라매원" xfId="1753"/>
    <cellStyle name="_견적공종대비_06년판매계획(최종)_GI매원" xfId="1754"/>
    <cellStyle name="_견적공종대비_06년판매계획(최종)_Sheet1" xfId="1755"/>
    <cellStyle name="_견적공종대비_06년판매계획(최종)_칼라매원" xfId="1756"/>
    <cellStyle name="_견적공종대비_12" xfId="1757"/>
    <cellStyle name="_견적공종대비_2006년 경영계획(1안)" xfId="353"/>
    <cellStyle name="_견적공종대비_2006년 경영계획(1안)_12" xfId="1758"/>
    <cellStyle name="_견적공종대비_2006년 경영계획(1안)_2006년실적" xfId="354"/>
    <cellStyle name="_견적공종대비_2006년 경영계획(1안)_2006년실적_2007년도 경영계획" xfId="355"/>
    <cellStyle name="_견적공종대비_2006년 경영계획(1안)_2006년실적_2007년도 경영계획_GI 수정안" xfId="356"/>
    <cellStyle name="_견적공종대비_2006년 경영계획(1안)_2007년 판매계획(GI)" xfId="357"/>
    <cellStyle name="_견적공종대비_2006년 경영계획(1안)_2007년 판매계획(GI)_2007년도 경영계획" xfId="358"/>
    <cellStyle name="_견적공종대비_2006년 경영계획(1안)_2007년 판매계획(GI)_2007년도 경영계획_GI 수정안" xfId="359"/>
    <cellStyle name="_견적공종대비_2006년 경영계획(1안)_2007년판매계획(영업안)_영업2차확정안_20061103" xfId="360"/>
    <cellStyle name="_견적공종대비_2006년 경영계획(1안)_2007년판매계획(영업안)_영업2차확정안_20061103_2007년도 경영계획" xfId="361"/>
    <cellStyle name="_견적공종대비_2006년 경영계획(1안)_2007년판매계획(영업안)_영업2차확정안_20061103_2007년도 경영계획_GI 수정안" xfId="362"/>
    <cellStyle name="_견적공종대비_2006년 경영계획(1안)_5월 경영실적" xfId="1759"/>
    <cellStyle name="_견적공종대비_2006년 경영계획(1안)_6월 경영실적" xfId="1760"/>
    <cellStyle name="_견적공종대비_2006년 경영계획(1안)_7월 경영실적" xfId="1761"/>
    <cellStyle name="_견적공종대비_2006년 경영계획(1안)_7월 경영실적_9월 경영실적" xfId="1762"/>
    <cellStyle name="_견적공종대비_2006년 경영계획(1안)_7월 경영실적_9월 경영실적_12" xfId="1763"/>
    <cellStyle name="_견적공종대비_2006년 경영계획(1안)_7월 경영실적_9월 경영실적_5월 경영실적" xfId="1764"/>
    <cellStyle name="_견적공종대비_2006년 경영계획(1안)_7월 경영실적_9월 경영실적_6월 경영실적" xfId="1765"/>
    <cellStyle name="_견적공종대비_2006년 경영계획(1안)_7월 경영실적_9월 경영실적_7월 경영실적" xfId="1766"/>
    <cellStyle name="_견적공종대비_2006년 경영계획(1안)_7월 경영실적_9월 경영실적_GI매원" xfId="1767"/>
    <cellStyle name="_견적공종대비_2006년 경영계획(1안)_7월 경영실적_9월 경영실적_Sheet1" xfId="1768"/>
    <cellStyle name="_견적공종대비_2006년 경영계획(1안)_7월 경영실적_9월 경영실적_칼라매원" xfId="1769"/>
    <cellStyle name="_견적공종대비_2006년 경영계획(1안)_GI매원" xfId="1770"/>
    <cellStyle name="_견적공종대비_2006년 경영계획(1안)_Sheet1" xfId="1771"/>
    <cellStyle name="_견적공종대비_2006년 경영계획(1안)_칼라매원" xfId="1772"/>
    <cellStyle name="_견적공종대비_2006년 경영계획(안)" xfId="363"/>
    <cellStyle name="_견적공종대비_2006년 경영계획(안)_12" xfId="1773"/>
    <cellStyle name="_견적공종대비_2006년 경영계획(안)_2006년실적" xfId="364"/>
    <cellStyle name="_견적공종대비_2006년 경영계획(안)_2006년실적_2007년도 경영계획" xfId="365"/>
    <cellStyle name="_견적공종대비_2006년 경영계획(안)_2006년실적_2007년도 경영계획_GI 수정안" xfId="366"/>
    <cellStyle name="_견적공종대비_2006년 경영계획(안)_2007년 판매계획(GI)" xfId="367"/>
    <cellStyle name="_견적공종대비_2006년 경영계획(안)_2007년 판매계획(GI)_2007년도 경영계획" xfId="368"/>
    <cellStyle name="_견적공종대비_2006년 경영계획(안)_2007년 판매계획(GI)_2007년도 경영계획_GI 수정안" xfId="369"/>
    <cellStyle name="_견적공종대비_2006년 경영계획(안)_2007년판매계획(영업안)_영업2차확정안_20061103" xfId="370"/>
    <cellStyle name="_견적공종대비_2006년 경영계획(안)_2007년판매계획(영업안)_영업2차확정안_20061103_2007년도 경영계획" xfId="371"/>
    <cellStyle name="_견적공종대비_2006년 경영계획(안)_2007년판매계획(영업안)_영업2차확정안_20061103_2007년도 경영계획_GI 수정안" xfId="372"/>
    <cellStyle name="_견적공종대비_2006년 경영계획(안)_5월 경영실적" xfId="1774"/>
    <cellStyle name="_견적공종대비_2006년 경영계획(안)_6월 경영실적" xfId="1775"/>
    <cellStyle name="_견적공종대비_2006년 경영계획(안)_7월 경영실적" xfId="1776"/>
    <cellStyle name="_견적공종대비_2006년 경영계획(안)_7월 경영실적_9월 경영실적" xfId="1777"/>
    <cellStyle name="_견적공종대비_2006년 경영계획(안)_7월 경영실적_9월 경영실적_12" xfId="1778"/>
    <cellStyle name="_견적공종대비_2006년 경영계획(안)_7월 경영실적_9월 경영실적_5월 경영실적" xfId="1779"/>
    <cellStyle name="_견적공종대비_2006년 경영계획(안)_7월 경영실적_9월 경영실적_6월 경영실적" xfId="1780"/>
    <cellStyle name="_견적공종대비_2006년 경영계획(안)_7월 경영실적_9월 경영실적_7월 경영실적" xfId="1781"/>
    <cellStyle name="_견적공종대비_2006년 경영계획(안)_7월 경영실적_9월 경영실적_GI매원" xfId="1782"/>
    <cellStyle name="_견적공종대비_2006년 경영계획(안)_7월 경영실적_9월 경영실적_Sheet1" xfId="1783"/>
    <cellStyle name="_견적공종대비_2006년 경영계획(안)_7월 경영실적_9월 경영실적_칼라매원" xfId="1784"/>
    <cellStyle name="_견적공종대비_2006년 경영계획(안)_GI매원" xfId="1785"/>
    <cellStyle name="_견적공종대비_2006년 경영계획(안)_Sheet1" xfId="1786"/>
    <cellStyle name="_견적공종대비_2006년 경영계획(안)_칼라매원" xfId="1787"/>
    <cellStyle name="_견적공종대비_2006년실적" xfId="373"/>
    <cellStyle name="_견적공종대비_2006년실적_2007년도 경영계획" xfId="374"/>
    <cellStyle name="_견적공종대비_2006년실적_2007년도 경영계획_GI 수정안" xfId="375"/>
    <cellStyle name="_견적공종대비_2007년 판매계획(GI)" xfId="376"/>
    <cellStyle name="_견적공종대비_2007년 판매계획(GI)_2007년도 경영계획" xfId="377"/>
    <cellStyle name="_견적공종대비_2007년 판매계획(GI)_2007년도 경영계획_GI 수정안" xfId="378"/>
    <cellStyle name="_견적공종대비_2007년판매계획(영업안)_영업2차확정안_20061103" xfId="379"/>
    <cellStyle name="_견적공종대비_2007년판매계획(영업안)_영업2차확정안_20061103_2007년도 경영계획" xfId="380"/>
    <cellStyle name="_견적공종대비_2007년판매계획(영업안)_영업2차확정안_20061103_2007년도 경영계획_GI 수정안" xfId="381"/>
    <cellStyle name="_견적공종대비_2008년 도급비 지급현황" xfId="4260"/>
    <cellStyle name="_견적공종대비_2008년 도급비 지급현황_2008년 도급비 지급현황" xfId="4259"/>
    <cellStyle name="_견적공종대비_2008년 도급비 지급현황_2008년 도급비 지급현황_2008년 도급비 지급현황" xfId="4258"/>
    <cellStyle name="_견적공종대비_2008년 도급비 지급현황_2008년 도급비 지급현황_2008년 도급비 지급현황_2009년 도급비 지급현황" xfId="4257"/>
    <cellStyle name="_견적공종대비_2008년 도급비 지급현황_2009년 도급비 지급현황" xfId="4256"/>
    <cellStyle name="_견적공종대비_5월 경영실적" xfId="1788"/>
    <cellStyle name="_견적공종대비_6월 경영실적" xfId="1789"/>
    <cellStyle name="_견적공종대비_7월 경영실적" xfId="1790"/>
    <cellStyle name="_견적공종대비_7월 경영실적_9월 경영실적" xfId="1791"/>
    <cellStyle name="_견적공종대비_7월 경영실적_9월 경영실적_12" xfId="1792"/>
    <cellStyle name="_견적공종대비_7월 경영실적_9월 경영실적_5월 경영실적" xfId="1793"/>
    <cellStyle name="_견적공종대비_7월 경영실적_9월 경영실적_6월 경영실적" xfId="1794"/>
    <cellStyle name="_견적공종대비_7월 경영실적_9월 경영실적_7월 경영실적" xfId="1795"/>
    <cellStyle name="_견적공종대비_7월 경영실적_9월 경영실적_GI매원" xfId="1796"/>
    <cellStyle name="_견적공종대비_7월 경영실적_9월 경영실적_Sheet1" xfId="1797"/>
    <cellStyle name="_견적공종대비_7월 경영실적_9월 경영실적_칼라매원" xfId="1798"/>
    <cellStyle name="_견적공종대비_GI매원" xfId="1799"/>
    <cellStyle name="_견적공종대비_Sheet1" xfId="1800"/>
    <cellStyle name="_견적공종대비_칼라매원" xfId="1801"/>
    <cellStyle name="_견적서갑지양식" xfId="382"/>
    <cellStyle name="_견적서갑지양식_06년판매계획(최종)" xfId="383"/>
    <cellStyle name="_견적서갑지양식_06년판매계획(최종)_12" xfId="1802"/>
    <cellStyle name="_견적서갑지양식_06년판매계획(최종)_2006년실적" xfId="384"/>
    <cellStyle name="_견적서갑지양식_06년판매계획(최종)_2006년실적_2007년도 경영계획" xfId="385"/>
    <cellStyle name="_견적서갑지양식_06년판매계획(최종)_2006년실적_2007년도 경영계획_GI 수정안" xfId="386"/>
    <cellStyle name="_견적서갑지양식_06년판매계획(최종)_2007년 판매계획(GI)" xfId="387"/>
    <cellStyle name="_견적서갑지양식_06년판매계획(최종)_2007년 판매계획(GI)_2007년도 경영계획" xfId="388"/>
    <cellStyle name="_견적서갑지양식_06년판매계획(최종)_2007년 판매계획(GI)_2007년도 경영계획_GI 수정안" xfId="389"/>
    <cellStyle name="_견적서갑지양식_06년판매계획(최종)_2007년판매계획(영업안)_영업2차확정안_20061103" xfId="390"/>
    <cellStyle name="_견적서갑지양식_06년판매계획(최종)_2007년판매계획(영업안)_영업2차확정안_20061103_2007년도 경영계획" xfId="391"/>
    <cellStyle name="_견적서갑지양식_06년판매계획(최종)_2007년판매계획(영업안)_영업2차확정안_20061103_2007년도 경영계획_GI 수정안" xfId="392"/>
    <cellStyle name="_견적서갑지양식_06년판매계획(최종)_5월 경영실적" xfId="1803"/>
    <cellStyle name="_견적서갑지양식_06년판매계획(최종)_6월 경영실적" xfId="1804"/>
    <cellStyle name="_견적서갑지양식_06년판매계획(최종)_7월 경영실적" xfId="1805"/>
    <cellStyle name="_견적서갑지양식_06년판매계획(최종)_7월 경영실적_9월 경영실적" xfId="1806"/>
    <cellStyle name="_견적서갑지양식_06년판매계획(최종)_7월 경영실적_9월 경영실적_12" xfId="1807"/>
    <cellStyle name="_견적서갑지양식_06년판매계획(최종)_7월 경영실적_9월 경영실적_5월 경영실적" xfId="1808"/>
    <cellStyle name="_견적서갑지양식_06년판매계획(최종)_7월 경영실적_9월 경영실적_6월 경영실적" xfId="1809"/>
    <cellStyle name="_견적서갑지양식_06년판매계획(최종)_7월 경영실적_9월 경영실적_7월 경영실적" xfId="1810"/>
    <cellStyle name="_견적서갑지양식_06년판매계획(최종)_7월 경영실적_9월 경영실적_GI매원" xfId="1811"/>
    <cellStyle name="_견적서갑지양식_06년판매계획(최종)_7월 경영실적_9월 경영실적_Sheet1" xfId="1812"/>
    <cellStyle name="_견적서갑지양식_06년판매계획(최종)_7월 경영실적_9월 경영실적_칼라매원" xfId="1813"/>
    <cellStyle name="_견적서갑지양식_06년판매계획(최종)_GI매원" xfId="1814"/>
    <cellStyle name="_견적서갑지양식_06년판매계획(최종)_Sheet1" xfId="1815"/>
    <cellStyle name="_견적서갑지양식_06년판매계획(최종)_칼라매원" xfId="1816"/>
    <cellStyle name="_견적서갑지양식_12" xfId="1817"/>
    <cellStyle name="_견적서갑지양식_2006년 경영계획(1안)" xfId="393"/>
    <cellStyle name="_견적서갑지양식_2006년 경영계획(1안)_12" xfId="1818"/>
    <cellStyle name="_견적서갑지양식_2006년 경영계획(1안)_2006년실적" xfId="394"/>
    <cellStyle name="_견적서갑지양식_2006년 경영계획(1안)_2006년실적_2007년도 경영계획" xfId="395"/>
    <cellStyle name="_견적서갑지양식_2006년 경영계획(1안)_2006년실적_2007년도 경영계획_GI 수정안" xfId="396"/>
    <cellStyle name="_견적서갑지양식_2006년 경영계획(1안)_2007년 판매계획(GI)" xfId="397"/>
    <cellStyle name="_견적서갑지양식_2006년 경영계획(1안)_2007년 판매계획(GI)_2007년도 경영계획" xfId="398"/>
    <cellStyle name="_견적서갑지양식_2006년 경영계획(1안)_2007년 판매계획(GI)_2007년도 경영계획_GI 수정안" xfId="399"/>
    <cellStyle name="_견적서갑지양식_2006년 경영계획(1안)_2007년판매계획(영업안)_영업2차확정안_20061103" xfId="400"/>
    <cellStyle name="_견적서갑지양식_2006년 경영계획(1안)_2007년판매계획(영업안)_영업2차확정안_20061103_2007년도 경영계획" xfId="401"/>
    <cellStyle name="_견적서갑지양식_2006년 경영계획(1안)_2007년판매계획(영업안)_영업2차확정안_20061103_2007년도 경영계획_GI 수정안" xfId="402"/>
    <cellStyle name="_견적서갑지양식_2006년 경영계획(1안)_5월 경영실적" xfId="1819"/>
    <cellStyle name="_견적서갑지양식_2006년 경영계획(1안)_6월 경영실적" xfId="1820"/>
    <cellStyle name="_견적서갑지양식_2006년 경영계획(1안)_7월 경영실적" xfId="1821"/>
    <cellStyle name="_견적서갑지양식_2006년 경영계획(1안)_7월 경영실적_9월 경영실적" xfId="1822"/>
    <cellStyle name="_견적서갑지양식_2006년 경영계획(1안)_7월 경영실적_9월 경영실적_12" xfId="1823"/>
    <cellStyle name="_견적서갑지양식_2006년 경영계획(1안)_7월 경영실적_9월 경영실적_5월 경영실적" xfId="1824"/>
    <cellStyle name="_견적서갑지양식_2006년 경영계획(1안)_7월 경영실적_9월 경영실적_6월 경영실적" xfId="1825"/>
    <cellStyle name="_견적서갑지양식_2006년 경영계획(1안)_7월 경영실적_9월 경영실적_7월 경영실적" xfId="1826"/>
    <cellStyle name="_견적서갑지양식_2006년 경영계획(1안)_7월 경영실적_9월 경영실적_GI매원" xfId="1827"/>
    <cellStyle name="_견적서갑지양식_2006년 경영계획(1안)_7월 경영실적_9월 경영실적_Sheet1" xfId="1828"/>
    <cellStyle name="_견적서갑지양식_2006년 경영계획(1안)_7월 경영실적_9월 경영실적_칼라매원" xfId="1829"/>
    <cellStyle name="_견적서갑지양식_2006년 경영계획(1안)_GI매원" xfId="1830"/>
    <cellStyle name="_견적서갑지양식_2006년 경영계획(1안)_Sheet1" xfId="1831"/>
    <cellStyle name="_견적서갑지양식_2006년 경영계획(1안)_칼라매원" xfId="1832"/>
    <cellStyle name="_견적서갑지양식_2006년 경영계획(안)" xfId="403"/>
    <cellStyle name="_견적서갑지양식_2006년 경영계획(안)_12" xfId="1833"/>
    <cellStyle name="_견적서갑지양식_2006년 경영계획(안)_2006년실적" xfId="404"/>
    <cellStyle name="_견적서갑지양식_2006년 경영계획(안)_2006년실적_2007년도 경영계획" xfId="405"/>
    <cellStyle name="_견적서갑지양식_2006년 경영계획(안)_2006년실적_2007년도 경영계획_GI 수정안" xfId="406"/>
    <cellStyle name="_견적서갑지양식_2006년 경영계획(안)_2007년 판매계획(GI)" xfId="407"/>
    <cellStyle name="_견적서갑지양식_2006년 경영계획(안)_2007년 판매계획(GI)_2007년도 경영계획" xfId="408"/>
    <cellStyle name="_견적서갑지양식_2006년 경영계획(안)_2007년 판매계획(GI)_2007년도 경영계획_GI 수정안" xfId="409"/>
    <cellStyle name="_견적서갑지양식_2006년 경영계획(안)_2007년판매계획(영업안)_영업2차확정안_20061103" xfId="410"/>
    <cellStyle name="_견적서갑지양식_2006년 경영계획(안)_2007년판매계획(영업안)_영업2차확정안_20061103_2007년도 경영계획" xfId="411"/>
    <cellStyle name="_견적서갑지양식_2006년 경영계획(안)_2007년판매계획(영업안)_영업2차확정안_20061103_2007년도 경영계획_GI 수정안" xfId="412"/>
    <cellStyle name="_견적서갑지양식_2006년 경영계획(안)_5월 경영실적" xfId="1834"/>
    <cellStyle name="_견적서갑지양식_2006년 경영계획(안)_6월 경영실적" xfId="1835"/>
    <cellStyle name="_견적서갑지양식_2006년 경영계획(안)_7월 경영실적" xfId="1836"/>
    <cellStyle name="_견적서갑지양식_2006년 경영계획(안)_7월 경영실적_9월 경영실적" xfId="1837"/>
    <cellStyle name="_견적서갑지양식_2006년 경영계획(안)_7월 경영실적_9월 경영실적_12" xfId="1838"/>
    <cellStyle name="_견적서갑지양식_2006년 경영계획(안)_7월 경영실적_9월 경영실적_5월 경영실적" xfId="1839"/>
    <cellStyle name="_견적서갑지양식_2006년 경영계획(안)_7월 경영실적_9월 경영실적_6월 경영실적" xfId="1840"/>
    <cellStyle name="_견적서갑지양식_2006년 경영계획(안)_7월 경영실적_9월 경영실적_7월 경영실적" xfId="1841"/>
    <cellStyle name="_견적서갑지양식_2006년 경영계획(안)_7월 경영실적_9월 경영실적_GI매원" xfId="1842"/>
    <cellStyle name="_견적서갑지양식_2006년 경영계획(안)_7월 경영실적_9월 경영실적_Sheet1" xfId="1843"/>
    <cellStyle name="_견적서갑지양식_2006년 경영계획(안)_7월 경영실적_9월 경영실적_칼라매원" xfId="1844"/>
    <cellStyle name="_견적서갑지양식_2006년 경영계획(안)_GI매원" xfId="1845"/>
    <cellStyle name="_견적서갑지양식_2006년 경영계획(안)_Sheet1" xfId="1846"/>
    <cellStyle name="_견적서갑지양식_2006년 경영계획(안)_칼라매원" xfId="1847"/>
    <cellStyle name="_견적서갑지양식_2006년실적" xfId="413"/>
    <cellStyle name="_견적서갑지양식_2006년실적_2007년도 경영계획" xfId="414"/>
    <cellStyle name="_견적서갑지양식_2006년실적_2007년도 경영계획_GI 수정안" xfId="415"/>
    <cellStyle name="_견적서갑지양식_2007년 판매계획(GI)" xfId="416"/>
    <cellStyle name="_견적서갑지양식_2007년 판매계획(GI)_2007년도 경영계획" xfId="417"/>
    <cellStyle name="_견적서갑지양식_2007년 판매계획(GI)_2007년도 경영계획_GI 수정안" xfId="418"/>
    <cellStyle name="_견적서갑지양식_2007년판매계획(영업안)_영업2차확정안_20061103" xfId="419"/>
    <cellStyle name="_견적서갑지양식_2007년판매계획(영업안)_영업2차확정안_20061103_2007년도 경영계획" xfId="420"/>
    <cellStyle name="_견적서갑지양식_2007년판매계획(영업안)_영업2차확정안_20061103_2007년도 경영계획_GI 수정안" xfId="421"/>
    <cellStyle name="_견적서갑지양식_2008년 도급비 지급현황" xfId="4255"/>
    <cellStyle name="_견적서갑지양식_2008년 도급비 지급현황_2008년 도급비 지급현황" xfId="4254"/>
    <cellStyle name="_견적서갑지양식_2008년 도급비 지급현황_2008년 도급비 지급현황_2008년 도급비 지급현황" xfId="4253"/>
    <cellStyle name="_견적서갑지양식_2008년 도급비 지급현황_2008년 도급비 지급현황_2008년 도급비 지급현황_2009년 도급비 지급현황" xfId="4252"/>
    <cellStyle name="_견적서갑지양식_2008년 도급비 지급현황_2009년 도급비 지급현황" xfId="4251"/>
    <cellStyle name="_견적서갑지양식_5월 경영실적" xfId="1848"/>
    <cellStyle name="_견적서갑지양식_6월 경영실적" xfId="1849"/>
    <cellStyle name="_견적서갑지양식_7월 경영실적" xfId="1850"/>
    <cellStyle name="_견적서갑지양식_7월 경영실적_9월 경영실적" xfId="1851"/>
    <cellStyle name="_견적서갑지양식_7월 경영실적_9월 경영실적_12" xfId="1852"/>
    <cellStyle name="_견적서갑지양식_7월 경영실적_9월 경영실적_5월 경영실적" xfId="1853"/>
    <cellStyle name="_견적서갑지양식_7월 경영실적_9월 경영실적_6월 경영실적" xfId="1854"/>
    <cellStyle name="_견적서갑지양식_7월 경영실적_9월 경영실적_7월 경영실적" xfId="1855"/>
    <cellStyle name="_견적서갑지양식_7월 경영실적_9월 경영실적_GI매원" xfId="1856"/>
    <cellStyle name="_견적서갑지양식_7월 경영실적_9월 경영실적_Sheet1" xfId="1857"/>
    <cellStyle name="_견적서갑지양식_7월 경영실적_9월 경영실적_칼라매원" xfId="1858"/>
    <cellStyle name="_견적서갑지양식_GI매원" xfId="1859"/>
    <cellStyle name="_견적서갑지양식_Sheet1" xfId="1860"/>
    <cellStyle name="_견적서갑지양식_칼라매원" xfId="1861"/>
    <cellStyle name="_견적서양식" xfId="422"/>
    <cellStyle name="_고가차도산출서" xfId="423"/>
    <cellStyle name="_고려-수원미네시티(작업)" xfId="424"/>
    <cellStyle name="_공량단가산출서" xfId="425"/>
    <cellStyle name="_공량단가산출서_06년판매계획(최종)" xfId="426"/>
    <cellStyle name="_공량단가산출서_06년판매계획(최종)_12" xfId="1862"/>
    <cellStyle name="_공량단가산출서_06년판매계획(최종)_2006년실적" xfId="427"/>
    <cellStyle name="_공량단가산출서_06년판매계획(최종)_2006년실적_2007년도 경영계획" xfId="428"/>
    <cellStyle name="_공량단가산출서_06년판매계획(최종)_2006년실적_2007년도 경영계획_GI 수정안" xfId="429"/>
    <cellStyle name="_공량단가산출서_06년판매계획(최종)_2007년 판매계획(GI)" xfId="430"/>
    <cellStyle name="_공량단가산출서_06년판매계획(최종)_2007년 판매계획(GI)_2007년도 경영계획" xfId="431"/>
    <cellStyle name="_공량단가산출서_06년판매계획(최종)_2007년 판매계획(GI)_2007년도 경영계획_GI 수정안" xfId="432"/>
    <cellStyle name="_공량단가산출서_06년판매계획(최종)_2007년판매계획(영업안)_영업2차확정안_20061103" xfId="433"/>
    <cellStyle name="_공량단가산출서_06년판매계획(최종)_2007년판매계획(영업안)_영업2차확정안_20061103_2007년도 경영계획" xfId="434"/>
    <cellStyle name="_공량단가산출서_06년판매계획(최종)_2007년판매계획(영업안)_영업2차확정안_20061103_2007년도 경영계획_GI 수정안" xfId="435"/>
    <cellStyle name="_공량단가산출서_06년판매계획(최종)_5월 경영실적" xfId="1863"/>
    <cellStyle name="_공량단가산출서_06년판매계획(최종)_6월 경영실적" xfId="1864"/>
    <cellStyle name="_공량단가산출서_06년판매계획(최종)_7월 경영실적" xfId="1865"/>
    <cellStyle name="_공량단가산출서_06년판매계획(최종)_7월 경영실적_9월 경영실적" xfId="1866"/>
    <cellStyle name="_공량단가산출서_06년판매계획(최종)_7월 경영실적_9월 경영실적_12" xfId="1867"/>
    <cellStyle name="_공량단가산출서_06년판매계획(최종)_7월 경영실적_9월 경영실적_5월 경영실적" xfId="1868"/>
    <cellStyle name="_공량단가산출서_06년판매계획(최종)_7월 경영실적_9월 경영실적_6월 경영실적" xfId="1869"/>
    <cellStyle name="_공량단가산출서_06년판매계획(최종)_7월 경영실적_9월 경영실적_7월 경영실적" xfId="1870"/>
    <cellStyle name="_공량단가산출서_06년판매계획(최종)_7월 경영실적_9월 경영실적_GI매원" xfId="1871"/>
    <cellStyle name="_공량단가산출서_06년판매계획(최종)_7월 경영실적_9월 경영실적_Sheet1" xfId="1872"/>
    <cellStyle name="_공량단가산출서_06년판매계획(최종)_7월 경영실적_9월 경영실적_칼라매원" xfId="1873"/>
    <cellStyle name="_공량단가산출서_06년판매계획(최종)_GI매원" xfId="1874"/>
    <cellStyle name="_공량단가산출서_06년판매계획(최종)_Sheet1" xfId="1875"/>
    <cellStyle name="_공량단가산출서_06년판매계획(최종)_칼라매원" xfId="1876"/>
    <cellStyle name="_공량단가산출서_12" xfId="1877"/>
    <cellStyle name="_공량단가산출서_2006년 경영계획(1안)" xfId="436"/>
    <cellStyle name="_공량단가산출서_2006년 경영계획(1안)_12" xfId="1878"/>
    <cellStyle name="_공량단가산출서_2006년 경영계획(1안)_2006년실적" xfId="437"/>
    <cellStyle name="_공량단가산출서_2006년 경영계획(1안)_2006년실적_2007년도 경영계획" xfId="438"/>
    <cellStyle name="_공량단가산출서_2006년 경영계획(1안)_2006년실적_2007년도 경영계획_GI 수정안" xfId="439"/>
    <cellStyle name="_공량단가산출서_2006년 경영계획(1안)_2007년 판매계획(GI)" xfId="440"/>
    <cellStyle name="_공량단가산출서_2006년 경영계획(1안)_2007년 판매계획(GI)_2007년도 경영계획" xfId="441"/>
    <cellStyle name="_공량단가산출서_2006년 경영계획(1안)_2007년 판매계획(GI)_2007년도 경영계획_GI 수정안" xfId="442"/>
    <cellStyle name="_공량단가산출서_2006년 경영계획(1안)_2007년판매계획(영업안)_영업2차확정안_20061103" xfId="443"/>
    <cellStyle name="_공량단가산출서_2006년 경영계획(1안)_2007년판매계획(영업안)_영업2차확정안_20061103_2007년도 경영계획" xfId="444"/>
    <cellStyle name="_공량단가산출서_2006년 경영계획(1안)_2007년판매계획(영업안)_영업2차확정안_20061103_2007년도 경영계획_GI 수정안" xfId="445"/>
    <cellStyle name="_공량단가산출서_2006년 경영계획(1안)_5월 경영실적" xfId="1879"/>
    <cellStyle name="_공량단가산출서_2006년 경영계획(1안)_6월 경영실적" xfId="1880"/>
    <cellStyle name="_공량단가산출서_2006년 경영계획(1안)_7월 경영실적" xfId="1881"/>
    <cellStyle name="_공량단가산출서_2006년 경영계획(1안)_7월 경영실적_9월 경영실적" xfId="1882"/>
    <cellStyle name="_공량단가산출서_2006년 경영계획(1안)_7월 경영실적_9월 경영실적_12" xfId="1883"/>
    <cellStyle name="_공량단가산출서_2006년 경영계획(1안)_7월 경영실적_9월 경영실적_5월 경영실적" xfId="1884"/>
    <cellStyle name="_공량단가산출서_2006년 경영계획(1안)_7월 경영실적_9월 경영실적_6월 경영실적" xfId="1885"/>
    <cellStyle name="_공량단가산출서_2006년 경영계획(1안)_7월 경영실적_9월 경영실적_7월 경영실적" xfId="1886"/>
    <cellStyle name="_공량단가산출서_2006년 경영계획(1안)_7월 경영실적_9월 경영실적_GI매원" xfId="1887"/>
    <cellStyle name="_공량단가산출서_2006년 경영계획(1안)_7월 경영실적_9월 경영실적_Sheet1" xfId="1888"/>
    <cellStyle name="_공량단가산출서_2006년 경영계획(1안)_7월 경영실적_9월 경영실적_칼라매원" xfId="1889"/>
    <cellStyle name="_공량단가산출서_2006년 경영계획(1안)_GI매원" xfId="1890"/>
    <cellStyle name="_공량단가산출서_2006년 경영계획(1안)_Sheet1" xfId="1891"/>
    <cellStyle name="_공량단가산출서_2006년 경영계획(1안)_칼라매원" xfId="1892"/>
    <cellStyle name="_공량단가산출서_2006년 경영계획(안)" xfId="446"/>
    <cellStyle name="_공량단가산출서_2006년 경영계획(안)_12" xfId="1893"/>
    <cellStyle name="_공량단가산출서_2006년 경영계획(안)_2006년실적" xfId="447"/>
    <cellStyle name="_공량단가산출서_2006년 경영계획(안)_2006년실적_2007년도 경영계획" xfId="448"/>
    <cellStyle name="_공량단가산출서_2006년 경영계획(안)_2006년실적_2007년도 경영계획_GI 수정안" xfId="449"/>
    <cellStyle name="_공량단가산출서_2006년 경영계획(안)_2007년 판매계획(GI)" xfId="450"/>
    <cellStyle name="_공량단가산출서_2006년 경영계획(안)_2007년 판매계획(GI)_2007년도 경영계획" xfId="451"/>
    <cellStyle name="_공량단가산출서_2006년 경영계획(안)_2007년 판매계획(GI)_2007년도 경영계획_GI 수정안" xfId="452"/>
    <cellStyle name="_공량단가산출서_2006년 경영계획(안)_2007년판매계획(영업안)_영업2차확정안_20061103" xfId="453"/>
    <cellStyle name="_공량단가산출서_2006년 경영계획(안)_2007년판매계획(영업안)_영업2차확정안_20061103_2007년도 경영계획" xfId="454"/>
    <cellStyle name="_공량단가산출서_2006년 경영계획(안)_2007년판매계획(영업안)_영업2차확정안_20061103_2007년도 경영계획_GI 수정안" xfId="455"/>
    <cellStyle name="_공량단가산출서_2006년 경영계획(안)_5월 경영실적" xfId="1894"/>
    <cellStyle name="_공량단가산출서_2006년 경영계획(안)_6월 경영실적" xfId="1895"/>
    <cellStyle name="_공량단가산출서_2006년 경영계획(안)_7월 경영실적" xfId="1896"/>
    <cellStyle name="_공량단가산출서_2006년 경영계획(안)_7월 경영실적_9월 경영실적" xfId="1897"/>
    <cellStyle name="_공량단가산출서_2006년 경영계획(안)_7월 경영실적_9월 경영실적_12" xfId="1898"/>
    <cellStyle name="_공량단가산출서_2006년 경영계획(안)_7월 경영실적_9월 경영실적_5월 경영실적" xfId="1899"/>
    <cellStyle name="_공량단가산출서_2006년 경영계획(안)_7월 경영실적_9월 경영실적_6월 경영실적" xfId="1900"/>
    <cellStyle name="_공량단가산출서_2006년 경영계획(안)_7월 경영실적_9월 경영실적_7월 경영실적" xfId="1901"/>
    <cellStyle name="_공량단가산출서_2006년 경영계획(안)_7월 경영실적_9월 경영실적_GI매원" xfId="1902"/>
    <cellStyle name="_공량단가산출서_2006년 경영계획(안)_7월 경영실적_9월 경영실적_Sheet1" xfId="1903"/>
    <cellStyle name="_공량단가산출서_2006년 경영계획(안)_7월 경영실적_9월 경영실적_칼라매원" xfId="1904"/>
    <cellStyle name="_공량단가산출서_2006년 경영계획(안)_GI매원" xfId="1905"/>
    <cellStyle name="_공량단가산출서_2006년 경영계획(안)_Sheet1" xfId="1906"/>
    <cellStyle name="_공량단가산출서_2006년 경영계획(안)_칼라매원" xfId="1907"/>
    <cellStyle name="_공량단가산출서_2006년실적" xfId="456"/>
    <cellStyle name="_공량단가산출서_2006년실적_2007년도 경영계획" xfId="457"/>
    <cellStyle name="_공량단가산출서_2006년실적_2007년도 경영계획_GI 수정안" xfId="458"/>
    <cellStyle name="_공량단가산출서_2007년 판매계획(GI)" xfId="459"/>
    <cellStyle name="_공량단가산출서_2007년 판매계획(GI)_2007년도 경영계획" xfId="460"/>
    <cellStyle name="_공량단가산출서_2007년 판매계획(GI)_2007년도 경영계획_GI 수정안" xfId="461"/>
    <cellStyle name="_공량단가산출서_2007년판매계획(영업안)_영업2차확정안_20061103" xfId="462"/>
    <cellStyle name="_공량단가산출서_2007년판매계획(영업안)_영업2차확정안_20061103_2007년도 경영계획" xfId="463"/>
    <cellStyle name="_공량단가산출서_2007년판매계획(영업안)_영업2차확정안_20061103_2007년도 경영계획_GI 수정안" xfId="464"/>
    <cellStyle name="_공량단가산출서_2008년 도급비 지급현황" xfId="4250"/>
    <cellStyle name="_공량단가산출서_2008년 도급비 지급현황_2008년 도급비 지급현황" xfId="4244"/>
    <cellStyle name="_공량단가산출서_2008년 도급비 지급현황_2008년 도급비 지급현황_2008년 도급비 지급현황" xfId="4243"/>
    <cellStyle name="_공량단가산출서_2008년 도급비 지급현황_2008년 도급비 지급현황_2008년 도급비 지급현황_2009년 도급비 지급현황" xfId="4242"/>
    <cellStyle name="_공량단가산출서_2008년 도급비 지급현황_2009년 도급비 지급현황" xfId="4241"/>
    <cellStyle name="_공량단가산출서_5월 경영실적" xfId="1908"/>
    <cellStyle name="_공량단가산출서_6월 경영실적" xfId="1909"/>
    <cellStyle name="_공량단가산출서_7월 경영실적" xfId="1910"/>
    <cellStyle name="_공량단가산출서_7월 경영실적_9월 경영실적" xfId="1911"/>
    <cellStyle name="_공량단가산출서_7월 경영실적_9월 경영실적_12" xfId="1912"/>
    <cellStyle name="_공량단가산출서_7월 경영실적_9월 경영실적_5월 경영실적" xfId="1913"/>
    <cellStyle name="_공량단가산출서_7월 경영실적_9월 경영실적_6월 경영실적" xfId="1914"/>
    <cellStyle name="_공량단가산출서_7월 경영실적_9월 경영실적_7월 경영실적" xfId="1915"/>
    <cellStyle name="_공량단가산출서_7월 경영실적_9월 경영실적_GI매원" xfId="1916"/>
    <cellStyle name="_공량단가산출서_7월 경영실적_9월 경영실적_Sheet1" xfId="1917"/>
    <cellStyle name="_공량단가산출서_7월 경영실적_9월 경영실적_칼라매원" xfId="1918"/>
    <cellStyle name="_공량단가산출서_GI매원" xfId="1919"/>
    <cellStyle name="_공량단가산출서_Sheet1" xfId="1920"/>
    <cellStyle name="_공량단가산출서_칼라매원" xfId="1921"/>
    <cellStyle name="_공량단가산출서r1" xfId="465"/>
    <cellStyle name="_공량단가산출서r1_06년판매계획(최종)" xfId="466"/>
    <cellStyle name="_공량단가산출서r1_06년판매계획(최종)_12" xfId="1922"/>
    <cellStyle name="_공량단가산출서r1_06년판매계획(최종)_2006년실적" xfId="467"/>
    <cellStyle name="_공량단가산출서r1_06년판매계획(최종)_2006년실적_2007년도 경영계획" xfId="468"/>
    <cellStyle name="_공량단가산출서r1_06년판매계획(최종)_2006년실적_2007년도 경영계획_GI 수정안" xfId="469"/>
    <cellStyle name="_공량단가산출서r1_06년판매계획(최종)_2007년 판매계획(GI)" xfId="470"/>
    <cellStyle name="_공량단가산출서r1_06년판매계획(최종)_2007년 판매계획(GI)_2007년도 경영계획" xfId="471"/>
    <cellStyle name="_공량단가산출서r1_06년판매계획(최종)_2007년 판매계획(GI)_2007년도 경영계획_GI 수정안" xfId="472"/>
    <cellStyle name="_공량단가산출서r1_06년판매계획(최종)_2007년판매계획(영업안)_영업2차확정안_20061103" xfId="473"/>
    <cellStyle name="_공량단가산출서r1_06년판매계획(최종)_2007년판매계획(영업안)_영업2차확정안_20061103_2007년도 경영계획" xfId="474"/>
    <cellStyle name="_공량단가산출서r1_06년판매계획(최종)_2007년판매계획(영업안)_영업2차확정안_20061103_2007년도 경영계획_GI 수정안" xfId="475"/>
    <cellStyle name="_공량단가산출서r1_06년판매계획(최종)_5월 경영실적" xfId="1923"/>
    <cellStyle name="_공량단가산출서r1_06년판매계획(최종)_6월 경영실적" xfId="1924"/>
    <cellStyle name="_공량단가산출서r1_06년판매계획(최종)_7월 경영실적" xfId="1925"/>
    <cellStyle name="_공량단가산출서r1_06년판매계획(최종)_7월 경영실적_9월 경영실적" xfId="1926"/>
    <cellStyle name="_공량단가산출서r1_06년판매계획(최종)_7월 경영실적_9월 경영실적_12" xfId="1927"/>
    <cellStyle name="_공량단가산출서r1_06년판매계획(최종)_7월 경영실적_9월 경영실적_5월 경영실적" xfId="1928"/>
    <cellStyle name="_공량단가산출서r1_06년판매계획(최종)_7월 경영실적_9월 경영실적_6월 경영실적" xfId="1929"/>
    <cellStyle name="_공량단가산출서r1_06년판매계획(최종)_7월 경영실적_9월 경영실적_7월 경영실적" xfId="1930"/>
    <cellStyle name="_공량단가산출서r1_06년판매계획(최종)_7월 경영실적_9월 경영실적_GI매원" xfId="1931"/>
    <cellStyle name="_공량단가산출서r1_06년판매계획(최종)_7월 경영실적_9월 경영실적_Sheet1" xfId="1932"/>
    <cellStyle name="_공량단가산출서r1_06년판매계획(최종)_7월 경영실적_9월 경영실적_칼라매원" xfId="1933"/>
    <cellStyle name="_공량단가산출서r1_06년판매계획(최종)_GI매원" xfId="1934"/>
    <cellStyle name="_공량단가산출서r1_06년판매계획(최종)_Sheet1" xfId="1935"/>
    <cellStyle name="_공량단가산출서r1_06년판매계획(최종)_칼라매원" xfId="1936"/>
    <cellStyle name="_공량단가산출서r1_12" xfId="1937"/>
    <cellStyle name="_공량단가산출서r1_2006년 경영계획(1안)" xfId="476"/>
    <cellStyle name="_공량단가산출서r1_2006년 경영계획(1안)_12" xfId="1938"/>
    <cellStyle name="_공량단가산출서r1_2006년 경영계획(1안)_2006년실적" xfId="477"/>
    <cellStyle name="_공량단가산출서r1_2006년 경영계획(1안)_2006년실적_2007년도 경영계획" xfId="478"/>
    <cellStyle name="_공량단가산출서r1_2006년 경영계획(1안)_2006년실적_2007년도 경영계획_GI 수정안" xfId="479"/>
    <cellStyle name="_공량단가산출서r1_2006년 경영계획(1안)_2007년 판매계획(GI)" xfId="480"/>
    <cellStyle name="_공량단가산출서r1_2006년 경영계획(1안)_2007년 판매계획(GI)_2007년도 경영계획" xfId="481"/>
    <cellStyle name="_공량단가산출서r1_2006년 경영계획(1안)_2007년 판매계획(GI)_2007년도 경영계획_GI 수정안" xfId="482"/>
    <cellStyle name="_공량단가산출서r1_2006년 경영계획(1안)_2007년판매계획(영업안)_영업2차확정안_20061103" xfId="483"/>
    <cellStyle name="_공량단가산출서r1_2006년 경영계획(1안)_2007년판매계획(영업안)_영업2차확정안_20061103_2007년도 경영계획" xfId="484"/>
    <cellStyle name="_공량단가산출서r1_2006년 경영계획(1안)_2007년판매계획(영업안)_영업2차확정안_20061103_2007년도 경영계획_GI 수정안" xfId="485"/>
    <cellStyle name="_공량단가산출서r1_2006년 경영계획(1안)_5월 경영실적" xfId="1939"/>
    <cellStyle name="_공량단가산출서r1_2006년 경영계획(1안)_6월 경영실적" xfId="1940"/>
    <cellStyle name="_공량단가산출서r1_2006년 경영계획(1안)_7월 경영실적" xfId="1941"/>
    <cellStyle name="_공량단가산출서r1_2006년 경영계획(1안)_7월 경영실적_9월 경영실적" xfId="1942"/>
    <cellStyle name="_공량단가산출서r1_2006년 경영계획(1안)_7월 경영실적_9월 경영실적_12" xfId="1943"/>
    <cellStyle name="_공량단가산출서r1_2006년 경영계획(1안)_7월 경영실적_9월 경영실적_5월 경영실적" xfId="1944"/>
    <cellStyle name="_공량단가산출서r1_2006년 경영계획(1안)_7월 경영실적_9월 경영실적_6월 경영실적" xfId="1945"/>
    <cellStyle name="_공량단가산출서r1_2006년 경영계획(1안)_7월 경영실적_9월 경영실적_7월 경영실적" xfId="1946"/>
    <cellStyle name="_공량단가산출서r1_2006년 경영계획(1안)_7월 경영실적_9월 경영실적_GI매원" xfId="1947"/>
    <cellStyle name="_공량단가산출서r1_2006년 경영계획(1안)_7월 경영실적_9월 경영실적_Sheet1" xfId="1948"/>
    <cellStyle name="_공량단가산출서r1_2006년 경영계획(1안)_7월 경영실적_9월 경영실적_칼라매원" xfId="1949"/>
    <cellStyle name="_공량단가산출서r1_2006년 경영계획(1안)_GI매원" xfId="1950"/>
    <cellStyle name="_공량단가산출서r1_2006년 경영계획(1안)_Sheet1" xfId="1951"/>
    <cellStyle name="_공량단가산출서r1_2006년 경영계획(1안)_칼라매원" xfId="1952"/>
    <cellStyle name="_공량단가산출서r1_2006년 경영계획(안)" xfId="486"/>
    <cellStyle name="_공량단가산출서r1_2006년 경영계획(안)_12" xfId="1953"/>
    <cellStyle name="_공량단가산출서r1_2006년 경영계획(안)_2006년실적" xfId="487"/>
    <cellStyle name="_공량단가산출서r1_2006년 경영계획(안)_2006년실적_2007년도 경영계획" xfId="488"/>
    <cellStyle name="_공량단가산출서r1_2006년 경영계획(안)_2006년실적_2007년도 경영계획_GI 수정안" xfId="489"/>
    <cellStyle name="_공량단가산출서r1_2006년 경영계획(안)_2007년 판매계획(GI)" xfId="490"/>
    <cellStyle name="_공량단가산출서r1_2006년 경영계획(안)_2007년 판매계획(GI)_2007년도 경영계획" xfId="491"/>
    <cellStyle name="_공량단가산출서r1_2006년 경영계획(안)_2007년 판매계획(GI)_2007년도 경영계획_GI 수정안" xfId="492"/>
    <cellStyle name="_공량단가산출서r1_2006년 경영계획(안)_2007년판매계획(영업안)_영업2차확정안_20061103" xfId="493"/>
    <cellStyle name="_공량단가산출서r1_2006년 경영계획(안)_2007년판매계획(영업안)_영업2차확정안_20061103_2007년도 경영계획" xfId="494"/>
    <cellStyle name="_공량단가산출서r1_2006년 경영계획(안)_2007년판매계획(영업안)_영업2차확정안_20061103_2007년도 경영계획_GI 수정안" xfId="495"/>
    <cellStyle name="_공량단가산출서r1_2006년 경영계획(안)_5월 경영실적" xfId="1954"/>
    <cellStyle name="_공량단가산출서r1_2006년 경영계획(안)_6월 경영실적" xfId="1955"/>
    <cellStyle name="_공량단가산출서r1_2006년 경영계획(안)_7월 경영실적" xfId="1956"/>
    <cellStyle name="_공량단가산출서r1_2006년 경영계획(안)_7월 경영실적_9월 경영실적" xfId="1957"/>
    <cellStyle name="_공량단가산출서r1_2006년 경영계획(안)_7월 경영실적_9월 경영실적_12" xfId="1958"/>
    <cellStyle name="_공량단가산출서r1_2006년 경영계획(안)_7월 경영실적_9월 경영실적_5월 경영실적" xfId="1959"/>
    <cellStyle name="_공량단가산출서r1_2006년 경영계획(안)_7월 경영실적_9월 경영실적_6월 경영실적" xfId="1960"/>
    <cellStyle name="_공량단가산출서r1_2006년 경영계획(안)_7월 경영실적_9월 경영실적_7월 경영실적" xfId="1961"/>
    <cellStyle name="_공량단가산출서r1_2006년 경영계획(안)_7월 경영실적_9월 경영실적_GI매원" xfId="1962"/>
    <cellStyle name="_공량단가산출서r1_2006년 경영계획(안)_7월 경영실적_9월 경영실적_Sheet1" xfId="1963"/>
    <cellStyle name="_공량단가산출서r1_2006년 경영계획(안)_7월 경영실적_9월 경영실적_칼라매원" xfId="1964"/>
    <cellStyle name="_공량단가산출서r1_2006년 경영계획(안)_GI매원" xfId="1965"/>
    <cellStyle name="_공량단가산출서r1_2006년 경영계획(안)_Sheet1" xfId="1966"/>
    <cellStyle name="_공량단가산출서r1_2006년 경영계획(안)_칼라매원" xfId="1967"/>
    <cellStyle name="_공량단가산출서r1_2006년실적" xfId="496"/>
    <cellStyle name="_공량단가산출서r1_2006년실적_2007년도 경영계획" xfId="497"/>
    <cellStyle name="_공량단가산출서r1_2006년실적_2007년도 경영계획_GI 수정안" xfId="498"/>
    <cellStyle name="_공량단가산출서r1_2007년 판매계획(GI)" xfId="499"/>
    <cellStyle name="_공량단가산출서r1_2007년 판매계획(GI)_2007년도 경영계획" xfId="500"/>
    <cellStyle name="_공량단가산출서r1_2007년 판매계획(GI)_2007년도 경영계획_GI 수정안" xfId="501"/>
    <cellStyle name="_공량단가산출서r1_2007년판매계획(영업안)_영업2차확정안_20061103" xfId="502"/>
    <cellStyle name="_공량단가산출서r1_2007년판매계획(영업안)_영업2차확정안_20061103_2007년도 경영계획" xfId="503"/>
    <cellStyle name="_공량단가산출서r1_2007년판매계획(영업안)_영업2차확정안_20061103_2007년도 경영계획_GI 수정안" xfId="504"/>
    <cellStyle name="_공량단가산출서r1_2008년 도급비 지급현황" xfId="4240"/>
    <cellStyle name="_공량단가산출서r1_2008년 도급비 지급현황_2008년 도급비 지급현황" xfId="4239"/>
    <cellStyle name="_공량단가산출서r1_2008년 도급비 지급현황_2008년 도급비 지급현황_2008년 도급비 지급현황" xfId="4238"/>
    <cellStyle name="_공량단가산출서r1_2008년 도급비 지급현황_2008년 도급비 지급현황_2008년 도급비 지급현황_2009년 도급비 지급현황" xfId="4237"/>
    <cellStyle name="_공량단가산출서r1_2008년 도급비 지급현황_2009년 도급비 지급현황" xfId="4236"/>
    <cellStyle name="_공량단가산출서r1_5월 경영실적" xfId="1968"/>
    <cellStyle name="_공량단가산출서r1_6월 경영실적" xfId="1969"/>
    <cellStyle name="_공량단가산출서r1_7월 경영실적" xfId="1970"/>
    <cellStyle name="_공량단가산출서r1_7월 경영실적_9월 경영실적" xfId="1971"/>
    <cellStyle name="_공량단가산출서r1_7월 경영실적_9월 경영실적_12" xfId="1972"/>
    <cellStyle name="_공량단가산출서r1_7월 경영실적_9월 경영실적_5월 경영실적" xfId="1973"/>
    <cellStyle name="_공량단가산출서r1_7월 경영실적_9월 경영실적_6월 경영실적" xfId="1974"/>
    <cellStyle name="_공량단가산출서r1_7월 경영실적_9월 경영실적_7월 경영실적" xfId="1975"/>
    <cellStyle name="_공량단가산출서r1_7월 경영실적_9월 경영실적_GI매원" xfId="1976"/>
    <cellStyle name="_공량단가산출서r1_7월 경영실적_9월 경영실적_Sheet1" xfId="1977"/>
    <cellStyle name="_공량단가산출서r1_7월 경영실적_9월 경영실적_칼라매원" xfId="1978"/>
    <cellStyle name="_공량단가산출서r1_GI매원" xfId="1979"/>
    <cellStyle name="_공량단가산출서r1_Sheet1" xfId="1980"/>
    <cellStyle name="_공량단가산출서r1_칼라매원" xfId="1981"/>
    <cellStyle name="_단가표" xfId="505"/>
    <cellStyle name="_단가표_06년판매계획(최종)" xfId="506"/>
    <cellStyle name="_단가표_06년판매계획(최종)_12" xfId="1982"/>
    <cellStyle name="_단가표_06년판매계획(최종)_2006년실적" xfId="507"/>
    <cellStyle name="_단가표_06년판매계획(최종)_2006년실적_2007년도 경영계획" xfId="508"/>
    <cellStyle name="_단가표_06년판매계획(최종)_2006년실적_2007년도 경영계획_GI 수정안" xfId="509"/>
    <cellStyle name="_단가표_06년판매계획(최종)_2007년 판매계획(GI)" xfId="510"/>
    <cellStyle name="_단가표_06년판매계획(최종)_2007년 판매계획(GI)_2007년도 경영계획" xfId="511"/>
    <cellStyle name="_단가표_06년판매계획(최종)_2007년 판매계획(GI)_2007년도 경영계획_GI 수정안" xfId="512"/>
    <cellStyle name="_단가표_06년판매계획(최종)_2007년판매계획(영업안)_영업2차확정안_20061103" xfId="513"/>
    <cellStyle name="_단가표_06년판매계획(최종)_2007년판매계획(영업안)_영업2차확정안_20061103_2007년도 경영계획" xfId="514"/>
    <cellStyle name="_단가표_06년판매계획(최종)_2007년판매계획(영업안)_영업2차확정안_20061103_2007년도 경영계획_GI 수정안" xfId="515"/>
    <cellStyle name="_단가표_06년판매계획(최종)_5월 경영실적" xfId="1983"/>
    <cellStyle name="_단가표_06년판매계획(최종)_6월 경영실적" xfId="1984"/>
    <cellStyle name="_단가표_06년판매계획(최종)_7월 경영실적" xfId="1985"/>
    <cellStyle name="_단가표_06년판매계획(최종)_7월 경영실적_9월 경영실적" xfId="1986"/>
    <cellStyle name="_단가표_06년판매계획(최종)_7월 경영실적_9월 경영실적_12" xfId="1987"/>
    <cellStyle name="_단가표_06년판매계획(최종)_7월 경영실적_9월 경영실적_5월 경영실적" xfId="1988"/>
    <cellStyle name="_단가표_06년판매계획(최종)_7월 경영실적_9월 경영실적_6월 경영실적" xfId="1989"/>
    <cellStyle name="_단가표_06년판매계획(최종)_7월 경영실적_9월 경영실적_7월 경영실적" xfId="1990"/>
    <cellStyle name="_단가표_06년판매계획(최종)_7월 경영실적_9월 경영실적_GI매원" xfId="1991"/>
    <cellStyle name="_단가표_06년판매계획(최종)_7월 경영실적_9월 경영실적_Sheet1" xfId="1992"/>
    <cellStyle name="_단가표_06년판매계획(최종)_7월 경영실적_9월 경영실적_칼라매원" xfId="1993"/>
    <cellStyle name="_단가표_06년판매계획(최종)_GI매원" xfId="1994"/>
    <cellStyle name="_단가표_06년판매계획(최종)_Sheet1" xfId="1995"/>
    <cellStyle name="_단가표_06년판매계획(최종)_칼라매원" xfId="1996"/>
    <cellStyle name="_단가표_12" xfId="1997"/>
    <cellStyle name="_단가표_2006년 경영계획(1안)" xfId="516"/>
    <cellStyle name="_단가표_2006년 경영계획(1안)_12" xfId="1998"/>
    <cellStyle name="_단가표_2006년 경영계획(1안)_2006년실적" xfId="517"/>
    <cellStyle name="_단가표_2006년 경영계획(1안)_2006년실적_2007년도 경영계획" xfId="518"/>
    <cellStyle name="_단가표_2006년 경영계획(1안)_2006년실적_2007년도 경영계획_GI 수정안" xfId="519"/>
    <cellStyle name="_단가표_2006년 경영계획(1안)_2007년 판매계획(GI)" xfId="520"/>
    <cellStyle name="_단가표_2006년 경영계획(1안)_2007년 판매계획(GI)_2007년도 경영계획" xfId="521"/>
    <cellStyle name="_단가표_2006년 경영계획(1안)_2007년 판매계획(GI)_2007년도 경영계획_GI 수정안" xfId="522"/>
    <cellStyle name="_단가표_2006년 경영계획(1안)_2007년판매계획(영업안)_영업2차확정안_20061103" xfId="523"/>
    <cellStyle name="_단가표_2006년 경영계획(1안)_2007년판매계획(영업안)_영업2차확정안_20061103_2007년도 경영계획" xfId="524"/>
    <cellStyle name="_단가표_2006년 경영계획(1안)_2007년판매계획(영업안)_영업2차확정안_20061103_2007년도 경영계획_GI 수정안" xfId="525"/>
    <cellStyle name="_단가표_2006년 경영계획(1안)_5월 경영실적" xfId="1999"/>
    <cellStyle name="_단가표_2006년 경영계획(1안)_6월 경영실적" xfId="2000"/>
    <cellStyle name="_단가표_2006년 경영계획(1안)_7월 경영실적" xfId="2001"/>
    <cellStyle name="_단가표_2006년 경영계획(1안)_7월 경영실적_9월 경영실적" xfId="2002"/>
    <cellStyle name="_단가표_2006년 경영계획(1안)_7월 경영실적_9월 경영실적_12" xfId="2003"/>
    <cellStyle name="_단가표_2006년 경영계획(1안)_7월 경영실적_9월 경영실적_5월 경영실적" xfId="2004"/>
    <cellStyle name="_단가표_2006년 경영계획(1안)_7월 경영실적_9월 경영실적_6월 경영실적" xfId="2005"/>
    <cellStyle name="_단가표_2006년 경영계획(1안)_7월 경영실적_9월 경영실적_7월 경영실적" xfId="2006"/>
    <cellStyle name="_단가표_2006년 경영계획(1안)_7월 경영실적_9월 경영실적_GI매원" xfId="2007"/>
    <cellStyle name="_단가표_2006년 경영계획(1안)_7월 경영실적_9월 경영실적_Sheet1" xfId="2008"/>
    <cellStyle name="_단가표_2006년 경영계획(1안)_7월 경영실적_9월 경영실적_칼라매원" xfId="2009"/>
    <cellStyle name="_단가표_2006년 경영계획(1안)_GI매원" xfId="2010"/>
    <cellStyle name="_단가표_2006년 경영계획(1안)_Sheet1" xfId="2011"/>
    <cellStyle name="_단가표_2006년 경영계획(1안)_칼라매원" xfId="2012"/>
    <cellStyle name="_단가표_2006년 경영계획(안)" xfId="526"/>
    <cellStyle name="_단가표_2006년 경영계획(안)_12" xfId="2013"/>
    <cellStyle name="_단가표_2006년 경영계획(안)_2006년실적" xfId="527"/>
    <cellStyle name="_단가표_2006년 경영계획(안)_2006년실적_2007년도 경영계획" xfId="528"/>
    <cellStyle name="_단가표_2006년 경영계획(안)_2006년실적_2007년도 경영계획_GI 수정안" xfId="529"/>
    <cellStyle name="_단가표_2006년 경영계획(안)_2007년 판매계획(GI)" xfId="530"/>
    <cellStyle name="_단가표_2006년 경영계획(안)_2007년 판매계획(GI)_2007년도 경영계획" xfId="531"/>
    <cellStyle name="_단가표_2006년 경영계획(안)_2007년 판매계획(GI)_2007년도 경영계획_GI 수정안" xfId="532"/>
    <cellStyle name="_단가표_2006년 경영계획(안)_2007년판매계획(영업안)_영업2차확정안_20061103" xfId="533"/>
    <cellStyle name="_단가표_2006년 경영계획(안)_2007년판매계획(영업안)_영업2차확정안_20061103_2007년도 경영계획" xfId="534"/>
    <cellStyle name="_단가표_2006년 경영계획(안)_2007년판매계획(영업안)_영업2차확정안_20061103_2007년도 경영계획_GI 수정안" xfId="535"/>
    <cellStyle name="_단가표_2006년 경영계획(안)_5월 경영실적" xfId="2014"/>
    <cellStyle name="_단가표_2006년 경영계획(안)_6월 경영실적" xfId="2015"/>
    <cellStyle name="_단가표_2006년 경영계획(안)_7월 경영실적" xfId="2016"/>
    <cellStyle name="_단가표_2006년 경영계획(안)_7월 경영실적_9월 경영실적" xfId="2017"/>
    <cellStyle name="_단가표_2006년 경영계획(안)_7월 경영실적_9월 경영실적_12" xfId="2018"/>
    <cellStyle name="_단가표_2006년 경영계획(안)_7월 경영실적_9월 경영실적_5월 경영실적" xfId="2019"/>
    <cellStyle name="_단가표_2006년 경영계획(안)_7월 경영실적_9월 경영실적_6월 경영실적" xfId="2020"/>
    <cellStyle name="_단가표_2006년 경영계획(안)_7월 경영실적_9월 경영실적_7월 경영실적" xfId="2021"/>
    <cellStyle name="_단가표_2006년 경영계획(안)_7월 경영실적_9월 경영실적_GI매원" xfId="2022"/>
    <cellStyle name="_단가표_2006년 경영계획(안)_7월 경영실적_9월 경영실적_Sheet1" xfId="2023"/>
    <cellStyle name="_단가표_2006년 경영계획(안)_7월 경영실적_9월 경영실적_칼라매원" xfId="2024"/>
    <cellStyle name="_단가표_2006년 경영계획(안)_GI매원" xfId="2025"/>
    <cellStyle name="_단가표_2006년 경영계획(안)_Sheet1" xfId="2026"/>
    <cellStyle name="_단가표_2006년 경영계획(안)_칼라매원" xfId="2027"/>
    <cellStyle name="_단가표_2006년실적" xfId="536"/>
    <cellStyle name="_단가표_2006년실적_2007년도 경영계획" xfId="537"/>
    <cellStyle name="_단가표_2006년실적_2007년도 경영계획_GI 수정안" xfId="538"/>
    <cellStyle name="_단가표_2007년 판매계획(GI)" xfId="539"/>
    <cellStyle name="_단가표_2007년 판매계획(GI)_2007년도 경영계획" xfId="540"/>
    <cellStyle name="_단가표_2007년 판매계획(GI)_2007년도 경영계획_GI 수정안" xfId="541"/>
    <cellStyle name="_단가표_2007년판매계획(영업안)_영업2차확정안_20061103" xfId="542"/>
    <cellStyle name="_단가표_2007년판매계획(영업안)_영업2차확정안_20061103_2007년도 경영계획" xfId="543"/>
    <cellStyle name="_단가표_2007년판매계획(영업안)_영업2차확정안_20061103_2007년도 경영계획_GI 수정안" xfId="544"/>
    <cellStyle name="_단가표_2008년 도급비 지급현황" xfId="4235"/>
    <cellStyle name="_단가표_2008년 도급비 지급현황_2008년 도급비 지급현황" xfId="4234"/>
    <cellStyle name="_단가표_2008년 도급비 지급현황_2008년 도급비 지급현황_2008년 도급비 지급현황" xfId="4233"/>
    <cellStyle name="_단가표_2008년 도급비 지급현황_2008년 도급비 지급현황_2008년 도급비 지급현황_2009년 도급비 지급현황" xfId="4232"/>
    <cellStyle name="_단가표_2008년 도급비 지급현황_2009년 도급비 지급현황" xfId="4231"/>
    <cellStyle name="_단가표_5월 경영실적" xfId="2028"/>
    <cellStyle name="_단가표_6월 경영실적" xfId="2029"/>
    <cellStyle name="_단가표_7월 경영실적" xfId="2030"/>
    <cellStyle name="_단가표_7월 경영실적_9월 경영실적" xfId="2031"/>
    <cellStyle name="_단가표_7월 경영실적_9월 경영실적_12" xfId="2032"/>
    <cellStyle name="_단가표_7월 경영실적_9월 경영실적_5월 경영실적" xfId="2033"/>
    <cellStyle name="_단가표_7월 경영실적_9월 경영실적_6월 경영실적" xfId="2034"/>
    <cellStyle name="_단가표_7월 경영실적_9월 경영실적_7월 경영실적" xfId="2035"/>
    <cellStyle name="_단가표_7월 경영실적_9월 경영실적_GI매원" xfId="2036"/>
    <cellStyle name="_단가표_7월 경영실적_9월 경영실적_Sheet1" xfId="2037"/>
    <cellStyle name="_단가표_7월 경영실적_9월 경영실적_칼라매원" xfId="2038"/>
    <cellStyle name="_단가표_GI매원" xfId="2039"/>
    <cellStyle name="_단가표_Sheet1" xfId="2040"/>
    <cellStyle name="_단가표_칼라매원" xfId="2041"/>
    <cellStyle name="_문정apt(최종)-2" xfId="545"/>
    <cellStyle name="_변경내역서" xfId="546"/>
    <cellStyle name="_변경내역서_06년판매계획(최종)" xfId="547"/>
    <cellStyle name="_변경내역서_06년판매계획(최종)_12" xfId="2042"/>
    <cellStyle name="_변경내역서_06년판매계획(최종)_2006년실적" xfId="548"/>
    <cellStyle name="_변경내역서_06년판매계획(최종)_2006년실적_2007년도 경영계획" xfId="549"/>
    <cellStyle name="_변경내역서_06년판매계획(최종)_2006년실적_2007년도 경영계획_GI 수정안" xfId="550"/>
    <cellStyle name="_변경내역서_06년판매계획(최종)_2007년 판매계획(GI)" xfId="551"/>
    <cellStyle name="_변경내역서_06년판매계획(최종)_2007년 판매계획(GI)_2007년도 경영계획" xfId="552"/>
    <cellStyle name="_변경내역서_06년판매계획(최종)_2007년 판매계획(GI)_2007년도 경영계획_GI 수정안" xfId="553"/>
    <cellStyle name="_변경내역서_06년판매계획(최종)_2007년판매계획(영업안)_영업2차확정안_20061103" xfId="554"/>
    <cellStyle name="_변경내역서_06년판매계획(최종)_2007년판매계획(영업안)_영업2차확정안_20061103_2007년도 경영계획" xfId="555"/>
    <cellStyle name="_변경내역서_06년판매계획(최종)_2007년판매계획(영업안)_영업2차확정안_20061103_2007년도 경영계획_GI 수정안" xfId="556"/>
    <cellStyle name="_변경내역서_06년판매계획(최종)_5월 경영실적" xfId="2043"/>
    <cellStyle name="_변경내역서_06년판매계획(최종)_6월 경영실적" xfId="2044"/>
    <cellStyle name="_변경내역서_06년판매계획(최종)_7월 경영실적" xfId="2045"/>
    <cellStyle name="_변경내역서_06년판매계획(최종)_7월 경영실적_9월 경영실적" xfId="2046"/>
    <cellStyle name="_변경내역서_06년판매계획(최종)_7월 경영실적_9월 경영실적_12" xfId="2047"/>
    <cellStyle name="_변경내역서_06년판매계획(최종)_7월 경영실적_9월 경영실적_5월 경영실적" xfId="2048"/>
    <cellStyle name="_변경내역서_06년판매계획(최종)_7월 경영실적_9월 경영실적_6월 경영실적" xfId="2049"/>
    <cellStyle name="_변경내역서_06년판매계획(최종)_7월 경영실적_9월 경영실적_7월 경영실적" xfId="2050"/>
    <cellStyle name="_변경내역서_06년판매계획(최종)_7월 경영실적_9월 경영실적_GI매원" xfId="2051"/>
    <cellStyle name="_변경내역서_06년판매계획(최종)_7월 경영실적_9월 경영실적_Sheet1" xfId="2052"/>
    <cellStyle name="_변경내역서_06년판매계획(최종)_7월 경영실적_9월 경영실적_칼라매원" xfId="2053"/>
    <cellStyle name="_변경내역서_06년판매계획(최종)_GI매원" xfId="2054"/>
    <cellStyle name="_변경내역서_06년판매계획(최종)_Sheet1" xfId="2055"/>
    <cellStyle name="_변경내역서_06년판매계획(최종)_칼라매원" xfId="2056"/>
    <cellStyle name="_변경내역서_12" xfId="2057"/>
    <cellStyle name="_변경내역서_2006년 경영계획(1안)" xfId="557"/>
    <cellStyle name="_변경내역서_2006년 경영계획(1안)_12" xfId="2058"/>
    <cellStyle name="_변경내역서_2006년 경영계획(1안)_2006년실적" xfId="558"/>
    <cellStyle name="_변경내역서_2006년 경영계획(1안)_2006년실적_2007년도 경영계획" xfId="559"/>
    <cellStyle name="_변경내역서_2006년 경영계획(1안)_2006년실적_2007년도 경영계획_GI 수정안" xfId="560"/>
    <cellStyle name="_변경내역서_2006년 경영계획(1안)_2007년 판매계획(GI)" xfId="561"/>
    <cellStyle name="_변경내역서_2006년 경영계획(1안)_2007년 판매계획(GI)_2007년도 경영계획" xfId="562"/>
    <cellStyle name="_변경내역서_2006년 경영계획(1안)_2007년 판매계획(GI)_2007년도 경영계획_GI 수정안" xfId="563"/>
    <cellStyle name="_변경내역서_2006년 경영계획(1안)_2007년판매계획(영업안)_영업2차확정안_20061103" xfId="564"/>
    <cellStyle name="_변경내역서_2006년 경영계획(1안)_2007년판매계획(영업안)_영업2차확정안_20061103_2007년도 경영계획" xfId="565"/>
    <cellStyle name="_변경내역서_2006년 경영계획(1안)_2007년판매계획(영업안)_영업2차확정안_20061103_2007년도 경영계획_GI 수정안" xfId="566"/>
    <cellStyle name="_변경내역서_2006년 경영계획(1안)_5월 경영실적" xfId="2059"/>
    <cellStyle name="_변경내역서_2006년 경영계획(1안)_6월 경영실적" xfId="2060"/>
    <cellStyle name="_변경내역서_2006년 경영계획(1안)_7월 경영실적" xfId="2061"/>
    <cellStyle name="_변경내역서_2006년 경영계획(1안)_7월 경영실적_9월 경영실적" xfId="2062"/>
    <cellStyle name="_변경내역서_2006년 경영계획(1안)_7월 경영실적_9월 경영실적_12" xfId="2063"/>
    <cellStyle name="_변경내역서_2006년 경영계획(1안)_7월 경영실적_9월 경영실적_5월 경영실적" xfId="2064"/>
    <cellStyle name="_변경내역서_2006년 경영계획(1안)_7월 경영실적_9월 경영실적_6월 경영실적" xfId="2065"/>
    <cellStyle name="_변경내역서_2006년 경영계획(1안)_7월 경영실적_9월 경영실적_7월 경영실적" xfId="2066"/>
    <cellStyle name="_변경내역서_2006년 경영계획(1안)_7월 경영실적_9월 경영실적_GI매원" xfId="2067"/>
    <cellStyle name="_변경내역서_2006년 경영계획(1안)_7월 경영실적_9월 경영실적_Sheet1" xfId="2068"/>
    <cellStyle name="_변경내역서_2006년 경영계획(1안)_7월 경영실적_9월 경영실적_칼라매원" xfId="2069"/>
    <cellStyle name="_변경내역서_2006년 경영계획(1안)_GI매원" xfId="2070"/>
    <cellStyle name="_변경내역서_2006년 경영계획(1안)_Sheet1" xfId="2071"/>
    <cellStyle name="_변경내역서_2006년 경영계획(1안)_칼라매원" xfId="2072"/>
    <cellStyle name="_변경내역서_2006년 경영계획(안)" xfId="567"/>
    <cellStyle name="_변경내역서_2006년 경영계획(안)_12" xfId="2073"/>
    <cellStyle name="_변경내역서_2006년 경영계획(안)_2006년실적" xfId="568"/>
    <cellStyle name="_변경내역서_2006년 경영계획(안)_2006년실적_2007년도 경영계획" xfId="569"/>
    <cellStyle name="_변경내역서_2006년 경영계획(안)_2006년실적_2007년도 경영계획_GI 수정안" xfId="570"/>
    <cellStyle name="_변경내역서_2006년 경영계획(안)_2007년 판매계획(GI)" xfId="571"/>
    <cellStyle name="_변경내역서_2006년 경영계획(안)_2007년 판매계획(GI)_2007년도 경영계획" xfId="572"/>
    <cellStyle name="_변경내역서_2006년 경영계획(안)_2007년 판매계획(GI)_2007년도 경영계획_GI 수정안" xfId="573"/>
    <cellStyle name="_변경내역서_2006년 경영계획(안)_2007년판매계획(영업안)_영업2차확정안_20061103" xfId="574"/>
    <cellStyle name="_변경내역서_2006년 경영계획(안)_2007년판매계획(영업안)_영업2차확정안_20061103_2007년도 경영계획" xfId="575"/>
    <cellStyle name="_변경내역서_2006년 경영계획(안)_2007년판매계획(영업안)_영업2차확정안_20061103_2007년도 경영계획_GI 수정안" xfId="576"/>
    <cellStyle name="_변경내역서_2006년 경영계획(안)_5월 경영실적" xfId="2074"/>
    <cellStyle name="_변경내역서_2006년 경영계획(안)_6월 경영실적" xfId="2075"/>
    <cellStyle name="_변경내역서_2006년 경영계획(안)_7월 경영실적" xfId="2076"/>
    <cellStyle name="_변경내역서_2006년 경영계획(안)_7월 경영실적_9월 경영실적" xfId="2077"/>
    <cellStyle name="_변경내역서_2006년 경영계획(안)_7월 경영실적_9월 경영실적_12" xfId="2078"/>
    <cellStyle name="_변경내역서_2006년 경영계획(안)_7월 경영실적_9월 경영실적_5월 경영실적" xfId="2079"/>
    <cellStyle name="_변경내역서_2006년 경영계획(안)_7월 경영실적_9월 경영실적_6월 경영실적" xfId="2080"/>
    <cellStyle name="_변경내역서_2006년 경영계획(안)_7월 경영실적_9월 경영실적_7월 경영실적" xfId="2081"/>
    <cellStyle name="_변경내역서_2006년 경영계획(안)_7월 경영실적_9월 경영실적_GI매원" xfId="2082"/>
    <cellStyle name="_변경내역서_2006년 경영계획(안)_7월 경영실적_9월 경영실적_Sheet1" xfId="2083"/>
    <cellStyle name="_변경내역서_2006년 경영계획(안)_7월 경영실적_9월 경영실적_칼라매원" xfId="2084"/>
    <cellStyle name="_변경내역서_2006년 경영계획(안)_GI매원" xfId="2085"/>
    <cellStyle name="_변경내역서_2006년 경영계획(안)_Sheet1" xfId="2086"/>
    <cellStyle name="_변경내역서_2006년 경영계획(안)_칼라매원" xfId="2087"/>
    <cellStyle name="_변경내역서_2006년실적" xfId="577"/>
    <cellStyle name="_변경내역서_2006년실적_2007년도 경영계획" xfId="578"/>
    <cellStyle name="_변경내역서_2006년실적_2007년도 경영계획_GI 수정안" xfId="579"/>
    <cellStyle name="_변경내역서_2007년 판매계획(GI)" xfId="580"/>
    <cellStyle name="_변경내역서_2007년 판매계획(GI)_2007년도 경영계획" xfId="581"/>
    <cellStyle name="_변경내역서_2007년 판매계획(GI)_2007년도 경영계획_GI 수정안" xfId="582"/>
    <cellStyle name="_변경내역서_2007년판매계획(영업안)_영업2차확정안_20061103" xfId="583"/>
    <cellStyle name="_변경내역서_2007년판매계획(영업안)_영업2차확정안_20061103_2007년도 경영계획" xfId="584"/>
    <cellStyle name="_변경내역서_2007년판매계획(영업안)_영업2차확정안_20061103_2007년도 경영계획_GI 수정안" xfId="585"/>
    <cellStyle name="_변경내역서_2008년 도급비 지급현황" xfId="4230"/>
    <cellStyle name="_변경내역서_2008년 도급비 지급현황_2008년 도급비 지급현황" xfId="4229"/>
    <cellStyle name="_변경내역서_2008년 도급비 지급현황_2008년 도급비 지급현황_2008년 도급비 지급현황" xfId="4228"/>
    <cellStyle name="_변경내역서_2008년 도급비 지급현황_2008년 도급비 지급현황_2008년 도급비 지급현황_2009년 도급비 지급현황" xfId="4227"/>
    <cellStyle name="_변경내역서_2008년 도급비 지급현황_2009년 도급비 지급현황" xfId="4226"/>
    <cellStyle name="_변경내역서_5월 경영실적" xfId="2088"/>
    <cellStyle name="_변경내역서_6월 경영실적" xfId="2089"/>
    <cellStyle name="_변경내역서_7월 경영실적" xfId="2090"/>
    <cellStyle name="_변경내역서_7월 경영실적_9월 경영실적" xfId="2091"/>
    <cellStyle name="_변경내역서_7월 경영실적_9월 경영실적_12" xfId="2092"/>
    <cellStyle name="_변경내역서_7월 경영실적_9월 경영실적_5월 경영실적" xfId="2093"/>
    <cellStyle name="_변경내역서_7월 경영실적_9월 경영실적_6월 경영실적" xfId="2094"/>
    <cellStyle name="_변경내역서_7월 경영실적_9월 경영실적_7월 경영실적" xfId="2095"/>
    <cellStyle name="_변경내역서_7월 경영실적_9월 경영실적_GI매원" xfId="2096"/>
    <cellStyle name="_변경내역서_7월 경영실적_9월 경영실적_Sheet1" xfId="2097"/>
    <cellStyle name="_변경내역서_7월 경영실적_9월 경영실적_칼라매원" xfId="2098"/>
    <cellStyle name="_변경내역서_GI매원" xfId="2099"/>
    <cellStyle name="_변경내역서_Sheet1" xfId="2100"/>
    <cellStyle name="_변경내역서_칼라매원" xfId="2101"/>
    <cellStyle name="_부천홈프러스(실행)" xfId="586"/>
    <cellStyle name="_부천홈프러스(실행)_06년판매계획(최종)" xfId="587"/>
    <cellStyle name="_부천홈프러스(실행)_06년판매계획(최종)_12" xfId="2102"/>
    <cellStyle name="_부천홈프러스(실행)_06년판매계획(최종)_2006년실적" xfId="588"/>
    <cellStyle name="_부천홈프러스(실행)_06년판매계획(최종)_2006년실적_2007년도 경영계획" xfId="589"/>
    <cellStyle name="_부천홈프러스(실행)_06년판매계획(최종)_2006년실적_2007년도 경영계획_GI 수정안" xfId="590"/>
    <cellStyle name="_부천홈프러스(실행)_06년판매계획(최종)_2007년 판매계획(GI)" xfId="591"/>
    <cellStyle name="_부천홈프러스(실행)_06년판매계획(최종)_2007년 판매계획(GI)_2007년도 경영계획" xfId="592"/>
    <cellStyle name="_부천홈프러스(실행)_06년판매계획(최종)_2007년 판매계획(GI)_2007년도 경영계획_GI 수정안" xfId="593"/>
    <cellStyle name="_부천홈프러스(실행)_06년판매계획(최종)_2007년판매계획(영업안)_영업2차확정안_20061103" xfId="594"/>
    <cellStyle name="_부천홈프러스(실행)_06년판매계획(최종)_2007년판매계획(영업안)_영업2차확정안_20061103_2007년도 경영계획" xfId="595"/>
    <cellStyle name="_부천홈프러스(실행)_06년판매계획(최종)_2007년판매계획(영업안)_영업2차확정안_20061103_2007년도 경영계획_GI 수정안" xfId="596"/>
    <cellStyle name="_부천홈프러스(실행)_06년판매계획(최종)_5월 경영실적" xfId="2103"/>
    <cellStyle name="_부천홈프러스(실행)_06년판매계획(최종)_6월 경영실적" xfId="2104"/>
    <cellStyle name="_부천홈프러스(실행)_06년판매계획(최종)_7월 경영실적" xfId="2105"/>
    <cellStyle name="_부천홈프러스(실행)_06년판매계획(최종)_7월 경영실적_9월 경영실적" xfId="2106"/>
    <cellStyle name="_부천홈프러스(실행)_06년판매계획(최종)_7월 경영실적_9월 경영실적_12" xfId="2107"/>
    <cellStyle name="_부천홈프러스(실행)_06년판매계획(최종)_7월 경영실적_9월 경영실적_5월 경영실적" xfId="2108"/>
    <cellStyle name="_부천홈프러스(실행)_06년판매계획(최종)_7월 경영실적_9월 경영실적_6월 경영실적" xfId="2109"/>
    <cellStyle name="_부천홈프러스(실행)_06년판매계획(최종)_7월 경영실적_9월 경영실적_7월 경영실적" xfId="2110"/>
    <cellStyle name="_부천홈프러스(실행)_06년판매계획(최종)_7월 경영실적_9월 경영실적_GI매원" xfId="2111"/>
    <cellStyle name="_부천홈프러스(실행)_06년판매계획(최종)_7월 경영실적_9월 경영실적_Sheet1" xfId="2112"/>
    <cellStyle name="_부천홈프러스(실행)_06년판매계획(최종)_7월 경영실적_9월 경영실적_칼라매원" xfId="2113"/>
    <cellStyle name="_부천홈프러스(실행)_06년판매계획(최종)_GI매원" xfId="2114"/>
    <cellStyle name="_부천홈프러스(실행)_06년판매계획(최종)_Sheet1" xfId="2115"/>
    <cellStyle name="_부천홈프러스(실행)_06년판매계획(최종)_칼라매원" xfId="2116"/>
    <cellStyle name="_부천홈프러스(실행)_12" xfId="2117"/>
    <cellStyle name="_부천홈프러스(실행)_2006년 경영계획(1안)" xfId="597"/>
    <cellStyle name="_부천홈프러스(실행)_2006년 경영계획(1안)_12" xfId="2118"/>
    <cellStyle name="_부천홈프러스(실행)_2006년 경영계획(1안)_2006년실적" xfId="598"/>
    <cellStyle name="_부천홈프러스(실행)_2006년 경영계획(1안)_2006년실적_2007년도 경영계획" xfId="599"/>
    <cellStyle name="_부천홈프러스(실행)_2006년 경영계획(1안)_2006년실적_2007년도 경영계획_GI 수정안" xfId="600"/>
    <cellStyle name="_부천홈프러스(실행)_2006년 경영계획(1안)_2007년 판매계획(GI)" xfId="601"/>
    <cellStyle name="_부천홈프러스(실행)_2006년 경영계획(1안)_2007년 판매계획(GI)_2007년도 경영계획" xfId="602"/>
    <cellStyle name="_부천홈프러스(실행)_2006년 경영계획(1안)_2007년 판매계획(GI)_2007년도 경영계획_GI 수정안" xfId="603"/>
    <cellStyle name="_부천홈프러스(실행)_2006년 경영계획(1안)_2007년판매계획(영업안)_영업2차확정안_20061103" xfId="604"/>
    <cellStyle name="_부천홈프러스(실행)_2006년 경영계획(1안)_2007년판매계획(영업안)_영업2차확정안_20061103_2007년도 경영계획" xfId="605"/>
    <cellStyle name="_부천홈프러스(실행)_2006년 경영계획(1안)_2007년판매계획(영업안)_영업2차확정안_20061103_2007년도 경영계획_GI 수정안" xfId="606"/>
    <cellStyle name="_부천홈프러스(실행)_2006년 경영계획(1안)_5월 경영실적" xfId="2119"/>
    <cellStyle name="_부천홈프러스(실행)_2006년 경영계획(1안)_6월 경영실적" xfId="2120"/>
    <cellStyle name="_부천홈프러스(실행)_2006년 경영계획(1안)_7월 경영실적" xfId="2121"/>
    <cellStyle name="_부천홈프러스(실행)_2006년 경영계획(1안)_7월 경영실적_9월 경영실적" xfId="2122"/>
    <cellStyle name="_부천홈프러스(실행)_2006년 경영계획(1안)_7월 경영실적_9월 경영실적_12" xfId="2123"/>
    <cellStyle name="_부천홈프러스(실행)_2006년 경영계획(1안)_7월 경영실적_9월 경영실적_5월 경영실적" xfId="2124"/>
    <cellStyle name="_부천홈프러스(실행)_2006년 경영계획(1안)_7월 경영실적_9월 경영실적_6월 경영실적" xfId="2125"/>
    <cellStyle name="_부천홈프러스(실행)_2006년 경영계획(1안)_7월 경영실적_9월 경영실적_7월 경영실적" xfId="2126"/>
    <cellStyle name="_부천홈프러스(실행)_2006년 경영계획(1안)_7월 경영실적_9월 경영실적_GI매원" xfId="2127"/>
    <cellStyle name="_부천홈프러스(실행)_2006년 경영계획(1안)_7월 경영실적_9월 경영실적_Sheet1" xfId="2128"/>
    <cellStyle name="_부천홈프러스(실행)_2006년 경영계획(1안)_7월 경영실적_9월 경영실적_칼라매원" xfId="2129"/>
    <cellStyle name="_부천홈프러스(실행)_2006년 경영계획(1안)_GI매원" xfId="2130"/>
    <cellStyle name="_부천홈프러스(실행)_2006년 경영계획(1안)_Sheet1" xfId="2131"/>
    <cellStyle name="_부천홈프러스(실행)_2006년 경영계획(1안)_칼라매원" xfId="2132"/>
    <cellStyle name="_부천홈프러스(실행)_2006년 경영계획(안)" xfId="607"/>
    <cellStyle name="_부천홈프러스(실행)_2006년 경영계획(안)_12" xfId="2133"/>
    <cellStyle name="_부천홈프러스(실행)_2006년 경영계획(안)_2006년실적" xfId="608"/>
    <cellStyle name="_부천홈프러스(실행)_2006년 경영계획(안)_2006년실적_2007년도 경영계획" xfId="609"/>
    <cellStyle name="_부천홈프러스(실행)_2006년 경영계획(안)_2006년실적_2007년도 경영계획_GI 수정안" xfId="610"/>
    <cellStyle name="_부천홈프러스(실행)_2006년 경영계획(안)_2007년 판매계획(GI)" xfId="611"/>
    <cellStyle name="_부천홈프러스(실행)_2006년 경영계획(안)_2007년 판매계획(GI)_2007년도 경영계획" xfId="612"/>
    <cellStyle name="_부천홈프러스(실행)_2006년 경영계획(안)_2007년 판매계획(GI)_2007년도 경영계획_GI 수정안" xfId="613"/>
    <cellStyle name="_부천홈프러스(실행)_2006년 경영계획(안)_2007년판매계획(영업안)_영업2차확정안_20061103" xfId="614"/>
    <cellStyle name="_부천홈프러스(실행)_2006년 경영계획(안)_2007년판매계획(영업안)_영업2차확정안_20061103_2007년도 경영계획" xfId="615"/>
    <cellStyle name="_부천홈프러스(실행)_2006년 경영계획(안)_2007년판매계획(영업안)_영업2차확정안_20061103_2007년도 경영계획_GI 수정안" xfId="616"/>
    <cellStyle name="_부천홈프러스(실행)_2006년 경영계획(안)_5월 경영실적" xfId="2134"/>
    <cellStyle name="_부천홈프러스(실행)_2006년 경영계획(안)_6월 경영실적" xfId="2135"/>
    <cellStyle name="_부천홈프러스(실행)_2006년 경영계획(안)_7월 경영실적" xfId="2136"/>
    <cellStyle name="_부천홈프러스(실행)_2006년 경영계획(안)_7월 경영실적_9월 경영실적" xfId="2137"/>
    <cellStyle name="_부천홈프러스(실행)_2006년 경영계획(안)_7월 경영실적_9월 경영실적_12" xfId="2138"/>
    <cellStyle name="_부천홈프러스(실행)_2006년 경영계획(안)_7월 경영실적_9월 경영실적_5월 경영실적" xfId="2139"/>
    <cellStyle name="_부천홈프러스(실행)_2006년 경영계획(안)_7월 경영실적_9월 경영실적_6월 경영실적" xfId="2140"/>
    <cellStyle name="_부천홈프러스(실행)_2006년 경영계획(안)_7월 경영실적_9월 경영실적_7월 경영실적" xfId="2141"/>
    <cellStyle name="_부천홈프러스(실행)_2006년 경영계획(안)_7월 경영실적_9월 경영실적_GI매원" xfId="2142"/>
    <cellStyle name="_부천홈프러스(실행)_2006년 경영계획(안)_7월 경영실적_9월 경영실적_Sheet1" xfId="2143"/>
    <cellStyle name="_부천홈프러스(실행)_2006년 경영계획(안)_7월 경영실적_9월 경영실적_칼라매원" xfId="2144"/>
    <cellStyle name="_부천홈프러스(실행)_2006년 경영계획(안)_GI매원" xfId="2145"/>
    <cellStyle name="_부천홈프러스(실행)_2006년 경영계획(안)_Sheet1" xfId="2146"/>
    <cellStyle name="_부천홈프러스(실행)_2006년 경영계획(안)_칼라매원" xfId="2147"/>
    <cellStyle name="_부천홈프러스(실행)_2006년실적" xfId="617"/>
    <cellStyle name="_부천홈프러스(실행)_2006년실적_2007년도 경영계획" xfId="618"/>
    <cellStyle name="_부천홈프러스(실행)_2006년실적_2007년도 경영계획_GI 수정안" xfId="619"/>
    <cellStyle name="_부천홈프러스(실행)_2007년 판매계획(GI)" xfId="620"/>
    <cellStyle name="_부천홈프러스(실행)_2007년 판매계획(GI)_2007년도 경영계획" xfId="621"/>
    <cellStyle name="_부천홈프러스(실행)_2007년 판매계획(GI)_2007년도 경영계획_GI 수정안" xfId="622"/>
    <cellStyle name="_부천홈프러스(실행)_2007년판매계획(영업안)_영업2차확정안_20061103" xfId="623"/>
    <cellStyle name="_부천홈프러스(실행)_2007년판매계획(영업안)_영업2차확정안_20061103_2007년도 경영계획" xfId="624"/>
    <cellStyle name="_부천홈프러스(실행)_2007년판매계획(영업안)_영업2차확정안_20061103_2007년도 경영계획_GI 수정안" xfId="625"/>
    <cellStyle name="_부천홈프러스(실행)_2008년 도급비 지급현황" xfId="4225"/>
    <cellStyle name="_부천홈프러스(실행)_2008년 도급비 지급현황_2008년 도급비 지급현황" xfId="4224"/>
    <cellStyle name="_부천홈프러스(실행)_2008년 도급비 지급현황_2008년 도급비 지급현황_2008년 도급비 지급현황" xfId="4223"/>
    <cellStyle name="_부천홈프러스(실행)_2008년 도급비 지급현황_2008년 도급비 지급현황_2008년 도급비 지급현황_2009년 도급비 지급현황" xfId="4222"/>
    <cellStyle name="_부천홈프러스(실행)_2008년 도급비 지급현황_2009년 도급비 지급현황" xfId="4221"/>
    <cellStyle name="_부천홈프러스(실행)_5월 경영실적" xfId="2148"/>
    <cellStyle name="_부천홈프러스(실행)_6월 경영실적" xfId="2149"/>
    <cellStyle name="_부천홈프러스(실행)_7월 경영실적" xfId="2150"/>
    <cellStyle name="_부천홈프러스(실행)_7월 경영실적_9월 경영실적" xfId="2151"/>
    <cellStyle name="_부천홈프러스(실행)_7월 경영실적_9월 경영실적_12" xfId="2152"/>
    <cellStyle name="_부천홈프러스(실행)_7월 경영실적_9월 경영실적_5월 경영실적" xfId="2153"/>
    <cellStyle name="_부천홈프러스(실행)_7월 경영실적_9월 경영실적_6월 경영실적" xfId="2154"/>
    <cellStyle name="_부천홈프러스(실행)_7월 경영실적_9월 경영실적_7월 경영실적" xfId="2155"/>
    <cellStyle name="_부천홈프러스(실행)_7월 경영실적_9월 경영실적_GI매원" xfId="2156"/>
    <cellStyle name="_부천홈프러스(실행)_7월 경영실적_9월 경영실적_Sheet1" xfId="2157"/>
    <cellStyle name="_부천홈프러스(실행)_7월 경영실적_9월 경영실적_칼라매원" xfId="2158"/>
    <cellStyle name="_부천홈프러스(실행)_GI매원" xfId="2159"/>
    <cellStyle name="_부천홈프러스(실행)_Sheet1" xfId="2160"/>
    <cellStyle name="_부천홈프러스(실행)_칼라매원" xfId="2161"/>
    <cellStyle name="_사본 - 고가차도(전력)" xfId="626"/>
    <cellStyle name="_사본 - 고가차도(전력)_06년판매계획(최종)" xfId="627"/>
    <cellStyle name="_사본 - 고가차도(전력)_06년판매계획(최종)_12" xfId="2162"/>
    <cellStyle name="_사본 - 고가차도(전력)_06년판매계획(최종)_2006년실적" xfId="628"/>
    <cellStyle name="_사본 - 고가차도(전력)_06년판매계획(최종)_2006년실적_2007년도 경영계획" xfId="629"/>
    <cellStyle name="_사본 - 고가차도(전력)_06년판매계획(최종)_2006년실적_2007년도 경영계획_GI 수정안" xfId="630"/>
    <cellStyle name="_사본 - 고가차도(전력)_06년판매계획(최종)_2007년 판매계획(GI)" xfId="631"/>
    <cellStyle name="_사본 - 고가차도(전력)_06년판매계획(최종)_2007년 판매계획(GI)_2007년도 경영계획" xfId="632"/>
    <cellStyle name="_사본 - 고가차도(전력)_06년판매계획(최종)_2007년 판매계획(GI)_2007년도 경영계획_GI 수정안" xfId="633"/>
    <cellStyle name="_사본 - 고가차도(전력)_06년판매계획(최종)_2007년판매계획(영업안)_영업2차확정안_20061103" xfId="634"/>
    <cellStyle name="_사본 - 고가차도(전력)_06년판매계획(최종)_2007년판매계획(영업안)_영업2차확정안_20061103_2007년도 경영계획" xfId="635"/>
    <cellStyle name="_사본 - 고가차도(전력)_06년판매계획(최종)_2007년판매계획(영업안)_영업2차확정안_20061103_2007년도 경영계획_GI 수정안" xfId="636"/>
    <cellStyle name="_사본 - 고가차도(전력)_06년판매계획(최종)_5월 경영실적" xfId="2163"/>
    <cellStyle name="_사본 - 고가차도(전력)_06년판매계획(최종)_6월 경영실적" xfId="2164"/>
    <cellStyle name="_사본 - 고가차도(전력)_06년판매계획(최종)_7월 경영실적" xfId="2165"/>
    <cellStyle name="_사본 - 고가차도(전력)_06년판매계획(최종)_7월 경영실적_9월 경영실적" xfId="2166"/>
    <cellStyle name="_사본 - 고가차도(전력)_06년판매계획(최종)_7월 경영실적_9월 경영실적_12" xfId="2167"/>
    <cellStyle name="_사본 - 고가차도(전력)_06년판매계획(최종)_7월 경영실적_9월 경영실적_5월 경영실적" xfId="2168"/>
    <cellStyle name="_사본 - 고가차도(전력)_06년판매계획(최종)_7월 경영실적_9월 경영실적_6월 경영실적" xfId="2169"/>
    <cellStyle name="_사본 - 고가차도(전력)_06년판매계획(최종)_7월 경영실적_9월 경영실적_7월 경영실적" xfId="2170"/>
    <cellStyle name="_사본 - 고가차도(전력)_06년판매계획(최종)_7월 경영실적_9월 경영실적_GI매원" xfId="2171"/>
    <cellStyle name="_사본 - 고가차도(전력)_06년판매계획(최종)_7월 경영실적_9월 경영실적_Sheet1" xfId="2172"/>
    <cellStyle name="_사본 - 고가차도(전력)_06년판매계획(최종)_7월 경영실적_9월 경영실적_칼라매원" xfId="2173"/>
    <cellStyle name="_사본 - 고가차도(전력)_06년판매계획(최종)_GI매원" xfId="2174"/>
    <cellStyle name="_사본 - 고가차도(전력)_06년판매계획(최종)_Sheet1" xfId="2175"/>
    <cellStyle name="_사본 - 고가차도(전력)_06년판매계획(최종)_칼라매원" xfId="2176"/>
    <cellStyle name="_사본 - 고가차도(전력)_12" xfId="2177"/>
    <cellStyle name="_사본 - 고가차도(전력)_2006년 경영계획(1안)" xfId="637"/>
    <cellStyle name="_사본 - 고가차도(전력)_2006년 경영계획(1안)_12" xfId="2178"/>
    <cellStyle name="_사본 - 고가차도(전력)_2006년 경영계획(1안)_2006년실적" xfId="638"/>
    <cellStyle name="_사본 - 고가차도(전력)_2006년 경영계획(1안)_2006년실적_2007년도 경영계획" xfId="639"/>
    <cellStyle name="_사본 - 고가차도(전력)_2006년 경영계획(1안)_2006년실적_2007년도 경영계획_GI 수정안" xfId="640"/>
    <cellStyle name="_사본 - 고가차도(전력)_2006년 경영계획(1안)_2007년 판매계획(GI)" xfId="641"/>
    <cellStyle name="_사본 - 고가차도(전력)_2006년 경영계획(1안)_2007년 판매계획(GI)_2007년도 경영계획" xfId="642"/>
    <cellStyle name="_사본 - 고가차도(전력)_2006년 경영계획(1안)_2007년 판매계획(GI)_2007년도 경영계획_GI 수정안" xfId="643"/>
    <cellStyle name="_사본 - 고가차도(전력)_2006년 경영계획(1안)_2007년판매계획(영업안)_영업2차확정안_20061103" xfId="644"/>
    <cellStyle name="_사본 - 고가차도(전력)_2006년 경영계획(1안)_2007년판매계획(영업안)_영업2차확정안_20061103_2007년도 경영계획" xfId="645"/>
    <cellStyle name="_사본 - 고가차도(전력)_2006년 경영계획(1안)_2007년판매계획(영업안)_영업2차확정안_20061103_2007년도 경영계획_GI 수정안" xfId="646"/>
    <cellStyle name="_사본 - 고가차도(전력)_2006년 경영계획(1안)_5월 경영실적" xfId="2179"/>
    <cellStyle name="_사본 - 고가차도(전력)_2006년 경영계획(1안)_6월 경영실적" xfId="2180"/>
    <cellStyle name="_사본 - 고가차도(전력)_2006년 경영계획(1안)_7월 경영실적" xfId="2181"/>
    <cellStyle name="_사본 - 고가차도(전력)_2006년 경영계획(1안)_7월 경영실적_9월 경영실적" xfId="2182"/>
    <cellStyle name="_사본 - 고가차도(전력)_2006년 경영계획(1안)_7월 경영실적_9월 경영실적_12" xfId="2183"/>
    <cellStyle name="_사본 - 고가차도(전력)_2006년 경영계획(1안)_7월 경영실적_9월 경영실적_5월 경영실적" xfId="2184"/>
    <cellStyle name="_사본 - 고가차도(전력)_2006년 경영계획(1안)_7월 경영실적_9월 경영실적_6월 경영실적" xfId="2185"/>
    <cellStyle name="_사본 - 고가차도(전력)_2006년 경영계획(1안)_7월 경영실적_9월 경영실적_7월 경영실적" xfId="2186"/>
    <cellStyle name="_사본 - 고가차도(전력)_2006년 경영계획(1안)_7월 경영실적_9월 경영실적_GI매원" xfId="2187"/>
    <cellStyle name="_사본 - 고가차도(전력)_2006년 경영계획(1안)_7월 경영실적_9월 경영실적_Sheet1" xfId="2188"/>
    <cellStyle name="_사본 - 고가차도(전력)_2006년 경영계획(1안)_7월 경영실적_9월 경영실적_칼라매원" xfId="2189"/>
    <cellStyle name="_사본 - 고가차도(전력)_2006년 경영계획(1안)_GI매원" xfId="2190"/>
    <cellStyle name="_사본 - 고가차도(전력)_2006년 경영계획(1안)_Sheet1" xfId="2191"/>
    <cellStyle name="_사본 - 고가차도(전력)_2006년 경영계획(1안)_칼라매원" xfId="2192"/>
    <cellStyle name="_사본 - 고가차도(전력)_2006년 경영계획(안)" xfId="647"/>
    <cellStyle name="_사본 - 고가차도(전력)_2006년 경영계획(안)_12" xfId="2193"/>
    <cellStyle name="_사본 - 고가차도(전력)_2006년 경영계획(안)_2006년실적" xfId="648"/>
    <cellStyle name="_사본 - 고가차도(전력)_2006년 경영계획(안)_2006년실적_2007년도 경영계획" xfId="649"/>
    <cellStyle name="_사본 - 고가차도(전력)_2006년 경영계획(안)_2006년실적_2007년도 경영계획_GI 수정안" xfId="650"/>
    <cellStyle name="_사본 - 고가차도(전력)_2006년 경영계획(안)_2007년 판매계획(GI)" xfId="651"/>
    <cellStyle name="_사본 - 고가차도(전력)_2006년 경영계획(안)_2007년 판매계획(GI)_2007년도 경영계획" xfId="652"/>
    <cellStyle name="_사본 - 고가차도(전력)_2006년 경영계획(안)_2007년 판매계획(GI)_2007년도 경영계획_GI 수정안" xfId="653"/>
    <cellStyle name="_사본 - 고가차도(전력)_2006년 경영계획(안)_2007년판매계획(영업안)_영업2차확정안_20061103" xfId="654"/>
    <cellStyle name="_사본 - 고가차도(전력)_2006년 경영계획(안)_2007년판매계획(영업안)_영업2차확정안_20061103_2007년도 경영계획" xfId="655"/>
    <cellStyle name="_사본 - 고가차도(전력)_2006년 경영계획(안)_2007년판매계획(영업안)_영업2차확정안_20061103_2007년도 경영계획_GI 수정안" xfId="656"/>
    <cellStyle name="_사본 - 고가차도(전력)_2006년 경영계획(안)_5월 경영실적" xfId="2194"/>
    <cellStyle name="_사본 - 고가차도(전력)_2006년 경영계획(안)_6월 경영실적" xfId="2195"/>
    <cellStyle name="_사본 - 고가차도(전력)_2006년 경영계획(안)_7월 경영실적" xfId="2196"/>
    <cellStyle name="_사본 - 고가차도(전력)_2006년 경영계획(안)_7월 경영실적_9월 경영실적" xfId="2197"/>
    <cellStyle name="_사본 - 고가차도(전력)_2006년 경영계획(안)_7월 경영실적_9월 경영실적_12" xfId="2198"/>
    <cellStyle name="_사본 - 고가차도(전력)_2006년 경영계획(안)_7월 경영실적_9월 경영실적_5월 경영실적" xfId="2199"/>
    <cellStyle name="_사본 - 고가차도(전력)_2006년 경영계획(안)_7월 경영실적_9월 경영실적_6월 경영실적" xfId="2200"/>
    <cellStyle name="_사본 - 고가차도(전력)_2006년 경영계획(안)_7월 경영실적_9월 경영실적_7월 경영실적" xfId="2201"/>
    <cellStyle name="_사본 - 고가차도(전력)_2006년 경영계획(안)_7월 경영실적_9월 경영실적_GI매원" xfId="2202"/>
    <cellStyle name="_사본 - 고가차도(전력)_2006년 경영계획(안)_7월 경영실적_9월 경영실적_Sheet1" xfId="2203"/>
    <cellStyle name="_사본 - 고가차도(전력)_2006년 경영계획(안)_7월 경영실적_9월 경영실적_칼라매원" xfId="2204"/>
    <cellStyle name="_사본 - 고가차도(전력)_2006년 경영계획(안)_GI매원" xfId="2205"/>
    <cellStyle name="_사본 - 고가차도(전력)_2006년 경영계획(안)_Sheet1" xfId="2206"/>
    <cellStyle name="_사본 - 고가차도(전력)_2006년 경영계획(안)_칼라매원" xfId="2207"/>
    <cellStyle name="_사본 - 고가차도(전력)_2006년실적" xfId="657"/>
    <cellStyle name="_사본 - 고가차도(전력)_2006년실적_2007년도 경영계획" xfId="658"/>
    <cellStyle name="_사본 - 고가차도(전력)_2006년실적_2007년도 경영계획_GI 수정안" xfId="659"/>
    <cellStyle name="_사본 - 고가차도(전력)_2007년 판매계획(GI)" xfId="660"/>
    <cellStyle name="_사본 - 고가차도(전력)_2007년 판매계획(GI)_2007년도 경영계획" xfId="661"/>
    <cellStyle name="_사본 - 고가차도(전력)_2007년 판매계획(GI)_2007년도 경영계획_GI 수정안" xfId="662"/>
    <cellStyle name="_사본 - 고가차도(전력)_2007년판매계획(영업안)_영업2차확정안_20061103" xfId="663"/>
    <cellStyle name="_사본 - 고가차도(전력)_2007년판매계획(영업안)_영업2차확정안_20061103_2007년도 경영계획" xfId="664"/>
    <cellStyle name="_사본 - 고가차도(전력)_2007년판매계획(영업안)_영업2차확정안_20061103_2007년도 경영계획_GI 수정안" xfId="665"/>
    <cellStyle name="_사본 - 고가차도(전력)_2008년 도급비 지급현황" xfId="4220"/>
    <cellStyle name="_사본 - 고가차도(전력)_2008년 도급비 지급현황_2008년 도급비 지급현황" xfId="4219"/>
    <cellStyle name="_사본 - 고가차도(전력)_2008년 도급비 지급현황_2008년 도급비 지급현황_2008년 도급비 지급현황" xfId="4218"/>
    <cellStyle name="_사본 - 고가차도(전력)_2008년 도급비 지급현황_2008년 도급비 지급현황_2008년 도급비 지급현황_2009년 도급비 지급현황" xfId="4217"/>
    <cellStyle name="_사본 - 고가차도(전력)_2008년 도급비 지급현황_2009년 도급비 지급현황" xfId="4216"/>
    <cellStyle name="_사본 - 고가차도(전력)_5월 경영실적" xfId="2208"/>
    <cellStyle name="_사본 - 고가차도(전력)_6월 경영실적" xfId="2209"/>
    <cellStyle name="_사본 - 고가차도(전력)_7월 경영실적" xfId="2210"/>
    <cellStyle name="_사본 - 고가차도(전력)_7월 경영실적_9월 경영실적" xfId="2211"/>
    <cellStyle name="_사본 - 고가차도(전력)_7월 경영실적_9월 경영실적_12" xfId="2212"/>
    <cellStyle name="_사본 - 고가차도(전력)_7월 경영실적_9월 경영실적_5월 경영실적" xfId="2213"/>
    <cellStyle name="_사본 - 고가차도(전력)_7월 경영실적_9월 경영실적_6월 경영실적" xfId="2214"/>
    <cellStyle name="_사본 - 고가차도(전력)_7월 경영실적_9월 경영실적_7월 경영실적" xfId="2215"/>
    <cellStyle name="_사본 - 고가차도(전력)_7월 경영실적_9월 경영실적_GI매원" xfId="2216"/>
    <cellStyle name="_사본 - 고가차도(전력)_7월 경영실적_9월 경영실적_Sheet1" xfId="2217"/>
    <cellStyle name="_사본 - 고가차도(전력)_7월 경영실적_9월 경영실적_칼라매원" xfId="2218"/>
    <cellStyle name="_사본 - 고가차도(전력)_GI매원" xfId="2219"/>
    <cellStyle name="_사본 - 고가차도(전력)_Sheet1" xfId="2220"/>
    <cellStyle name="_사본 - 고가차도(전력)_칼라매원" xfId="2221"/>
    <cellStyle name="_서초동 빌딩-1" xfId="666"/>
    <cellStyle name="_서초동 빌딩-1_06년판매계획(최종)" xfId="667"/>
    <cellStyle name="_서초동 빌딩-1_06년판매계획(최종)_12" xfId="2222"/>
    <cellStyle name="_서초동 빌딩-1_06년판매계획(최종)_2006년실적" xfId="668"/>
    <cellStyle name="_서초동 빌딩-1_06년판매계획(최종)_2006년실적_2007년도 경영계획" xfId="669"/>
    <cellStyle name="_서초동 빌딩-1_06년판매계획(최종)_2006년실적_2007년도 경영계획_GI 수정안" xfId="670"/>
    <cellStyle name="_서초동 빌딩-1_06년판매계획(최종)_2007년 판매계획(GI)" xfId="671"/>
    <cellStyle name="_서초동 빌딩-1_06년판매계획(최종)_2007년 판매계획(GI)_2007년도 경영계획" xfId="672"/>
    <cellStyle name="_서초동 빌딩-1_06년판매계획(최종)_2007년 판매계획(GI)_2007년도 경영계획_GI 수정안" xfId="673"/>
    <cellStyle name="_서초동 빌딩-1_06년판매계획(최종)_2007년판매계획(영업안)_영업2차확정안_20061103" xfId="674"/>
    <cellStyle name="_서초동 빌딩-1_06년판매계획(최종)_2007년판매계획(영업안)_영업2차확정안_20061103_2007년도 경영계획" xfId="675"/>
    <cellStyle name="_서초동 빌딩-1_06년판매계획(최종)_2007년판매계획(영업안)_영업2차확정안_20061103_2007년도 경영계획_GI 수정안" xfId="676"/>
    <cellStyle name="_서초동 빌딩-1_06년판매계획(최종)_5월 경영실적" xfId="2223"/>
    <cellStyle name="_서초동 빌딩-1_06년판매계획(최종)_6월 경영실적" xfId="2224"/>
    <cellStyle name="_서초동 빌딩-1_06년판매계획(최종)_7월 경영실적" xfId="2225"/>
    <cellStyle name="_서초동 빌딩-1_06년판매계획(최종)_7월 경영실적_9월 경영실적" xfId="2226"/>
    <cellStyle name="_서초동 빌딩-1_06년판매계획(최종)_7월 경영실적_9월 경영실적_12" xfId="2227"/>
    <cellStyle name="_서초동 빌딩-1_06년판매계획(최종)_7월 경영실적_9월 경영실적_5월 경영실적" xfId="2228"/>
    <cellStyle name="_서초동 빌딩-1_06년판매계획(최종)_7월 경영실적_9월 경영실적_6월 경영실적" xfId="2229"/>
    <cellStyle name="_서초동 빌딩-1_06년판매계획(최종)_7월 경영실적_9월 경영실적_7월 경영실적" xfId="2230"/>
    <cellStyle name="_서초동 빌딩-1_06년판매계획(최종)_7월 경영실적_9월 경영실적_GI매원" xfId="2231"/>
    <cellStyle name="_서초동 빌딩-1_06년판매계획(최종)_7월 경영실적_9월 경영실적_Sheet1" xfId="2232"/>
    <cellStyle name="_서초동 빌딩-1_06년판매계획(최종)_7월 경영실적_9월 경영실적_칼라매원" xfId="2233"/>
    <cellStyle name="_서초동 빌딩-1_06년판매계획(최종)_GI매원" xfId="2234"/>
    <cellStyle name="_서초동 빌딩-1_06년판매계획(최종)_Sheet1" xfId="2235"/>
    <cellStyle name="_서초동 빌딩-1_06년판매계획(최종)_칼라매원" xfId="2236"/>
    <cellStyle name="_서초동 빌딩-1_12" xfId="2237"/>
    <cellStyle name="_서초동 빌딩-1_2006년 경영계획(1안)" xfId="677"/>
    <cellStyle name="_서초동 빌딩-1_2006년 경영계획(1안)_12" xfId="2238"/>
    <cellStyle name="_서초동 빌딩-1_2006년 경영계획(1안)_2006년실적" xfId="678"/>
    <cellStyle name="_서초동 빌딩-1_2006년 경영계획(1안)_2006년실적_2007년도 경영계획" xfId="679"/>
    <cellStyle name="_서초동 빌딩-1_2006년 경영계획(1안)_2006년실적_2007년도 경영계획_GI 수정안" xfId="680"/>
    <cellStyle name="_서초동 빌딩-1_2006년 경영계획(1안)_2007년 판매계획(GI)" xfId="681"/>
    <cellStyle name="_서초동 빌딩-1_2006년 경영계획(1안)_2007년 판매계획(GI)_2007년도 경영계획" xfId="682"/>
    <cellStyle name="_서초동 빌딩-1_2006년 경영계획(1안)_2007년 판매계획(GI)_2007년도 경영계획_GI 수정안" xfId="683"/>
    <cellStyle name="_서초동 빌딩-1_2006년 경영계획(1안)_2007년판매계획(영업안)_영업2차확정안_20061103" xfId="684"/>
    <cellStyle name="_서초동 빌딩-1_2006년 경영계획(1안)_2007년판매계획(영업안)_영업2차확정안_20061103_2007년도 경영계획" xfId="685"/>
    <cellStyle name="_서초동 빌딩-1_2006년 경영계획(1안)_2007년판매계획(영업안)_영업2차확정안_20061103_2007년도 경영계획_GI 수정안" xfId="686"/>
    <cellStyle name="_서초동 빌딩-1_2006년 경영계획(1안)_5월 경영실적" xfId="2239"/>
    <cellStyle name="_서초동 빌딩-1_2006년 경영계획(1안)_6월 경영실적" xfId="2240"/>
    <cellStyle name="_서초동 빌딩-1_2006년 경영계획(1안)_7월 경영실적" xfId="2241"/>
    <cellStyle name="_서초동 빌딩-1_2006년 경영계획(1안)_7월 경영실적_9월 경영실적" xfId="2242"/>
    <cellStyle name="_서초동 빌딩-1_2006년 경영계획(1안)_7월 경영실적_9월 경영실적_12" xfId="2243"/>
    <cellStyle name="_서초동 빌딩-1_2006년 경영계획(1안)_7월 경영실적_9월 경영실적_5월 경영실적" xfId="2244"/>
    <cellStyle name="_서초동 빌딩-1_2006년 경영계획(1안)_7월 경영실적_9월 경영실적_6월 경영실적" xfId="2245"/>
    <cellStyle name="_서초동 빌딩-1_2006년 경영계획(1안)_7월 경영실적_9월 경영실적_7월 경영실적" xfId="2246"/>
    <cellStyle name="_서초동 빌딩-1_2006년 경영계획(1안)_7월 경영실적_9월 경영실적_GI매원" xfId="2247"/>
    <cellStyle name="_서초동 빌딩-1_2006년 경영계획(1안)_7월 경영실적_9월 경영실적_Sheet1" xfId="2248"/>
    <cellStyle name="_서초동 빌딩-1_2006년 경영계획(1안)_7월 경영실적_9월 경영실적_칼라매원" xfId="2249"/>
    <cellStyle name="_서초동 빌딩-1_2006년 경영계획(1안)_GI매원" xfId="2250"/>
    <cellStyle name="_서초동 빌딩-1_2006년 경영계획(1안)_Sheet1" xfId="2251"/>
    <cellStyle name="_서초동 빌딩-1_2006년 경영계획(1안)_칼라매원" xfId="2252"/>
    <cellStyle name="_서초동 빌딩-1_2006년 경영계획(안)" xfId="687"/>
    <cellStyle name="_서초동 빌딩-1_2006년 경영계획(안)_12" xfId="2253"/>
    <cellStyle name="_서초동 빌딩-1_2006년 경영계획(안)_2006년실적" xfId="688"/>
    <cellStyle name="_서초동 빌딩-1_2006년 경영계획(안)_2006년실적_2007년도 경영계획" xfId="689"/>
    <cellStyle name="_서초동 빌딩-1_2006년 경영계획(안)_2006년실적_2007년도 경영계획_GI 수정안" xfId="690"/>
    <cellStyle name="_서초동 빌딩-1_2006년 경영계획(안)_2007년 판매계획(GI)" xfId="691"/>
    <cellStyle name="_서초동 빌딩-1_2006년 경영계획(안)_2007년 판매계획(GI)_2007년도 경영계획" xfId="692"/>
    <cellStyle name="_서초동 빌딩-1_2006년 경영계획(안)_2007년 판매계획(GI)_2007년도 경영계획_GI 수정안" xfId="693"/>
    <cellStyle name="_서초동 빌딩-1_2006년 경영계획(안)_2007년판매계획(영업안)_영업2차확정안_20061103" xfId="694"/>
    <cellStyle name="_서초동 빌딩-1_2006년 경영계획(안)_2007년판매계획(영업안)_영업2차확정안_20061103_2007년도 경영계획" xfId="695"/>
    <cellStyle name="_서초동 빌딩-1_2006년 경영계획(안)_2007년판매계획(영업안)_영업2차확정안_20061103_2007년도 경영계획_GI 수정안" xfId="696"/>
    <cellStyle name="_서초동 빌딩-1_2006년 경영계획(안)_5월 경영실적" xfId="2254"/>
    <cellStyle name="_서초동 빌딩-1_2006년 경영계획(안)_6월 경영실적" xfId="2255"/>
    <cellStyle name="_서초동 빌딩-1_2006년 경영계획(안)_7월 경영실적" xfId="2256"/>
    <cellStyle name="_서초동 빌딩-1_2006년 경영계획(안)_7월 경영실적_9월 경영실적" xfId="2257"/>
    <cellStyle name="_서초동 빌딩-1_2006년 경영계획(안)_7월 경영실적_9월 경영실적_12" xfId="2258"/>
    <cellStyle name="_서초동 빌딩-1_2006년 경영계획(안)_7월 경영실적_9월 경영실적_5월 경영실적" xfId="2259"/>
    <cellStyle name="_서초동 빌딩-1_2006년 경영계획(안)_7월 경영실적_9월 경영실적_6월 경영실적" xfId="2260"/>
    <cellStyle name="_서초동 빌딩-1_2006년 경영계획(안)_7월 경영실적_9월 경영실적_7월 경영실적" xfId="2261"/>
    <cellStyle name="_서초동 빌딩-1_2006년 경영계획(안)_7월 경영실적_9월 경영실적_GI매원" xfId="2262"/>
    <cellStyle name="_서초동 빌딩-1_2006년 경영계획(안)_7월 경영실적_9월 경영실적_Sheet1" xfId="2263"/>
    <cellStyle name="_서초동 빌딩-1_2006년 경영계획(안)_7월 경영실적_9월 경영실적_칼라매원" xfId="2264"/>
    <cellStyle name="_서초동 빌딩-1_2006년 경영계획(안)_GI매원" xfId="2265"/>
    <cellStyle name="_서초동 빌딩-1_2006년 경영계획(안)_Sheet1" xfId="2266"/>
    <cellStyle name="_서초동 빌딩-1_2006년 경영계획(안)_칼라매원" xfId="2267"/>
    <cellStyle name="_서초동 빌딩-1_2006년실적" xfId="697"/>
    <cellStyle name="_서초동 빌딩-1_2006년실적_2007년도 경영계획" xfId="698"/>
    <cellStyle name="_서초동 빌딩-1_2006년실적_2007년도 경영계획_GI 수정안" xfId="699"/>
    <cellStyle name="_서초동 빌딩-1_2007년 판매계획(GI)" xfId="700"/>
    <cellStyle name="_서초동 빌딩-1_2007년 판매계획(GI)_2007년도 경영계획" xfId="701"/>
    <cellStyle name="_서초동 빌딩-1_2007년 판매계획(GI)_2007년도 경영계획_GI 수정안" xfId="702"/>
    <cellStyle name="_서초동 빌딩-1_2007년판매계획(영업안)_영업2차확정안_20061103" xfId="703"/>
    <cellStyle name="_서초동 빌딩-1_2007년판매계획(영업안)_영업2차확정안_20061103_2007년도 경영계획" xfId="704"/>
    <cellStyle name="_서초동 빌딩-1_2007년판매계획(영업안)_영업2차확정안_20061103_2007년도 경영계획_GI 수정안" xfId="705"/>
    <cellStyle name="_서초동 빌딩-1_2008년 도급비 지급현황" xfId="4215"/>
    <cellStyle name="_서초동 빌딩-1_2008년 도급비 지급현황_2008년 도급비 지급현황" xfId="4214"/>
    <cellStyle name="_서초동 빌딩-1_2008년 도급비 지급현황_2008년 도급비 지급현황_2008년 도급비 지급현황" xfId="4213"/>
    <cellStyle name="_서초동 빌딩-1_2008년 도급비 지급현황_2008년 도급비 지급현황_2008년 도급비 지급현황_2009년 도급비 지급현황" xfId="4212"/>
    <cellStyle name="_서초동 빌딩-1_2008년 도급비 지급현황_2009년 도급비 지급현황" xfId="4211"/>
    <cellStyle name="_서초동 빌딩-1_5월 경영실적" xfId="2268"/>
    <cellStyle name="_서초동 빌딩-1_6월 경영실적" xfId="2269"/>
    <cellStyle name="_서초동 빌딩-1_7월 경영실적" xfId="2270"/>
    <cellStyle name="_서초동 빌딩-1_7월 경영실적_9월 경영실적" xfId="2271"/>
    <cellStyle name="_서초동 빌딩-1_7월 경영실적_9월 경영실적_12" xfId="2272"/>
    <cellStyle name="_서초동 빌딩-1_7월 경영실적_9월 경영실적_5월 경영실적" xfId="2273"/>
    <cellStyle name="_서초동 빌딩-1_7월 경영실적_9월 경영실적_6월 경영실적" xfId="2274"/>
    <cellStyle name="_서초동 빌딩-1_7월 경영실적_9월 경영실적_7월 경영실적" xfId="2275"/>
    <cellStyle name="_서초동 빌딩-1_7월 경영실적_9월 경영실적_GI매원" xfId="2276"/>
    <cellStyle name="_서초동 빌딩-1_7월 경영실적_9월 경영실적_Sheet1" xfId="2277"/>
    <cellStyle name="_서초동 빌딩-1_7월 경영실적_9월 경영실적_칼라매원" xfId="2278"/>
    <cellStyle name="_서초동 빌딩-1_GI매원" xfId="2279"/>
    <cellStyle name="_서초동 빌딩-1_Sheet1" xfId="2280"/>
    <cellStyle name="_서초동 빌딩-1_칼라매원" xfId="2281"/>
    <cellStyle name="_송현실행내역" xfId="706"/>
    <cellStyle name="_송현실행내역_06년판매계획(최종)" xfId="707"/>
    <cellStyle name="_송현실행내역_06년판매계획(최종)_12" xfId="2282"/>
    <cellStyle name="_송현실행내역_06년판매계획(최종)_2006년실적" xfId="708"/>
    <cellStyle name="_송현실행내역_06년판매계획(최종)_2006년실적_2007년도 경영계획" xfId="709"/>
    <cellStyle name="_송현실행내역_06년판매계획(최종)_2006년실적_2007년도 경영계획_GI 수정안" xfId="710"/>
    <cellStyle name="_송현실행내역_06년판매계획(최종)_2007년 판매계획(GI)" xfId="711"/>
    <cellStyle name="_송현실행내역_06년판매계획(최종)_2007년 판매계획(GI)_2007년도 경영계획" xfId="712"/>
    <cellStyle name="_송현실행내역_06년판매계획(최종)_2007년 판매계획(GI)_2007년도 경영계획_GI 수정안" xfId="713"/>
    <cellStyle name="_송현실행내역_06년판매계획(최종)_2007년판매계획(영업안)_영업2차확정안_20061103" xfId="714"/>
    <cellStyle name="_송현실행내역_06년판매계획(최종)_2007년판매계획(영업안)_영업2차확정안_20061103_2007년도 경영계획" xfId="715"/>
    <cellStyle name="_송현실행내역_06년판매계획(최종)_2007년판매계획(영업안)_영업2차확정안_20061103_2007년도 경영계획_GI 수정안" xfId="716"/>
    <cellStyle name="_송현실행내역_06년판매계획(최종)_5월 경영실적" xfId="2283"/>
    <cellStyle name="_송현실행내역_06년판매계획(최종)_6월 경영실적" xfId="2284"/>
    <cellStyle name="_송현실행내역_06년판매계획(최종)_7월 경영실적" xfId="2285"/>
    <cellStyle name="_송현실행내역_06년판매계획(최종)_7월 경영실적_9월 경영실적" xfId="2286"/>
    <cellStyle name="_송현실행내역_06년판매계획(최종)_7월 경영실적_9월 경영실적_12" xfId="2287"/>
    <cellStyle name="_송현실행내역_06년판매계획(최종)_7월 경영실적_9월 경영실적_5월 경영실적" xfId="2288"/>
    <cellStyle name="_송현실행내역_06년판매계획(최종)_7월 경영실적_9월 경영실적_6월 경영실적" xfId="2289"/>
    <cellStyle name="_송현실행내역_06년판매계획(최종)_7월 경영실적_9월 경영실적_7월 경영실적" xfId="2290"/>
    <cellStyle name="_송현실행내역_06년판매계획(최종)_7월 경영실적_9월 경영실적_GI매원" xfId="2291"/>
    <cellStyle name="_송현실행내역_06년판매계획(최종)_7월 경영실적_9월 경영실적_Sheet1" xfId="2292"/>
    <cellStyle name="_송현실행내역_06년판매계획(최종)_7월 경영실적_9월 경영실적_칼라매원" xfId="2293"/>
    <cellStyle name="_송현실행내역_06년판매계획(최종)_GI매원" xfId="2294"/>
    <cellStyle name="_송현실행내역_06년판매계획(최종)_Sheet1" xfId="2295"/>
    <cellStyle name="_송현실행내역_06년판매계획(최종)_칼라매원" xfId="2296"/>
    <cellStyle name="_송현실행내역_12" xfId="2297"/>
    <cellStyle name="_송현실행내역_2006년 경영계획(1안)" xfId="717"/>
    <cellStyle name="_송현실행내역_2006년 경영계획(1안)_12" xfId="2298"/>
    <cellStyle name="_송현실행내역_2006년 경영계획(1안)_2006년실적" xfId="718"/>
    <cellStyle name="_송현실행내역_2006년 경영계획(1안)_2006년실적_2007년도 경영계획" xfId="719"/>
    <cellStyle name="_송현실행내역_2006년 경영계획(1안)_2006년실적_2007년도 경영계획_GI 수정안" xfId="720"/>
    <cellStyle name="_송현실행내역_2006년 경영계획(1안)_2007년 판매계획(GI)" xfId="721"/>
    <cellStyle name="_송현실행내역_2006년 경영계획(1안)_2007년 판매계획(GI)_2007년도 경영계획" xfId="722"/>
    <cellStyle name="_송현실행내역_2006년 경영계획(1안)_2007년 판매계획(GI)_2007년도 경영계획_GI 수정안" xfId="723"/>
    <cellStyle name="_송현실행내역_2006년 경영계획(1안)_2007년판매계획(영업안)_영업2차확정안_20061103" xfId="724"/>
    <cellStyle name="_송현실행내역_2006년 경영계획(1안)_2007년판매계획(영업안)_영업2차확정안_20061103_2007년도 경영계획" xfId="725"/>
    <cellStyle name="_송현실행내역_2006년 경영계획(1안)_2007년판매계획(영업안)_영업2차확정안_20061103_2007년도 경영계획_GI 수정안" xfId="726"/>
    <cellStyle name="_송현실행내역_2006년 경영계획(1안)_5월 경영실적" xfId="2299"/>
    <cellStyle name="_송현실행내역_2006년 경영계획(1안)_6월 경영실적" xfId="2300"/>
    <cellStyle name="_송현실행내역_2006년 경영계획(1안)_7월 경영실적" xfId="2301"/>
    <cellStyle name="_송현실행내역_2006년 경영계획(1안)_7월 경영실적_9월 경영실적" xfId="2302"/>
    <cellStyle name="_송현실행내역_2006년 경영계획(1안)_7월 경영실적_9월 경영실적_12" xfId="2303"/>
    <cellStyle name="_송현실행내역_2006년 경영계획(1안)_7월 경영실적_9월 경영실적_5월 경영실적" xfId="2304"/>
    <cellStyle name="_송현실행내역_2006년 경영계획(1안)_7월 경영실적_9월 경영실적_6월 경영실적" xfId="2305"/>
    <cellStyle name="_송현실행내역_2006년 경영계획(1안)_7월 경영실적_9월 경영실적_7월 경영실적" xfId="2306"/>
    <cellStyle name="_송현실행내역_2006년 경영계획(1안)_7월 경영실적_9월 경영실적_GI매원" xfId="2307"/>
    <cellStyle name="_송현실행내역_2006년 경영계획(1안)_7월 경영실적_9월 경영실적_Sheet1" xfId="2308"/>
    <cellStyle name="_송현실행내역_2006년 경영계획(1안)_7월 경영실적_9월 경영실적_칼라매원" xfId="2309"/>
    <cellStyle name="_송현실행내역_2006년 경영계획(1안)_GI매원" xfId="2310"/>
    <cellStyle name="_송현실행내역_2006년 경영계획(1안)_Sheet1" xfId="2311"/>
    <cellStyle name="_송현실행내역_2006년 경영계획(1안)_칼라매원" xfId="2312"/>
    <cellStyle name="_송현실행내역_2006년 경영계획(안)" xfId="727"/>
    <cellStyle name="_송현실행내역_2006년 경영계획(안)_12" xfId="2313"/>
    <cellStyle name="_송현실행내역_2006년 경영계획(안)_2006년실적" xfId="728"/>
    <cellStyle name="_송현실행내역_2006년 경영계획(안)_2006년실적_2007년도 경영계획" xfId="729"/>
    <cellStyle name="_송현실행내역_2006년 경영계획(안)_2006년실적_2007년도 경영계획_GI 수정안" xfId="730"/>
    <cellStyle name="_송현실행내역_2006년 경영계획(안)_2007년 판매계획(GI)" xfId="731"/>
    <cellStyle name="_송현실행내역_2006년 경영계획(안)_2007년 판매계획(GI)_2007년도 경영계획" xfId="732"/>
    <cellStyle name="_송현실행내역_2006년 경영계획(안)_2007년 판매계획(GI)_2007년도 경영계획_GI 수정안" xfId="733"/>
    <cellStyle name="_송현실행내역_2006년 경영계획(안)_2007년판매계획(영업안)_영업2차확정안_20061103" xfId="734"/>
    <cellStyle name="_송현실행내역_2006년 경영계획(안)_2007년판매계획(영업안)_영업2차확정안_20061103_2007년도 경영계획" xfId="735"/>
    <cellStyle name="_송현실행내역_2006년 경영계획(안)_2007년판매계획(영업안)_영업2차확정안_20061103_2007년도 경영계획_GI 수정안" xfId="736"/>
    <cellStyle name="_송현실행내역_2006년 경영계획(안)_5월 경영실적" xfId="2314"/>
    <cellStyle name="_송현실행내역_2006년 경영계획(안)_6월 경영실적" xfId="2315"/>
    <cellStyle name="_송현실행내역_2006년 경영계획(안)_7월 경영실적" xfId="2316"/>
    <cellStyle name="_송현실행내역_2006년 경영계획(안)_7월 경영실적_9월 경영실적" xfId="2317"/>
    <cellStyle name="_송현실행내역_2006년 경영계획(안)_7월 경영실적_9월 경영실적_12" xfId="2318"/>
    <cellStyle name="_송현실행내역_2006년 경영계획(안)_7월 경영실적_9월 경영실적_5월 경영실적" xfId="2319"/>
    <cellStyle name="_송현실행내역_2006년 경영계획(안)_7월 경영실적_9월 경영실적_6월 경영실적" xfId="2320"/>
    <cellStyle name="_송현실행내역_2006년 경영계획(안)_7월 경영실적_9월 경영실적_7월 경영실적" xfId="2321"/>
    <cellStyle name="_송현실행내역_2006년 경영계획(안)_7월 경영실적_9월 경영실적_GI매원" xfId="2322"/>
    <cellStyle name="_송현실행내역_2006년 경영계획(안)_7월 경영실적_9월 경영실적_Sheet1" xfId="2323"/>
    <cellStyle name="_송현실행내역_2006년 경영계획(안)_7월 경영실적_9월 경영실적_칼라매원" xfId="2324"/>
    <cellStyle name="_송현실행내역_2006년 경영계획(안)_GI매원" xfId="2325"/>
    <cellStyle name="_송현실행내역_2006년 경영계획(안)_Sheet1" xfId="2326"/>
    <cellStyle name="_송현실행내역_2006년 경영계획(안)_칼라매원" xfId="2327"/>
    <cellStyle name="_송현실행내역_2006년실적" xfId="737"/>
    <cellStyle name="_송현실행내역_2006년실적_2007년도 경영계획" xfId="738"/>
    <cellStyle name="_송현실행내역_2006년실적_2007년도 경영계획_GI 수정안" xfId="739"/>
    <cellStyle name="_송현실행내역_2007년 판매계획(GI)" xfId="740"/>
    <cellStyle name="_송현실행내역_2007년 판매계획(GI)_2007년도 경영계획" xfId="741"/>
    <cellStyle name="_송현실행내역_2007년 판매계획(GI)_2007년도 경영계획_GI 수정안" xfId="742"/>
    <cellStyle name="_송현실행내역_2007년판매계획(영업안)_영업2차확정안_20061103" xfId="743"/>
    <cellStyle name="_송현실행내역_2007년판매계획(영업안)_영업2차확정안_20061103_2007년도 경영계획" xfId="744"/>
    <cellStyle name="_송현실행내역_2007년판매계획(영업안)_영업2차확정안_20061103_2007년도 경영계획_GI 수정안" xfId="745"/>
    <cellStyle name="_송현실행내역_2008년 도급비 지급현황" xfId="4210"/>
    <cellStyle name="_송현실행내역_2008년 도급비 지급현황_2008년 도급비 지급현황" xfId="4209"/>
    <cellStyle name="_송현실행내역_2008년 도급비 지급현황_2008년 도급비 지급현황_2008년 도급비 지급현황" xfId="4208"/>
    <cellStyle name="_송현실행내역_2008년 도급비 지급현황_2008년 도급비 지급현황_2008년 도급비 지급현황_2009년 도급비 지급현황" xfId="4207"/>
    <cellStyle name="_송현실행내역_2008년 도급비 지급현황_2009년 도급비 지급현황" xfId="4206"/>
    <cellStyle name="_송현실행내역_5월 경영실적" xfId="2328"/>
    <cellStyle name="_송현실행내역_6월 경영실적" xfId="2329"/>
    <cellStyle name="_송현실행내역_7월 경영실적" xfId="2330"/>
    <cellStyle name="_송현실행내역_7월 경영실적_9월 경영실적" xfId="2331"/>
    <cellStyle name="_송현실행내역_7월 경영실적_9월 경영실적_12" xfId="2332"/>
    <cellStyle name="_송현실행내역_7월 경영실적_9월 경영실적_5월 경영실적" xfId="2333"/>
    <cellStyle name="_송현실행내역_7월 경영실적_9월 경영실적_6월 경영실적" xfId="2334"/>
    <cellStyle name="_송현실행내역_7월 경영실적_9월 경영실적_7월 경영실적" xfId="2335"/>
    <cellStyle name="_송현실행내역_7월 경영실적_9월 경영실적_GI매원" xfId="2336"/>
    <cellStyle name="_송현실행내역_7월 경영실적_9월 경영실적_Sheet1" xfId="2337"/>
    <cellStyle name="_송현실행내역_7월 경영실적_9월 경영실적_칼라매원" xfId="2338"/>
    <cellStyle name="_송현실행내역_GI매원" xfId="2339"/>
    <cellStyle name="_송현실행내역_Sheet1" xfId="2340"/>
    <cellStyle name="_송현실행내역_칼라매원" xfId="2341"/>
    <cellStyle name="_안양점" xfId="746"/>
    <cellStyle name="_업로드시트 취합_V2" xfId="4205"/>
    <cellStyle name="_업로드시트 취합_최종" xfId="4204"/>
    <cellStyle name="_업무지원팀" xfId="4203"/>
    <cellStyle name="_용인명지대학과동234" xfId="747"/>
    <cellStyle name="_울산홈플러스 전기공사" xfId="748"/>
    <cellStyle name="_울산홈플러스 전기공사_06년판매계획(최종)" xfId="749"/>
    <cellStyle name="_울산홈플러스 전기공사_06년판매계획(최종)_12" xfId="2342"/>
    <cellStyle name="_울산홈플러스 전기공사_06년판매계획(최종)_2006년실적" xfId="750"/>
    <cellStyle name="_울산홈플러스 전기공사_06년판매계획(최종)_2006년실적_2007년도 경영계획" xfId="751"/>
    <cellStyle name="_울산홈플러스 전기공사_06년판매계획(최종)_2006년실적_2007년도 경영계획_GI 수정안" xfId="752"/>
    <cellStyle name="_울산홈플러스 전기공사_06년판매계획(최종)_2007년 판매계획(GI)" xfId="753"/>
    <cellStyle name="_울산홈플러스 전기공사_06년판매계획(최종)_2007년 판매계획(GI)_2007년도 경영계획" xfId="754"/>
    <cellStyle name="_울산홈플러스 전기공사_06년판매계획(최종)_2007년 판매계획(GI)_2007년도 경영계획_GI 수정안" xfId="755"/>
    <cellStyle name="_울산홈플러스 전기공사_06년판매계획(최종)_2007년판매계획(영업안)_영업2차확정안_20061103" xfId="756"/>
    <cellStyle name="_울산홈플러스 전기공사_06년판매계획(최종)_2007년판매계획(영업안)_영업2차확정안_20061103_2007년도 경영계획" xfId="757"/>
    <cellStyle name="_울산홈플러스 전기공사_06년판매계획(최종)_2007년판매계획(영업안)_영업2차확정안_20061103_2007년도 경영계획_GI 수정안" xfId="758"/>
    <cellStyle name="_울산홈플러스 전기공사_06년판매계획(최종)_5월 경영실적" xfId="2343"/>
    <cellStyle name="_울산홈플러스 전기공사_06년판매계획(최종)_6월 경영실적" xfId="2344"/>
    <cellStyle name="_울산홈플러스 전기공사_06년판매계획(최종)_7월 경영실적" xfId="2345"/>
    <cellStyle name="_울산홈플러스 전기공사_06년판매계획(최종)_7월 경영실적_9월 경영실적" xfId="2346"/>
    <cellStyle name="_울산홈플러스 전기공사_06년판매계획(최종)_7월 경영실적_9월 경영실적_12" xfId="2347"/>
    <cellStyle name="_울산홈플러스 전기공사_06년판매계획(최종)_7월 경영실적_9월 경영실적_5월 경영실적" xfId="2348"/>
    <cellStyle name="_울산홈플러스 전기공사_06년판매계획(최종)_7월 경영실적_9월 경영실적_6월 경영실적" xfId="2349"/>
    <cellStyle name="_울산홈플러스 전기공사_06년판매계획(최종)_7월 경영실적_9월 경영실적_7월 경영실적" xfId="2350"/>
    <cellStyle name="_울산홈플러스 전기공사_06년판매계획(최종)_7월 경영실적_9월 경영실적_GI매원" xfId="2351"/>
    <cellStyle name="_울산홈플러스 전기공사_06년판매계획(최종)_7월 경영실적_9월 경영실적_Sheet1" xfId="2352"/>
    <cellStyle name="_울산홈플러스 전기공사_06년판매계획(최종)_7월 경영실적_9월 경영실적_칼라매원" xfId="2353"/>
    <cellStyle name="_울산홈플러스 전기공사_06년판매계획(최종)_GI매원" xfId="2354"/>
    <cellStyle name="_울산홈플러스 전기공사_06년판매계획(최종)_Sheet1" xfId="2355"/>
    <cellStyle name="_울산홈플러스 전기공사_06년판매계획(최종)_칼라매원" xfId="2356"/>
    <cellStyle name="_울산홈플러스 전기공사_12" xfId="2357"/>
    <cellStyle name="_울산홈플러스 전기공사_2006년 경영계획(1안)" xfId="759"/>
    <cellStyle name="_울산홈플러스 전기공사_2006년 경영계획(1안)_12" xfId="2358"/>
    <cellStyle name="_울산홈플러스 전기공사_2006년 경영계획(1안)_2006년실적" xfId="760"/>
    <cellStyle name="_울산홈플러스 전기공사_2006년 경영계획(1안)_2006년실적_2007년도 경영계획" xfId="761"/>
    <cellStyle name="_울산홈플러스 전기공사_2006년 경영계획(1안)_2006년실적_2007년도 경영계획_GI 수정안" xfId="762"/>
    <cellStyle name="_울산홈플러스 전기공사_2006년 경영계획(1안)_2007년 판매계획(GI)" xfId="763"/>
    <cellStyle name="_울산홈플러스 전기공사_2006년 경영계획(1안)_2007년 판매계획(GI)_2007년도 경영계획" xfId="764"/>
    <cellStyle name="_울산홈플러스 전기공사_2006년 경영계획(1안)_2007년 판매계획(GI)_2007년도 경영계획_GI 수정안" xfId="765"/>
    <cellStyle name="_울산홈플러스 전기공사_2006년 경영계획(1안)_2007년판매계획(영업안)_영업2차확정안_20061103" xfId="766"/>
    <cellStyle name="_울산홈플러스 전기공사_2006년 경영계획(1안)_2007년판매계획(영업안)_영업2차확정안_20061103_2007년도 경영계획" xfId="767"/>
    <cellStyle name="_울산홈플러스 전기공사_2006년 경영계획(1안)_2007년판매계획(영업안)_영업2차확정안_20061103_2007년도 경영계획_GI 수정안" xfId="768"/>
    <cellStyle name="_울산홈플러스 전기공사_2006년 경영계획(1안)_5월 경영실적" xfId="2359"/>
    <cellStyle name="_울산홈플러스 전기공사_2006년 경영계획(1안)_6월 경영실적" xfId="2360"/>
    <cellStyle name="_울산홈플러스 전기공사_2006년 경영계획(1안)_7월 경영실적" xfId="2361"/>
    <cellStyle name="_울산홈플러스 전기공사_2006년 경영계획(1안)_7월 경영실적_9월 경영실적" xfId="2362"/>
    <cellStyle name="_울산홈플러스 전기공사_2006년 경영계획(1안)_7월 경영실적_9월 경영실적_12" xfId="2363"/>
    <cellStyle name="_울산홈플러스 전기공사_2006년 경영계획(1안)_7월 경영실적_9월 경영실적_5월 경영실적" xfId="2364"/>
    <cellStyle name="_울산홈플러스 전기공사_2006년 경영계획(1안)_7월 경영실적_9월 경영실적_6월 경영실적" xfId="2365"/>
    <cellStyle name="_울산홈플러스 전기공사_2006년 경영계획(1안)_7월 경영실적_9월 경영실적_7월 경영실적" xfId="2366"/>
    <cellStyle name="_울산홈플러스 전기공사_2006년 경영계획(1안)_7월 경영실적_9월 경영실적_GI매원" xfId="2367"/>
    <cellStyle name="_울산홈플러스 전기공사_2006년 경영계획(1안)_7월 경영실적_9월 경영실적_Sheet1" xfId="2368"/>
    <cellStyle name="_울산홈플러스 전기공사_2006년 경영계획(1안)_7월 경영실적_9월 경영실적_칼라매원" xfId="2369"/>
    <cellStyle name="_울산홈플러스 전기공사_2006년 경영계획(1안)_GI매원" xfId="2370"/>
    <cellStyle name="_울산홈플러스 전기공사_2006년 경영계획(1안)_Sheet1" xfId="2371"/>
    <cellStyle name="_울산홈플러스 전기공사_2006년 경영계획(1안)_칼라매원" xfId="2372"/>
    <cellStyle name="_울산홈플러스 전기공사_2006년 경영계획(안)" xfId="769"/>
    <cellStyle name="_울산홈플러스 전기공사_2006년 경영계획(안)_12" xfId="2373"/>
    <cellStyle name="_울산홈플러스 전기공사_2006년 경영계획(안)_2006년실적" xfId="770"/>
    <cellStyle name="_울산홈플러스 전기공사_2006년 경영계획(안)_2006년실적_2007년도 경영계획" xfId="771"/>
    <cellStyle name="_울산홈플러스 전기공사_2006년 경영계획(안)_2006년실적_2007년도 경영계획_GI 수정안" xfId="772"/>
    <cellStyle name="_울산홈플러스 전기공사_2006년 경영계획(안)_2007년 판매계획(GI)" xfId="773"/>
    <cellStyle name="_울산홈플러스 전기공사_2006년 경영계획(안)_2007년 판매계획(GI)_2007년도 경영계획" xfId="774"/>
    <cellStyle name="_울산홈플러스 전기공사_2006년 경영계획(안)_2007년 판매계획(GI)_2007년도 경영계획_GI 수정안" xfId="775"/>
    <cellStyle name="_울산홈플러스 전기공사_2006년 경영계획(안)_2007년판매계획(영업안)_영업2차확정안_20061103" xfId="776"/>
    <cellStyle name="_울산홈플러스 전기공사_2006년 경영계획(안)_2007년판매계획(영업안)_영업2차확정안_20061103_2007년도 경영계획" xfId="777"/>
    <cellStyle name="_울산홈플러스 전기공사_2006년 경영계획(안)_2007년판매계획(영업안)_영업2차확정안_20061103_2007년도 경영계획_GI 수정안" xfId="778"/>
    <cellStyle name="_울산홈플러스 전기공사_2006년 경영계획(안)_5월 경영실적" xfId="2374"/>
    <cellStyle name="_울산홈플러스 전기공사_2006년 경영계획(안)_6월 경영실적" xfId="2375"/>
    <cellStyle name="_울산홈플러스 전기공사_2006년 경영계획(안)_7월 경영실적" xfId="2376"/>
    <cellStyle name="_울산홈플러스 전기공사_2006년 경영계획(안)_7월 경영실적_9월 경영실적" xfId="2377"/>
    <cellStyle name="_울산홈플러스 전기공사_2006년 경영계획(안)_7월 경영실적_9월 경영실적_12" xfId="2378"/>
    <cellStyle name="_울산홈플러스 전기공사_2006년 경영계획(안)_7월 경영실적_9월 경영실적_5월 경영실적" xfId="2379"/>
    <cellStyle name="_울산홈플러스 전기공사_2006년 경영계획(안)_7월 경영실적_9월 경영실적_6월 경영실적" xfId="2380"/>
    <cellStyle name="_울산홈플러스 전기공사_2006년 경영계획(안)_7월 경영실적_9월 경영실적_7월 경영실적" xfId="2381"/>
    <cellStyle name="_울산홈플러스 전기공사_2006년 경영계획(안)_7월 경영실적_9월 경영실적_GI매원" xfId="2382"/>
    <cellStyle name="_울산홈플러스 전기공사_2006년 경영계획(안)_7월 경영실적_9월 경영실적_Sheet1" xfId="2383"/>
    <cellStyle name="_울산홈플러스 전기공사_2006년 경영계획(안)_7월 경영실적_9월 경영실적_칼라매원" xfId="2384"/>
    <cellStyle name="_울산홈플러스 전기공사_2006년 경영계획(안)_GI매원" xfId="2385"/>
    <cellStyle name="_울산홈플러스 전기공사_2006년 경영계획(안)_Sheet1" xfId="2386"/>
    <cellStyle name="_울산홈플러스 전기공사_2006년 경영계획(안)_칼라매원" xfId="2387"/>
    <cellStyle name="_울산홈플러스 전기공사_2006년실적" xfId="779"/>
    <cellStyle name="_울산홈플러스 전기공사_2006년실적_2007년도 경영계획" xfId="780"/>
    <cellStyle name="_울산홈플러스 전기공사_2006년실적_2007년도 경영계획_GI 수정안" xfId="781"/>
    <cellStyle name="_울산홈플러스 전기공사_2007년 판매계획(GI)" xfId="782"/>
    <cellStyle name="_울산홈플러스 전기공사_2007년 판매계획(GI)_2007년도 경영계획" xfId="783"/>
    <cellStyle name="_울산홈플러스 전기공사_2007년 판매계획(GI)_2007년도 경영계획_GI 수정안" xfId="784"/>
    <cellStyle name="_울산홈플러스 전기공사_2007년판매계획(영업안)_영업2차확정안_20061103" xfId="785"/>
    <cellStyle name="_울산홈플러스 전기공사_2007년판매계획(영업안)_영업2차확정안_20061103_2007년도 경영계획" xfId="786"/>
    <cellStyle name="_울산홈플러스 전기공사_2007년판매계획(영업안)_영업2차확정안_20061103_2007년도 경영계획_GI 수정안" xfId="787"/>
    <cellStyle name="_울산홈플러스 전기공사_2008년 도급비 지급현황" xfId="4202"/>
    <cellStyle name="_울산홈플러스 전기공사_2008년 도급비 지급현황_2008년 도급비 지급현황" xfId="4201"/>
    <cellStyle name="_울산홈플러스 전기공사_2008년 도급비 지급현황_2008년 도급비 지급현황_2008년 도급비 지급현황" xfId="4200"/>
    <cellStyle name="_울산홈플러스 전기공사_2008년 도급비 지급현황_2008년 도급비 지급현황_2008년 도급비 지급현황_2009년 도급비 지급현황" xfId="4199"/>
    <cellStyle name="_울산홈플러스 전기공사_2008년 도급비 지급현황_2009년 도급비 지급현황" xfId="4198"/>
    <cellStyle name="_울산홈플러스 전기공사_5월 경영실적" xfId="2388"/>
    <cellStyle name="_울산홈플러스 전기공사_6월 경영실적" xfId="2389"/>
    <cellStyle name="_울산홈플러스 전기공사_7월 경영실적" xfId="2390"/>
    <cellStyle name="_울산홈플러스 전기공사_7월 경영실적_9월 경영실적" xfId="2391"/>
    <cellStyle name="_울산홈플러스 전기공사_7월 경영실적_9월 경영실적_12" xfId="2392"/>
    <cellStyle name="_울산홈플러스 전기공사_7월 경영실적_9월 경영실적_5월 경영실적" xfId="2393"/>
    <cellStyle name="_울산홈플러스 전기공사_7월 경영실적_9월 경영실적_6월 경영실적" xfId="2394"/>
    <cellStyle name="_울산홈플러스 전기공사_7월 경영실적_9월 경영실적_7월 경영실적" xfId="2395"/>
    <cellStyle name="_울산홈플러스 전기공사_7월 경영실적_9월 경영실적_GI매원" xfId="2396"/>
    <cellStyle name="_울산홈플러스 전기공사_7월 경영실적_9월 경영실적_Sheet1" xfId="2397"/>
    <cellStyle name="_울산홈플러스 전기공사_7월 경영실적_9월 경영실적_칼라매원" xfId="2398"/>
    <cellStyle name="_울산홈플러스 전기공사_GI매원" xfId="2399"/>
    <cellStyle name="_울산홈플러스 전기공사_Sheet1" xfId="2400"/>
    <cellStyle name="_울산홈플러스 전기공사_칼라매원" xfId="2401"/>
    <cellStyle name="_작업내역(전기,통신)" xfId="788"/>
    <cellStyle name="_작업내역(전기,통신)_06년판매계획(최종)" xfId="789"/>
    <cellStyle name="_작업내역(전기,통신)_06년판매계획(최종)_12" xfId="2402"/>
    <cellStyle name="_작업내역(전기,통신)_06년판매계획(최종)_2006년실적" xfId="790"/>
    <cellStyle name="_작업내역(전기,통신)_06년판매계획(최종)_2006년실적_2007년도 경영계획" xfId="791"/>
    <cellStyle name="_작업내역(전기,통신)_06년판매계획(최종)_2006년실적_2007년도 경영계획_GI 수정안" xfId="792"/>
    <cellStyle name="_작업내역(전기,통신)_06년판매계획(최종)_2007년 판매계획(GI)" xfId="793"/>
    <cellStyle name="_작업내역(전기,통신)_06년판매계획(최종)_2007년 판매계획(GI)_2007년도 경영계획" xfId="794"/>
    <cellStyle name="_작업내역(전기,통신)_06년판매계획(최종)_2007년 판매계획(GI)_2007년도 경영계획_GI 수정안" xfId="795"/>
    <cellStyle name="_작업내역(전기,통신)_06년판매계획(최종)_2007년판매계획(영업안)_영업2차확정안_20061103" xfId="796"/>
    <cellStyle name="_작업내역(전기,통신)_06년판매계획(최종)_2007년판매계획(영업안)_영업2차확정안_20061103_2007년도 경영계획" xfId="797"/>
    <cellStyle name="_작업내역(전기,통신)_06년판매계획(최종)_2007년판매계획(영업안)_영업2차확정안_20061103_2007년도 경영계획_GI 수정안" xfId="798"/>
    <cellStyle name="_작업내역(전기,통신)_06년판매계획(최종)_5월 경영실적" xfId="2403"/>
    <cellStyle name="_작업내역(전기,통신)_06년판매계획(최종)_6월 경영실적" xfId="2404"/>
    <cellStyle name="_작업내역(전기,통신)_06년판매계획(최종)_7월 경영실적" xfId="2405"/>
    <cellStyle name="_작업내역(전기,통신)_06년판매계획(최종)_7월 경영실적_9월 경영실적" xfId="2406"/>
    <cellStyle name="_작업내역(전기,통신)_06년판매계획(최종)_7월 경영실적_9월 경영실적_12" xfId="2407"/>
    <cellStyle name="_작업내역(전기,통신)_06년판매계획(최종)_7월 경영실적_9월 경영실적_5월 경영실적" xfId="2408"/>
    <cellStyle name="_작업내역(전기,통신)_06년판매계획(최종)_7월 경영실적_9월 경영실적_6월 경영실적" xfId="2409"/>
    <cellStyle name="_작업내역(전기,통신)_06년판매계획(최종)_7월 경영실적_9월 경영실적_7월 경영실적" xfId="2410"/>
    <cellStyle name="_작업내역(전기,통신)_06년판매계획(최종)_7월 경영실적_9월 경영실적_GI매원" xfId="2411"/>
    <cellStyle name="_작업내역(전기,통신)_06년판매계획(최종)_7월 경영실적_9월 경영실적_Sheet1" xfId="2412"/>
    <cellStyle name="_작업내역(전기,통신)_06년판매계획(최종)_7월 경영실적_9월 경영실적_칼라매원" xfId="2413"/>
    <cellStyle name="_작업내역(전기,통신)_06년판매계획(최종)_GI매원" xfId="2414"/>
    <cellStyle name="_작업내역(전기,통신)_06년판매계획(최종)_Sheet1" xfId="2415"/>
    <cellStyle name="_작업내역(전기,통신)_06년판매계획(최종)_칼라매원" xfId="2416"/>
    <cellStyle name="_작업내역(전기,통신)_12" xfId="2417"/>
    <cellStyle name="_작업내역(전기,통신)_2006년 경영계획(1안)" xfId="799"/>
    <cellStyle name="_작업내역(전기,통신)_2006년 경영계획(1안)_12" xfId="2418"/>
    <cellStyle name="_작업내역(전기,통신)_2006년 경영계획(1안)_2006년실적" xfId="800"/>
    <cellStyle name="_작업내역(전기,통신)_2006년 경영계획(1안)_2006년실적_2007년도 경영계획" xfId="801"/>
    <cellStyle name="_작업내역(전기,통신)_2006년 경영계획(1안)_2006년실적_2007년도 경영계획_GI 수정안" xfId="802"/>
    <cellStyle name="_작업내역(전기,통신)_2006년 경영계획(1안)_2007년 판매계획(GI)" xfId="803"/>
    <cellStyle name="_작업내역(전기,통신)_2006년 경영계획(1안)_2007년 판매계획(GI)_2007년도 경영계획" xfId="804"/>
    <cellStyle name="_작업내역(전기,통신)_2006년 경영계획(1안)_2007년 판매계획(GI)_2007년도 경영계획_GI 수정안" xfId="805"/>
    <cellStyle name="_작업내역(전기,통신)_2006년 경영계획(1안)_2007년판매계획(영업안)_영업2차확정안_20061103" xfId="806"/>
    <cellStyle name="_작업내역(전기,통신)_2006년 경영계획(1안)_2007년판매계획(영업안)_영업2차확정안_20061103_2007년도 경영계획" xfId="807"/>
    <cellStyle name="_작업내역(전기,통신)_2006년 경영계획(1안)_2007년판매계획(영업안)_영업2차확정안_20061103_2007년도 경영계획_GI 수정안" xfId="808"/>
    <cellStyle name="_작업내역(전기,통신)_2006년 경영계획(1안)_5월 경영실적" xfId="2419"/>
    <cellStyle name="_작업내역(전기,통신)_2006년 경영계획(1안)_6월 경영실적" xfId="2420"/>
    <cellStyle name="_작업내역(전기,통신)_2006년 경영계획(1안)_7월 경영실적" xfId="2421"/>
    <cellStyle name="_작업내역(전기,통신)_2006년 경영계획(1안)_7월 경영실적_9월 경영실적" xfId="2422"/>
    <cellStyle name="_작업내역(전기,통신)_2006년 경영계획(1안)_7월 경영실적_9월 경영실적_12" xfId="2423"/>
    <cellStyle name="_작업내역(전기,통신)_2006년 경영계획(1안)_7월 경영실적_9월 경영실적_5월 경영실적" xfId="2424"/>
    <cellStyle name="_작업내역(전기,통신)_2006년 경영계획(1안)_7월 경영실적_9월 경영실적_6월 경영실적" xfId="2425"/>
    <cellStyle name="_작업내역(전기,통신)_2006년 경영계획(1안)_7월 경영실적_9월 경영실적_7월 경영실적" xfId="2426"/>
    <cellStyle name="_작업내역(전기,통신)_2006년 경영계획(1안)_7월 경영실적_9월 경영실적_GI매원" xfId="2427"/>
    <cellStyle name="_작업내역(전기,통신)_2006년 경영계획(1안)_7월 경영실적_9월 경영실적_Sheet1" xfId="2428"/>
    <cellStyle name="_작업내역(전기,통신)_2006년 경영계획(1안)_7월 경영실적_9월 경영실적_칼라매원" xfId="2429"/>
    <cellStyle name="_작업내역(전기,통신)_2006년 경영계획(1안)_GI매원" xfId="2430"/>
    <cellStyle name="_작업내역(전기,통신)_2006년 경영계획(1안)_Sheet1" xfId="2431"/>
    <cellStyle name="_작업내역(전기,통신)_2006년 경영계획(1안)_칼라매원" xfId="2432"/>
    <cellStyle name="_작업내역(전기,통신)_2006년 경영계획(안)" xfId="809"/>
    <cellStyle name="_작업내역(전기,통신)_2006년 경영계획(안)_12" xfId="2433"/>
    <cellStyle name="_작업내역(전기,통신)_2006년 경영계획(안)_2006년실적" xfId="810"/>
    <cellStyle name="_작업내역(전기,통신)_2006년 경영계획(안)_2006년실적_2007년도 경영계획" xfId="811"/>
    <cellStyle name="_작업내역(전기,통신)_2006년 경영계획(안)_2006년실적_2007년도 경영계획_GI 수정안" xfId="812"/>
    <cellStyle name="_작업내역(전기,통신)_2006년 경영계획(안)_2007년 판매계획(GI)" xfId="813"/>
    <cellStyle name="_작업내역(전기,통신)_2006년 경영계획(안)_2007년 판매계획(GI)_2007년도 경영계획" xfId="814"/>
    <cellStyle name="_작업내역(전기,통신)_2006년 경영계획(안)_2007년 판매계획(GI)_2007년도 경영계획_GI 수정안" xfId="815"/>
    <cellStyle name="_작업내역(전기,통신)_2006년 경영계획(안)_2007년판매계획(영업안)_영업2차확정안_20061103" xfId="816"/>
    <cellStyle name="_작업내역(전기,통신)_2006년 경영계획(안)_2007년판매계획(영업안)_영업2차확정안_20061103_2007년도 경영계획" xfId="817"/>
    <cellStyle name="_작업내역(전기,통신)_2006년 경영계획(안)_2007년판매계획(영업안)_영업2차확정안_20061103_2007년도 경영계획_GI 수정안" xfId="818"/>
    <cellStyle name="_작업내역(전기,통신)_2006년 경영계획(안)_5월 경영실적" xfId="2434"/>
    <cellStyle name="_작업내역(전기,통신)_2006년 경영계획(안)_6월 경영실적" xfId="2435"/>
    <cellStyle name="_작업내역(전기,통신)_2006년 경영계획(안)_7월 경영실적" xfId="2436"/>
    <cellStyle name="_작업내역(전기,통신)_2006년 경영계획(안)_7월 경영실적_9월 경영실적" xfId="2437"/>
    <cellStyle name="_작업내역(전기,통신)_2006년 경영계획(안)_7월 경영실적_9월 경영실적_12" xfId="2438"/>
    <cellStyle name="_작업내역(전기,통신)_2006년 경영계획(안)_7월 경영실적_9월 경영실적_5월 경영실적" xfId="2439"/>
    <cellStyle name="_작업내역(전기,통신)_2006년 경영계획(안)_7월 경영실적_9월 경영실적_6월 경영실적" xfId="2440"/>
    <cellStyle name="_작업내역(전기,통신)_2006년 경영계획(안)_7월 경영실적_9월 경영실적_7월 경영실적" xfId="2441"/>
    <cellStyle name="_작업내역(전기,통신)_2006년 경영계획(안)_7월 경영실적_9월 경영실적_GI매원" xfId="2442"/>
    <cellStyle name="_작업내역(전기,통신)_2006년 경영계획(안)_7월 경영실적_9월 경영실적_Sheet1" xfId="2443"/>
    <cellStyle name="_작업내역(전기,통신)_2006년 경영계획(안)_7월 경영실적_9월 경영실적_칼라매원" xfId="2444"/>
    <cellStyle name="_작업내역(전기,통신)_2006년 경영계획(안)_GI매원" xfId="2445"/>
    <cellStyle name="_작업내역(전기,통신)_2006년 경영계획(안)_Sheet1" xfId="2446"/>
    <cellStyle name="_작업내역(전기,통신)_2006년 경영계획(안)_칼라매원" xfId="2447"/>
    <cellStyle name="_작업내역(전기,통신)_2006년실적" xfId="819"/>
    <cellStyle name="_작업내역(전기,통신)_2006년실적_2007년도 경영계획" xfId="820"/>
    <cellStyle name="_작업내역(전기,통신)_2006년실적_2007년도 경영계획_GI 수정안" xfId="821"/>
    <cellStyle name="_작업내역(전기,통신)_2007년 판매계획(GI)" xfId="822"/>
    <cellStyle name="_작업내역(전기,통신)_2007년 판매계획(GI)_2007년도 경영계획" xfId="823"/>
    <cellStyle name="_작업내역(전기,통신)_2007년 판매계획(GI)_2007년도 경영계획_GI 수정안" xfId="824"/>
    <cellStyle name="_작업내역(전기,통신)_2007년판매계획(영업안)_영업2차확정안_20061103" xfId="825"/>
    <cellStyle name="_작업내역(전기,통신)_2007년판매계획(영업안)_영업2차확정안_20061103_2007년도 경영계획" xfId="826"/>
    <cellStyle name="_작업내역(전기,통신)_2007년판매계획(영업안)_영업2차확정안_20061103_2007년도 경영계획_GI 수정안" xfId="827"/>
    <cellStyle name="_작업내역(전기,통신)_2008년 도급비 지급현황" xfId="4197"/>
    <cellStyle name="_작업내역(전기,통신)_2008년 도급비 지급현황_2008년 도급비 지급현황" xfId="4196"/>
    <cellStyle name="_작업내역(전기,통신)_2008년 도급비 지급현황_2008년 도급비 지급현황_2008년 도급비 지급현황" xfId="4195"/>
    <cellStyle name="_작업내역(전기,통신)_2008년 도급비 지급현황_2008년 도급비 지급현황_2008년 도급비 지급현황_2009년 도급비 지급현황" xfId="4194"/>
    <cellStyle name="_작업내역(전기,통신)_2008년 도급비 지급현황_2009년 도급비 지급현황" xfId="4193"/>
    <cellStyle name="_작업내역(전기,통신)_5월 경영실적" xfId="2448"/>
    <cellStyle name="_작업내역(전기,통신)_6월 경영실적" xfId="2449"/>
    <cellStyle name="_작업내역(전기,통신)_7월 경영실적" xfId="2450"/>
    <cellStyle name="_작업내역(전기,통신)_7월 경영실적_9월 경영실적" xfId="2451"/>
    <cellStyle name="_작업내역(전기,통신)_7월 경영실적_9월 경영실적_12" xfId="2452"/>
    <cellStyle name="_작업내역(전기,통신)_7월 경영실적_9월 경영실적_5월 경영실적" xfId="2453"/>
    <cellStyle name="_작업내역(전기,통신)_7월 경영실적_9월 경영실적_6월 경영실적" xfId="2454"/>
    <cellStyle name="_작업내역(전기,통신)_7월 경영실적_9월 경영실적_7월 경영실적" xfId="2455"/>
    <cellStyle name="_작업내역(전기,통신)_7월 경영실적_9월 경영실적_GI매원" xfId="2456"/>
    <cellStyle name="_작업내역(전기,통신)_7월 경영실적_9월 경영실적_Sheet1" xfId="2457"/>
    <cellStyle name="_작업내역(전기,통신)_7월 경영실적_9월 경영실적_칼라매원" xfId="2458"/>
    <cellStyle name="_작업내역(전기,통신)_GI매원" xfId="2459"/>
    <cellStyle name="_작업내역(전기,통신)_Sheet1" xfId="2460"/>
    <cellStyle name="_작업내역(전기,통신)_칼라매원" xfId="2461"/>
    <cellStyle name="_전기실행" xfId="828"/>
    <cellStyle name="_정문전기공사최종" xfId="829"/>
    <cellStyle name="_정문전기공사최종_06년판매계획(최종)" xfId="830"/>
    <cellStyle name="_정문전기공사최종_06년판매계획(최종)_12" xfId="2462"/>
    <cellStyle name="_정문전기공사최종_06년판매계획(최종)_2006년실적" xfId="831"/>
    <cellStyle name="_정문전기공사최종_06년판매계획(최종)_2006년실적_2007년도 경영계획" xfId="832"/>
    <cellStyle name="_정문전기공사최종_06년판매계획(최종)_2006년실적_2007년도 경영계획_GI 수정안" xfId="833"/>
    <cellStyle name="_정문전기공사최종_06년판매계획(최종)_2007년 판매계획(GI)" xfId="834"/>
    <cellStyle name="_정문전기공사최종_06년판매계획(최종)_2007년 판매계획(GI)_2007년도 경영계획" xfId="835"/>
    <cellStyle name="_정문전기공사최종_06년판매계획(최종)_2007년 판매계획(GI)_2007년도 경영계획_GI 수정안" xfId="836"/>
    <cellStyle name="_정문전기공사최종_06년판매계획(최종)_2007년판매계획(영업안)_영업2차확정안_20061103" xfId="837"/>
    <cellStyle name="_정문전기공사최종_06년판매계획(최종)_2007년판매계획(영업안)_영업2차확정안_20061103_2007년도 경영계획" xfId="838"/>
    <cellStyle name="_정문전기공사최종_06년판매계획(최종)_2007년판매계획(영업안)_영업2차확정안_20061103_2007년도 경영계획_GI 수정안" xfId="839"/>
    <cellStyle name="_정문전기공사최종_06년판매계획(최종)_5월 경영실적" xfId="2463"/>
    <cellStyle name="_정문전기공사최종_06년판매계획(최종)_6월 경영실적" xfId="2464"/>
    <cellStyle name="_정문전기공사최종_06년판매계획(최종)_7월 경영실적" xfId="2465"/>
    <cellStyle name="_정문전기공사최종_06년판매계획(최종)_7월 경영실적_9월 경영실적" xfId="2466"/>
    <cellStyle name="_정문전기공사최종_06년판매계획(최종)_7월 경영실적_9월 경영실적_12" xfId="2467"/>
    <cellStyle name="_정문전기공사최종_06년판매계획(최종)_7월 경영실적_9월 경영실적_5월 경영실적" xfId="2468"/>
    <cellStyle name="_정문전기공사최종_06년판매계획(최종)_7월 경영실적_9월 경영실적_6월 경영실적" xfId="2469"/>
    <cellStyle name="_정문전기공사최종_06년판매계획(최종)_7월 경영실적_9월 경영실적_7월 경영실적" xfId="2470"/>
    <cellStyle name="_정문전기공사최종_06년판매계획(최종)_7월 경영실적_9월 경영실적_GI매원" xfId="2471"/>
    <cellStyle name="_정문전기공사최종_06년판매계획(최종)_7월 경영실적_9월 경영실적_Sheet1" xfId="2472"/>
    <cellStyle name="_정문전기공사최종_06년판매계획(최종)_7월 경영실적_9월 경영실적_칼라매원" xfId="2473"/>
    <cellStyle name="_정문전기공사최종_06년판매계획(최종)_GI매원" xfId="2474"/>
    <cellStyle name="_정문전기공사최종_06년판매계획(최종)_Sheet1" xfId="2475"/>
    <cellStyle name="_정문전기공사최종_06년판매계획(최종)_칼라매원" xfId="2476"/>
    <cellStyle name="_정문전기공사최종_12" xfId="2477"/>
    <cellStyle name="_정문전기공사최종_2006년 경영계획(1안)" xfId="840"/>
    <cellStyle name="_정문전기공사최종_2006년 경영계획(1안)_12" xfId="2478"/>
    <cellStyle name="_정문전기공사최종_2006년 경영계획(1안)_2006년실적" xfId="841"/>
    <cellStyle name="_정문전기공사최종_2006년 경영계획(1안)_2006년실적_2007년도 경영계획" xfId="842"/>
    <cellStyle name="_정문전기공사최종_2006년 경영계획(1안)_2006년실적_2007년도 경영계획_GI 수정안" xfId="843"/>
    <cellStyle name="_정문전기공사최종_2006년 경영계획(1안)_2007년 판매계획(GI)" xfId="844"/>
    <cellStyle name="_정문전기공사최종_2006년 경영계획(1안)_2007년 판매계획(GI)_2007년도 경영계획" xfId="845"/>
    <cellStyle name="_정문전기공사최종_2006년 경영계획(1안)_2007년 판매계획(GI)_2007년도 경영계획_GI 수정안" xfId="846"/>
    <cellStyle name="_정문전기공사최종_2006년 경영계획(1안)_2007년판매계획(영업안)_영업2차확정안_20061103" xfId="847"/>
    <cellStyle name="_정문전기공사최종_2006년 경영계획(1안)_2007년판매계획(영업안)_영업2차확정안_20061103_2007년도 경영계획" xfId="848"/>
    <cellStyle name="_정문전기공사최종_2006년 경영계획(1안)_2007년판매계획(영업안)_영업2차확정안_20061103_2007년도 경영계획_GI 수정안" xfId="849"/>
    <cellStyle name="_정문전기공사최종_2006년 경영계획(1안)_5월 경영실적" xfId="2479"/>
    <cellStyle name="_정문전기공사최종_2006년 경영계획(1안)_6월 경영실적" xfId="2480"/>
    <cellStyle name="_정문전기공사최종_2006년 경영계획(1안)_7월 경영실적" xfId="2481"/>
    <cellStyle name="_정문전기공사최종_2006년 경영계획(1안)_7월 경영실적_9월 경영실적" xfId="2482"/>
    <cellStyle name="_정문전기공사최종_2006년 경영계획(1안)_7월 경영실적_9월 경영실적_12" xfId="2483"/>
    <cellStyle name="_정문전기공사최종_2006년 경영계획(1안)_7월 경영실적_9월 경영실적_5월 경영실적" xfId="2484"/>
    <cellStyle name="_정문전기공사최종_2006년 경영계획(1안)_7월 경영실적_9월 경영실적_6월 경영실적" xfId="2485"/>
    <cellStyle name="_정문전기공사최종_2006년 경영계획(1안)_7월 경영실적_9월 경영실적_7월 경영실적" xfId="2486"/>
    <cellStyle name="_정문전기공사최종_2006년 경영계획(1안)_7월 경영실적_9월 경영실적_GI매원" xfId="2487"/>
    <cellStyle name="_정문전기공사최종_2006년 경영계획(1안)_7월 경영실적_9월 경영실적_Sheet1" xfId="2488"/>
    <cellStyle name="_정문전기공사최종_2006년 경영계획(1안)_7월 경영실적_9월 경영실적_칼라매원" xfId="2489"/>
    <cellStyle name="_정문전기공사최종_2006년 경영계획(1안)_GI매원" xfId="2490"/>
    <cellStyle name="_정문전기공사최종_2006년 경영계획(1안)_Sheet1" xfId="2491"/>
    <cellStyle name="_정문전기공사최종_2006년 경영계획(1안)_칼라매원" xfId="2492"/>
    <cellStyle name="_정문전기공사최종_2006년 경영계획(안)" xfId="850"/>
    <cellStyle name="_정문전기공사최종_2006년 경영계획(안)_12" xfId="2493"/>
    <cellStyle name="_정문전기공사최종_2006년 경영계획(안)_2006년실적" xfId="851"/>
    <cellStyle name="_정문전기공사최종_2006년 경영계획(안)_2006년실적_2007년도 경영계획" xfId="852"/>
    <cellStyle name="_정문전기공사최종_2006년 경영계획(안)_2006년실적_2007년도 경영계획_GI 수정안" xfId="853"/>
    <cellStyle name="_정문전기공사최종_2006년 경영계획(안)_2007년 판매계획(GI)" xfId="854"/>
    <cellStyle name="_정문전기공사최종_2006년 경영계획(안)_2007년 판매계획(GI)_2007년도 경영계획" xfId="855"/>
    <cellStyle name="_정문전기공사최종_2006년 경영계획(안)_2007년 판매계획(GI)_2007년도 경영계획_GI 수정안" xfId="856"/>
    <cellStyle name="_정문전기공사최종_2006년 경영계획(안)_2007년판매계획(영업안)_영업2차확정안_20061103" xfId="857"/>
    <cellStyle name="_정문전기공사최종_2006년 경영계획(안)_2007년판매계획(영업안)_영업2차확정안_20061103_2007년도 경영계획" xfId="858"/>
    <cellStyle name="_정문전기공사최종_2006년 경영계획(안)_2007년판매계획(영업안)_영업2차확정안_20061103_2007년도 경영계획_GI 수정안" xfId="859"/>
    <cellStyle name="_정문전기공사최종_2006년 경영계획(안)_5월 경영실적" xfId="2494"/>
    <cellStyle name="_정문전기공사최종_2006년 경영계획(안)_6월 경영실적" xfId="2495"/>
    <cellStyle name="_정문전기공사최종_2006년 경영계획(안)_7월 경영실적" xfId="2496"/>
    <cellStyle name="_정문전기공사최종_2006년 경영계획(안)_7월 경영실적_9월 경영실적" xfId="2497"/>
    <cellStyle name="_정문전기공사최종_2006년 경영계획(안)_7월 경영실적_9월 경영실적_12" xfId="2498"/>
    <cellStyle name="_정문전기공사최종_2006년 경영계획(안)_7월 경영실적_9월 경영실적_5월 경영실적" xfId="2499"/>
    <cellStyle name="_정문전기공사최종_2006년 경영계획(안)_7월 경영실적_9월 경영실적_6월 경영실적" xfId="2500"/>
    <cellStyle name="_정문전기공사최종_2006년 경영계획(안)_7월 경영실적_9월 경영실적_7월 경영실적" xfId="2501"/>
    <cellStyle name="_정문전기공사최종_2006년 경영계획(안)_7월 경영실적_9월 경영실적_GI매원" xfId="2502"/>
    <cellStyle name="_정문전기공사최종_2006년 경영계획(안)_7월 경영실적_9월 경영실적_Sheet1" xfId="2503"/>
    <cellStyle name="_정문전기공사최종_2006년 경영계획(안)_7월 경영실적_9월 경영실적_칼라매원" xfId="2504"/>
    <cellStyle name="_정문전기공사최종_2006년 경영계획(안)_GI매원" xfId="2505"/>
    <cellStyle name="_정문전기공사최종_2006년 경영계획(안)_Sheet1" xfId="2506"/>
    <cellStyle name="_정문전기공사최종_2006년 경영계획(안)_칼라매원" xfId="2507"/>
    <cellStyle name="_정문전기공사최종_2006년실적" xfId="860"/>
    <cellStyle name="_정문전기공사최종_2006년실적_2007년도 경영계획" xfId="861"/>
    <cellStyle name="_정문전기공사최종_2006년실적_2007년도 경영계획_GI 수정안" xfId="862"/>
    <cellStyle name="_정문전기공사최종_2007년 판매계획(GI)" xfId="863"/>
    <cellStyle name="_정문전기공사최종_2007년 판매계획(GI)_2007년도 경영계획" xfId="864"/>
    <cellStyle name="_정문전기공사최종_2007년 판매계획(GI)_2007년도 경영계획_GI 수정안" xfId="865"/>
    <cellStyle name="_정문전기공사최종_2007년판매계획(영업안)_영업2차확정안_20061103" xfId="866"/>
    <cellStyle name="_정문전기공사최종_2007년판매계획(영업안)_영업2차확정안_20061103_2007년도 경영계획" xfId="867"/>
    <cellStyle name="_정문전기공사최종_2007년판매계획(영업안)_영업2차확정안_20061103_2007년도 경영계획_GI 수정안" xfId="868"/>
    <cellStyle name="_정문전기공사최종_2008년 도급비 지급현황" xfId="4192"/>
    <cellStyle name="_정문전기공사최종_2008년 도급비 지급현황_2008년 도급비 지급현황" xfId="4191"/>
    <cellStyle name="_정문전기공사최종_2008년 도급비 지급현황_2008년 도급비 지급현황_2008년 도급비 지급현황" xfId="4190"/>
    <cellStyle name="_정문전기공사최종_2008년 도급비 지급현황_2008년 도급비 지급현황_2008년 도급비 지급현황_2009년 도급비 지급현황" xfId="4189"/>
    <cellStyle name="_정문전기공사최종_2008년 도급비 지급현황_2009년 도급비 지급현황" xfId="4188"/>
    <cellStyle name="_정문전기공사최종_5월 경영실적" xfId="2508"/>
    <cellStyle name="_정문전기공사최종_6월 경영실적" xfId="2509"/>
    <cellStyle name="_정문전기공사최종_7월 경영실적" xfId="2510"/>
    <cellStyle name="_정문전기공사최종_7월 경영실적_9월 경영실적" xfId="2511"/>
    <cellStyle name="_정문전기공사최종_7월 경영실적_9월 경영실적_12" xfId="2512"/>
    <cellStyle name="_정문전기공사최종_7월 경영실적_9월 경영실적_5월 경영실적" xfId="2513"/>
    <cellStyle name="_정문전기공사최종_7월 경영실적_9월 경영실적_6월 경영실적" xfId="2514"/>
    <cellStyle name="_정문전기공사최종_7월 경영실적_9월 경영실적_7월 경영실적" xfId="2515"/>
    <cellStyle name="_정문전기공사최종_7월 경영실적_9월 경영실적_GI매원" xfId="2516"/>
    <cellStyle name="_정문전기공사최종_7월 경영실적_9월 경영실적_Sheet1" xfId="2517"/>
    <cellStyle name="_정문전기공사최종_7월 경영실적_9월 경영실적_칼라매원" xfId="2518"/>
    <cellStyle name="_정문전기공사최종_GI매원" xfId="2519"/>
    <cellStyle name="_정문전기공사최종_Sheet1" xfId="2520"/>
    <cellStyle name="_정문전기공사최종_칼라매원" xfId="2521"/>
    <cellStyle name="_진해석동역(2공구)주공APT" xfId="869"/>
    <cellStyle name="_칼라매원" xfId="2522"/>
    <cellStyle name="_통광 폐수처리장(2002.5.24)" xfId="870"/>
    <cellStyle name="_통광 폐수처리장(2002.5.24)_06년판매계획(최종)" xfId="871"/>
    <cellStyle name="_통광 폐수처리장(2002.5.24)_06년판매계획(최종)_12" xfId="2523"/>
    <cellStyle name="_통광 폐수처리장(2002.5.24)_06년판매계획(최종)_2006년실적" xfId="872"/>
    <cellStyle name="_통광 폐수처리장(2002.5.24)_06년판매계획(최종)_2006년실적_2007년도 경영계획" xfId="873"/>
    <cellStyle name="_통광 폐수처리장(2002.5.24)_06년판매계획(최종)_2006년실적_2007년도 경영계획_GI 수정안" xfId="874"/>
    <cellStyle name="_통광 폐수처리장(2002.5.24)_06년판매계획(최종)_2007년 판매계획(GI)" xfId="875"/>
    <cellStyle name="_통광 폐수처리장(2002.5.24)_06년판매계획(최종)_2007년 판매계획(GI)_2007년도 경영계획" xfId="876"/>
    <cellStyle name="_통광 폐수처리장(2002.5.24)_06년판매계획(최종)_2007년 판매계획(GI)_2007년도 경영계획_GI 수정안" xfId="877"/>
    <cellStyle name="_통광 폐수처리장(2002.5.24)_06년판매계획(최종)_2007년판매계획(영업안)_영업2차확정안_20061103" xfId="878"/>
    <cellStyle name="_통광 폐수처리장(2002.5.24)_06년판매계획(최종)_2007년판매계획(영업안)_영업2차확정안_20061103_2007년도 경영계획" xfId="879"/>
    <cellStyle name="_통광 폐수처리장(2002.5.24)_06년판매계획(최종)_2007년판매계획(영업안)_영업2차확정안_20061103_2007년도 경영계획_GI 수정안" xfId="880"/>
    <cellStyle name="_통광 폐수처리장(2002.5.24)_06년판매계획(최종)_5월 경영실적" xfId="2524"/>
    <cellStyle name="_통광 폐수처리장(2002.5.24)_06년판매계획(최종)_6월 경영실적" xfId="2525"/>
    <cellStyle name="_통광 폐수처리장(2002.5.24)_06년판매계획(최종)_7월 경영실적" xfId="2526"/>
    <cellStyle name="_통광 폐수처리장(2002.5.24)_06년판매계획(최종)_7월 경영실적_9월 경영실적" xfId="2527"/>
    <cellStyle name="_통광 폐수처리장(2002.5.24)_06년판매계획(최종)_7월 경영실적_9월 경영실적_12" xfId="2528"/>
    <cellStyle name="_통광 폐수처리장(2002.5.24)_06년판매계획(최종)_7월 경영실적_9월 경영실적_5월 경영실적" xfId="2529"/>
    <cellStyle name="_통광 폐수처리장(2002.5.24)_06년판매계획(최종)_7월 경영실적_9월 경영실적_6월 경영실적" xfId="2530"/>
    <cellStyle name="_통광 폐수처리장(2002.5.24)_06년판매계획(최종)_7월 경영실적_9월 경영실적_7월 경영실적" xfId="2531"/>
    <cellStyle name="_통광 폐수처리장(2002.5.24)_06년판매계획(최종)_7월 경영실적_9월 경영실적_GI매원" xfId="2532"/>
    <cellStyle name="_통광 폐수처리장(2002.5.24)_06년판매계획(최종)_7월 경영실적_9월 경영실적_Sheet1" xfId="2533"/>
    <cellStyle name="_통광 폐수처리장(2002.5.24)_06년판매계획(최종)_7월 경영실적_9월 경영실적_칼라매원" xfId="2534"/>
    <cellStyle name="_통광 폐수처리장(2002.5.24)_06년판매계획(최종)_GI매원" xfId="2535"/>
    <cellStyle name="_통광 폐수처리장(2002.5.24)_06년판매계획(최종)_Sheet1" xfId="2536"/>
    <cellStyle name="_통광 폐수처리장(2002.5.24)_06년판매계획(최종)_칼라매원" xfId="2537"/>
    <cellStyle name="_통광 폐수처리장(2002.5.24)_12" xfId="2538"/>
    <cellStyle name="_통광 폐수처리장(2002.5.24)_2006년 경영계획(1안)" xfId="881"/>
    <cellStyle name="_통광 폐수처리장(2002.5.24)_2006년 경영계획(1안)_12" xfId="2539"/>
    <cellStyle name="_통광 폐수처리장(2002.5.24)_2006년 경영계획(1안)_2006년실적" xfId="882"/>
    <cellStyle name="_통광 폐수처리장(2002.5.24)_2006년 경영계획(1안)_2006년실적_2007년도 경영계획" xfId="883"/>
    <cellStyle name="_통광 폐수처리장(2002.5.24)_2006년 경영계획(1안)_2006년실적_2007년도 경영계획_GI 수정안" xfId="884"/>
    <cellStyle name="_통광 폐수처리장(2002.5.24)_2006년 경영계획(1안)_2007년 판매계획(GI)" xfId="885"/>
    <cellStyle name="_통광 폐수처리장(2002.5.24)_2006년 경영계획(1안)_2007년 판매계획(GI)_2007년도 경영계획" xfId="886"/>
    <cellStyle name="_통광 폐수처리장(2002.5.24)_2006년 경영계획(1안)_2007년 판매계획(GI)_2007년도 경영계획_GI 수정안" xfId="887"/>
    <cellStyle name="_통광 폐수처리장(2002.5.24)_2006년 경영계획(1안)_2007년판매계획(영업안)_영업2차확정안_20061103" xfId="888"/>
    <cellStyle name="_통광 폐수처리장(2002.5.24)_2006년 경영계획(1안)_2007년판매계획(영업안)_영업2차확정안_20061103_2007년도 경영계획" xfId="889"/>
    <cellStyle name="_통광 폐수처리장(2002.5.24)_2006년 경영계획(1안)_2007년판매계획(영업안)_영업2차확정안_20061103_2007년도 경영계획_GI 수정안" xfId="890"/>
    <cellStyle name="_통광 폐수처리장(2002.5.24)_2006년 경영계획(1안)_5월 경영실적" xfId="2540"/>
    <cellStyle name="_통광 폐수처리장(2002.5.24)_2006년 경영계획(1안)_6월 경영실적" xfId="2541"/>
    <cellStyle name="_통광 폐수처리장(2002.5.24)_2006년 경영계획(1안)_7월 경영실적" xfId="2542"/>
    <cellStyle name="_통광 폐수처리장(2002.5.24)_2006년 경영계획(1안)_7월 경영실적_9월 경영실적" xfId="2543"/>
    <cellStyle name="_통광 폐수처리장(2002.5.24)_2006년 경영계획(1안)_7월 경영실적_9월 경영실적_12" xfId="2544"/>
    <cellStyle name="_통광 폐수처리장(2002.5.24)_2006년 경영계획(1안)_7월 경영실적_9월 경영실적_5월 경영실적" xfId="2545"/>
    <cellStyle name="_통광 폐수처리장(2002.5.24)_2006년 경영계획(1안)_7월 경영실적_9월 경영실적_6월 경영실적" xfId="2546"/>
    <cellStyle name="_통광 폐수처리장(2002.5.24)_2006년 경영계획(1안)_7월 경영실적_9월 경영실적_7월 경영실적" xfId="2547"/>
    <cellStyle name="_통광 폐수처리장(2002.5.24)_2006년 경영계획(1안)_7월 경영실적_9월 경영실적_GI매원" xfId="2548"/>
    <cellStyle name="_통광 폐수처리장(2002.5.24)_2006년 경영계획(1안)_7월 경영실적_9월 경영실적_Sheet1" xfId="2549"/>
    <cellStyle name="_통광 폐수처리장(2002.5.24)_2006년 경영계획(1안)_7월 경영실적_9월 경영실적_칼라매원" xfId="2550"/>
    <cellStyle name="_통광 폐수처리장(2002.5.24)_2006년 경영계획(1안)_GI매원" xfId="2551"/>
    <cellStyle name="_통광 폐수처리장(2002.5.24)_2006년 경영계획(1안)_Sheet1" xfId="2552"/>
    <cellStyle name="_통광 폐수처리장(2002.5.24)_2006년 경영계획(1안)_칼라매원" xfId="2553"/>
    <cellStyle name="_통광 폐수처리장(2002.5.24)_2006년 경영계획(안)" xfId="891"/>
    <cellStyle name="_통광 폐수처리장(2002.5.24)_2006년 경영계획(안)_12" xfId="2554"/>
    <cellStyle name="_통광 폐수처리장(2002.5.24)_2006년 경영계획(안)_2006년실적" xfId="892"/>
    <cellStyle name="_통광 폐수처리장(2002.5.24)_2006년 경영계획(안)_2006년실적_2007년도 경영계획" xfId="893"/>
    <cellStyle name="_통광 폐수처리장(2002.5.24)_2006년 경영계획(안)_2006년실적_2007년도 경영계획_GI 수정안" xfId="894"/>
    <cellStyle name="_통광 폐수처리장(2002.5.24)_2006년 경영계획(안)_2007년 판매계획(GI)" xfId="895"/>
    <cellStyle name="_통광 폐수처리장(2002.5.24)_2006년 경영계획(안)_2007년 판매계획(GI)_2007년도 경영계획" xfId="896"/>
    <cellStyle name="_통광 폐수처리장(2002.5.24)_2006년 경영계획(안)_2007년 판매계획(GI)_2007년도 경영계획_GI 수정안" xfId="897"/>
    <cellStyle name="_통광 폐수처리장(2002.5.24)_2006년 경영계획(안)_2007년판매계획(영업안)_영업2차확정안_20061103" xfId="898"/>
    <cellStyle name="_통광 폐수처리장(2002.5.24)_2006년 경영계획(안)_2007년판매계획(영업안)_영업2차확정안_20061103_2007년도 경영계획" xfId="899"/>
    <cellStyle name="_통광 폐수처리장(2002.5.24)_2006년 경영계획(안)_2007년판매계획(영업안)_영업2차확정안_20061103_2007년도 경영계획_GI 수정안" xfId="900"/>
    <cellStyle name="_통광 폐수처리장(2002.5.24)_2006년 경영계획(안)_5월 경영실적" xfId="2555"/>
    <cellStyle name="_통광 폐수처리장(2002.5.24)_2006년 경영계획(안)_6월 경영실적" xfId="2556"/>
    <cellStyle name="_통광 폐수처리장(2002.5.24)_2006년 경영계획(안)_7월 경영실적" xfId="2557"/>
    <cellStyle name="_통광 폐수처리장(2002.5.24)_2006년 경영계획(안)_7월 경영실적_9월 경영실적" xfId="2558"/>
    <cellStyle name="_통광 폐수처리장(2002.5.24)_2006년 경영계획(안)_7월 경영실적_9월 경영실적_12" xfId="2559"/>
    <cellStyle name="_통광 폐수처리장(2002.5.24)_2006년 경영계획(안)_7월 경영실적_9월 경영실적_5월 경영실적" xfId="2560"/>
    <cellStyle name="_통광 폐수처리장(2002.5.24)_2006년 경영계획(안)_7월 경영실적_9월 경영실적_6월 경영실적" xfId="2561"/>
    <cellStyle name="_통광 폐수처리장(2002.5.24)_2006년 경영계획(안)_7월 경영실적_9월 경영실적_7월 경영실적" xfId="2562"/>
    <cellStyle name="_통광 폐수처리장(2002.5.24)_2006년 경영계획(안)_7월 경영실적_9월 경영실적_GI매원" xfId="2563"/>
    <cellStyle name="_통광 폐수처리장(2002.5.24)_2006년 경영계획(안)_7월 경영실적_9월 경영실적_Sheet1" xfId="2564"/>
    <cellStyle name="_통광 폐수처리장(2002.5.24)_2006년 경영계획(안)_7월 경영실적_9월 경영실적_칼라매원" xfId="2565"/>
    <cellStyle name="_통광 폐수처리장(2002.5.24)_2006년 경영계획(안)_GI매원" xfId="2566"/>
    <cellStyle name="_통광 폐수처리장(2002.5.24)_2006년 경영계획(안)_Sheet1" xfId="2567"/>
    <cellStyle name="_통광 폐수처리장(2002.5.24)_2006년 경영계획(안)_칼라매원" xfId="2568"/>
    <cellStyle name="_통광 폐수처리장(2002.5.24)_2006년실적" xfId="901"/>
    <cellStyle name="_통광 폐수처리장(2002.5.24)_2006년실적_2007년도 경영계획" xfId="902"/>
    <cellStyle name="_통광 폐수처리장(2002.5.24)_2006년실적_2007년도 경영계획_GI 수정안" xfId="903"/>
    <cellStyle name="_통광 폐수처리장(2002.5.24)_2007년 판매계획(GI)" xfId="904"/>
    <cellStyle name="_통광 폐수처리장(2002.5.24)_2007년 판매계획(GI)_2007년도 경영계획" xfId="905"/>
    <cellStyle name="_통광 폐수처리장(2002.5.24)_2007년 판매계획(GI)_2007년도 경영계획_GI 수정안" xfId="906"/>
    <cellStyle name="_통광 폐수처리장(2002.5.24)_2007년판매계획(영업안)_영업2차확정안_20061103" xfId="907"/>
    <cellStyle name="_통광 폐수처리장(2002.5.24)_2007년판매계획(영업안)_영업2차확정안_20061103_2007년도 경영계획" xfId="908"/>
    <cellStyle name="_통광 폐수처리장(2002.5.24)_2007년판매계획(영업안)_영업2차확정안_20061103_2007년도 경영계획_GI 수정안" xfId="909"/>
    <cellStyle name="_통광 폐수처리장(2002.5.24)_2008년 도급비 지급현황" xfId="4187"/>
    <cellStyle name="_통광 폐수처리장(2002.5.24)_2008년 도급비 지급현황_2008년 도급비 지급현황" xfId="4186"/>
    <cellStyle name="_통광 폐수처리장(2002.5.24)_2008년 도급비 지급현황_2008년 도급비 지급현황_2008년 도급비 지급현황" xfId="4185"/>
    <cellStyle name="_통광 폐수처리장(2002.5.24)_2008년 도급비 지급현황_2008년 도급비 지급현황_2008년 도급비 지급현황_2009년 도급비 지급현황" xfId="4184"/>
    <cellStyle name="_통광 폐수처리장(2002.5.24)_2008년 도급비 지급현황_2009년 도급비 지급현황" xfId="4183"/>
    <cellStyle name="_통광 폐수처리장(2002.5.24)_5월 경영실적" xfId="2569"/>
    <cellStyle name="_통광 폐수처리장(2002.5.24)_6월 경영실적" xfId="2570"/>
    <cellStyle name="_통광 폐수처리장(2002.5.24)_7월 경영실적" xfId="2571"/>
    <cellStyle name="_통광 폐수처리장(2002.5.24)_7월 경영실적_9월 경영실적" xfId="2572"/>
    <cellStyle name="_통광 폐수처리장(2002.5.24)_7월 경영실적_9월 경영실적_12" xfId="2573"/>
    <cellStyle name="_통광 폐수처리장(2002.5.24)_7월 경영실적_9월 경영실적_5월 경영실적" xfId="2574"/>
    <cellStyle name="_통광 폐수처리장(2002.5.24)_7월 경영실적_9월 경영실적_6월 경영실적" xfId="2575"/>
    <cellStyle name="_통광 폐수처리장(2002.5.24)_7월 경영실적_9월 경영실적_7월 경영실적" xfId="2576"/>
    <cellStyle name="_통광 폐수처리장(2002.5.24)_7월 경영실적_9월 경영실적_GI매원" xfId="2577"/>
    <cellStyle name="_통광 폐수처리장(2002.5.24)_7월 경영실적_9월 경영실적_Sheet1" xfId="2578"/>
    <cellStyle name="_통광 폐수처리장(2002.5.24)_7월 경영실적_9월 경영실적_칼라매원" xfId="2579"/>
    <cellStyle name="_통광 폐수처리장(2002.5.24)_GI매원" xfId="2580"/>
    <cellStyle name="_통광 폐수처리장(2002.5.24)_Sheet1" xfId="2581"/>
    <cellStyle name="_통광 폐수처리장(2002.5.24)_칼라매원" xfId="2582"/>
    <cellStyle name="_펌프장" xfId="910"/>
    <cellStyle name="_포항실행견적내역" xfId="911"/>
    <cellStyle name="_포항실행견적내역_06년판매계획(최종)" xfId="912"/>
    <cellStyle name="_포항실행견적내역_06년판매계획(최종)_12" xfId="2583"/>
    <cellStyle name="_포항실행견적내역_06년판매계획(최종)_2006년실적" xfId="913"/>
    <cellStyle name="_포항실행견적내역_06년판매계획(최종)_2006년실적_2007년도 경영계획" xfId="914"/>
    <cellStyle name="_포항실행견적내역_06년판매계획(최종)_2006년실적_2007년도 경영계획_GI 수정안" xfId="915"/>
    <cellStyle name="_포항실행견적내역_06년판매계획(최종)_2007년 판매계획(GI)" xfId="916"/>
    <cellStyle name="_포항실행견적내역_06년판매계획(최종)_2007년 판매계획(GI)_2007년도 경영계획" xfId="917"/>
    <cellStyle name="_포항실행견적내역_06년판매계획(최종)_2007년 판매계획(GI)_2007년도 경영계획_GI 수정안" xfId="918"/>
    <cellStyle name="_포항실행견적내역_06년판매계획(최종)_2007년판매계획(영업안)_영업2차확정안_20061103" xfId="919"/>
    <cellStyle name="_포항실행견적내역_06년판매계획(최종)_2007년판매계획(영업안)_영업2차확정안_20061103_2007년도 경영계획" xfId="920"/>
    <cellStyle name="_포항실행견적내역_06년판매계획(최종)_2007년판매계획(영업안)_영업2차확정안_20061103_2007년도 경영계획_GI 수정안" xfId="921"/>
    <cellStyle name="_포항실행견적내역_06년판매계획(최종)_5월 경영실적" xfId="2584"/>
    <cellStyle name="_포항실행견적내역_06년판매계획(최종)_6월 경영실적" xfId="2585"/>
    <cellStyle name="_포항실행견적내역_06년판매계획(최종)_7월 경영실적" xfId="2586"/>
    <cellStyle name="_포항실행견적내역_06년판매계획(최종)_7월 경영실적_9월 경영실적" xfId="2587"/>
    <cellStyle name="_포항실행견적내역_06년판매계획(최종)_7월 경영실적_9월 경영실적_12" xfId="2588"/>
    <cellStyle name="_포항실행견적내역_06년판매계획(최종)_7월 경영실적_9월 경영실적_5월 경영실적" xfId="2589"/>
    <cellStyle name="_포항실행견적내역_06년판매계획(최종)_7월 경영실적_9월 경영실적_6월 경영실적" xfId="2590"/>
    <cellStyle name="_포항실행견적내역_06년판매계획(최종)_7월 경영실적_9월 경영실적_7월 경영실적" xfId="2591"/>
    <cellStyle name="_포항실행견적내역_06년판매계획(최종)_7월 경영실적_9월 경영실적_GI매원" xfId="2592"/>
    <cellStyle name="_포항실행견적내역_06년판매계획(최종)_7월 경영실적_9월 경영실적_Sheet1" xfId="2593"/>
    <cellStyle name="_포항실행견적내역_06년판매계획(최종)_7월 경영실적_9월 경영실적_칼라매원" xfId="2594"/>
    <cellStyle name="_포항실행견적내역_06년판매계획(최종)_GI매원" xfId="2595"/>
    <cellStyle name="_포항실행견적내역_06년판매계획(최종)_Sheet1" xfId="2596"/>
    <cellStyle name="_포항실행견적내역_06년판매계획(최종)_칼라매원" xfId="2597"/>
    <cellStyle name="_포항실행견적내역_12" xfId="2598"/>
    <cellStyle name="_포항실행견적내역_2006년 경영계획(1안)" xfId="922"/>
    <cellStyle name="_포항실행견적내역_2006년 경영계획(1안)_12" xfId="2599"/>
    <cellStyle name="_포항실행견적내역_2006년 경영계획(1안)_2006년실적" xfId="923"/>
    <cellStyle name="_포항실행견적내역_2006년 경영계획(1안)_2006년실적_2007년도 경영계획" xfId="924"/>
    <cellStyle name="_포항실행견적내역_2006년 경영계획(1안)_2006년실적_2007년도 경영계획_GI 수정안" xfId="925"/>
    <cellStyle name="_포항실행견적내역_2006년 경영계획(1안)_2007년 판매계획(GI)" xfId="926"/>
    <cellStyle name="_포항실행견적내역_2006년 경영계획(1안)_2007년 판매계획(GI)_2007년도 경영계획" xfId="927"/>
    <cellStyle name="_포항실행견적내역_2006년 경영계획(1안)_2007년 판매계획(GI)_2007년도 경영계획_GI 수정안" xfId="928"/>
    <cellStyle name="_포항실행견적내역_2006년 경영계획(1안)_2007년판매계획(영업안)_영업2차확정안_20061103" xfId="929"/>
    <cellStyle name="_포항실행견적내역_2006년 경영계획(1안)_2007년판매계획(영업안)_영업2차확정안_20061103_2007년도 경영계획" xfId="930"/>
    <cellStyle name="_포항실행견적내역_2006년 경영계획(1안)_2007년판매계획(영업안)_영업2차확정안_20061103_2007년도 경영계획_GI 수정안" xfId="931"/>
    <cellStyle name="_포항실행견적내역_2006년 경영계획(1안)_5월 경영실적" xfId="2600"/>
    <cellStyle name="_포항실행견적내역_2006년 경영계획(1안)_6월 경영실적" xfId="2601"/>
    <cellStyle name="_포항실행견적내역_2006년 경영계획(1안)_7월 경영실적" xfId="2602"/>
    <cellStyle name="_포항실행견적내역_2006년 경영계획(1안)_7월 경영실적_9월 경영실적" xfId="2603"/>
    <cellStyle name="_포항실행견적내역_2006년 경영계획(1안)_7월 경영실적_9월 경영실적_12" xfId="2604"/>
    <cellStyle name="_포항실행견적내역_2006년 경영계획(1안)_7월 경영실적_9월 경영실적_5월 경영실적" xfId="2605"/>
    <cellStyle name="_포항실행견적내역_2006년 경영계획(1안)_7월 경영실적_9월 경영실적_6월 경영실적" xfId="2606"/>
    <cellStyle name="_포항실행견적내역_2006년 경영계획(1안)_7월 경영실적_9월 경영실적_7월 경영실적" xfId="2607"/>
    <cellStyle name="_포항실행견적내역_2006년 경영계획(1안)_7월 경영실적_9월 경영실적_GI매원" xfId="2608"/>
    <cellStyle name="_포항실행견적내역_2006년 경영계획(1안)_7월 경영실적_9월 경영실적_Sheet1" xfId="2609"/>
    <cellStyle name="_포항실행견적내역_2006년 경영계획(1안)_7월 경영실적_9월 경영실적_칼라매원" xfId="2610"/>
    <cellStyle name="_포항실행견적내역_2006년 경영계획(1안)_GI매원" xfId="2611"/>
    <cellStyle name="_포항실행견적내역_2006년 경영계획(1안)_Sheet1" xfId="2612"/>
    <cellStyle name="_포항실행견적내역_2006년 경영계획(1안)_칼라매원" xfId="2613"/>
    <cellStyle name="_포항실행견적내역_2006년 경영계획(안)" xfId="932"/>
    <cellStyle name="_포항실행견적내역_2006년 경영계획(안)_12" xfId="2614"/>
    <cellStyle name="_포항실행견적내역_2006년 경영계획(안)_2006년실적" xfId="933"/>
    <cellStyle name="_포항실행견적내역_2006년 경영계획(안)_2006년실적_2007년도 경영계획" xfId="934"/>
    <cellStyle name="_포항실행견적내역_2006년 경영계획(안)_2006년실적_2007년도 경영계획_GI 수정안" xfId="935"/>
    <cellStyle name="_포항실행견적내역_2006년 경영계획(안)_2007년 판매계획(GI)" xfId="936"/>
    <cellStyle name="_포항실행견적내역_2006년 경영계획(안)_2007년 판매계획(GI)_2007년도 경영계획" xfId="937"/>
    <cellStyle name="_포항실행견적내역_2006년 경영계획(안)_2007년 판매계획(GI)_2007년도 경영계획_GI 수정안" xfId="938"/>
    <cellStyle name="_포항실행견적내역_2006년 경영계획(안)_2007년판매계획(영업안)_영업2차확정안_20061103" xfId="939"/>
    <cellStyle name="_포항실행견적내역_2006년 경영계획(안)_2007년판매계획(영업안)_영업2차확정안_20061103_2007년도 경영계획" xfId="940"/>
    <cellStyle name="_포항실행견적내역_2006년 경영계획(안)_2007년판매계획(영업안)_영업2차확정안_20061103_2007년도 경영계획_GI 수정안" xfId="941"/>
    <cellStyle name="_포항실행견적내역_2006년 경영계획(안)_5월 경영실적" xfId="2615"/>
    <cellStyle name="_포항실행견적내역_2006년 경영계획(안)_6월 경영실적" xfId="2616"/>
    <cellStyle name="_포항실행견적내역_2006년 경영계획(안)_7월 경영실적" xfId="2617"/>
    <cellStyle name="_포항실행견적내역_2006년 경영계획(안)_7월 경영실적_9월 경영실적" xfId="2618"/>
    <cellStyle name="_포항실행견적내역_2006년 경영계획(안)_7월 경영실적_9월 경영실적_12" xfId="2619"/>
    <cellStyle name="_포항실행견적내역_2006년 경영계획(안)_7월 경영실적_9월 경영실적_5월 경영실적" xfId="2620"/>
    <cellStyle name="_포항실행견적내역_2006년 경영계획(안)_7월 경영실적_9월 경영실적_6월 경영실적" xfId="2621"/>
    <cellStyle name="_포항실행견적내역_2006년 경영계획(안)_7월 경영실적_9월 경영실적_7월 경영실적" xfId="2622"/>
    <cellStyle name="_포항실행견적내역_2006년 경영계획(안)_7월 경영실적_9월 경영실적_GI매원" xfId="2623"/>
    <cellStyle name="_포항실행견적내역_2006년 경영계획(안)_7월 경영실적_9월 경영실적_Sheet1" xfId="2624"/>
    <cellStyle name="_포항실행견적내역_2006년 경영계획(안)_7월 경영실적_9월 경영실적_칼라매원" xfId="2625"/>
    <cellStyle name="_포항실행견적내역_2006년 경영계획(안)_GI매원" xfId="2626"/>
    <cellStyle name="_포항실행견적내역_2006년 경영계획(안)_Sheet1" xfId="2627"/>
    <cellStyle name="_포항실행견적내역_2006년 경영계획(안)_칼라매원" xfId="2628"/>
    <cellStyle name="_포항실행견적내역_2006년실적" xfId="942"/>
    <cellStyle name="_포항실행견적내역_2006년실적_2007년도 경영계획" xfId="943"/>
    <cellStyle name="_포항실행견적내역_2006년실적_2007년도 경영계획_GI 수정안" xfId="944"/>
    <cellStyle name="_포항실행견적내역_2007년 판매계획(GI)" xfId="945"/>
    <cellStyle name="_포항실행견적내역_2007년 판매계획(GI)_2007년도 경영계획" xfId="946"/>
    <cellStyle name="_포항실행견적내역_2007년 판매계획(GI)_2007년도 경영계획_GI 수정안" xfId="947"/>
    <cellStyle name="_포항실행견적내역_2007년판매계획(영업안)_영업2차확정안_20061103" xfId="948"/>
    <cellStyle name="_포항실행견적내역_2007년판매계획(영업안)_영업2차확정안_20061103_2007년도 경영계획" xfId="949"/>
    <cellStyle name="_포항실행견적내역_2007년판매계획(영업안)_영업2차확정안_20061103_2007년도 경영계획_GI 수정안" xfId="950"/>
    <cellStyle name="_포항실행견적내역_2008년 도급비 지급현황" xfId="4182"/>
    <cellStyle name="_포항실행견적내역_2008년 도급비 지급현황_2008년 도급비 지급현황" xfId="4181"/>
    <cellStyle name="_포항실행견적내역_2008년 도급비 지급현황_2008년 도급비 지급현황_2008년 도급비 지급현황" xfId="4180"/>
    <cellStyle name="_포항실행견적내역_2008년 도급비 지급현황_2008년 도급비 지급현황_2008년 도급비 지급현황_2009년 도급비 지급현황" xfId="4179"/>
    <cellStyle name="_포항실행견적내역_2008년 도급비 지급현황_2009년 도급비 지급현황" xfId="4178"/>
    <cellStyle name="_포항실행견적내역_5월 경영실적" xfId="2629"/>
    <cellStyle name="_포항실행견적내역_6월 경영실적" xfId="2630"/>
    <cellStyle name="_포항실행견적내역_7월 경영실적" xfId="2631"/>
    <cellStyle name="_포항실행견적내역_7월 경영실적_9월 경영실적" xfId="2632"/>
    <cellStyle name="_포항실행견적내역_7월 경영실적_9월 경영실적_12" xfId="2633"/>
    <cellStyle name="_포항실행견적내역_7월 경영실적_9월 경영실적_5월 경영실적" xfId="2634"/>
    <cellStyle name="_포항실행견적내역_7월 경영실적_9월 경영실적_6월 경영실적" xfId="2635"/>
    <cellStyle name="_포항실행견적내역_7월 경영실적_9월 경영실적_7월 경영실적" xfId="2636"/>
    <cellStyle name="_포항실행견적내역_7월 경영실적_9월 경영실적_GI매원" xfId="2637"/>
    <cellStyle name="_포항실행견적내역_7월 경영실적_9월 경영실적_Sheet1" xfId="2638"/>
    <cellStyle name="_포항실행견적내역_7월 경영실적_9월 경영실적_칼라매원" xfId="2639"/>
    <cellStyle name="_포항실행견적내역_GI매원" xfId="2640"/>
    <cellStyle name="_포항실행견적내역_Sheet1" xfId="2641"/>
    <cellStyle name="_포항실행견적내역_칼라매원" xfId="2642"/>
    <cellStyle name="_후생비,접대비업로드" xfId="4177"/>
    <cellStyle name="’E‰Y [0.00]_laroux" xfId="1002"/>
    <cellStyle name="’E‰Y_laroux" xfId="1003"/>
    <cellStyle name="0.0" xfId="1004"/>
    <cellStyle name="0.0 10" xfId="24299"/>
    <cellStyle name="0.0 2" xfId="2643"/>
    <cellStyle name="0.0 2 2" xfId="3325"/>
    <cellStyle name="0.0 2 2 2" xfId="5598"/>
    <cellStyle name="0.0 2 2 2 2" xfId="22306"/>
    <cellStyle name="0.0 2 2 2 2 2" xfId="43181"/>
    <cellStyle name="0.0 2 2 2 3" xfId="22669"/>
    <cellStyle name="0.0 2 2 2 3 2" xfId="43544"/>
    <cellStyle name="0.0 2 2 2 4" xfId="21429"/>
    <cellStyle name="0.0 2 2 2 4 2" xfId="42304"/>
    <cellStyle name="0.0 2 2 2 5" xfId="14607"/>
    <cellStyle name="0.0 2 2 2 5 2" xfId="35483"/>
    <cellStyle name="0.0 2 2 2 6" xfId="26745"/>
    <cellStyle name="0.0 2 2 3" xfId="21677"/>
    <cellStyle name="0.0 2 2 3 2" xfId="42552"/>
    <cellStyle name="0.0 2 2 4" xfId="21020"/>
    <cellStyle name="0.0 2 2 4 2" xfId="41895"/>
    <cellStyle name="0.0 2 2 5" xfId="21699"/>
    <cellStyle name="0.0 2 2 5 2" xfId="42574"/>
    <cellStyle name="0.0 2 2 6" xfId="12788"/>
    <cellStyle name="0.0 2 2 6 2" xfId="33665"/>
    <cellStyle name="0.0 2 2 7" xfId="24915"/>
    <cellStyle name="0.0 2 3" xfId="9279"/>
    <cellStyle name="0.0 2 3 2" xfId="21046"/>
    <cellStyle name="0.0 2 3 2 2" xfId="41921"/>
    <cellStyle name="0.0 2 3 3" xfId="22172"/>
    <cellStyle name="0.0 2 3 3 2" xfId="43047"/>
    <cellStyle name="0.0 2 3 4" xfId="18278"/>
    <cellStyle name="0.0 2 3 4 2" xfId="39154"/>
    <cellStyle name="0.0 2 3 5" xfId="30416"/>
    <cellStyle name="0.0 2 4" xfId="21431"/>
    <cellStyle name="0.0 2 4 2" xfId="42306"/>
    <cellStyle name="0.0 2 5" xfId="12202"/>
    <cellStyle name="0.0 2 5 2" xfId="33091"/>
    <cellStyle name="0.0 2 6" xfId="24306"/>
    <cellStyle name="0.0 3" xfId="3324"/>
    <cellStyle name="0.0 3 2" xfId="5597"/>
    <cellStyle name="0.0 3 2 2" xfId="22305"/>
    <cellStyle name="0.0 3 2 2 2" xfId="43180"/>
    <cellStyle name="0.0 3 2 3" xfId="21424"/>
    <cellStyle name="0.0 3 2 3 2" xfId="42299"/>
    <cellStyle name="0.0 3 2 4" xfId="21240"/>
    <cellStyle name="0.0 3 2 4 2" xfId="42115"/>
    <cellStyle name="0.0 3 2 5" xfId="14606"/>
    <cellStyle name="0.0 3 2 5 2" xfId="35482"/>
    <cellStyle name="0.0 3 2 6" xfId="26744"/>
    <cellStyle name="0.0 3 3" xfId="21676"/>
    <cellStyle name="0.0 3 3 2" xfId="42551"/>
    <cellStyle name="0.0 3 4" xfId="20949"/>
    <cellStyle name="0.0 3 4 2" xfId="41824"/>
    <cellStyle name="0.0 3 5" xfId="21710"/>
    <cellStyle name="0.0 3 5 2" xfId="42585"/>
    <cellStyle name="0.0 3 6" xfId="12787"/>
    <cellStyle name="0.0 3 6 2" xfId="33664"/>
    <cellStyle name="0.0 3 7" xfId="24914"/>
    <cellStyle name="0.0 4" xfId="9278"/>
    <cellStyle name="0.0 4 2" xfId="22108"/>
    <cellStyle name="0.0 4 2 2" xfId="42983"/>
    <cellStyle name="0.0 4 3" xfId="21418"/>
    <cellStyle name="0.0 4 3 2" xfId="42293"/>
    <cellStyle name="0.0 4 4" xfId="18277"/>
    <cellStyle name="0.0 4 4 2" xfId="39153"/>
    <cellStyle name="0.0 4 5" xfId="30415"/>
    <cellStyle name="0.0 5" xfId="12184"/>
    <cellStyle name="0.0 5 2" xfId="33083"/>
    <cellStyle name="0.0 6" xfId="21115"/>
    <cellStyle name="0.0 6 2" xfId="41990"/>
    <cellStyle name="0.0 7" xfId="12090"/>
    <cellStyle name="0.0 7 2" xfId="32995"/>
    <cellStyle name="0.0 8" xfId="24173"/>
    <cellStyle name="0.0 8 2" xfId="45043"/>
    <cellStyle name="0.0 9" xfId="24177"/>
    <cellStyle name="0.0 9 2" xfId="45047"/>
    <cellStyle name="0.00" xfId="1005"/>
    <cellStyle name="0.00 10" xfId="24300"/>
    <cellStyle name="0.00 2" xfId="2644"/>
    <cellStyle name="0.00 2 2" xfId="3327"/>
    <cellStyle name="0.00 2 2 2" xfId="5600"/>
    <cellStyle name="0.00 2 2 2 2" xfId="22308"/>
    <cellStyle name="0.00 2 2 2 2 2" xfId="43183"/>
    <cellStyle name="0.00 2 2 2 3" xfId="21836"/>
    <cellStyle name="0.00 2 2 2 3 2" xfId="42711"/>
    <cellStyle name="0.00 2 2 2 4" xfId="21257"/>
    <cellStyle name="0.00 2 2 2 4 2" xfId="42132"/>
    <cellStyle name="0.00 2 2 2 5" xfId="14609"/>
    <cellStyle name="0.00 2 2 2 5 2" xfId="35485"/>
    <cellStyle name="0.00 2 2 2 6" xfId="26747"/>
    <cellStyle name="0.00 2 2 3" xfId="21679"/>
    <cellStyle name="0.00 2 2 3 2" xfId="42554"/>
    <cellStyle name="0.00 2 2 4" xfId="21862"/>
    <cellStyle name="0.00 2 2 4 2" xfId="42737"/>
    <cellStyle name="0.00 2 2 5" xfId="23315"/>
    <cellStyle name="0.00 2 2 5 2" xfId="44187"/>
    <cellStyle name="0.00 2 2 6" xfId="12790"/>
    <cellStyle name="0.00 2 2 6 2" xfId="33667"/>
    <cellStyle name="0.00 2 2 7" xfId="24917"/>
    <cellStyle name="0.00 2 3" xfId="9281"/>
    <cellStyle name="0.00 2 3 2" xfId="22339"/>
    <cellStyle name="0.00 2 3 2 2" xfId="43214"/>
    <cellStyle name="0.00 2 3 3" xfId="22730"/>
    <cellStyle name="0.00 2 3 3 2" xfId="43605"/>
    <cellStyle name="0.00 2 3 4" xfId="18280"/>
    <cellStyle name="0.00 2 3 4 2" xfId="39156"/>
    <cellStyle name="0.00 2 3 5" xfId="30418"/>
    <cellStyle name="0.00 2 4" xfId="21432"/>
    <cellStyle name="0.00 2 4 2" xfId="42307"/>
    <cellStyle name="0.00 2 5" xfId="12203"/>
    <cellStyle name="0.00 2 5 2" xfId="33092"/>
    <cellStyle name="0.00 2 6" xfId="24307"/>
    <cellStyle name="0.00 3" xfId="3326"/>
    <cellStyle name="0.00 3 2" xfId="5599"/>
    <cellStyle name="0.00 3 2 2" xfId="22307"/>
    <cellStyle name="0.00 3 2 2 2" xfId="43182"/>
    <cellStyle name="0.00 3 2 3" xfId="23157"/>
    <cellStyle name="0.00 3 2 3 2" xfId="44030"/>
    <cellStyle name="0.00 3 2 4" xfId="21289"/>
    <cellStyle name="0.00 3 2 4 2" xfId="42164"/>
    <cellStyle name="0.00 3 2 5" xfId="14608"/>
    <cellStyle name="0.00 3 2 5 2" xfId="35484"/>
    <cellStyle name="0.00 3 2 6" xfId="26746"/>
    <cellStyle name="0.00 3 3" xfId="21678"/>
    <cellStyle name="0.00 3 3 2" xfId="42553"/>
    <cellStyle name="0.00 3 4" xfId="21392"/>
    <cellStyle name="0.00 3 4 2" xfId="42267"/>
    <cellStyle name="0.00 3 5" xfId="22685"/>
    <cellStyle name="0.00 3 5 2" xfId="43560"/>
    <cellStyle name="0.00 3 6" xfId="12789"/>
    <cellStyle name="0.00 3 6 2" xfId="33666"/>
    <cellStyle name="0.00 3 7" xfId="24916"/>
    <cellStyle name="0.00 4" xfId="9280"/>
    <cellStyle name="0.00 4 2" xfId="23785"/>
    <cellStyle name="0.00 4 2 2" xfId="44657"/>
    <cellStyle name="0.00 4 3" xfId="23746"/>
    <cellStyle name="0.00 4 3 2" xfId="44618"/>
    <cellStyle name="0.00 4 4" xfId="18279"/>
    <cellStyle name="0.00 4 4 2" xfId="39155"/>
    <cellStyle name="0.00 4 5" xfId="30417"/>
    <cellStyle name="0.00 5" xfId="12185"/>
    <cellStyle name="0.00 5 2" xfId="33084"/>
    <cellStyle name="0.00 6" xfId="21116"/>
    <cellStyle name="0.00 6 2" xfId="41991"/>
    <cellStyle name="0.00 7" xfId="12091"/>
    <cellStyle name="0.00 7 2" xfId="32996"/>
    <cellStyle name="0.00 8" xfId="24174"/>
    <cellStyle name="0.00 8 2" xfId="45044"/>
    <cellStyle name="0.00 9" xfId="24178"/>
    <cellStyle name="0.00 9 2" xfId="45048"/>
    <cellStyle name="1" xfId="1006"/>
    <cellStyle name="20% - 강조색1" xfId="3776" builtinId="30" customBuiltin="1"/>
    <cellStyle name="20% - 강조색1 2" xfId="4176"/>
    <cellStyle name="20% - 강조색1 3" xfId="5153"/>
    <cellStyle name="20% - 강조색1 3 2" xfId="14166"/>
    <cellStyle name="20% - 강조색1 3 2 2" xfId="35042"/>
    <cellStyle name="20% - 강조색1 3 3" xfId="26304"/>
    <cellStyle name="20% - 강조색1 4" xfId="12076"/>
    <cellStyle name="20% - 강조색1 4 2" xfId="32982"/>
    <cellStyle name="20% - 강조색1 5" xfId="25349"/>
    <cellStyle name="20% - 강조색2" xfId="3780" builtinId="34" customBuiltin="1"/>
    <cellStyle name="20% - 강조색2 2" xfId="4175"/>
    <cellStyle name="20% - 강조색2 3" xfId="5155"/>
    <cellStyle name="20% - 강조색2 3 2" xfId="14168"/>
    <cellStyle name="20% - 강조색2 3 2 2" xfId="35044"/>
    <cellStyle name="20% - 강조색2 3 3" xfId="26306"/>
    <cellStyle name="20% - 강조색2 4" xfId="12078"/>
    <cellStyle name="20% - 강조색2 4 2" xfId="32984"/>
    <cellStyle name="20% - 강조색2 5" xfId="25351"/>
    <cellStyle name="20% - 강조색3" xfId="3784" builtinId="38" customBuiltin="1"/>
    <cellStyle name="20% - 강조색3 2" xfId="4174"/>
    <cellStyle name="20% - 강조색3 3" xfId="5157"/>
    <cellStyle name="20% - 강조색3 3 2" xfId="14170"/>
    <cellStyle name="20% - 강조색3 3 2 2" xfId="35046"/>
    <cellStyle name="20% - 강조색3 3 3" xfId="26308"/>
    <cellStyle name="20% - 강조색3 4" xfId="12080"/>
    <cellStyle name="20% - 강조색3 4 2" xfId="32986"/>
    <cellStyle name="20% - 강조색3 5" xfId="25353"/>
    <cellStyle name="20% - 강조색4" xfId="3788" builtinId="42" customBuiltin="1"/>
    <cellStyle name="20% - 강조색4 2" xfId="4173"/>
    <cellStyle name="20% - 강조색4 3" xfId="5159"/>
    <cellStyle name="20% - 강조색4 3 2" xfId="14172"/>
    <cellStyle name="20% - 강조색4 3 2 2" xfId="35048"/>
    <cellStyle name="20% - 강조색4 3 3" xfId="26310"/>
    <cellStyle name="20% - 강조색4 4" xfId="12082"/>
    <cellStyle name="20% - 강조색4 4 2" xfId="32988"/>
    <cellStyle name="20% - 강조색4 5" xfId="25355"/>
    <cellStyle name="20% - 강조색5" xfId="3792" builtinId="46" customBuiltin="1"/>
    <cellStyle name="20% - 강조색5 2" xfId="4172"/>
    <cellStyle name="20% - 강조색5 3" xfId="5161"/>
    <cellStyle name="20% - 강조색5 3 2" xfId="14174"/>
    <cellStyle name="20% - 강조색5 3 2 2" xfId="35050"/>
    <cellStyle name="20% - 강조색5 3 3" xfId="26312"/>
    <cellStyle name="20% - 강조색5 4" xfId="12084"/>
    <cellStyle name="20% - 강조색5 4 2" xfId="32990"/>
    <cellStyle name="20% - 강조색5 5" xfId="25357"/>
    <cellStyle name="20% - 강조색6" xfId="3796" builtinId="50" customBuiltin="1"/>
    <cellStyle name="20% - 강조색6 2" xfId="4171"/>
    <cellStyle name="20% - 강조색6 3" xfId="5163"/>
    <cellStyle name="20% - 강조색6 3 2" xfId="14176"/>
    <cellStyle name="20% - 강조색6 3 2 2" xfId="35052"/>
    <cellStyle name="20% - 강조색6 3 3" xfId="26314"/>
    <cellStyle name="20% - 강조색6 4" xfId="12086"/>
    <cellStyle name="20% - 강조색6 4 2" xfId="32992"/>
    <cellStyle name="20% - 강조색6 5" xfId="25359"/>
    <cellStyle name="40% - 강조색1" xfId="3777" builtinId="31" customBuiltin="1"/>
    <cellStyle name="40% - 강조색1 2" xfId="4170"/>
    <cellStyle name="40% - 강조색1 3" xfId="5154"/>
    <cellStyle name="40% - 강조색1 3 2" xfId="14167"/>
    <cellStyle name="40% - 강조색1 3 2 2" xfId="35043"/>
    <cellStyle name="40% - 강조색1 3 3" xfId="26305"/>
    <cellStyle name="40% - 강조색1 4" xfId="12077"/>
    <cellStyle name="40% - 강조색1 4 2" xfId="32983"/>
    <cellStyle name="40% - 강조색1 5" xfId="25350"/>
    <cellStyle name="40% - 강조색2" xfId="3781" builtinId="35" customBuiltin="1"/>
    <cellStyle name="40% - 강조색2 2" xfId="4169"/>
    <cellStyle name="40% - 강조색2 3" xfId="5156"/>
    <cellStyle name="40% - 강조색2 3 2" xfId="14169"/>
    <cellStyle name="40% - 강조색2 3 2 2" xfId="35045"/>
    <cellStyle name="40% - 강조색2 3 3" xfId="26307"/>
    <cellStyle name="40% - 강조색2 4" xfId="12079"/>
    <cellStyle name="40% - 강조색2 4 2" xfId="32985"/>
    <cellStyle name="40% - 강조색2 5" xfId="25352"/>
    <cellStyle name="40% - 강조색3" xfId="3785" builtinId="39" customBuiltin="1"/>
    <cellStyle name="40% - 강조색3 2" xfId="4168"/>
    <cellStyle name="40% - 강조색3 3" xfId="5158"/>
    <cellStyle name="40% - 강조색3 3 2" xfId="14171"/>
    <cellStyle name="40% - 강조색3 3 2 2" xfId="35047"/>
    <cellStyle name="40% - 강조색3 3 3" xfId="26309"/>
    <cellStyle name="40% - 강조색3 4" xfId="12081"/>
    <cellStyle name="40% - 강조색3 4 2" xfId="32987"/>
    <cellStyle name="40% - 강조색3 5" xfId="25354"/>
    <cellStyle name="40% - 강조색4" xfId="3789" builtinId="43" customBuiltin="1"/>
    <cellStyle name="40% - 강조색4 2" xfId="4167"/>
    <cellStyle name="40% - 강조색4 3" xfId="5160"/>
    <cellStyle name="40% - 강조색4 3 2" xfId="14173"/>
    <cellStyle name="40% - 강조색4 3 2 2" xfId="35049"/>
    <cellStyle name="40% - 강조색4 3 3" xfId="26311"/>
    <cellStyle name="40% - 강조색4 4" xfId="12083"/>
    <cellStyle name="40% - 강조색4 4 2" xfId="32989"/>
    <cellStyle name="40% - 강조색4 5" xfId="25356"/>
    <cellStyle name="40% - 강조색5" xfId="3793" builtinId="47" customBuiltin="1"/>
    <cellStyle name="40% - 강조색5 2" xfId="4166"/>
    <cellStyle name="40% - 강조색5 3" xfId="5162"/>
    <cellStyle name="40% - 강조색5 3 2" xfId="14175"/>
    <cellStyle name="40% - 강조색5 3 2 2" xfId="35051"/>
    <cellStyle name="40% - 강조색5 3 3" xfId="26313"/>
    <cellStyle name="40% - 강조색5 4" xfId="12085"/>
    <cellStyle name="40% - 강조색5 4 2" xfId="32991"/>
    <cellStyle name="40% - 강조색5 5" xfId="25358"/>
    <cellStyle name="40% - 강조색6" xfId="3797" builtinId="51" customBuiltin="1"/>
    <cellStyle name="40% - 강조색6 2" xfId="4165"/>
    <cellStyle name="40% - 강조색6 3" xfId="5164"/>
    <cellStyle name="40% - 강조색6 3 2" xfId="14177"/>
    <cellStyle name="40% - 강조색6 3 2 2" xfId="35053"/>
    <cellStyle name="40% - 강조색6 3 3" xfId="26315"/>
    <cellStyle name="40% - 강조색6 4" xfId="12087"/>
    <cellStyle name="40% - 강조색6 4 2" xfId="32993"/>
    <cellStyle name="40% - 강조색6 5" xfId="25360"/>
    <cellStyle name="60% - 강조색1" xfId="3778" builtinId="32" customBuiltin="1"/>
    <cellStyle name="60% - 강조색1 2" xfId="4164"/>
    <cellStyle name="60% - 강조색2" xfId="3782" builtinId="36" customBuiltin="1"/>
    <cellStyle name="60% - 강조색2 2" xfId="4163"/>
    <cellStyle name="60% - 강조색3" xfId="3786" builtinId="40" customBuiltin="1"/>
    <cellStyle name="60% - 강조색3 2" xfId="4162"/>
    <cellStyle name="60% - 강조색4" xfId="3790" builtinId="44" customBuiltin="1"/>
    <cellStyle name="60% - 강조색4 2" xfId="4161"/>
    <cellStyle name="60% - 강조색5" xfId="3794" builtinId="48" customBuiltin="1"/>
    <cellStyle name="60% - 강조색5 2" xfId="4160"/>
    <cellStyle name="60% - 강조색6" xfId="3798" builtinId="52" customBuiltin="1"/>
    <cellStyle name="60% - 강조색6 2" xfId="4159"/>
    <cellStyle name="Accent1" xfId="2645"/>
    <cellStyle name="Accent1 - 20%" xfId="2646"/>
    <cellStyle name="Accent1 - 40%" xfId="2647"/>
    <cellStyle name="Accent1 - 60%" xfId="2648"/>
    <cellStyle name="Accent2" xfId="2649"/>
    <cellStyle name="Accent2 - 20%" xfId="2650"/>
    <cellStyle name="Accent2 - 40%" xfId="2651"/>
    <cellStyle name="Accent2 - 60%" xfId="2652"/>
    <cellStyle name="Accent3" xfId="2653"/>
    <cellStyle name="Accent3 - 20%" xfId="2654"/>
    <cellStyle name="Accent3 - 40%" xfId="2655"/>
    <cellStyle name="Accent3 - 60%" xfId="2656"/>
    <cellStyle name="Accent4" xfId="2657"/>
    <cellStyle name="Accent4 - 20%" xfId="2658"/>
    <cellStyle name="Accent4 - 40%" xfId="2659"/>
    <cellStyle name="Accent4 - 60%" xfId="2660"/>
    <cellStyle name="Accent5" xfId="2661"/>
    <cellStyle name="Accent5 - 20%" xfId="2662"/>
    <cellStyle name="Accent5 - 40%" xfId="2663"/>
    <cellStyle name="Accent5 - 60%" xfId="2664"/>
    <cellStyle name="Accent6" xfId="2665"/>
    <cellStyle name="Accent6 - 20%" xfId="2666"/>
    <cellStyle name="Accent6 - 40%" xfId="2667"/>
    <cellStyle name="Accent6 - 60%" xfId="2668"/>
    <cellStyle name="AeE­ [0]_BOOK1" xfId="1034"/>
    <cellStyle name="ÅëÈ­ [0]_RESULTS" xfId="1035"/>
    <cellStyle name="AeE­_BOOK1" xfId="1036"/>
    <cellStyle name="ÅëÈ­_RESULTS" xfId="1037"/>
    <cellStyle name="ALIGNMENT" xfId="1038"/>
    <cellStyle name="args.style" xfId="1039"/>
    <cellStyle name="AÞ¸¶ [0]_BOOK1" xfId="1040"/>
    <cellStyle name="AÞ¸¶_BOOK1" xfId="1041"/>
    <cellStyle name="Bad" xfId="2669"/>
    <cellStyle name="blank" xfId="1042"/>
    <cellStyle name="blank - Style1" xfId="1043"/>
    <cellStyle name="C￥AØ_¿μ¾÷CoE² " xfId="1044"/>
    <cellStyle name="Ç¥ÁØ_RESULTS" xfId="1045"/>
    <cellStyle name="Calc Currency (0)" xfId="1046"/>
    <cellStyle name="Calc Currency (2)" xfId="1047"/>
    <cellStyle name="Calc Percent (0)" xfId="1048"/>
    <cellStyle name="Calc Percent (1)" xfId="1049"/>
    <cellStyle name="Calc Percent (2)" xfId="1050"/>
    <cellStyle name="Calc Units (0)" xfId="1051"/>
    <cellStyle name="Calc Units (1)" xfId="1052"/>
    <cellStyle name="Calc Units (2)" xfId="1053"/>
    <cellStyle name="Calculation" xfId="2670"/>
    <cellStyle name="Calculation 10" xfId="23883"/>
    <cellStyle name="Calculation 10 2" xfId="44755"/>
    <cellStyle name="Calculation 11" xfId="12204"/>
    <cellStyle name="Calculation 11 2" xfId="33093"/>
    <cellStyle name="Calculation 12" xfId="24308"/>
    <cellStyle name="Calculation 2" xfId="2671"/>
    <cellStyle name="Calculation 2 2" xfId="4246"/>
    <cellStyle name="Calculation 2 2 2" xfId="6153"/>
    <cellStyle name="Calculation 2 2 2 2" xfId="22458"/>
    <cellStyle name="Calculation 2 2 2 2 2" xfId="43333"/>
    <cellStyle name="Calculation 2 2 2 3" xfId="21147"/>
    <cellStyle name="Calculation 2 2 2 3 2" xfId="42022"/>
    <cellStyle name="Calculation 2 2 2 4" xfId="22369"/>
    <cellStyle name="Calculation 2 2 2 4 2" xfId="43244"/>
    <cellStyle name="Calculation 2 2 2 5" xfId="15162"/>
    <cellStyle name="Calculation 2 2 2 5 2" xfId="36038"/>
    <cellStyle name="Calculation 2 2 2 6" xfId="27300"/>
    <cellStyle name="Calculation 2 2 3" xfId="21903"/>
    <cellStyle name="Calculation 2 2 3 2" xfId="42778"/>
    <cellStyle name="Calculation 2 2 4" xfId="21599"/>
    <cellStyle name="Calculation 2 2 4 2" xfId="42474"/>
    <cellStyle name="Calculation 2 2 5" xfId="24047"/>
    <cellStyle name="Calculation 2 2 5 2" xfId="44919"/>
    <cellStyle name="Calculation 2 2 6" xfId="13344"/>
    <cellStyle name="Calculation 2 2 6 2" xfId="34220"/>
    <cellStyle name="Calculation 2 2 7" xfId="25482"/>
    <cellStyle name="Calculation 2 3" xfId="8261"/>
    <cellStyle name="Calculation 2 3 2" xfId="22950"/>
    <cellStyle name="Calculation 2 3 2 2" xfId="43823"/>
    <cellStyle name="Calculation 2 3 3" xfId="23763"/>
    <cellStyle name="Calculation 2 3 3 2" xfId="44635"/>
    <cellStyle name="Calculation 2 3 4" xfId="21267"/>
    <cellStyle name="Calculation 2 3 4 2" xfId="42142"/>
    <cellStyle name="Calculation 2 3 5" xfId="17266"/>
    <cellStyle name="Calculation 2 3 5 2" xfId="38142"/>
    <cellStyle name="Calculation 2 3 6" xfId="29404"/>
    <cellStyle name="Calculation 2 4" xfId="21437"/>
    <cellStyle name="Calculation 2 4 2" xfId="42312"/>
    <cellStyle name="Calculation 2 5" xfId="21365"/>
    <cellStyle name="Calculation 2 5 2" xfId="42240"/>
    <cellStyle name="Calculation 2 6" xfId="23399"/>
    <cellStyle name="Calculation 2 6 2" xfId="44271"/>
    <cellStyle name="Calculation 2 7" xfId="12205"/>
    <cellStyle name="Calculation 2 7 2" xfId="33094"/>
    <cellStyle name="Calculation 2 8" xfId="24309"/>
    <cellStyle name="Calculation 3" xfId="2672"/>
    <cellStyle name="Calculation 3 2" xfId="4247"/>
    <cellStyle name="Calculation 3 2 2" xfId="6154"/>
    <cellStyle name="Calculation 3 2 2 2" xfId="22459"/>
    <cellStyle name="Calculation 3 2 2 2 2" xfId="43334"/>
    <cellStyle name="Calculation 3 2 2 3" xfId="22837"/>
    <cellStyle name="Calculation 3 2 2 3 2" xfId="43712"/>
    <cellStyle name="Calculation 3 2 2 4" xfId="21383"/>
    <cellStyle name="Calculation 3 2 2 4 2" xfId="42258"/>
    <cellStyle name="Calculation 3 2 2 5" xfId="15163"/>
    <cellStyle name="Calculation 3 2 2 5 2" xfId="36039"/>
    <cellStyle name="Calculation 3 2 2 6" xfId="27301"/>
    <cellStyle name="Calculation 3 2 3" xfId="21904"/>
    <cellStyle name="Calculation 3 2 3 2" xfId="42779"/>
    <cellStyle name="Calculation 3 2 4" xfId="22847"/>
    <cellStyle name="Calculation 3 2 4 2" xfId="43722"/>
    <cellStyle name="Calculation 3 2 5" xfId="24057"/>
    <cellStyle name="Calculation 3 2 5 2" xfId="44929"/>
    <cellStyle name="Calculation 3 2 6" xfId="13345"/>
    <cellStyle name="Calculation 3 2 6 2" xfId="34221"/>
    <cellStyle name="Calculation 3 2 7" xfId="25483"/>
    <cellStyle name="Calculation 3 3" xfId="8262"/>
    <cellStyle name="Calculation 3 3 2" xfId="22951"/>
    <cellStyle name="Calculation 3 3 2 2" xfId="43824"/>
    <cellStyle name="Calculation 3 3 3" xfId="21045"/>
    <cellStyle name="Calculation 3 3 3 2" xfId="41920"/>
    <cellStyle name="Calculation 3 3 4" xfId="21155"/>
    <cellStyle name="Calculation 3 3 4 2" xfId="42030"/>
    <cellStyle name="Calculation 3 3 5" xfId="17267"/>
    <cellStyle name="Calculation 3 3 5 2" xfId="38143"/>
    <cellStyle name="Calculation 3 3 6" xfId="29405"/>
    <cellStyle name="Calculation 3 4" xfId="21438"/>
    <cellStyle name="Calculation 3 4 2" xfId="42313"/>
    <cellStyle name="Calculation 3 5" xfId="21142"/>
    <cellStyle name="Calculation 3 5 2" xfId="42017"/>
    <cellStyle name="Calculation 3 6" xfId="22725"/>
    <cellStyle name="Calculation 3 6 2" xfId="43600"/>
    <cellStyle name="Calculation 3 7" xfId="12206"/>
    <cellStyle name="Calculation 3 7 2" xfId="33095"/>
    <cellStyle name="Calculation 3 8" xfId="24310"/>
    <cellStyle name="Calculation 4" xfId="2673"/>
    <cellStyle name="Calculation 4 2" xfId="4248"/>
    <cellStyle name="Calculation 4 2 2" xfId="6155"/>
    <cellStyle name="Calculation 4 2 2 2" xfId="22460"/>
    <cellStyle name="Calculation 4 2 2 2 2" xfId="43335"/>
    <cellStyle name="Calculation 4 2 2 3" xfId="22190"/>
    <cellStyle name="Calculation 4 2 2 3 2" xfId="43065"/>
    <cellStyle name="Calculation 4 2 2 4" xfId="22241"/>
    <cellStyle name="Calculation 4 2 2 4 2" xfId="43116"/>
    <cellStyle name="Calculation 4 2 2 5" xfId="15164"/>
    <cellStyle name="Calculation 4 2 2 5 2" xfId="36040"/>
    <cellStyle name="Calculation 4 2 2 6" xfId="27302"/>
    <cellStyle name="Calculation 4 2 3" xfId="21905"/>
    <cellStyle name="Calculation 4 2 3 2" xfId="42780"/>
    <cellStyle name="Calculation 4 2 4" xfId="23414"/>
    <cellStyle name="Calculation 4 2 4 2" xfId="44286"/>
    <cellStyle name="Calculation 4 2 5" xfId="21380"/>
    <cellStyle name="Calculation 4 2 5 2" xfId="42255"/>
    <cellStyle name="Calculation 4 2 6" xfId="13346"/>
    <cellStyle name="Calculation 4 2 6 2" xfId="34222"/>
    <cellStyle name="Calculation 4 2 7" xfId="25484"/>
    <cellStyle name="Calculation 4 3" xfId="8263"/>
    <cellStyle name="Calculation 4 3 2" xfId="22952"/>
    <cellStyle name="Calculation 4 3 2 2" xfId="43825"/>
    <cellStyle name="Calculation 4 3 3" xfId="21608"/>
    <cellStyle name="Calculation 4 3 3 2" xfId="42483"/>
    <cellStyle name="Calculation 4 3 4" xfId="24084"/>
    <cellStyle name="Calculation 4 3 4 2" xfId="44956"/>
    <cellStyle name="Calculation 4 3 5" xfId="17268"/>
    <cellStyle name="Calculation 4 3 5 2" xfId="38144"/>
    <cellStyle name="Calculation 4 3 6" xfId="29406"/>
    <cellStyle name="Calculation 4 4" xfId="21439"/>
    <cellStyle name="Calculation 4 4 2" xfId="42314"/>
    <cellStyle name="Calculation 4 5" xfId="23667"/>
    <cellStyle name="Calculation 4 5 2" xfId="44539"/>
    <cellStyle name="Calculation 4 6" xfId="23175"/>
    <cellStyle name="Calculation 4 6 2" xfId="44048"/>
    <cellStyle name="Calculation 4 7" xfId="12207"/>
    <cellStyle name="Calculation 4 7 2" xfId="33096"/>
    <cellStyle name="Calculation 4 8" xfId="24311"/>
    <cellStyle name="Calculation 5" xfId="2674"/>
    <cellStyle name="Calculation 5 2" xfId="4249"/>
    <cellStyle name="Calculation 5 2 2" xfId="6156"/>
    <cellStyle name="Calculation 5 2 2 2" xfId="22461"/>
    <cellStyle name="Calculation 5 2 2 2 2" xfId="43336"/>
    <cellStyle name="Calculation 5 2 2 3" xfId="23743"/>
    <cellStyle name="Calculation 5 2 2 3 2" xfId="44615"/>
    <cellStyle name="Calculation 5 2 2 4" xfId="23197"/>
    <cellStyle name="Calculation 5 2 2 4 2" xfId="44070"/>
    <cellStyle name="Calculation 5 2 2 5" xfId="15165"/>
    <cellStyle name="Calculation 5 2 2 5 2" xfId="36041"/>
    <cellStyle name="Calculation 5 2 2 6" xfId="27303"/>
    <cellStyle name="Calculation 5 2 3" xfId="21906"/>
    <cellStyle name="Calculation 5 2 3 2" xfId="42781"/>
    <cellStyle name="Calculation 5 2 4" xfId="23347"/>
    <cellStyle name="Calculation 5 2 4 2" xfId="44219"/>
    <cellStyle name="Calculation 5 2 5" xfId="21622"/>
    <cellStyle name="Calculation 5 2 5 2" xfId="42497"/>
    <cellStyle name="Calculation 5 2 6" xfId="13347"/>
    <cellStyle name="Calculation 5 2 6 2" xfId="34223"/>
    <cellStyle name="Calculation 5 2 7" xfId="25485"/>
    <cellStyle name="Calculation 5 3" xfId="8264"/>
    <cellStyle name="Calculation 5 3 2" xfId="22953"/>
    <cellStyle name="Calculation 5 3 2 2" xfId="43826"/>
    <cellStyle name="Calculation 5 3 3" xfId="22202"/>
    <cellStyle name="Calculation 5 3 3 2" xfId="43077"/>
    <cellStyle name="Calculation 5 3 4" xfId="21081"/>
    <cellStyle name="Calculation 5 3 4 2" xfId="41956"/>
    <cellStyle name="Calculation 5 3 5" xfId="17269"/>
    <cellStyle name="Calculation 5 3 5 2" xfId="38145"/>
    <cellStyle name="Calculation 5 3 6" xfId="29407"/>
    <cellStyle name="Calculation 5 4" xfId="21440"/>
    <cellStyle name="Calculation 5 4 2" xfId="42315"/>
    <cellStyle name="Calculation 5 5" xfId="22739"/>
    <cellStyle name="Calculation 5 5 2" xfId="43614"/>
    <cellStyle name="Calculation 5 6" xfId="21877"/>
    <cellStyle name="Calculation 5 6 2" xfId="42752"/>
    <cellStyle name="Calculation 5 7" xfId="12208"/>
    <cellStyle name="Calculation 5 7 2" xfId="33097"/>
    <cellStyle name="Calculation 5 8" xfId="24312"/>
    <cellStyle name="Calculation 6" xfId="4245"/>
    <cellStyle name="Calculation 6 2" xfId="6152"/>
    <cellStyle name="Calculation 6 2 2" xfId="22457"/>
    <cellStyle name="Calculation 6 2 2 2" xfId="43332"/>
    <cellStyle name="Calculation 6 2 3" xfId="21379"/>
    <cellStyle name="Calculation 6 2 3 2" xfId="42254"/>
    <cellStyle name="Calculation 6 2 4" xfId="21731"/>
    <cellStyle name="Calculation 6 2 4 2" xfId="42606"/>
    <cellStyle name="Calculation 6 2 5" xfId="15161"/>
    <cellStyle name="Calculation 6 2 5 2" xfId="36037"/>
    <cellStyle name="Calculation 6 2 6" xfId="27299"/>
    <cellStyle name="Calculation 6 3" xfId="21902"/>
    <cellStyle name="Calculation 6 3 2" xfId="42777"/>
    <cellStyle name="Calculation 6 4" xfId="21860"/>
    <cellStyle name="Calculation 6 4 2" xfId="42735"/>
    <cellStyle name="Calculation 6 5" xfId="22196"/>
    <cellStyle name="Calculation 6 5 2" xfId="43071"/>
    <cellStyle name="Calculation 6 6" xfId="13343"/>
    <cellStyle name="Calculation 6 6 2" xfId="34219"/>
    <cellStyle name="Calculation 6 7" xfId="25481"/>
    <cellStyle name="Calculation 7" xfId="8260"/>
    <cellStyle name="Calculation 7 2" xfId="22949"/>
    <cellStyle name="Calculation 7 2 2" xfId="43822"/>
    <cellStyle name="Calculation 7 3" xfId="22343"/>
    <cellStyle name="Calculation 7 3 2" xfId="43218"/>
    <cellStyle name="Calculation 7 4" xfId="21361"/>
    <cellStyle name="Calculation 7 4 2" xfId="42236"/>
    <cellStyle name="Calculation 7 5" xfId="17265"/>
    <cellStyle name="Calculation 7 5 2" xfId="38141"/>
    <cellStyle name="Calculation 7 6" xfId="29403"/>
    <cellStyle name="Calculation 8" xfId="21436"/>
    <cellStyle name="Calculation 8 2" xfId="42311"/>
    <cellStyle name="Calculation 9" xfId="21270"/>
    <cellStyle name="Calculation 9 2" xfId="42145"/>
    <cellStyle name="category" xfId="1054"/>
    <cellStyle name="Check Cell" xfId="2675"/>
    <cellStyle name="Comma" xfId="1055"/>
    <cellStyle name="Comma  - Style2" xfId="1056"/>
    <cellStyle name="Comma  - Style3" xfId="1057"/>
    <cellStyle name="Comma  - Style4" xfId="1058"/>
    <cellStyle name="Comma  - Style5" xfId="1059"/>
    <cellStyle name="Comma  - Style6" xfId="1060"/>
    <cellStyle name="Comma  - Style7" xfId="1061"/>
    <cellStyle name="Comma  - Style8" xfId="1062"/>
    <cellStyle name="Comma [0]_ SG&amp;A Bridge " xfId="1063"/>
    <cellStyle name="Comma [00]" xfId="1064"/>
    <cellStyle name="Comma_ SG&amp;A Bridge " xfId="1065"/>
    <cellStyle name="Comma0" xfId="1066"/>
    <cellStyle name="Copied" xfId="1067"/>
    <cellStyle name="Curre~cy [0]_MATERAL2" xfId="1068"/>
    <cellStyle name="Currency" xfId="1069"/>
    <cellStyle name="Currency [0]_ SG&amp;A Bridge " xfId="1070"/>
    <cellStyle name="Currency [00]" xfId="1071"/>
    <cellStyle name="currency-$" xfId="1072"/>
    <cellStyle name="currency-$ 10" xfId="24301"/>
    <cellStyle name="currency-$ 2" xfId="2676"/>
    <cellStyle name="currency-$ 2 2" xfId="3329"/>
    <cellStyle name="currency-$ 2 2 2" xfId="5602"/>
    <cellStyle name="currency-$ 2 2 2 2" xfId="22310"/>
    <cellStyle name="currency-$ 2 2 2 2 2" xfId="43185"/>
    <cellStyle name="currency-$ 2 2 2 3" xfId="23936"/>
    <cellStyle name="currency-$ 2 2 2 3 2" xfId="44808"/>
    <cellStyle name="currency-$ 2 2 2 4" xfId="23813"/>
    <cellStyle name="currency-$ 2 2 2 4 2" xfId="44685"/>
    <cellStyle name="currency-$ 2 2 2 5" xfId="14611"/>
    <cellStyle name="currency-$ 2 2 2 5 2" xfId="35487"/>
    <cellStyle name="currency-$ 2 2 2 6" xfId="26749"/>
    <cellStyle name="currency-$ 2 2 3" xfId="21681"/>
    <cellStyle name="currency-$ 2 2 3 2" xfId="42556"/>
    <cellStyle name="currency-$ 2 2 4" xfId="23827"/>
    <cellStyle name="currency-$ 2 2 4 2" xfId="44699"/>
    <cellStyle name="currency-$ 2 2 5" xfId="24101"/>
    <cellStyle name="currency-$ 2 2 5 2" xfId="44972"/>
    <cellStyle name="currency-$ 2 2 6" xfId="12792"/>
    <cellStyle name="currency-$ 2 2 6 2" xfId="33669"/>
    <cellStyle name="currency-$ 2 2 7" xfId="24919"/>
    <cellStyle name="currency-$ 2 3" xfId="9283"/>
    <cellStyle name="currency-$ 2 3 2" xfId="23645"/>
    <cellStyle name="currency-$ 2 3 2 2" xfId="44517"/>
    <cellStyle name="currency-$ 2 3 3" xfId="21387"/>
    <cellStyle name="currency-$ 2 3 3 2" xfId="42262"/>
    <cellStyle name="currency-$ 2 3 4" xfId="18282"/>
    <cellStyle name="currency-$ 2 3 4 2" xfId="39158"/>
    <cellStyle name="currency-$ 2 3 5" xfId="30420"/>
    <cellStyle name="currency-$ 2 4" xfId="21442"/>
    <cellStyle name="currency-$ 2 4 2" xfId="42317"/>
    <cellStyle name="currency-$ 2 5" xfId="12209"/>
    <cellStyle name="currency-$ 2 5 2" xfId="33098"/>
    <cellStyle name="currency-$ 2 6" xfId="24313"/>
    <cellStyle name="currency-$ 3" xfId="3328"/>
    <cellStyle name="currency-$ 3 2" xfId="5601"/>
    <cellStyle name="currency-$ 3 2 2" xfId="22309"/>
    <cellStyle name="currency-$ 3 2 2 2" xfId="43184"/>
    <cellStyle name="currency-$ 3 2 3" xfId="24100"/>
    <cellStyle name="currency-$ 3 2 3 2" xfId="44971"/>
    <cellStyle name="currency-$ 3 2 4" xfId="22761"/>
    <cellStyle name="currency-$ 3 2 4 2" xfId="43636"/>
    <cellStyle name="currency-$ 3 2 5" xfId="14610"/>
    <cellStyle name="currency-$ 3 2 5 2" xfId="35486"/>
    <cellStyle name="currency-$ 3 2 6" xfId="26748"/>
    <cellStyle name="currency-$ 3 3" xfId="21680"/>
    <cellStyle name="currency-$ 3 3 2" xfId="42555"/>
    <cellStyle name="currency-$ 3 4" xfId="22134"/>
    <cellStyle name="currency-$ 3 4 2" xfId="43009"/>
    <cellStyle name="currency-$ 3 5" xfId="23853"/>
    <cellStyle name="currency-$ 3 5 2" xfId="44725"/>
    <cellStyle name="currency-$ 3 6" xfId="12791"/>
    <cellStyle name="currency-$ 3 6 2" xfId="33668"/>
    <cellStyle name="currency-$ 3 7" xfId="24918"/>
    <cellStyle name="currency-$ 4" xfId="9282"/>
    <cellStyle name="currency-$ 4 2" xfId="21344"/>
    <cellStyle name="currency-$ 4 2 2" xfId="42219"/>
    <cellStyle name="currency-$ 4 3" xfId="21590"/>
    <cellStyle name="currency-$ 4 3 2" xfId="42465"/>
    <cellStyle name="currency-$ 4 4" xfId="18281"/>
    <cellStyle name="currency-$ 4 4 2" xfId="39157"/>
    <cellStyle name="currency-$ 4 5" xfId="30419"/>
    <cellStyle name="currency-$ 5" xfId="12186"/>
    <cellStyle name="currency-$ 5 2" xfId="33085"/>
    <cellStyle name="currency-$ 6" xfId="21127"/>
    <cellStyle name="currency-$ 6 2" xfId="42002"/>
    <cellStyle name="currency-$ 7" xfId="12107"/>
    <cellStyle name="currency-$ 7 2" xfId="33007"/>
    <cellStyle name="currency-$ 8" xfId="24175"/>
    <cellStyle name="currency-$ 8 2" xfId="45045"/>
    <cellStyle name="currency-$ 9" xfId="24182"/>
    <cellStyle name="currency-$ 9 2" xfId="45050"/>
    <cellStyle name="Currency_ SG&amp;A Bridge " xfId="1073"/>
    <cellStyle name="Currency0" xfId="1074"/>
    <cellStyle name="Currency1" xfId="1075"/>
    <cellStyle name="Date" xfId="1076"/>
    <cellStyle name="Date Short" xfId="1077"/>
    <cellStyle name="Date_03-02-P002 용인추가공사" xfId="1078"/>
    <cellStyle name="DELTA" xfId="1079"/>
    <cellStyle name="Emphasis 1" xfId="2677"/>
    <cellStyle name="Emphasis 2" xfId="2678"/>
    <cellStyle name="Emphasis 3" xfId="2679"/>
    <cellStyle name="Enter Currency (0)" xfId="1080"/>
    <cellStyle name="Enter Currency (2)" xfId="1081"/>
    <cellStyle name="Enter Units (0)" xfId="1082"/>
    <cellStyle name="Enter Units (1)" xfId="1083"/>
    <cellStyle name="Enter Units (2)" xfId="1084"/>
    <cellStyle name="Entered" xfId="1085"/>
    <cellStyle name="F2" xfId="1086"/>
    <cellStyle name="F3" xfId="1087"/>
    <cellStyle name="F4" xfId="1088"/>
    <cellStyle name="F5" xfId="1089"/>
    <cellStyle name="F6" xfId="1090"/>
    <cellStyle name="F7" xfId="1091"/>
    <cellStyle name="F8" xfId="1092"/>
    <cellStyle name="Fixed" xfId="1093"/>
    <cellStyle name="Followed Hyperlink" xfId="1094"/>
    <cellStyle name="G10" xfId="1095"/>
    <cellStyle name="Good" xfId="2680"/>
    <cellStyle name="Grey" xfId="1096"/>
    <cellStyle name="HEADER" xfId="1097"/>
    <cellStyle name="Header1" xfId="1098"/>
    <cellStyle name="Header1 2" xfId="23289"/>
    <cellStyle name="Header2" xfId="1099"/>
    <cellStyle name="Header2 10" xfId="24302"/>
    <cellStyle name="Header2 2" xfId="2681"/>
    <cellStyle name="Header2 2 2" xfId="4271"/>
    <cellStyle name="Header2 2 2 2" xfId="6157"/>
    <cellStyle name="Header2 2 2 2 2" xfId="22462"/>
    <cellStyle name="Header2 2 2 2 2 2" xfId="43337"/>
    <cellStyle name="Header2 2 2 2 3" xfId="23287"/>
    <cellStyle name="Header2 2 2 2 3 2" xfId="44160"/>
    <cellStyle name="Header2 2 2 2 4" xfId="22110"/>
    <cellStyle name="Header2 2 2 2 4 2" xfId="42985"/>
    <cellStyle name="Header2 2 2 2 5" xfId="15166"/>
    <cellStyle name="Header2 2 2 2 5 2" xfId="36042"/>
    <cellStyle name="Header2 2 2 2 6" xfId="27304"/>
    <cellStyle name="Header2 2 2 3" xfId="21908"/>
    <cellStyle name="Header2 2 2 3 2" xfId="42783"/>
    <cellStyle name="Header2 2 2 4" xfId="22633"/>
    <cellStyle name="Header2 2 2 4 2" xfId="43508"/>
    <cellStyle name="Header2 2 2 5" xfId="21656"/>
    <cellStyle name="Header2 2 2 5 2" xfId="42531"/>
    <cellStyle name="Header2 2 2 6" xfId="13348"/>
    <cellStyle name="Header2 2 2 6 2" xfId="34224"/>
    <cellStyle name="Header2 2 2 7" xfId="25486"/>
    <cellStyle name="Header2 2 3" xfId="21443"/>
    <cellStyle name="Header2 2 3 2" xfId="42318"/>
    <cellStyle name="Header2 2 4" xfId="22093"/>
    <cellStyle name="Header2 2 4 2" xfId="42968"/>
    <cellStyle name="Header2 2 5" xfId="12210"/>
    <cellStyle name="Header2 2 5 2" xfId="33099"/>
    <cellStyle name="Header2 2 6" xfId="24314"/>
    <cellStyle name="Header2 3" xfId="2682"/>
    <cellStyle name="Header2 3 2" xfId="4272"/>
    <cellStyle name="Header2 3 2 2" xfId="6158"/>
    <cellStyle name="Header2 3 2 2 2" xfId="22463"/>
    <cellStyle name="Header2 3 2 2 2 2" xfId="43338"/>
    <cellStyle name="Header2 3 2 2 3" xfId="23173"/>
    <cellStyle name="Header2 3 2 2 3 2" xfId="44046"/>
    <cellStyle name="Header2 3 2 2 4" xfId="21003"/>
    <cellStyle name="Header2 3 2 2 4 2" xfId="41878"/>
    <cellStyle name="Header2 3 2 2 5" xfId="15167"/>
    <cellStyle name="Header2 3 2 2 5 2" xfId="36043"/>
    <cellStyle name="Header2 3 2 2 6" xfId="27305"/>
    <cellStyle name="Header2 3 2 3" xfId="21909"/>
    <cellStyle name="Header2 3 2 3 2" xfId="42784"/>
    <cellStyle name="Header2 3 2 4" xfId="23208"/>
    <cellStyle name="Header2 3 2 4 2" xfId="44081"/>
    <cellStyle name="Header2 3 2 5" xfId="23982"/>
    <cellStyle name="Header2 3 2 5 2" xfId="44854"/>
    <cellStyle name="Header2 3 2 6" xfId="13349"/>
    <cellStyle name="Header2 3 2 6 2" xfId="34225"/>
    <cellStyle name="Header2 3 2 7" xfId="25487"/>
    <cellStyle name="Header2 3 3" xfId="21444"/>
    <cellStyle name="Header2 3 3 2" xfId="42319"/>
    <cellStyle name="Header2 3 4" xfId="21404"/>
    <cellStyle name="Header2 3 4 2" xfId="42279"/>
    <cellStyle name="Header2 3 5" xfId="12211"/>
    <cellStyle name="Header2 3 5 2" xfId="33100"/>
    <cellStyle name="Header2 3 6" xfId="24315"/>
    <cellStyle name="Header2 4" xfId="3806"/>
    <cellStyle name="Header2 4 2" xfId="6035"/>
    <cellStyle name="Header2 4 2 2" xfId="22394"/>
    <cellStyle name="Header2 4 2 2 2" xfId="43269"/>
    <cellStyle name="Header2 4 2 3" xfId="23978"/>
    <cellStyle name="Header2 4 2 3 2" xfId="44850"/>
    <cellStyle name="Header2 4 2 4" xfId="23689"/>
    <cellStyle name="Header2 4 2 4 2" xfId="44561"/>
    <cellStyle name="Header2 4 2 5" xfId="15044"/>
    <cellStyle name="Header2 4 2 5 2" xfId="35920"/>
    <cellStyle name="Header2 4 2 6" xfId="27182"/>
    <cellStyle name="Header2 4 3" xfId="21780"/>
    <cellStyle name="Header2 4 3 2" xfId="42655"/>
    <cellStyle name="Header2 4 4" xfId="23368"/>
    <cellStyle name="Header2 4 4 2" xfId="44240"/>
    <cellStyle name="Header2 4 5" xfId="22801"/>
    <cellStyle name="Header2 4 5 2" xfId="43676"/>
    <cellStyle name="Header2 4 6" xfId="13226"/>
    <cellStyle name="Header2 4 6 2" xfId="34102"/>
    <cellStyle name="Header2 4 7" xfId="25364"/>
    <cellStyle name="Header2 5" xfId="9937"/>
    <cellStyle name="Header2 5 2" xfId="22850"/>
    <cellStyle name="Header2 5 2 2" xfId="43725"/>
    <cellStyle name="Header2 5 3" xfId="31071"/>
    <cellStyle name="Header2 6" xfId="12187"/>
    <cellStyle name="Header2 6 2" xfId="33086"/>
    <cellStyle name="Header2 7" xfId="20874"/>
    <cellStyle name="Header2 7 2" xfId="41749"/>
    <cellStyle name="Header2 8" xfId="12108"/>
    <cellStyle name="Header2 8 2" xfId="33008"/>
    <cellStyle name="Header2 9" xfId="24170"/>
    <cellStyle name="Header2 9 2" xfId="45040"/>
    <cellStyle name="Heading 1" xfId="1100"/>
    <cellStyle name="Heading 2" xfId="1101"/>
    <cellStyle name="Heading 3" xfId="2683"/>
    <cellStyle name="Heading 4" xfId="2684"/>
    <cellStyle name="Heading1" xfId="1102"/>
    <cellStyle name="Heading2" xfId="1103"/>
    <cellStyle name="HEADINGS" xfId="1104"/>
    <cellStyle name="HEADINGS 2" xfId="9233"/>
    <cellStyle name="HEADINGS 2 2" xfId="24172"/>
    <cellStyle name="HEADINGS 2 2 2" xfId="45042"/>
    <cellStyle name="HEADINGSTOP" xfId="1105"/>
    <cellStyle name="Hyperlink" xfId="1106"/>
    <cellStyle name="Input" xfId="2685"/>
    <cellStyle name="Input [yellow]" xfId="1107"/>
    <cellStyle name="Input [yellow] 10" xfId="24303"/>
    <cellStyle name="Input [yellow] 2" xfId="2686"/>
    <cellStyle name="Input [yellow] 2 2" xfId="3331"/>
    <cellStyle name="Input [yellow] 2 2 2" xfId="5604"/>
    <cellStyle name="Input [yellow] 2 2 2 2" xfId="22312"/>
    <cellStyle name="Input [yellow] 2 2 2 2 2" xfId="43187"/>
    <cellStyle name="Input [yellow] 2 2 2 3" xfId="23349"/>
    <cellStyle name="Input [yellow] 2 2 2 3 2" xfId="44221"/>
    <cellStyle name="Input [yellow] 2 2 2 4" xfId="23755"/>
    <cellStyle name="Input [yellow] 2 2 2 4 2" xfId="44627"/>
    <cellStyle name="Input [yellow] 2 2 2 5" xfId="14613"/>
    <cellStyle name="Input [yellow] 2 2 2 5 2" xfId="35489"/>
    <cellStyle name="Input [yellow] 2 2 2 6" xfId="26751"/>
    <cellStyle name="Input [yellow] 2 2 3" xfId="21683"/>
    <cellStyle name="Input [yellow] 2 2 3 2" xfId="42558"/>
    <cellStyle name="Input [yellow] 2 2 4" xfId="22921"/>
    <cellStyle name="Input [yellow] 2 2 4 2" xfId="43795"/>
    <cellStyle name="Input [yellow] 2 2 5" xfId="22699"/>
    <cellStyle name="Input [yellow] 2 2 5 2" xfId="43574"/>
    <cellStyle name="Input [yellow] 2 2 6" xfId="12794"/>
    <cellStyle name="Input [yellow] 2 2 6 2" xfId="33671"/>
    <cellStyle name="Input [yellow] 2 2 7" xfId="24921"/>
    <cellStyle name="Input [yellow] 2 3" xfId="9286"/>
    <cellStyle name="Input [yellow] 2 3 2" xfId="23890"/>
    <cellStyle name="Input [yellow] 2 3 2 2" xfId="44762"/>
    <cellStyle name="Input [yellow] 2 3 3" xfId="23752"/>
    <cellStyle name="Input [yellow] 2 3 3 2" xfId="44624"/>
    <cellStyle name="Input [yellow] 2 3 4" xfId="18285"/>
    <cellStyle name="Input [yellow] 2 3 4 2" xfId="39161"/>
    <cellStyle name="Input [yellow] 2 3 5" xfId="30423"/>
    <cellStyle name="Input [yellow] 2 4" xfId="21447"/>
    <cellStyle name="Input [yellow] 2 4 2" xfId="42322"/>
    <cellStyle name="Input [yellow] 2 5" xfId="12213"/>
    <cellStyle name="Input [yellow] 2 5 2" xfId="33102"/>
    <cellStyle name="Input [yellow] 2 6" xfId="24317"/>
    <cellStyle name="Input [yellow] 3" xfId="3330"/>
    <cellStyle name="Input [yellow] 3 2" xfId="5603"/>
    <cellStyle name="Input [yellow] 3 2 2" xfId="22311"/>
    <cellStyle name="Input [yellow] 3 2 2 2" xfId="43186"/>
    <cellStyle name="Input [yellow] 3 2 3" xfId="22843"/>
    <cellStyle name="Input [yellow] 3 2 3 2" xfId="43718"/>
    <cellStyle name="Input [yellow] 3 2 4" xfId="23710"/>
    <cellStyle name="Input [yellow] 3 2 4 2" xfId="44582"/>
    <cellStyle name="Input [yellow] 3 2 5" xfId="14612"/>
    <cellStyle name="Input [yellow] 3 2 5 2" xfId="35488"/>
    <cellStyle name="Input [yellow] 3 2 6" xfId="26750"/>
    <cellStyle name="Input [yellow] 3 3" xfId="21682"/>
    <cellStyle name="Input [yellow] 3 3 2" xfId="42557"/>
    <cellStyle name="Input [yellow] 3 4" xfId="22671"/>
    <cellStyle name="Input [yellow] 3 4 2" xfId="43546"/>
    <cellStyle name="Input [yellow] 3 5" xfId="21722"/>
    <cellStyle name="Input [yellow] 3 5 2" xfId="42597"/>
    <cellStyle name="Input [yellow] 3 6" xfId="12793"/>
    <cellStyle name="Input [yellow] 3 6 2" xfId="33670"/>
    <cellStyle name="Input [yellow] 3 7" xfId="24920"/>
    <cellStyle name="Input [yellow] 4" xfId="9285"/>
    <cellStyle name="Input [yellow] 4 2" xfId="22204"/>
    <cellStyle name="Input [yellow] 4 2 2" xfId="43079"/>
    <cellStyle name="Input [yellow] 4 3" xfId="20841"/>
    <cellStyle name="Input [yellow] 4 3 2" xfId="41717"/>
    <cellStyle name="Input [yellow] 4 4" xfId="18284"/>
    <cellStyle name="Input [yellow] 4 4 2" xfId="39160"/>
    <cellStyle name="Input [yellow] 4 5" xfId="30422"/>
    <cellStyle name="Input [yellow] 5" xfId="12188"/>
    <cellStyle name="Input [yellow] 5 2" xfId="33087"/>
    <cellStyle name="Input [yellow] 6" xfId="21132"/>
    <cellStyle name="Input [yellow] 6 2" xfId="42007"/>
    <cellStyle name="Input [yellow] 7" xfId="12109"/>
    <cellStyle name="Input [yellow] 7 2" xfId="33009"/>
    <cellStyle name="Input [yellow] 8" xfId="24176"/>
    <cellStyle name="Input [yellow] 8 2" xfId="45046"/>
    <cellStyle name="Input [yellow] 9" xfId="24183"/>
    <cellStyle name="Input [yellow] 9 2" xfId="45051"/>
    <cellStyle name="Input 10" xfId="4275"/>
    <cellStyle name="Input 10 2" xfId="6159"/>
    <cellStyle name="Input 10 2 2" xfId="22464"/>
    <cellStyle name="Input 10 2 2 2" xfId="43339"/>
    <cellStyle name="Input 10 2 3" xfId="21190"/>
    <cellStyle name="Input 10 2 3 2" xfId="42065"/>
    <cellStyle name="Input 10 2 4" xfId="23692"/>
    <cellStyle name="Input 10 2 4 2" xfId="44564"/>
    <cellStyle name="Input 10 2 5" xfId="15168"/>
    <cellStyle name="Input 10 2 5 2" xfId="36044"/>
    <cellStyle name="Input 10 2 6" xfId="27306"/>
    <cellStyle name="Input 10 3" xfId="21911"/>
    <cellStyle name="Input 10 3 2" xfId="42786"/>
    <cellStyle name="Input 10 4" xfId="22112"/>
    <cellStyle name="Input 10 4 2" xfId="42987"/>
    <cellStyle name="Input 10 5" xfId="21619"/>
    <cellStyle name="Input 10 5 2" xfId="42494"/>
    <cellStyle name="Input 10 6" xfId="13350"/>
    <cellStyle name="Input 10 6 2" xfId="34226"/>
    <cellStyle name="Input 10 7" xfId="25488"/>
    <cellStyle name="Input 11" xfId="5169"/>
    <cellStyle name="Input 11 2" xfId="22230"/>
    <cellStyle name="Input 11 2 2" xfId="43105"/>
    <cellStyle name="Input 11 3" xfId="21053"/>
    <cellStyle name="Input 11 3 2" xfId="41928"/>
    <cellStyle name="Input 11 4" xfId="23764"/>
    <cellStyle name="Input 11 4 2" xfId="44636"/>
    <cellStyle name="Input 11 5" xfId="14178"/>
    <cellStyle name="Input 11 5 2" xfId="35054"/>
    <cellStyle name="Input 11 6" xfId="26316"/>
    <cellStyle name="Input 12" xfId="6971"/>
    <cellStyle name="Input 12 2" xfId="22729"/>
    <cellStyle name="Input 12 2 2" xfId="43604"/>
    <cellStyle name="Input 12 3" xfId="21075"/>
    <cellStyle name="Input 12 3 2" xfId="41950"/>
    <cellStyle name="Input 12 4" xfId="22368"/>
    <cellStyle name="Input 12 4 2" xfId="43243"/>
    <cellStyle name="Input 12 5" xfId="15979"/>
    <cellStyle name="Input 12 5 2" xfId="36855"/>
    <cellStyle name="Input 12 6" xfId="28117"/>
    <cellStyle name="Input 13" xfId="6970"/>
    <cellStyle name="Input 13 2" xfId="22728"/>
    <cellStyle name="Input 13 2 2" xfId="43603"/>
    <cellStyle name="Input 13 3" xfId="21288"/>
    <cellStyle name="Input 13 3 2" xfId="42163"/>
    <cellStyle name="Input 13 4" xfId="23917"/>
    <cellStyle name="Input 13 4 2" xfId="44789"/>
    <cellStyle name="Input 13 5" xfId="15978"/>
    <cellStyle name="Input 13 5 2" xfId="36854"/>
    <cellStyle name="Input 13 6" xfId="28116"/>
    <cellStyle name="Input 14" xfId="7616"/>
    <cellStyle name="Input 14 2" xfId="22834"/>
    <cellStyle name="Input 14 2 2" xfId="43709"/>
    <cellStyle name="Input 14 3" xfId="21342"/>
    <cellStyle name="Input 14 3 2" xfId="42217"/>
    <cellStyle name="Input 14 4" xfId="22866"/>
    <cellStyle name="Input 14 4 2" xfId="43740"/>
    <cellStyle name="Input 14 5" xfId="16622"/>
    <cellStyle name="Input 14 5 2" xfId="37498"/>
    <cellStyle name="Input 14 6" xfId="28760"/>
    <cellStyle name="Input 15" xfId="8265"/>
    <cellStyle name="Input 15 2" xfId="22954"/>
    <cellStyle name="Input 15 2 2" xfId="43827"/>
    <cellStyle name="Input 15 3" xfId="21343"/>
    <cellStyle name="Input 15 3 2" xfId="42218"/>
    <cellStyle name="Input 15 4" xfId="22366"/>
    <cellStyle name="Input 15 4 2" xfId="43241"/>
    <cellStyle name="Input 15 5" xfId="17270"/>
    <cellStyle name="Input 15 5 2" xfId="38146"/>
    <cellStyle name="Input 15 6" xfId="29408"/>
    <cellStyle name="Input 16" xfId="9284"/>
    <cellStyle name="Input 16 2" xfId="23301"/>
    <cellStyle name="Input 16 2 2" xfId="44173"/>
    <cellStyle name="Input 16 3" xfId="22715"/>
    <cellStyle name="Input 16 3 2" xfId="43590"/>
    <cellStyle name="Input 16 4" xfId="21014"/>
    <cellStyle name="Input 16 4 2" xfId="41889"/>
    <cellStyle name="Input 16 5" xfId="18283"/>
    <cellStyle name="Input 16 5 2" xfId="39159"/>
    <cellStyle name="Input 16 6" xfId="30421"/>
    <cellStyle name="Input 17" xfId="9277"/>
    <cellStyle name="Input 17 2" xfId="23300"/>
    <cellStyle name="Input 17 2 2" xfId="44172"/>
    <cellStyle name="Input 17 3" xfId="22640"/>
    <cellStyle name="Input 17 3 2" xfId="43515"/>
    <cellStyle name="Input 17 4" xfId="21333"/>
    <cellStyle name="Input 17 4 2" xfId="42208"/>
    <cellStyle name="Input 17 5" xfId="18276"/>
    <cellStyle name="Input 17 5 2" xfId="39152"/>
    <cellStyle name="Input 17 6" xfId="30414"/>
    <cellStyle name="Input 18" xfId="10162"/>
    <cellStyle name="Input 18 2" xfId="23447"/>
    <cellStyle name="Input 18 2 2" xfId="44319"/>
    <cellStyle name="Input 18 3" xfId="23402"/>
    <cellStyle name="Input 18 3 2" xfId="44274"/>
    <cellStyle name="Input 18 4" xfId="23162"/>
    <cellStyle name="Input 18 4 2" xfId="44035"/>
    <cellStyle name="Input 18 5" xfId="18933"/>
    <cellStyle name="Input 18 5 2" xfId="39809"/>
    <cellStyle name="Input 18 6" xfId="31073"/>
    <cellStyle name="Input 19" xfId="21446"/>
    <cellStyle name="Input 19 2" xfId="42321"/>
    <cellStyle name="Input 2" xfId="2687"/>
    <cellStyle name="Input 2 2" xfId="4277"/>
    <cellStyle name="Input 2 2 2" xfId="6160"/>
    <cellStyle name="Input 2 2 2 2" xfId="22465"/>
    <cellStyle name="Input 2 2 2 2 2" xfId="43340"/>
    <cellStyle name="Input 2 2 2 3" xfId="21025"/>
    <cellStyle name="Input 2 2 2 3 2" xfId="41900"/>
    <cellStyle name="Input 2 2 2 4" xfId="23389"/>
    <cellStyle name="Input 2 2 2 4 2" xfId="44261"/>
    <cellStyle name="Input 2 2 2 5" xfId="15169"/>
    <cellStyle name="Input 2 2 2 5 2" xfId="36045"/>
    <cellStyle name="Input 2 2 2 6" xfId="27307"/>
    <cellStyle name="Input 2 2 3" xfId="21912"/>
    <cellStyle name="Input 2 2 3 2" xfId="42787"/>
    <cellStyle name="Input 2 2 4" xfId="21307"/>
    <cellStyle name="Input 2 2 4 2" xfId="42182"/>
    <cellStyle name="Input 2 2 5" xfId="23401"/>
    <cellStyle name="Input 2 2 5 2" xfId="44273"/>
    <cellStyle name="Input 2 2 6" xfId="13351"/>
    <cellStyle name="Input 2 2 6 2" xfId="34227"/>
    <cellStyle name="Input 2 2 7" xfId="25489"/>
    <cellStyle name="Input 2 3" xfId="8266"/>
    <cellStyle name="Input 2 3 2" xfId="22955"/>
    <cellStyle name="Input 2 3 2 2" xfId="43828"/>
    <cellStyle name="Input 2 3 3" xfId="23309"/>
    <cellStyle name="Input 2 3 3 2" xfId="44181"/>
    <cellStyle name="Input 2 3 4" xfId="22802"/>
    <cellStyle name="Input 2 3 4 2" xfId="43677"/>
    <cellStyle name="Input 2 3 5" xfId="17271"/>
    <cellStyle name="Input 2 3 5 2" xfId="38147"/>
    <cellStyle name="Input 2 3 6" xfId="29409"/>
    <cellStyle name="Input 2 4" xfId="21448"/>
    <cellStyle name="Input 2 4 2" xfId="42323"/>
    <cellStyle name="Input 2 5" xfId="22371"/>
    <cellStyle name="Input 2 5 2" xfId="43246"/>
    <cellStyle name="Input 2 6" xfId="23856"/>
    <cellStyle name="Input 2 6 2" xfId="44728"/>
    <cellStyle name="Input 2 7" xfId="12214"/>
    <cellStyle name="Input 2 7 2" xfId="33103"/>
    <cellStyle name="Input 2 8" xfId="24318"/>
    <cellStyle name="Input 20" xfId="22718"/>
    <cellStyle name="Input 20 2" xfId="43593"/>
    <cellStyle name="Input 21" xfId="23647"/>
    <cellStyle name="Input 21 2" xfId="44519"/>
    <cellStyle name="Input 22" xfId="21738"/>
    <cellStyle name="Input 22 2" xfId="42613"/>
    <cellStyle name="Input 23" xfId="12212"/>
    <cellStyle name="Input 23 2" xfId="33101"/>
    <cellStyle name="Input 24" xfId="24316"/>
    <cellStyle name="Input 3" xfId="2688"/>
    <cellStyle name="Input 3 2" xfId="4278"/>
    <cellStyle name="Input 3 2 2" xfId="6161"/>
    <cellStyle name="Input 3 2 2 2" xfId="22466"/>
    <cellStyle name="Input 3 2 2 2 2" xfId="43341"/>
    <cellStyle name="Input 3 2 2 3" xfId="21091"/>
    <cellStyle name="Input 3 2 2 3 2" xfId="41966"/>
    <cellStyle name="Input 3 2 2 4" xfId="21616"/>
    <cellStyle name="Input 3 2 2 4 2" xfId="42491"/>
    <cellStyle name="Input 3 2 2 5" xfId="15170"/>
    <cellStyle name="Input 3 2 2 5 2" xfId="36046"/>
    <cellStyle name="Input 3 2 2 6" xfId="27308"/>
    <cellStyle name="Input 3 2 3" xfId="21913"/>
    <cellStyle name="Input 3 2 3 2" xfId="42788"/>
    <cellStyle name="Input 3 2 4" xfId="21395"/>
    <cellStyle name="Input 3 2 4 2" xfId="42270"/>
    <cellStyle name="Input 3 2 5" xfId="21244"/>
    <cellStyle name="Input 3 2 5 2" xfId="42119"/>
    <cellStyle name="Input 3 2 6" xfId="13352"/>
    <cellStyle name="Input 3 2 6 2" xfId="34228"/>
    <cellStyle name="Input 3 2 7" xfId="25490"/>
    <cellStyle name="Input 3 3" xfId="8267"/>
    <cellStyle name="Input 3 3 2" xfId="22956"/>
    <cellStyle name="Input 3 3 2 2" xfId="43829"/>
    <cellStyle name="Input 3 3 3" xfId="21702"/>
    <cellStyle name="Input 3 3 3 2" xfId="42577"/>
    <cellStyle name="Input 3 3 4" xfId="23959"/>
    <cellStyle name="Input 3 3 4 2" xfId="44831"/>
    <cellStyle name="Input 3 3 5" xfId="17272"/>
    <cellStyle name="Input 3 3 5 2" xfId="38148"/>
    <cellStyle name="Input 3 3 6" xfId="29410"/>
    <cellStyle name="Input 3 4" xfId="21449"/>
    <cellStyle name="Input 3 4 2" xfId="42324"/>
    <cellStyle name="Input 3 5" xfId="24035"/>
    <cellStyle name="Input 3 5 2" xfId="44907"/>
    <cellStyle name="Input 3 6" xfId="22724"/>
    <cellStyle name="Input 3 6 2" xfId="43599"/>
    <cellStyle name="Input 3 7" xfId="12215"/>
    <cellStyle name="Input 3 7 2" xfId="33104"/>
    <cellStyle name="Input 3 8" xfId="24319"/>
    <cellStyle name="Input 4" xfId="2689"/>
    <cellStyle name="Input 4 2" xfId="4279"/>
    <cellStyle name="Input 4 2 2" xfId="6162"/>
    <cellStyle name="Input 4 2 2 2" xfId="22467"/>
    <cellStyle name="Input 4 2 2 2 2" xfId="43342"/>
    <cellStyle name="Input 4 2 2 3" xfId="21850"/>
    <cellStyle name="Input 4 2 2 3 2" xfId="42725"/>
    <cellStyle name="Input 4 2 2 4" xfId="23376"/>
    <cellStyle name="Input 4 2 2 4 2" xfId="44248"/>
    <cellStyle name="Input 4 2 2 5" xfId="15171"/>
    <cellStyle name="Input 4 2 2 5 2" xfId="36047"/>
    <cellStyle name="Input 4 2 2 6" xfId="27309"/>
    <cellStyle name="Input 4 2 3" xfId="21914"/>
    <cellStyle name="Input 4 2 3 2" xfId="42789"/>
    <cellStyle name="Input 4 2 4" xfId="23735"/>
    <cellStyle name="Input 4 2 4 2" xfId="44607"/>
    <cellStyle name="Input 4 2 5" xfId="22710"/>
    <cellStyle name="Input 4 2 5 2" xfId="43585"/>
    <cellStyle name="Input 4 2 6" xfId="13353"/>
    <cellStyle name="Input 4 2 6 2" xfId="34229"/>
    <cellStyle name="Input 4 2 7" xfId="25491"/>
    <cellStyle name="Input 4 3" xfId="8268"/>
    <cellStyle name="Input 4 3 2" xfId="22957"/>
    <cellStyle name="Input 4 3 2 2" xfId="43830"/>
    <cellStyle name="Input 4 3 3" xfId="22822"/>
    <cellStyle name="Input 4 3 3 2" xfId="43697"/>
    <cellStyle name="Input 4 3 4" xfId="24123"/>
    <cellStyle name="Input 4 3 4 2" xfId="44994"/>
    <cellStyle name="Input 4 3 5" xfId="17273"/>
    <cellStyle name="Input 4 3 5 2" xfId="38149"/>
    <cellStyle name="Input 4 3 6" xfId="29411"/>
    <cellStyle name="Input 4 4" xfId="21450"/>
    <cellStyle name="Input 4 4 2" xfId="42325"/>
    <cellStyle name="Input 4 5" xfId="22288"/>
    <cellStyle name="Input 4 5 2" xfId="43163"/>
    <cellStyle name="Input 4 6" xfId="21415"/>
    <cellStyle name="Input 4 6 2" xfId="42290"/>
    <cellStyle name="Input 4 7" xfId="12216"/>
    <cellStyle name="Input 4 7 2" xfId="33105"/>
    <cellStyle name="Input 4 8" xfId="24320"/>
    <cellStyle name="Input 5" xfId="2690"/>
    <cellStyle name="Input 5 2" xfId="4280"/>
    <cellStyle name="Input 5 2 2" xfId="6163"/>
    <cellStyle name="Input 5 2 2 2" xfId="22468"/>
    <cellStyle name="Input 5 2 2 2 2" xfId="43343"/>
    <cellStyle name="Input 5 2 2 3" xfId="22670"/>
    <cellStyle name="Input 5 2 2 3 2" xfId="43545"/>
    <cellStyle name="Input 5 2 2 4" xfId="21894"/>
    <cellStyle name="Input 5 2 2 4 2" xfId="42769"/>
    <cellStyle name="Input 5 2 2 5" xfId="15172"/>
    <cellStyle name="Input 5 2 2 5 2" xfId="36048"/>
    <cellStyle name="Input 5 2 2 6" xfId="27310"/>
    <cellStyle name="Input 5 2 3" xfId="21915"/>
    <cellStyle name="Input 5 2 3 2" xfId="42790"/>
    <cellStyle name="Input 5 2 4" xfId="23635"/>
    <cellStyle name="Input 5 2 4 2" xfId="44507"/>
    <cellStyle name="Input 5 2 5" xfId="23909"/>
    <cellStyle name="Input 5 2 5 2" xfId="44781"/>
    <cellStyle name="Input 5 2 6" xfId="13354"/>
    <cellStyle name="Input 5 2 6 2" xfId="34230"/>
    <cellStyle name="Input 5 2 7" xfId="25492"/>
    <cellStyle name="Input 5 3" xfId="8269"/>
    <cellStyle name="Input 5 3 2" xfId="22958"/>
    <cellStyle name="Input 5 3 2 2" xfId="43831"/>
    <cellStyle name="Input 5 3 3" xfId="22934"/>
    <cellStyle name="Input 5 3 3 2" xfId="43808"/>
    <cellStyle name="Input 5 3 4" xfId="23416"/>
    <cellStyle name="Input 5 3 4 2" xfId="44288"/>
    <cellStyle name="Input 5 3 5" xfId="17274"/>
    <cellStyle name="Input 5 3 5 2" xfId="38150"/>
    <cellStyle name="Input 5 3 6" xfId="29412"/>
    <cellStyle name="Input 5 4" xfId="21451"/>
    <cellStyle name="Input 5 4 2" xfId="42326"/>
    <cellStyle name="Input 5 5" xfId="23998"/>
    <cellStyle name="Input 5 5 2" xfId="44870"/>
    <cellStyle name="Input 5 6" xfId="22268"/>
    <cellStyle name="Input 5 6 2" xfId="43143"/>
    <cellStyle name="Input 5 7" xfId="12217"/>
    <cellStyle name="Input 5 7 2" xfId="33106"/>
    <cellStyle name="Input 5 8" xfId="24321"/>
    <cellStyle name="Input 6" xfId="2691"/>
    <cellStyle name="Input 6 2" xfId="4281"/>
    <cellStyle name="Input 6 2 2" xfId="6164"/>
    <cellStyle name="Input 6 2 2 2" xfId="22469"/>
    <cellStyle name="Input 6 2 2 2 2" xfId="43344"/>
    <cellStyle name="Input 6 2 2 3" xfId="23405"/>
    <cellStyle name="Input 6 2 2 3 2" xfId="44277"/>
    <cellStyle name="Input 6 2 2 4" xfId="23341"/>
    <cellStyle name="Input 6 2 2 4 2" xfId="44213"/>
    <cellStyle name="Input 6 2 2 5" xfId="15173"/>
    <cellStyle name="Input 6 2 2 5 2" xfId="36049"/>
    <cellStyle name="Input 6 2 2 6" xfId="27311"/>
    <cellStyle name="Input 6 2 3" xfId="21916"/>
    <cellStyle name="Input 6 2 3 2" xfId="42791"/>
    <cellStyle name="Input 6 2 4" xfId="23167"/>
    <cellStyle name="Input 6 2 4 2" xfId="44040"/>
    <cellStyle name="Input 6 2 5" xfId="23189"/>
    <cellStyle name="Input 6 2 5 2" xfId="44062"/>
    <cellStyle name="Input 6 2 6" xfId="13355"/>
    <cellStyle name="Input 6 2 6 2" xfId="34231"/>
    <cellStyle name="Input 6 2 7" xfId="25493"/>
    <cellStyle name="Input 6 3" xfId="8270"/>
    <cellStyle name="Input 6 3 2" xfId="22959"/>
    <cellStyle name="Input 6 3 2 2" xfId="43832"/>
    <cellStyle name="Input 6 3 3" xfId="23925"/>
    <cellStyle name="Input 6 3 3 2" xfId="44797"/>
    <cellStyle name="Input 6 3 4" xfId="23700"/>
    <cellStyle name="Input 6 3 4 2" xfId="44572"/>
    <cellStyle name="Input 6 3 5" xfId="17275"/>
    <cellStyle name="Input 6 3 5 2" xfId="38151"/>
    <cellStyle name="Input 6 3 6" xfId="29413"/>
    <cellStyle name="Input 6 4" xfId="21452"/>
    <cellStyle name="Input 6 4 2" xfId="42327"/>
    <cellStyle name="Input 6 5" xfId="21203"/>
    <cellStyle name="Input 6 5 2" xfId="42078"/>
    <cellStyle name="Input 6 6" xfId="21665"/>
    <cellStyle name="Input 6 6 2" xfId="42540"/>
    <cellStyle name="Input 6 7" xfId="12218"/>
    <cellStyle name="Input 6 7 2" xfId="33107"/>
    <cellStyle name="Input 6 8" xfId="24322"/>
    <cellStyle name="Input 7" xfId="2692"/>
    <cellStyle name="Input 7 2" xfId="4282"/>
    <cellStyle name="Input 7 2 2" xfId="6165"/>
    <cellStyle name="Input 7 2 2 2" xfId="22470"/>
    <cellStyle name="Input 7 2 2 2 2" xfId="43345"/>
    <cellStyle name="Input 7 2 2 3" xfId="21727"/>
    <cellStyle name="Input 7 2 2 3 2" xfId="42602"/>
    <cellStyle name="Input 7 2 2 4" xfId="22437"/>
    <cellStyle name="Input 7 2 2 4 2" xfId="43312"/>
    <cellStyle name="Input 7 2 2 5" xfId="15174"/>
    <cellStyle name="Input 7 2 2 5 2" xfId="36050"/>
    <cellStyle name="Input 7 2 2 6" xfId="27312"/>
    <cellStyle name="Input 7 2 3" xfId="21917"/>
    <cellStyle name="Input 7 2 3 2" xfId="42792"/>
    <cellStyle name="Input 7 2 4" xfId="23639"/>
    <cellStyle name="Input 7 2 4 2" xfId="44511"/>
    <cellStyle name="Input 7 2 5" xfId="21901"/>
    <cellStyle name="Input 7 2 5 2" xfId="42776"/>
    <cellStyle name="Input 7 2 6" xfId="13356"/>
    <cellStyle name="Input 7 2 6 2" xfId="34232"/>
    <cellStyle name="Input 7 2 7" xfId="25494"/>
    <cellStyle name="Input 7 3" xfId="8271"/>
    <cellStyle name="Input 7 3 2" xfId="22960"/>
    <cellStyle name="Input 7 3 2 2" xfId="43833"/>
    <cellStyle name="Input 7 3 3" xfId="20977"/>
    <cellStyle name="Input 7 3 3 2" xfId="41852"/>
    <cellStyle name="Input 7 3 4" xfId="23771"/>
    <cellStyle name="Input 7 3 4 2" xfId="44643"/>
    <cellStyle name="Input 7 3 5" xfId="17276"/>
    <cellStyle name="Input 7 3 5 2" xfId="38152"/>
    <cellStyle name="Input 7 3 6" xfId="29414"/>
    <cellStyle name="Input 7 4" xfId="21453"/>
    <cellStyle name="Input 7 4 2" xfId="42328"/>
    <cellStyle name="Input 7 5" xfId="22933"/>
    <cellStyle name="Input 7 5 2" xfId="43807"/>
    <cellStyle name="Input 7 6" xfId="21019"/>
    <cellStyle name="Input 7 6 2" xfId="41894"/>
    <cellStyle name="Input 7 7" xfId="12219"/>
    <cellStyle name="Input 7 7 2" xfId="33108"/>
    <cellStyle name="Input 7 8" xfId="24323"/>
    <cellStyle name="Input 8" xfId="2693"/>
    <cellStyle name="Input 8 2" xfId="4283"/>
    <cellStyle name="Input 8 2 2" xfId="6166"/>
    <cellStyle name="Input 8 2 2 2" xfId="22471"/>
    <cellStyle name="Input 8 2 2 2 2" xfId="43346"/>
    <cellStyle name="Input 8 2 2 3" xfId="23250"/>
    <cellStyle name="Input 8 2 2 3 2" xfId="44123"/>
    <cellStyle name="Input 8 2 2 4" xfId="21855"/>
    <cellStyle name="Input 8 2 2 4 2" xfId="42730"/>
    <cellStyle name="Input 8 2 2 5" xfId="15175"/>
    <cellStyle name="Input 8 2 2 5 2" xfId="36051"/>
    <cellStyle name="Input 8 2 2 6" xfId="27313"/>
    <cellStyle name="Input 8 2 3" xfId="21918"/>
    <cellStyle name="Input 8 2 3 2" xfId="42793"/>
    <cellStyle name="Input 8 2 4" xfId="23675"/>
    <cellStyle name="Input 8 2 4 2" xfId="44547"/>
    <cellStyle name="Input 8 2 5" xfId="24020"/>
    <cellStyle name="Input 8 2 5 2" xfId="44892"/>
    <cellStyle name="Input 8 2 6" xfId="13357"/>
    <cellStyle name="Input 8 2 6 2" xfId="34233"/>
    <cellStyle name="Input 8 2 7" xfId="25495"/>
    <cellStyle name="Input 8 3" xfId="8272"/>
    <cellStyle name="Input 8 3 2" xfId="22961"/>
    <cellStyle name="Input 8 3 2 2" xfId="43834"/>
    <cellStyle name="Input 8 3 3" xfId="21768"/>
    <cellStyle name="Input 8 3 3 2" xfId="42643"/>
    <cellStyle name="Input 8 3 4" xfId="21099"/>
    <cellStyle name="Input 8 3 4 2" xfId="41974"/>
    <cellStyle name="Input 8 3 5" xfId="17277"/>
    <cellStyle name="Input 8 3 5 2" xfId="38153"/>
    <cellStyle name="Input 8 3 6" xfId="29415"/>
    <cellStyle name="Input 8 4" xfId="21454"/>
    <cellStyle name="Input 8 4 2" xfId="42329"/>
    <cellStyle name="Input 8 5" xfId="21326"/>
    <cellStyle name="Input 8 5 2" xfId="42201"/>
    <cellStyle name="Input 8 6" xfId="23388"/>
    <cellStyle name="Input 8 6 2" xfId="44260"/>
    <cellStyle name="Input 8 7" xfId="12220"/>
    <cellStyle name="Input 8 7 2" xfId="33109"/>
    <cellStyle name="Input 8 8" xfId="24324"/>
    <cellStyle name="Input 9" xfId="2694"/>
    <cellStyle name="Input 9 2" xfId="4284"/>
    <cellStyle name="Input 9 2 2" xfId="6167"/>
    <cellStyle name="Input 9 2 2 2" xfId="22472"/>
    <cellStyle name="Input 9 2 2 2 2" xfId="43347"/>
    <cellStyle name="Input 9 2 2 3" xfId="22771"/>
    <cellStyle name="Input 9 2 2 3 2" xfId="43646"/>
    <cellStyle name="Input 9 2 2 4" xfId="22857"/>
    <cellStyle name="Input 9 2 2 4 2" xfId="43732"/>
    <cellStyle name="Input 9 2 2 5" xfId="15176"/>
    <cellStyle name="Input 9 2 2 5 2" xfId="36052"/>
    <cellStyle name="Input 9 2 2 6" xfId="27314"/>
    <cellStyle name="Input 9 2 3" xfId="21919"/>
    <cellStyle name="Input 9 2 3 2" xfId="42794"/>
    <cellStyle name="Input 9 2 4" xfId="21647"/>
    <cellStyle name="Input 9 2 4 2" xfId="42522"/>
    <cellStyle name="Input 9 2 5" xfId="23935"/>
    <cellStyle name="Input 9 2 5 2" xfId="44807"/>
    <cellStyle name="Input 9 2 6" xfId="13358"/>
    <cellStyle name="Input 9 2 6 2" xfId="34234"/>
    <cellStyle name="Input 9 2 7" xfId="25496"/>
    <cellStyle name="Input 9 3" xfId="8273"/>
    <cellStyle name="Input 9 3 2" xfId="22962"/>
    <cellStyle name="Input 9 3 2 2" xfId="43835"/>
    <cellStyle name="Input 9 3 3" xfId="22884"/>
    <cellStyle name="Input 9 3 3 2" xfId="43758"/>
    <cellStyle name="Input 9 3 4" xfId="21033"/>
    <cellStyle name="Input 9 3 4 2" xfId="41908"/>
    <cellStyle name="Input 9 3 5" xfId="17278"/>
    <cellStyle name="Input 9 3 5 2" xfId="38154"/>
    <cellStyle name="Input 9 3 6" xfId="29416"/>
    <cellStyle name="Input 9 4" xfId="21455"/>
    <cellStyle name="Input 9 4 2" xfId="42330"/>
    <cellStyle name="Input 9 5" xfId="21413"/>
    <cellStyle name="Input 9 5 2" xfId="42288"/>
    <cellStyle name="Input 9 6" xfId="21434"/>
    <cellStyle name="Input 9 6 2" xfId="42309"/>
    <cellStyle name="Input 9 7" xfId="12221"/>
    <cellStyle name="Input 9 7 2" xfId="33110"/>
    <cellStyle name="Input 9 8" xfId="24325"/>
    <cellStyle name="Link Currency (0)" xfId="1108"/>
    <cellStyle name="Link Currency (2)" xfId="1109"/>
    <cellStyle name="Link Units (0)" xfId="1110"/>
    <cellStyle name="Link Units (1)" xfId="1111"/>
    <cellStyle name="Link Units (2)" xfId="1112"/>
    <cellStyle name="Linked Cell" xfId="2695"/>
    <cellStyle name="Miglia - Stile1" xfId="1113"/>
    <cellStyle name="Miglia - Stile2" xfId="1114"/>
    <cellStyle name="Miglia - Stile3" xfId="1115"/>
    <cellStyle name="Miglia - Stile4" xfId="1116"/>
    <cellStyle name="Miglia - Stile5" xfId="1117"/>
    <cellStyle name="Model" xfId="1118"/>
    <cellStyle name="Model 2" xfId="9208"/>
    <cellStyle name="Model 2 2" xfId="24171"/>
    <cellStyle name="Model 2 2 2" xfId="45041"/>
    <cellStyle name="Neutral" xfId="2696"/>
    <cellStyle name="no dec" xfId="1119"/>
    <cellStyle name="Normal - Stile6" xfId="1120"/>
    <cellStyle name="Normal - Stile7" xfId="1121"/>
    <cellStyle name="Normal - Stile8" xfId="1122"/>
    <cellStyle name="Normal - Style1" xfId="1123"/>
    <cellStyle name="Normal - Style1 2" xfId="4490"/>
    <cellStyle name="Normal - Style1 3" xfId="12189"/>
    <cellStyle name="Normal_ SG&amp;A Bridge " xfId="1124"/>
    <cellStyle name="Note" xfId="2697"/>
    <cellStyle name="Note 10" xfId="22109"/>
    <cellStyle name="Note 10 2" xfId="42984"/>
    <cellStyle name="Note 11" xfId="12222"/>
    <cellStyle name="Note 11 2" xfId="33111"/>
    <cellStyle name="Note 12" xfId="24326"/>
    <cellStyle name="Note 2" xfId="2698"/>
    <cellStyle name="Note 2 2" xfId="4301"/>
    <cellStyle name="Note 2 2 2" xfId="6169"/>
    <cellStyle name="Note 2 2 2 2" xfId="22474"/>
    <cellStyle name="Note 2 2 2 2 2" xfId="43349"/>
    <cellStyle name="Note 2 2 2 3" xfId="24017"/>
    <cellStyle name="Note 2 2 2 3 2" xfId="44889"/>
    <cellStyle name="Note 2 2 2 4" xfId="23693"/>
    <cellStyle name="Note 2 2 2 4 2" xfId="44565"/>
    <cellStyle name="Note 2 2 2 5" xfId="15178"/>
    <cellStyle name="Note 2 2 2 5 2" xfId="36054"/>
    <cellStyle name="Note 2 2 2 6" xfId="27316"/>
    <cellStyle name="Note 2 2 3" xfId="21928"/>
    <cellStyle name="Note 2 2 3 2" xfId="42803"/>
    <cellStyle name="Note 2 2 4" xfId="20852"/>
    <cellStyle name="Note 2 2 4 2" xfId="41728"/>
    <cellStyle name="Note 2 2 5" xfId="23188"/>
    <cellStyle name="Note 2 2 5 2" xfId="44061"/>
    <cellStyle name="Note 2 2 6" xfId="13360"/>
    <cellStyle name="Note 2 2 6 2" xfId="34236"/>
    <cellStyle name="Note 2 2 7" xfId="25498"/>
    <cellStyle name="Note 2 3" xfId="8275"/>
    <cellStyle name="Note 2 3 2" xfId="22964"/>
    <cellStyle name="Note 2 3 2 2" xfId="43837"/>
    <cellStyle name="Note 2 3 3" xfId="20973"/>
    <cellStyle name="Note 2 3 3 2" xfId="41848"/>
    <cellStyle name="Note 2 3 4" xfId="20957"/>
    <cellStyle name="Note 2 3 4 2" xfId="41832"/>
    <cellStyle name="Note 2 3 5" xfId="17280"/>
    <cellStyle name="Note 2 3 5 2" xfId="38156"/>
    <cellStyle name="Note 2 3 6" xfId="29418"/>
    <cellStyle name="Note 2 4" xfId="21457"/>
    <cellStyle name="Note 2 4 2" xfId="42332"/>
    <cellStyle name="Note 2 5" xfId="24115"/>
    <cellStyle name="Note 2 5 2" xfId="44986"/>
    <cellStyle name="Note 2 6" xfId="23734"/>
    <cellStyle name="Note 2 6 2" xfId="44606"/>
    <cellStyle name="Note 2 7" xfId="12223"/>
    <cellStyle name="Note 2 7 2" xfId="33112"/>
    <cellStyle name="Note 2 8" xfId="24327"/>
    <cellStyle name="Note 3" xfId="2699"/>
    <cellStyle name="Note 3 2" xfId="4302"/>
    <cellStyle name="Note 3 2 2" xfId="6170"/>
    <cellStyle name="Note 3 2 2 2" xfId="22475"/>
    <cellStyle name="Note 3 2 2 2 2" xfId="43350"/>
    <cellStyle name="Note 3 2 2 3" xfId="22655"/>
    <cellStyle name="Note 3 2 2 3 2" xfId="43530"/>
    <cellStyle name="Note 3 2 2 4" xfId="23428"/>
    <cellStyle name="Note 3 2 2 4 2" xfId="44300"/>
    <cellStyle name="Note 3 2 2 5" xfId="15179"/>
    <cellStyle name="Note 3 2 2 5 2" xfId="36055"/>
    <cellStyle name="Note 3 2 2 6" xfId="27317"/>
    <cellStyle name="Note 3 2 3" xfId="21929"/>
    <cellStyle name="Note 3 2 3 2" xfId="42804"/>
    <cellStyle name="Note 3 2 4" xfId="21005"/>
    <cellStyle name="Note 3 2 4 2" xfId="41880"/>
    <cellStyle name="Note 3 2 5" xfId="23660"/>
    <cellStyle name="Note 3 2 5 2" xfId="44532"/>
    <cellStyle name="Note 3 2 6" xfId="13361"/>
    <cellStyle name="Note 3 2 6 2" xfId="34237"/>
    <cellStyle name="Note 3 2 7" xfId="25499"/>
    <cellStyle name="Note 3 3" xfId="8276"/>
    <cellStyle name="Note 3 3 2" xfId="22965"/>
    <cellStyle name="Note 3 3 2 2" xfId="43838"/>
    <cellStyle name="Note 3 3 3" xfId="21117"/>
    <cellStyle name="Note 3 3 3 2" xfId="41992"/>
    <cellStyle name="Note 3 3 4" xfId="24007"/>
    <cellStyle name="Note 3 3 4 2" xfId="44879"/>
    <cellStyle name="Note 3 3 5" xfId="17281"/>
    <cellStyle name="Note 3 3 5 2" xfId="38157"/>
    <cellStyle name="Note 3 3 6" xfId="29419"/>
    <cellStyle name="Note 3 4" xfId="21458"/>
    <cellStyle name="Note 3 4 2" xfId="42333"/>
    <cellStyle name="Note 3 5" xfId="23951"/>
    <cellStyle name="Note 3 5 2" xfId="44823"/>
    <cellStyle name="Note 3 6" xfId="23894"/>
    <cellStyle name="Note 3 6 2" xfId="44766"/>
    <cellStyle name="Note 3 7" xfId="12224"/>
    <cellStyle name="Note 3 7 2" xfId="33113"/>
    <cellStyle name="Note 3 8" xfId="24328"/>
    <cellStyle name="Note 4" xfId="2700"/>
    <cellStyle name="Note 4 2" xfId="4303"/>
    <cellStyle name="Note 4 2 2" xfId="6171"/>
    <cellStyle name="Note 4 2 2 2" xfId="22476"/>
    <cellStyle name="Note 4 2 2 2 2" xfId="43351"/>
    <cellStyle name="Note 4 2 2 3" xfId="23976"/>
    <cellStyle name="Note 4 2 2 3 2" xfId="44848"/>
    <cellStyle name="Note 4 2 2 4" xfId="22211"/>
    <cellStyle name="Note 4 2 2 4 2" xfId="43086"/>
    <cellStyle name="Note 4 2 2 5" xfId="15180"/>
    <cellStyle name="Note 4 2 2 5 2" xfId="36056"/>
    <cellStyle name="Note 4 2 2 6" xfId="27318"/>
    <cellStyle name="Note 4 2 3" xfId="21930"/>
    <cellStyle name="Note 4 2 3 2" xfId="42805"/>
    <cellStyle name="Note 4 2 4" xfId="21370"/>
    <cellStyle name="Note 4 2 4 2" xfId="42245"/>
    <cellStyle name="Note 4 2 5" xfId="21131"/>
    <cellStyle name="Note 4 2 5 2" xfId="42006"/>
    <cellStyle name="Note 4 2 6" xfId="13362"/>
    <cellStyle name="Note 4 2 6 2" xfId="34238"/>
    <cellStyle name="Note 4 2 7" xfId="25500"/>
    <cellStyle name="Note 4 3" xfId="8277"/>
    <cellStyle name="Note 4 3 2" xfId="22966"/>
    <cellStyle name="Note 4 3 2 2" xfId="43839"/>
    <cellStyle name="Note 4 3 3" xfId="23308"/>
    <cellStyle name="Note 4 3 3 2" xfId="44180"/>
    <cellStyle name="Note 4 3 4" xfId="22113"/>
    <cellStyle name="Note 4 3 4 2" xfId="42988"/>
    <cellStyle name="Note 4 3 5" xfId="17282"/>
    <cellStyle name="Note 4 3 5 2" xfId="38158"/>
    <cellStyle name="Note 4 3 6" xfId="29420"/>
    <cellStyle name="Note 4 4" xfId="21459"/>
    <cellStyle name="Note 4 4 2" xfId="42334"/>
    <cellStyle name="Note 4 5" xfId="22638"/>
    <cellStyle name="Note 4 5 2" xfId="43513"/>
    <cellStyle name="Note 4 6" xfId="21820"/>
    <cellStyle name="Note 4 6 2" xfId="42695"/>
    <cellStyle name="Note 4 7" xfId="12225"/>
    <cellStyle name="Note 4 7 2" xfId="33114"/>
    <cellStyle name="Note 4 8" xfId="24329"/>
    <cellStyle name="Note 5" xfId="2701"/>
    <cellStyle name="Note 5 2" xfId="4304"/>
    <cellStyle name="Note 5 2 2" xfId="6172"/>
    <cellStyle name="Note 5 2 2 2" xfId="22477"/>
    <cellStyle name="Note 5 2 2 2 2" xfId="43352"/>
    <cellStyle name="Note 5 2 2 3" xfId="21215"/>
    <cellStyle name="Note 5 2 2 3 2" xfId="42090"/>
    <cellStyle name="Note 5 2 2 4" xfId="23812"/>
    <cellStyle name="Note 5 2 2 4 2" xfId="44684"/>
    <cellStyle name="Note 5 2 2 5" xfId="15181"/>
    <cellStyle name="Note 5 2 2 5 2" xfId="36057"/>
    <cellStyle name="Note 5 2 2 6" xfId="27319"/>
    <cellStyle name="Note 5 2 3" xfId="21931"/>
    <cellStyle name="Note 5 2 3 2" xfId="42806"/>
    <cellStyle name="Note 5 2 4" xfId="21586"/>
    <cellStyle name="Note 5 2 4 2" xfId="42461"/>
    <cellStyle name="Note 5 2 5" xfId="21827"/>
    <cellStyle name="Note 5 2 5 2" xfId="42702"/>
    <cellStyle name="Note 5 2 6" xfId="13363"/>
    <cellStyle name="Note 5 2 6 2" xfId="34239"/>
    <cellStyle name="Note 5 2 7" xfId="25501"/>
    <cellStyle name="Note 5 3" xfId="8278"/>
    <cellStyle name="Note 5 3 2" xfId="22967"/>
    <cellStyle name="Note 5 3 2 2" xfId="43840"/>
    <cellStyle name="Note 5 3 3" xfId="23713"/>
    <cellStyle name="Note 5 3 3 2" xfId="44585"/>
    <cellStyle name="Note 5 3 4" xfId="24043"/>
    <cellStyle name="Note 5 3 4 2" xfId="44915"/>
    <cellStyle name="Note 5 3 5" xfId="17283"/>
    <cellStyle name="Note 5 3 5 2" xfId="38159"/>
    <cellStyle name="Note 5 3 6" xfId="29421"/>
    <cellStyle name="Note 5 4" xfId="21460"/>
    <cellStyle name="Note 5 4 2" xfId="42335"/>
    <cellStyle name="Note 5 5" xfId="22774"/>
    <cellStyle name="Note 5 5 2" xfId="43649"/>
    <cellStyle name="Note 5 6" xfId="22290"/>
    <cellStyle name="Note 5 6 2" xfId="43165"/>
    <cellStyle name="Note 5 7" xfId="12226"/>
    <cellStyle name="Note 5 7 2" xfId="33115"/>
    <cellStyle name="Note 5 8" xfId="24330"/>
    <cellStyle name="Note 6" xfId="4300"/>
    <cellStyle name="Note 6 2" xfId="6168"/>
    <cellStyle name="Note 6 2 2" xfId="22473"/>
    <cellStyle name="Note 6 2 2 2" xfId="43348"/>
    <cellStyle name="Note 6 2 3" xfId="22653"/>
    <cellStyle name="Note 6 2 3 2" xfId="43528"/>
    <cellStyle name="Note 6 2 4" xfId="23284"/>
    <cellStyle name="Note 6 2 4 2" xfId="44157"/>
    <cellStyle name="Note 6 2 5" xfId="15177"/>
    <cellStyle name="Note 6 2 5 2" xfId="36053"/>
    <cellStyle name="Note 6 2 6" xfId="27315"/>
    <cellStyle name="Note 6 3" xfId="21927"/>
    <cellStyle name="Note 6 3 2" xfId="42802"/>
    <cellStyle name="Note 6 4" xfId="24066"/>
    <cellStyle name="Note 6 4 2" xfId="44938"/>
    <cellStyle name="Note 6 5" xfId="22269"/>
    <cellStyle name="Note 6 5 2" xfId="43144"/>
    <cellStyle name="Note 6 6" xfId="13359"/>
    <cellStyle name="Note 6 6 2" xfId="34235"/>
    <cellStyle name="Note 6 7" xfId="25497"/>
    <cellStyle name="Note 7" xfId="8274"/>
    <cellStyle name="Note 7 2" xfId="22963"/>
    <cellStyle name="Note 7 2 2" xfId="43836"/>
    <cellStyle name="Note 7 3" xfId="22711"/>
    <cellStyle name="Note 7 3 2" xfId="43586"/>
    <cellStyle name="Note 7 4" xfId="22156"/>
    <cellStyle name="Note 7 4 2" xfId="43031"/>
    <cellStyle name="Note 7 5" xfId="17279"/>
    <cellStyle name="Note 7 5 2" xfId="38155"/>
    <cellStyle name="Note 7 6" xfId="29417"/>
    <cellStyle name="Note 8" xfId="21456"/>
    <cellStyle name="Note 8 2" xfId="42331"/>
    <cellStyle name="Note 9" xfId="23420"/>
    <cellStyle name="Note 9 2" xfId="44292"/>
    <cellStyle name="Œ…?æ맖?e [0.00]_laroux" xfId="1125"/>
    <cellStyle name="Œ…?æ맖?e_laroux" xfId="1126"/>
    <cellStyle name="Output" xfId="2702"/>
    <cellStyle name="Output 10" xfId="24078"/>
    <cellStyle name="Output 10 2" xfId="44950"/>
    <cellStyle name="Output 11" xfId="23923"/>
    <cellStyle name="Output 11 2" xfId="44795"/>
    <cellStyle name="Output 12" xfId="12227"/>
    <cellStyle name="Output 12 2" xfId="33116"/>
    <cellStyle name="Output 13" xfId="24331"/>
    <cellStyle name="Output 2" xfId="2703"/>
    <cellStyle name="Output 2 2" xfId="4308"/>
    <cellStyle name="Output 2 2 2" xfId="6174"/>
    <cellStyle name="Output 2 2 2 2" xfId="22479"/>
    <cellStyle name="Output 2 2 2 2 2" xfId="43354"/>
    <cellStyle name="Output 2 2 2 3" xfId="23975"/>
    <cellStyle name="Output 2 2 2 3 2" xfId="44847"/>
    <cellStyle name="Output 2 2 2 4" xfId="21712"/>
    <cellStyle name="Output 2 2 2 4 2" xfId="42587"/>
    <cellStyle name="Output 2 2 2 5" xfId="15183"/>
    <cellStyle name="Output 2 2 2 5 2" xfId="36059"/>
    <cellStyle name="Output 2 2 2 6" xfId="27321"/>
    <cellStyle name="Output 2 2 3" xfId="21934"/>
    <cellStyle name="Output 2 2 3 2" xfId="42809"/>
    <cellStyle name="Output 2 2 4" xfId="21823"/>
    <cellStyle name="Output 2 2 4 2" xfId="42698"/>
    <cellStyle name="Output 2 2 5" xfId="21254"/>
    <cellStyle name="Output 2 2 5 2" xfId="42129"/>
    <cellStyle name="Output 2 2 6" xfId="13365"/>
    <cellStyle name="Output 2 2 6 2" xfId="34241"/>
    <cellStyle name="Output 2 2 7" xfId="25503"/>
    <cellStyle name="Output 2 3" xfId="8280"/>
    <cellStyle name="Output 2 3 2" xfId="22969"/>
    <cellStyle name="Output 2 3 2 2" xfId="43842"/>
    <cellStyle name="Output 2 3 3" xfId="20974"/>
    <cellStyle name="Output 2 3 3 2" xfId="41849"/>
    <cellStyle name="Output 2 3 4" xfId="22770"/>
    <cellStyle name="Output 2 3 4 2" xfId="43645"/>
    <cellStyle name="Output 2 3 5" xfId="17285"/>
    <cellStyle name="Output 2 3 5 2" xfId="38161"/>
    <cellStyle name="Output 2 3 6" xfId="29423"/>
    <cellStyle name="Output 2 4" xfId="10164"/>
    <cellStyle name="Output 2 4 2" xfId="23449"/>
    <cellStyle name="Output 2 4 2 2" xfId="44321"/>
    <cellStyle name="Output 2 4 3" xfId="22117"/>
    <cellStyle name="Output 2 4 3 2" xfId="42992"/>
    <cellStyle name="Output 2 4 4" xfId="23954"/>
    <cellStyle name="Output 2 4 4 2" xfId="44826"/>
    <cellStyle name="Output 2 4 5" xfId="18935"/>
    <cellStyle name="Output 2 4 5 2" xfId="39811"/>
    <cellStyle name="Output 2 4 6" xfId="31075"/>
    <cellStyle name="Output 2 5" xfId="21462"/>
    <cellStyle name="Output 2 5 2" xfId="42337"/>
    <cellStyle name="Output 2 6" xfId="20854"/>
    <cellStyle name="Output 2 6 2" xfId="41730"/>
    <cellStyle name="Output 2 7" xfId="22164"/>
    <cellStyle name="Output 2 7 2" xfId="43039"/>
    <cellStyle name="Output 2 8" xfId="12228"/>
    <cellStyle name="Output 2 8 2" xfId="33117"/>
    <cellStyle name="Output 2 9" xfId="24332"/>
    <cellStyle name="Output 3" xfId="2704"/>
    <cellStyle name="Output 3 2" xfId="4309"/>
    <cellStyle name="Output 3 2 2" xfId="6175"/>
    <cellStyle name="Output 3 2 2 2" xfId="22480"/>
    <cellStyle name="Output 3 2 2 2 2" xfId="43355"/>
    <cellStyle name="Output 3 2 2 3" xfId="20965"/>
    <cellStyle name="Output 3 2 2 3 2" xfId="41840"/>
    <cellStyle name="Output 3 2 2 4" xfId="23663"/>
    <cellStyle name="Output 3 2 2 4 2" xfId="44535"/>
    <cellStyle name="Output 3 2 2 5" xfId="15184"/>
    <cellStyle name="Output 3 2 2 5 2" xfId="36060"/>
    <cellStyle name="Output 3 2 2 6" xfId="27322"/>
    <cellStyle name="Output 3 2 3" xfId="21935"/>
    <cellStyle name="Output 3 2 3 2" xfId="42810"/>
    <cellStyle name="Output 3 2 4" xfId="22654"/>
    <cellStyle name="Output 3 2 4 2" xfId="43529"/>
    <cellStyle name="Output 3 2 5" xfId="21824"/>
    <cellStyle name="Output 3 2 5 2" xfId="42699"/>
    <cellStyle name="Output 3 2 6" xfId="13366"/>
    <cellStyle name="Output 3 2 6 2" xfId="34242"/>
    <cellStyle name="Output 3 2 7" xfId="25504"/>
    <cellStyle name="Output 3 3" xfId="8281"/>
    <cellStyle name="Output 3 3 2" xfId="22970"/>
    <cellStyle name="Output 3 3 2 2" xfId="43843"/>
    <cellStyle name="Output 3 3 3" xfId="21765"/>
    <cellStyle name="Output 3 3 3 2" xfId="42640"/>
    <cellStyle name="Output 3 3 4" xfId="21299"/>
    <cellStyle name="Output 3 3 4 2" xfId="42174"/>
    <cellStyle name="Output 3 3 5" xfId="17286"/>
    <cellStyle name="Output 3 3 5 2" xfId="38162"/>
    <cellStyle name="Output 3 3 6" xfId="29424"/>
    <cellStyle name="Output 3 4" xfId="10165"/>
    <cellStyle name="Output 3 4 2" xfId="23450"/>
    <cellStyle name="Output 3 4 2 2" xfId="44322"/>
    <cellStyle name="Output 3 4 3" xfId="22658"/>
    <cellStyle name="Output 3 4 3 2" xfId="43533"/>
    <cellStyle name="Output 3 4 4" xfId="24118"/>
    <cellStyle name="Output 3 4 4 2" xfId="44989"/>
    <cellStyle name="Output 3 4 5" xfId="18936"/>
    <cellStyle name="Output 3 4 5 2" xfId="39812"/>
    <cellStyle name="Output 3 4 6" xfId="31076"/>
    <cellStyle name="Output 3 5" xfId="21463"/>
    <cellStyle name="Output 3 5 2" xfId="42338"/>
    <cellStyle name="Output 3 6" xfId="21271"/>
    <cellStyle name="Output 3 6 2" xfId="42146"/>
    <cellStyle name="Output 3 7" xfId="23725"/>
    <cellStyle name="Output 3 7 2" xfId="44597"/>
    <cellStyle name="Output 3 8" xfId="12229"/>
    <cellStyle name="Output 3 8 2" xfId="33118"/>
    <cellStyle name="Output 3 9" xfId="24333"/>
    <cellStyle name="Output 4" xfId="2705"/>
    <cellStyle name="Output 4 2" xfId="4310"/>
    <cellStyle name="Output 4 2 2" xfId="6176"/>
    <cellStyle name="Output 4 2 2 2" xfId="22481"/>
    <cellStyle name="Output 4 2 2 2 2" xfId="43356"/>
    <cellStyle name="Output 4 2 2 3" xfId="21040"/>
    <cellStyle name="Output 4 2 2 3 2" xfId="41915"/>
    <cellStyle name="Output 4 2 2 4" xfId="22930"/>
    <cellStyle name="Output 4 2 2 4 2" xfId="43804"/>
    <cellStyle name="Output 4 2 2 5" xfId="15185"/>
    <cellStyle name="Output 4 2 2 5 2" xfId="36061"/>
    <cellStyle name="Output 4 2 2 6" xfId="27323"/>
    <cellStyle name="Output 4 2 3" xfId="21936"/>
    <cellStyle name="Output 4 2 3 2" xfId="42811"/>
    <cellStyle name="Output 4 2 4" xfId="20952"/>
    <cellStyle name="Output 4 2 4 2" xfId="41827"/>
    <cellStyle name="Output 4 2 5" xfId="22863"/>
    <cellStyle name="Output 4 2 5 2" xfId="43737"/>
    <cellStyle name="Output 4 2 6" xfId="13367"/>
    <cellStyle name="Output 4 2 6 2" xfId="34243"/>
    <cellStyle name="Output 4 2 7" xfId="25505"/>
    <cellStyle name="Output 4 3" xfId="8282"/>
    <cellStyle name="Output 4 3 2" xfId="22971"/>
    <cellStyle name="Output 4 3 2 2" xfId="43844"/>
    <cellStyle name="Output 4 3 3" xfId="21603"/>
    <cellStyle name="Output 4 3 3 2" xfId="42478"/>
    <cellStyle name="Output 4 3 4" xfId="21176"/>
    <cellStyle name="Output 4 3 4 2" xfId="42051"/>
    <cellStyle name="Output 4 3 5" xfId="17287"/>
    <cellStyle name="Output 4 3 5 2" xfId="38163"/>
    <cellStyle name="Output 4 3 6" xfId="29425"/>
    <cellStyle name="Output 4 4" xfId="10166"/>
    <cellStyle name="Output 4 4 2" xfId="23451"/>
    <cellStyle name="Output 4 4 2 2" xfId="44323"/>
    <cellStyle name="Output 4 4 3" xfId="23758"/>
    <cellStyle name="Output 4 4 3 2" xfId="44630"/>
    <cellStyle name="Output 4 4 4" xfId="21842"/>
    <cellStyle name="Output 4 4 4 2" xfId="42717"/>
    <cellStyle name="Output 4 4 5" xfId="18937"/>
    <cellStyle name="Output 4 4 5 2" xfId="39813"/>
    <cellStyle name="Output 4 4 6" xfId="31077"/>
    <cellStyle name="Output 4 5" xfId="21464"/>
    <cellStyle name="Output 4 5 2" xfId="42339"/>
    <cellStyle name="Output 4 6" xfId="21366"/>
    <cellStyle name="Output 4 6 2" xfId="42241"/>
    <cellStyle name="Output 4 7" xfId="22293"/>
    <cellStyle name="Output 4 7 2" xfId="43168"/>
    <cellStyle name="Output 4 8" xfId="12230"/>
    <cellStyle name="Output 4 8 2" xfId="33119"/>
    <cellStyle name="Output 4 9" xfId="24334"/>
    <cellStyle name="Output 5" xfId="2706"/>
    <cellStyle name="Output 5 2" xfId="4311"/>
    <cellStyle name="Output 5 2 2" xfId="6177"/>
    <cellStyle name="Output 5 2 2 2" xfId="22482"/>
    <cellStyle name="Output 5 2 2 2 2" xfId="43357"/>
    <cellStyle name="Output 5 2 2 3" xfId="21107"/>
    <cellStyle name="Output 5 2 2 3 2" xfId="41982"/>
    <cellStyle name="Output 5 2 2 4" xfId="21651"/>
    <cellStyle name="Output 5 2 2 4 2" xfId="42526"/>
    <cellStyle name="Output 5 2 2 5" xfId="15186"/>
    <cellStyle name="Output 5 2 2 5 2" xfId="36062"/>
    <cellStyle name="Output 5 2 2 6" xfId="27324"/>
    <cellStyle name="Output 5 2 3" xfId="21937"/>
    <cellStyle name="Output 5 2 3 2" xfId="42812"/>
    <cellStyle name="Output 5 2 4" xfId="21308"/>
    <cellStyle name="Output 5 2 4 2" xfId="42183"/>
    <cellStyle name="Output 5 2 5" xfId="23266"/>
    <cellStyle name="Output 5 2 5 2" xfId="44139"/>
    <cellStyle name="Output 5 2 6" xfId="13368"/>
    <cellStyle name="Output 5 2 6 2" xfId="34244"/>
    <cellStyle name="Output 5 2 7" xfId="25506"/>
    <cellStyle name="Output 5 3" xfId="8283"/>
    <cellStyle name="Output 5 3 2" xfId="22972"/>
    <cellStyle name="Output 5 3 2 2" xfId="43845"/>
    <cellStyle name="Output 5 3 3" xfId="23874"/>
    <cellStyle name="Output 5 3 3 2" xfId="44746"/>
    <cellStyle name="Output 5 3 4" xfId="21701"/>
    <cellStyle name="Output 5 3 4 2" xfId="42576"/>
    <cellStyle name="Output 5 3 5" xfId="17288"/>
    <cellStyle name="Output 5 3 5 2" xfId="38164"/>
    <cellStyle name="Output 5 3 6" xfId="29426"/>
    <cellStyle name="Output 5 4" xfId="10167"/>
    <cellStyle name="Output 5 4 2" xfId="23452"/>
    <cellStyle name="Output 5 4 2 2" xfId="44324"/>
    <cellStyle name="Output 5 4 3" xfId="23918"/>
    <cellStyle name="Output 5 4 3 2" xfId="44790"/>
    <cellStyle name="Output 5 4 4" xfId="21725"/>
    <cellStyle name="Output 5 4 4 2" xfId="42600"/>
    <cellStyle name="Output 5 4 5" xfId="18938"/>
    <cellStyle name="Output 5 4 5 2" xfId="39814"/>
    <cellStyle name="Output 5 4 6" xfId="31078"/>
    <cellStyle name="Output 5 5" xfId="21465"/>
    <cellStyle name="Output 5 5 2" xfId="42340"/>
    <cellStyle name="Output 5 6" xfId="21143"/>
    <cellStyle name="Output 5 6 2" xfId="42018"/>
    <cellStyle name="Output 5 7" xfId="23717"/>
    <cellStyle name="Output 5 7 2" xfId="44589"/>
    <cellStyle name="Output 5 8" xfId="12231"/>
    <cellStyle name="Output 5 8 2" xfId="33120"/>
    <cellStyle name="Output 5 9" xfId="24335"/>
    <cellStyle name="Output 6" xfId="4307"/>
    <cellStyle name="Output 6 2" xfId="6173"/>
    <cellStyle name="Output 6 2 2" xfId="22478"/>
    <cellStyle name="Output 6 2 2 2" xfId="43353"/>
    <cellStyle name="Output 6 2 3" xfId="22377"/>
    <cellStyle name="Output 6 2 3 2" xfId="43252"/>
    <cellStyle name="Output 6 2 4" xfId="23775"/>
    <cellStyle name="Output 6 2 4 2" xfId="44647"/>
    <cellStyle name="Output 6 2 5" xfId="15182"/>
    <cellStyle name="Output 6 2 5 2" xfId="36058"/>
    <cellStyle name="Output 6 2 6" xfId="27320"/>
    <cellStyle name="Output 6 3" xfId="21933"/>
    <cellStyle name="Output 6 3 2" xfId="42808"/>
    <cellStyle name="Output 6 4" xfId="23240"/>
    <cellStyle name="Output 6 4 2" xfId="44113"/>
    <cellStyle name="Output 6 5" xfId="21122"/>
    <cellStyle name="Output 6 5 2" xfId="41997"/>
    <cellStyle name="Output 6 6" xfId="13364"/>
    <cellStyle name="Output 6 6 2" xfId="34240"/>
    <cellStyle name="Output 6 7" xfId="25502"/>
    <cellStyle name="Output 7" xfId="8279"/>
    <cellStyle name="Output 7 2" xfId="22968"/>
    <cellStyle name="Output 7 2 2" xfId="43841"/>
    <cellStyle name="Output 7 3" xfId="23259"/>
    <cellStyle name="Output 7 3 2" xfId="44132"/>
    <cellStyle name="Output 7 4" xfId="22652"/>
    <cellStyle name="Output 7 4 2" xfId="43527"/>
    <cellStyle name="Output 7 5" xfId="17284"/>
    <cellStyle name="Output 7 5 2" xfId="38160"/>
    <cellStyle name="Output 7 6" xfId="29422"/>
    <cellStyle name="Output 8" xfId="10163"/>
    <cellStyle name="Output 8 2" xfId="23448"/>
    <cellStyle name="Output 8 2 2" xfId="44320"/>
    <cellStyle name="Output 8 3" xfId="21626"/>
    <cellStyle name="Output 8 3 2" xfId="42501"/>
    <cellStyle name="Output 8 4" xfId="21153"/>
    <cellStyle name="Output 8 4 2" xfId="42028"/>
    <cellStyle name="Output 8 5" xfId="18934"/>
    <cellStyle name="Output 8 5 2" xfId="39810"/>
    <cellStyle name="Output 8 6" xfId="31074"/>
    <cellStyle name="Output 9" xfId="21461"/>
    <cellStyle name="Output 9 2" xfId="42336"/>
    <cellStyle name="per.style" xfId="1127"/>
    <cellStyle name="Percent" xfId="1128"/>
    <cellStyle name="Percent (0)" xfId="1129"/>
    <cellStyle name="Percent [0]" xfId="1130"/>
    <cellStyle name="Percent [00]" xfId="1131"/>
    <cellStyle name="Percent [2]" xfId="1132"/>
    <cellStyle name="Percent_#6 Temps &amp; Contractors" xfId="1133"/>
    <cellStyle name="PrePop Currency (0)" xfId="1134"/>
    <cellStyle name="PrePop Currency (2)" xfId="1135"/>
    <cellStyle name="PrePop Units (0)" xfId="1136"/>
    <cellStyle name="PrePop Units (1)" xfId="1137"/>
    <cellStyle name="PrePop Units (2)" xfId="1138"/>
    <cellStyle name="regstoresfromspecstores" xfId="1139"/>
    <cellStyle name="RevList" xfId="1140"/>
    <cellStyle name="SAPBEXaggData" xfId="1141"/>
    <cellStyle name="SAPBEXaggData 10" xfId="20989"/>
    <cellStyle name="SAPBEXaggData 10 2" xfId="41864"/>
    <cellStyle name="SAPBEXaggData 11" xfId="22386"/>
    <cellStyle name="SAPBEXaggData 11 2" xfId="43261"/>
    <cellStyle name="SAPBEXaggData 12" xfId="12110"/>
    <cellStyle name="SAPBEXaggData 12 2" xfId="33010"/>
    <cellStyle name="SAPBEXaggData 13" xfId="24169"/>
    <cellStyle name="SAPBEXaggData 13 2" xfId="45039"/>
    <cellStyle name="SAPBEXaggData 14" xfId="24248"/>
    <cellStyle name="SAPBEXaggData 14 2" xfId="45109"/>
    <cellStyle name="SAPBEXaggData 2" xfId="2707"/>
    <cellStyle name="SAPBEXaggData 2 10" xfId="24336"/>
    <cellStyle name="SAPBEXaggData 2 2" xfId="4319"/>
    <cellStyle name="SAPBEXaggData 2 2 2" xfId="6178"/>
    <cellStyle name="SAPBEXaggData 2 2 2 2" xfId="22483"/>
    <cellStyle name="SAPBEXaggData 2 2 2 2 2" xfId="43358"/>
    <cellStyle name="SAPBEXaggData 2 2 2 3" xfId="22091"/>
    <cellStyle name="SAPBEXaggData 2 2 2 3 2" xfId="42966"/>
    <cellStyle name="SAPBEXaggData 2 2 2 4" xfId="22684"/>
    <cellStyle name="SAPBEXaggData 2 2 2 4 2" xfId="43559"/>
    <cellStyle name="SAPBEXaggData 2 2 2 5" xfId="15187"/>
    <cellStyle name="SAPBEXaggData 2 2 2 5 2" xfId="36063"/>
    <cellStyle name="SAPBEXaggData 2 2 2 6" xfId="27325"/>
    <cellStyle name="SAPBEXaggData 2 2 3" xfId="21938"/>
    <cellStyle name="SAPBEXaggData 2 2 3 2" xfId="42813"/>
    <cellStyle name="SAPBEXaggData 2 2 4" xfId="22928"/>
    <cellStyle name="SAPBEXaggData 2 2 4 2" xfId="43802"/>
    <cellStyle name="SAPBEXaggData 2 2 5" xfId="22177"/>
    <cellStyle name="SAPBEXaggData 2 2 5 2" xfId="43052"/>
    <cellStyle name="SAPBEXaggData 2 2 6" xfId="13369"/>
    <cellStyle name="SAPBEXaggData 2 2 6 2" xfId="34245"/>
    <cellStyle name="SAPBEXaggData 2 2 7" xfId="25507"/>
    <cellStyle name="SAPBEXaggData 2 3" xfId="8285"/>
    <cellStyle name="SAPBEXaggData 2 3 2" xfId="22974"/>
    <cellStyle name="SAPBEXaggData 2 3 2 2" xfId="43847"/>
    <cellStyle name="SAPBEXaggData 2 3 3" xfId="20975"/>
    <cellStyle name="SAPBEXaggData 2 3 3 2" xfId="41850"/>
    <cellStyle name="SAPBEXaggData 2 3 4" xfId="22360"/>
    <cellStyle name="SAPBEXaggData 2 3 4 2" xfId="43235"/>
    <cellStyle name="SAPBEXaggData 2 3 5" xfId="17290"/>
    <cellStyle name="SAPBEXaggData 2 3 5 2" xfId="38166"/>
    <cellStyle name="SAPBEXaggData 2 3 6" xfId="29428"/>
    <cellStyle name="SAPBEXaggData 2 4" xfId="10169"/>
    <cellStyle name="SAPBEXaggData 2 4 2" xfId="23454"/>
    <cellStyle name="SAPBEXaggData 2 4 2 2" xfId="44326"/>
    <cellStyle name="SAPBEXaggData 2 4 3" xfId="22750"/>
    <cellStyle name="SAPBEXaggData 2 4 3 2" xfId="43625"/>
    <cellStyle name="SAPBEXaggData 2 4 4" xfId="21410"/>
    <cellStyle name="SAPBEXaggData 2 4 4 2" xfId="42285"/>
    <cellStyle name="SAPBEXaggData 2 4 5" xfId="18940"/>
    <cellStyle name="SAPBEXaggData 2 4 5 2" xfId="39816"/>
    <cellStyle name="SAPBEXaggData 2 4 6" xfId="31080"/>
    <cellStyle name="SAPBEXaggData 2 5" xfId="20876"/>
    <cellStyle name="SAPBEXaggData 2 5 2" xfId="41751"/>
    <cellStyle name="SAPBEXaggData 2 6" xfId="21686"/>
    <cellStyle name="SAPBEXaggData 2 6 2" xfId="42561"/>
    <cellStyle name="SAPBEXaggData 2 7" xfId="24010"/>
    <cellStyle name="SAPBEXaggData 2 7 2" xfId="44882"/>
    <cellStyle name="SAPBEXaggData 2 8" xfId="12111"/>
    <cellStyle name="SAPBEXaggData 2 8 2" xfId="33011"/>
    <cellStyle name="SAPBEXaggData 2 9" xfId="24184"/>
    <cellStyle name="SAPBEXaggData 2 9 2" xfId="45052"/>
    <cellStyle name="SAPBEXaggData 3" xfId="2708"/>
    <cellStyle name="SAPBEXaggData 3 2" xfId="4320"/>
    <cellStyle name="SAPBEXaggData 3 2 2" xfId="6179"/>
    <cellStyle name="SAPBEXaggData 3 2 2 2" xfId="22484"/>
    <cellStyle name="SAPBEXaggData 3 2 2 2 2" xfId="43359"/>
    <cellStyle name="SAPBEXaggData 3 2 2 3" xfId="21689"/>
    <cellStyle name="SAPBEXaggData 3 2 2 3 2" xfId="42564"/>
    <cellStyle name="SAPBEXaggData 3 2 2 4" xfId="22713"/>
    <cellStyle name="SAPBEXaggData 3 2 2 4 2" xfId="43588"/>
    <cellStyle name="SAPBEXaggData 3 2 2 5" xfId="15188"/>
    <cellStyle name="SAPBEXaggData 3 2 2 5 2" xfId="36064"/>
    <cellStyle name="SAPBEXaggData 3 2 2 6" xfId="27326"/>
    <cellStyle name="SAPBEXaggData 3 2 3" xfId="21939"/>
    <cellStyle name="SAPBEXaggData 3 2 3 2" xfId="42814"/>
    <cellStyle name="SAPBEXaggData 3 2 4" xfId="24025"/>
    <cellStyle name="SAPBEXaggData 3 2 4 2" xfId="44897"/>
    <cellStyle name="SAPBEXaggData 3 2 5" xfId="23761"/>
    <cellStyle name="SAPBEXaggData 3 2 5 2" xfId="44633"/>
    <cellStyle name="SAPBEXaggData 3 2 6" xfId="13370"/>
    <cellStyle name="SAPBEXaggData 3 2 6 2" xfId="34246"/>
    <cellStyle name="SAPBEXaggData 3 2 7" xfId="25508"/>
    <cellStyle name="SAPBEXaggData 3 3" xfId="8286"/>
    <cellStyle name="SAPBEXaggData 3 3 2" xfId="22975"/>
    <cellStyle name="SAPBEXaggData 3 3 2 2" xfId="43848"/>
    <cellStyle name="SAPBEXaggData 3 3 3" xfId="21893"/>
    <cellStyle name="SAPBEXaggData 3 3 3 2" xfId="42768"/>
    <cellStyle name="SAPBEXaggData 3 3 4" xfId="21734"/>
    <cellStyle name="SAPBEXaggData 3 3 4 2" xfId="42609"/>
    <cellStyle name="SAPBEXaggData 3 3 5" xfId="17291"/>
    <cellStyle name="SAPBEXaggData 3 3 5 2" xfId="38167"/>
    <cellStyle name="SAPBEXaggData 3 3 6" xfId="29429"/>
    <cellStyle name="SAPBEXaggData 3 4" xfId="10170"/>
    <cellStyle name="SAPBEXaggData 3 4 2" xfId="23455"/>
    <cellStyle name="SAPBEXaggData 3 4 2 2" xfId="44327"/>
    <cellStyle name="SAPBEXaggData 3 4 3" xfId="22860"/>
    <cellStyle name="SAPBEXaggData 3 4 3 2" xfId="43734"/>
    <cellStyle name="SAPBEXaggData 3 4 4" xfId="21323"/>
    <cellStyle name="SAPBEXaggData 3 4 4 2" xfId="42198"/>
    <cellStyle name="SAPBEXaggData 3 4 5" xfId="18941"/>
    <cellStyle name="SAPBEXaggData 3 4 5 2" xfId="39817"/>
    <cellStyle name="SAPBEXaggData 3 4 6" xfId="31081"/>
    <cellStyle name="SAPBEXaggData 3 5" xfId="21467"/>
    <cellStyle name="SAPBEXaggData 3 5 2" xfId="42342"/>
    <cellStyle name="SAPBEXaggData 3 6" xfId="22845"/>
    <cellStyle name="SAPBEXaggData 3 6 2" xfId="43720"/>
    <cellStyle name="SAPBEXaggData 3 7" xfId="21377"/>
    <cellStyle name="SAPBEXaggData 3 7 2" xfId="42252"/>
    <cellStyle name="SAPBEXaggData 3 8" xfId="12232"/>
    <cellStyle name="SAPBEXaggData 3 8 2" xfId="33121"/>
    <cellStyle name="SAPBEXaggData 3 9" xfId="24337"/>
    <cellStyle name="SAPBEXaggData 4" xfId="2709"/>
    <cellStyle name="SAPBEXaggData 4 2" xfId="4321"/>
    <cellStyle name="SAPBEXaggData 4 2 2" xfId="6180"/>
    <cellStyle name="SAPBEXaggData 4 2 2 2" xfId="22485"/>
    <cellStyle name="SAPBEXaggData 4 2 2 2 2" xfId="43360"/>
    <cellStyle name="SAPBEXaggData 4 2 2 3" xfId="22438"/>
    <cellStyle name="SAPBEXaggData 4 2 2 3 2" xfId="43313"/>
    <cellStyle name="SAPBEXaggData 4 2 2 4" xfId="22363"/>
    <cellStyle name="SAPBEXaggData 4 2 2 4 2" xfId="43238"/>
    <cellStyle name="SAPBEXaggData 4 2 2 5" xfId="15189"/>
    <cellStyle name="SAPBEXaggData 4 2 2 5 2" xfId="36065"/>
    <cellStyle name="SAPBEXaggData 4 2 2 6" xfId="27327"/>
    <cellStyle name="SAPBEXaggData 4 2 3" xfId="21940"/>
    <cellStyle name="SAPBEXaggData 4 2 3 2" xfId="42815"/>
    <cellStyle name="SAPBEXaggData 4 2 4" xfId="22931"/>
    <cellStyle name="SAPBEXaggData 4 2 4 2" xfId="43805"/>
    <cellStyle name="SAPBEXaggData 4 2 5" xfId="21641"/>
    <cellStyle name="SAPBEXaggData 4 2 5 2" xfId="42516"/>
    <cellStyle name="SAPBEXaggData 4 2 6" xfId="13371"/>
    <cellStyle name="SAPBEXaggData 4 2 6 2" xfId="34247"/>
    <cellStyle name="SAPBEXaggData 4 2 7" xfId="25509"/>
    <cellStyle name="SAPBEXaggData 4 3" xfId="8287"/>
    <cellStyle name="SAPBEXaggData 4 3 2" xfId="22976"/>
    <cellStyle name="SAPBEXaggData 4 3 2 2" xfId="43849"/>
    <cellStyle name="SAPBEXaggData 4 3 3" xfId="23641"/>
    <cellStyle name="SAPBEXaggData 4 3 3 2" xfId="44513"/>
    <cellStyle name="SAPBEXaggData 4 3 4" xfId="23193"/>
    <cellStyle name="SAPBEXaggData 4 3 4 2" xfId="44066"/>
    <cellStyle name="SAPBEXaggData 4 3 5" xfId="17292"/>
    <cellStyle name="SAPBEXaggData 4 3 5 2" xfId="38168"/>
    <cellStyle name="SAPBEXaggData 4 3 6" xfId="29430"/>
    <cellStyle name="SAPBEXaggData 4 4" xfId="10171"/>
    <cellStyle name="SAPBEXaggData 4 4 2" xfId="23456"/>
    <cellStyle name="SAPBEXaggData 4 4 2 2" xfId="44328"/>
    <cellStyle name="SAPBEXaggData 4 4 3" xfId="23180"/>
    <cellStyle name="SAPBEXaggData 4 4 3 2" xfId="44053"/>
    <cellStyle name="SAPBEXaggData 4 4 4" xfId="23383"/>
    <cellStyle name="SAPBEXaggData 4 4 4 2" xfId="44255"/>
    <cellStyle name="SAPBEXaggData 4 4 5" xfId="18942"/>
    <cellStyle name="SAPBEXaggData 4 4 5 2" xfId="39818"/>
    <cellStyle name="SAPBEXaggData 4 4 6" xfId="31082"/>
    <cellStyle name="SAPBEXaggData 4 5" xfId="21468"/>
    <cellStyle name="SAPBEXaggData 4 5 2" xfId="42343"/>
    <cellStyle name="SAPBEXaggData 4 6" xfId="23195"/>
    <cellStyle name="SAPBEXaggData 4 6 2" xfId="44068"/>
    <cellStyle name="SAPBEXaggData 4 7" xfId="21217"/>
    <cellStyle name="SAPBEXaggData 4 7 2" xfId="42092"/>
    <cellStyle name="SAPBEXaggData 4 8" xfId="12233"/>
    <cellStyle name="SAPBEXaggData 4 8 2" xfId="33122"/>
    <cellStyle name="SAPBEXaggData 4 9" xfId="24338"/>
    <cellStyle name="SAPBEXaggData 5" xfId="2710"/>
    <cellStyle name="SAPBEXaggData 5 2" xfId="4322"/>
    <cellStyle name="SAPBEXaggData 5 2 2" xfId="6181"/>
    <cellStyle name="SAPBEXaggData 5 2 2 2" xfId="22486"/>
    <cellStyle name="SAPBEXaggData 5 2 2 2 2" xfId="43361"/>
    <cellStyle name="SAPBEXaggData 5 2 2 3" xfId="24097"/>
    <cellStyle name="SAPBEXaggData 5 2 2 3 2" xfId="44968"/>
    <cellStyle name="SAPBEXaggData 5 2 2 4" xfId="23814"/>
    <cellStyle name="SAPBEXaggData 5 2 2 4 2" xfId="44686"/>
    <cellStyle name="SAPBEXaggData 5 2 2 5" xfId="15190"/>
    <cellStyle name="SAPBEXaggData 5 2 2 5 2" xfId="36066"/>
    <cellStyle name="SAPBEXaggData 5 2 2 6" xfId="27328"/>
    <cellStyle name="SAPBEXaggData 5 2 3" xfId="21941"/>
    <cellStyle name="SAPBEXaggData 5 2 3 2" xfId="42816"/>
    <cellStyle name="SAPBEXaggData 5 2 4" xfId="23989"/>
    <cellStyle name="SAPBEXaggData 5 2 4 2" xfId="44861"/>
    <cellStyle name="SAPBEXaggData 5 2 5" xfId="21631"/>
    <cellStyle name="SAPBEXaggData 5 2 5 2" xfId="42506"/>
    <cellStyle name="SAPBEXaggData 5 2 6" xfId="13372"/>
    <cellStyle name="SAPBEXaggData 5 2 6 2" xfId="34248"/>
    <cellStyle name="SAPBEXaggData 5 2 7" xfId="25510"/>
    <cellStyle name="SAPBEXaggData 5 3" xfId="8288"/>
    <cellStyle name="SAPBEXaggData 5 3 2" xfId="22977"/>
    <cellStyle name="SAPBEXaggData 5 3 2 2" xfId="43850"/>
    <cellStyle name="SAPBEXaggData 5 3 3" xfId="22107"/>
    <cellStyle name="SAPBEXaggData 5 3 3 2" xfId="42982"/>
    <cellStyle name="SAPBEXaggData 5 3 4" xfId="21871"/>
    <cellStyle name="SAPBEXaggData 5 3 4 2" xfId="42746"/>
    <cellStyle name="SAPBEXaggData 5 3 5" xfId="17293"/>
    <cellStyle name="SAPBEXaggData 5 3 5 2" xfId="38169"/>
    <cellStyle name="SAPBEXaggData 5 3 6" xfId="29431"/>
    <cellStyle name="SAPBEXaggData 5 4" xfId="10172"/>
    <cellStyle name="SAPBEXaggData 5 4 2" xfId="23457"/>
    <cellStyle name="SAPBEXaggData 5 4 2 2" xfId="44329"/>
    <cellStyle name="SAPBEXaggData 5 4 3" xfId="23318"/>
    <cellStyle name="SAPBEXaggData 5 4 3 2" xfId="44190"/>
    <cellStyle name="SAPBEXaggData 5 4 4" xfId="22385"/>
    <cellStyle name="SAPBEXaggData 5 4 4 2" xfId="43260"/>
    <cellStyle name="SAPBEXaggData 5 4 5" xfId="18943"/>
    <cellStyle name="SAPBEXaggData 5 4 5 2" xfId="39819"/>
    <cellStyle name="SAPBEXaggData 5 4 6" xfId="31083"/>
    <cellStyle name="SAPBEXaggData 5 5" xfId="21469"/>
    <cellStyle name="SAPBEXaggData 5 5 2" xfId="42344"/>
    <cellStyle name="SAPBEXaggData 5 6" xfId="23871"/>
    <cellStyle name="SAPBEXaggData 5 6 2" xfId="44743"/>
    <cellStyle name="SAPBEXaggData 5 7" xfId="22322"/>
    <cellStyle name="SAPBEXaggData 5 7 2" xfId="43197"/>
    <cellStyle name="SAPBEXaggData 5 8" xfId="12234"/>
    <cellStyle name="SAPBEXaggData 5 8 2" xfId="33123"/>
    <cellStyle name="SAPBEXaggData 5 9" xfId="24339"/>
    <cellStyle name="SAPBEXaggData 6" xfId="3807"/>
    <cellStyle name="SAPBEXaggData 6 2" xfId="6036"/>
    <cellStyle name="SAPBEXaggData 6 2 2" xfId="22395"/>
    <cellStyle name="SAPBEXaggData 6 2 2 2" xfId="43270"/>
    <cellStyle name="SAPBEXaggData 6 2 3" xfId="21926"/>
    <cellStyle name="SAPBEXaggData 6 2 3 2" xfId="42801"/>
    <cellStyle name="SAPBEXaggData 6 2 4" xfId="23394"/>
    <cellStyle name="SAPBEXaggData 6 2 4 2" xfId="44266"/>
    <cellStyle name="SAPBEXaggData 6 2 5" xfId="15045"/>
    <cellStyle name="SAPBEXaggData 6 2 5 2" xfId="35921"/>
    <cellStyle name="SAPBEXaggData 6 2 6" xfId="27183"/>
    <cellStyle name="SAPBEXaggData 6 3" xfId="21781"/>
    <cellStyle name="SAPBEXaggData 6 3 2" xfId="42656"/>
    <cellStyle name="SAPBEXaggData 6 4" xfId="21613"/>
    <cellStyle name="SAPBEXaggData 6 4 2" xfId="42488"/>
    <cellStyle name="SAPBEXaggData 6 5" xfId="24059"/>
    <cellStyle name="SAPBEXaggData 6 5 2" xfId="44931"/>
    <cellStyle name="SAPBEXaggData 6 6" xfId="13227"/>
    <cellStyle name="SAPBEXaggData 6 6 2" xfId="34103"/>
    <cellStyle name="SAPBEXaggData 6 7" xfId="25365"/>
    <cellStyle name="SAPBEXaggData 7" xfId="8284"/>
    <cellStyle name="SAPBEXaggData 7 2" xfId="22973"/>
    <cellStyle name="SAPBEXaggData 7 2 2" xfId="43846"/>
    <cellStyle name="SAPBEXaggData 7 3" xfId="23386"/>
    <cellStyle name="SAPBEXaggData 7 3 2" xfId="44258"/>
    <cellStyle name="SAPBEXaggData 7 4" xfId="23439"/>
    <cellStyle name="SAPBEXaggData 7 4 2" xfId="44311"/>
    <cellStyle name="SAPBEXaggData 7 5" xfId="17289"/>
    <cellStyle name="SAPBEXaggData 7 5 2" xfId="38165"/>
    <cellStyle name="SAPBEXaggData 7 6" xfId="29427"/>
    <cellStyle name="SAPBEXaggData 8" xfId="10168"/>
    <cellStyle name="SAPBEXaggData 8 2" xfId="23453"/>
    <cellStyle name="SAPBEXaggData 8 2 2" xfId="44325"/>
    <cellStyle name="SAPBEXaggData 8 3" xfId="22257"/>
    <cellStyle name="SAPBEXaggData 8 3 2" xfId="43132"/>
    <cellStyle name="SAPBEXaggData 8 4" xfId="23412"/>
    <cellStyle name="SAPBEXaggData 8 4 2" xfId="44284"/>
    <cellStyle name="SAPBEXaggData 8 5" xfId="18939"/>
    <cellStyle name="SAPBEXaggData 8 5 2" xfId="39815"/>
    <cellStyle name="SAPBEXaggData 8 6" xfId="31079"/>
    <cellStyle name="SAPBEXaggData 9" xfId="20875"/>
    <cellStyle name="SAPBEXaggData 9 2" xfId="41750"/>
    <cellStyle name="SAPBEXaggDataEmph" xfId="1142"/>
    <cellStyle name="SAPBEXaggDataEmph 10" xfId="21295"/>
    <cellStyle name="SAPBEXaggDataEmph 10 2" xfId="42170"/>
    <cellStyle name="SAPBEXaggDataEmph 11" xfId="23179"/>
    <cellStyle name="SAPBEXaggDataEmph 11 2" xfId="44052"/>
    <cellStyle name="SAPBEXaggDataEmph 12" xfId="12112"/>
    <cellStyle name="SAPBEXaggDataEmph 12 2" xfId="33012"/>
    <cellStyle name="SAPBEXaggDataEmph 13" xfId="24168"/>
    <cellStyle name="SAPBEXaggDataEmph 13 2" xfId="45038"/>
    <cellStyle name="SAPBEXaggDataEmph 14" xfId="24249"/>
    <cellStyle name="SAPBEXaggDataEmph 14 2" xfId="45110"/>
    <cellStyle name="SAPBEXaggDataEmph 2" xfId="2711"/>
    <cellStyle name="SAPBEXaggDataEmph 2 10" xfId="24340"/>
    <cellStyle name="SAPBEXaggDataEmph 2 2" xfId="4324"/>
    <cellStyle name="SAPBEXaggDataEmph 2 2 2" xfId="6182"/>
    <cellStyle name="SAPBEXaggDataEmph 2 2 2 2" xfId="22487"/>
    <cellStyle name="SAPBEXaggDataEmph 2 2 2 2 2" xfId="43362"/>
    <cellStyle name="SAPBEXaggDataEmph 2 2 2 3" xfId="23932"/>
    <cellStyle name="SAPBEXaggDataEmph 2 2 2 3 2" xfId="44804"/>
    <cellStyle name="SAPBEXaggDataEmph 2 2 2 4" xfId="22210"/>
    <cellStyle name="SAPBEXaggDataEmph 2 2 2 4 2" xfId="43085"/>
    <cellStyle name="SAPBEXaggDataEmph 2 2 2 5" xfId="15191"/>
    <cellStyle name="SAPBEXaggDataEmph 2 2 2 5 2" xfId="36067"/>
    <cellStyle name="SAPBEXaggDataEmph 2 2 2 6" xfId="27329"/>
    <cellStyle name="SAPBEXaggDataEmph 2 2 3" xfId="21942"/>
    <cellStyle name="SAPBEXaggDataEmph 2 2 3 2" xfId="42817"/>
    <cellStyle name="SAPBEXaggDataEmph 2 2 4" xfId="21624"/>
    <cellStyle name="SAPBEXaggDataEmph 2 2 4 2" xfId="42499"/>
    <cellStyle name="SAPBEXaggDataEmph 2 2 5" xfId="24074"/>
    <cellStyle name="SAPBEXaggDataEmph 2 2 5 2" xfId="44946"/>
    <cellStyle name="SAPBEXaggDataEmph 2 2 6" xfId="13373"/>
    <cellStyle name="SAPBEXaggDataEmph 2 2 6 2" xfId="34249"/>
    <cellStyle name="SAPBEXaggDataEmph 2 2 7" xfId="25511"/>
    <cellStyle name="SAPBEXaggDataEmph 2 3" xfId="8290"/>
    <cellStyle name="SAPBEXaggDataEmph 2 3 2" xfId="22979"/>
    <cellStyle name="SAPBEXaggDataEmph 2 3 2 2" xfId="43852"/>
    <cellStyle name="SAPBEXaggDataEmph 2 3 3" xfId="20976"/>
    <cellStyle name="SAPBEXaggDataEmph 2 3 3 2" xfId="41851"/>
    <cellStyle name="SAPBEXaggDataEmph 2 3 4" xfId="21294"/>
    <cellStyle name="SAPBEXaggDataEmph 2 3 4 2" xfId="42169"/>
    <cellStyle name="SAPBEXaggDataEmph 2 3 5" xfId="17295"/>
    <cellStyle name="SAPBEXaggDataEmph 2 3 5 2" xfId="38171"/>
    <cellStyle name="SAPBEXaggDataEmph 2 3 6" xfId="29433"/>
    <cellStyle name="SAPBEXaggDataEmph 2 4" xfId="10174"/>
    <cellStyle name="SAPBEXaggDataEmph 2 4 2" xfId="23459"/>
    <cellStyle name="SAPBEXaggDataEmph 2 4 2 2" xfId="44331"/>
    <cellStyle name="SAPBEXaggDataEmph 2 4 3" xfId="23802"/>
    <cellStyle name="SAPBEXaggDataEmph 2 4 3 2" xfId="44674"/>
    <cellStyle name="SAPBEXaggDataEmph 2 4 4" xfId="23784"/>
    <cellStyle name="SAPBEXaggDataEmph 2 4 4 2" xfId="44656"/>
    <cellStyle name="SAPBEXaggDataEmph 2 4 5" xfId="18945"/>
    <cellStyle name="SAPBEXaggDataEmph 2 4 5 2" xfId="39821"/>
    <cellStyle name="SAPBEXaggDataEmph 2 4 6" xfId="31085"/>
    <cellStyle name="SAPBEXaggDataEmph 2 5" xfId="20878"/>
    <cellStyle name="SAPBEXaggDataEmph 2 5 2" xfId="41753"/>
    <cellStyle name="SAPBEXaggDataEmph 2 6" xfId="22199"/>
    <cellStyle name="SAPBEXaggDataEmph 2 6 2" xfId="43074"/>
    <cellStyle name="SAPBEXaggDataEmph 2 7" xfId="22855"/>
    <cellStyle name="SAPBEXaggDataEmph 2 7 2" xfId="43730"/>
    <cellStyle name="SAPBEXaggDataEmph 2 8" xfId="12113"/>
    <cellStyle name="SAPBEXaggDataEmph 2 8 2" xfId="33013"/>
    <cellStyle name="SAPBEXaggDataEmph 2 9" xfId="24185"/>
    <cellStyle name="SAPBEXaggDataEmph 2 9 2" xfId="45053"/>
    <cellStyle name="SAPBEXaggDataEmph 3" xfId="2712"/>
    <cellStyle name="SAPBEXaggDataEmph 3 2" xfId="4325"/>
    <cellStyle name="SAPBEXaggDataEmph 3 2 2" xfId="6183"/>
    <cellStyle name="SAPBEXaggDataEmph 3 2 2 2" xfId="22488"/>
    <cellStyle name="SAPBEXaggDataEmph 3 2 2 2 2" xfId="43363"/>
    <cellStyle name="SAPBEXaggDataEmph 3 2 2 3" xfId="22878"/>
    <cellStyle name="SAPBEXaggDataEmph 3 2 2 3 2" xfId="43752"/>
    <cellStyle name="SAPBEXaggDataEmph 3 2 2 4" xfId="20969"/>
    <cellStyle name="SAPBEXaggDataEmph 3 2 2 4 2" xfId="41844"/>
    <cellStyle name="SAPBEXaggDataEmph 3 2 2 5" xfId="15192"/>
    <cellStyle name="SAPBEXaggDataEmph 3 2 2 5 2" xfId="36068"/>
    <cellStyle name="SAPBEXaggDataEmph 3 2 2 6" xfId="27330"/>
    <cellStyle name="SAPBEXaggDataEmph 3 2 3" xfId="21943"/>
    <cellStyle name="SAPBEXaggDataEmph 3 2 3 2" xfId="42818"/>
    <cellStyle name="SAPBEXaggDataEmph 3 2 4" xfId="21334"/>
    <cellStyle name="SAPBEXaggDataEmph 3 2 4 2" xfId="42209"/>
    <cellStyle name="SAPBEXaggDataEmph 3 2 5" xfId="21135"/>
    <cellStyle name="SAPBEXaggDataEmph 3 2 5 2" xfId="42010"/>
    <cellStyle name="SAPBEXaggDataEmph 3 2 6" xfId="13374"/>
    <cellStyle name="SAPBEXaggDataEmph 3 2 6 2" xfId="34250"/>
    <cellStyle name="SAPBEXaggDataEmph 3 2 7" xfId="25512"/>
    <cellStyle name="SAPBEXaggDataEmph 3 3" xfId="8291"/>
    <cellStyle name="SAPBEXaggDataEmph 3 3 2" xfId="22980"/>
    <cellStyle name="SAPBEXaggDataEmph 3 3 2 2" xfId="43853"/>
    <cellStyle name="SAPBEXaggDataEmph 3 3 3" xfId="22218"/>
    <cellStyle name="SAPBEXaggDataEmph 3 3 3 2" xfId="43093"/>
    <cellStyle name="SAPBEXaggDataEmph 3 3 4" xfId="21609"/>
    <cellStyle name="SAPBEXaggDataEmph 3 3 4 2" xfId="42484"/>
    <cellStyle name="SAPBEXaggDataEmph 3 3 5" xfId="17296"/>
    <cellStyle name="SAPBEXaggDataEmph 3 3 5 2" xfId="38172"/>
    <cellStyle name="SAPBEXaggDataEmph 3 3 6" xfId="29434"/>
    <cellStyle name="SAPBEXaggDataEmph 3 4" xfId="10175"/>
    <cellStyle name="SAPBEXaggDataEmph 3 4 2" xfId="23460"/>
    <cellStyle name="SAPBEXaggDataEmph 3 4 2 2" xfId="44332"/>
    <cellStyle name="SAPBEXaggDataEmph 3 4 3" xfId="21627"/>
    <cellStyle name="SAPBEXaggDataEmph 3 4 3 2" xfId="42502"/>
    <cellStyle name="SAPBEXaggDataEmph 3 4 4" xfId="23955"/>
    <cellStyle name="SAPBEXaggDataEmph 3 4 4 2" xfId="44827"/>
    <cellStyle name="SAPBEXaggDataEmph 3 4 5" xfId="18946"/>
    <cellStyle name="SAPBEXaggDataEmph 3 4 5 2" xfId="39822"/>
    <cellStyle name="SAPBEXaggDataEmph 3 4 6" xfId="31086"/>
    <cellStyle name="SAPBEXaggDataEmph 3 5" xfId="21470"/>
    <cellStyle name="SAPBEXaggDataEmph 3 5 2" xfId="42345"/>
    <cellStyle name="SAPBEXaggDataEmph 3 6" xfId="21177"/>
    <cellStyle name="SAPBEXaggDataEmph 3 6 2" xfId="42052"/>
    <cellStyle name="SAPBEXaggDataEmph 3 7" xfId="22828"/>
    <cellStyle name="SAPBEXaggDataEmph 3 7 2" xfId="43703"/>
    <cellStyle name="SAPBEXaggDataEmph 3 8" xfId="12235"/>
    <cellStyle name="SAPBEXaggDataEmph 3 8 2" xfId="33124"/>
    <cellStyle name="SAPBEXaggDataEmph 3 9" xfId="24341"/>
    <cellStyle name="SAPBEXaggDataEmph 4" xfId="2713"/>
    <cellStyle name="SAPBEXaggDataEmph 4 2" xfId="4326"/>
    <cellStyle name="SAPBEXaggDataEmph 4 2 2" xfId="6184"/>
    <cellStyle name="SAPBEXaggDataEmph 4 2 2 2" xfId="22489"/>
    <cellStyle name="SAPBEXaggDataEmph 4 2 2 2 2" xfId="43364"/>
    <cellStyle name="SAPBEXaggDataEmph 4 2 2 3" xfId="22742"/>
    <cellStyle name="SAPBEXaggDataEmph 4 2 2 3 2" xfId="43617"/>
    <cellStyle name="SAPBEXaggDataEmph 4 2 2 4" xfId="23407"/>
    <cellStyle name="SAPBEXaggDataEmph 4 2 2 4 2" xfId="44279"/>
    <cellStyle name="SAPBEXaggDataEmph 4 2 2 5" xfId="15193"/>
    <cellStyle name="SAPBEXaggDataEmph 4 2 2 5 2" xfId="36069"/>
    <cellStyle name="SAPBEXaggDataEmph 4 2 2 6" xfId="27331"/>
    <cellStyle name="SAPBEXaggDataEmph 4 2 3" xfId="21944"/>
    <cellStyle name="SAPBEXaggDataEmph 4 2 3 2" xfId="42819"/>
    <cellStyle name="SAPBEXaggDataEmph 4 2 4" xfId="21419"/>
    <cellStyle name="SAPBEXaggDataEmph 4 2 4 2" xfId="42294"/>
    <cellStyle name="SAPBEXaggDataEmph 4 2 5" xfId="22279"/>
    <cellStyle name="SAPBEXaggDataEmph 4 2 5 2" xfId="43154"/>
    <cellStyle name="SAPBEXaggDataEmph 4 2 6" xfId="13375"/>
    <cellStyle name="SAPBEXaggDataEmph 4 2 6 2" xfId="34251"/>
    <cellStyle name="SAPBEXaggDataEmph 4 2 7" xfId="25513"/>
    <cellStyle name="SAPBEXaggDataEmph 4 3" xfId="8292"/>
    <cellStyle name="SAPBEXaggDataEmph 4 3 2" xfId="22981"/>
    <cellStyle name="SAPBEXaggDataEmph 4 3 2 2" xfId="43854"/>
    <cellStyle name="SAPBEXaggDataEmph 4 3 3" xfId="23780"/>
    <cellStyle name="SAPBEXaggDataEmph 4 3 3 2" xfId="44652"/>
    <cellStyle name="SAPBEXaggDataEmph 4 3 4" xfId="21173"/>
    <cellStyle name="SAPBEXaggDataEmph 4 3 4 2" xfId="42048"/>
    <cellStyle name="SAPBEXaggDataEmph 4 3 5" xfId="17297"/>
    <cellStyle name="SAPBEXaggDataEmph 4 3 5 2" xfId="38173"/>
    <cellStyle name="SAPBEXaggDataEmph 4 3 6" xfId="29435"/>
    <cellStyle name="SAPBEXaggDataEmph 4 4" xfId="10176"/>
    <cellStyle name="SAPBEXaggDataEmph 4 4 2" xfId="23461"/>
    <cellStyle name="SAPBEXaggDataEmph 4 4 2 2" xfId="44333"/>
    <cellStyle name="SAPBEXaggDataEmph 4 4 3" xfId="23656"/>
    <cellStyle name="SAPBEXaggDataEmph 4 4 3 2" xfId="44528"/>
    <cellStyle name="SAPBEXaggDataEmph 4 4 4" xfId="24119"/>
    <cellStyle name="SAPBEXaggDataEmph 4 4 4 2" xfId="44990"/>
    <cellStyle name="SAPBEXaggDataEmph 4 4 5" xfId="18947"/>
    <cellStyle name="SAPBEXaggDataEmph 4 4 5 2" xfId="39823"/>
    <cellStyle name="SAPBEXaggDataEmph 4 4 6" xfId="31087"/>
    <cellStyle name="SAPBEXaggDataEmph 4 5" xfId="21471"/>
    <cellStyle name="SAPBEXaggDataEmph 4 5 2" xfId="42346"/>
    <cellStyle name="SAPBEXaggDataEmph 4 6" xfId="21300"/>
    <cellStyle name="SAPBEXaggDataEmph 4 6 2" xfId="42175"/>
    <cellStyle name="SAPBEXaggDataEmph 4 7" xfId="21750"/>
    <cellStyle name="SAPBEXaggDataEmph 4 7 2" xfId="42625"/>
    <cellStyle name="SAPBEXaggDataEmph 4 8" xfId="12236"/>
    <cellStyle name="SAPBEXaggDataEmph 4 8 2" xfId="33125"/>
    <cellStyle name="SAPBEXaggDataEmph 4 9" xfId="24342"/>
    <cellStyle name="SAPBEXaggDataEmph 5" xfId="2714"/>
    <cellStyle name="SAPBEXaggDataEmph 5 2" xfId="4327"/>
    <cellStyle name="SAPBEXaggDataEmph 5 2 2" xfId="6185"/>
    <cellStyle name="SAPBEXaggDataEmph 5 2 2 2" xfId="22490"/>
    <cellStyle name="SAPBEXaggDataEmph 5 2 2 2 2" xfId="43365"/>
    <cellStyle name="SAPBEXaggDataEmph 5 2 2 3" xfId="22157"/>
    <cellStyle name="SAPBEXaggDataEmph 5 2 2 3 2" xfId="43032"/>
    <cellStyle name="SAPBEXaggDataEmph 5 2 2 4" xfId="23192"/>
    <cellStyle name="SAPBEXaggDataEmph 5 2 2 4 2" xfId="44065"/>
    <cellStyle name="SAPBEXaggDataEmph 5 2 2 5" xfId="15194"/>
    <cellStyle name="SAPBEXaggDataEmph 5 2 2 5 2" xfId="36070"/>
    <cellStyle name="SAPBEXaggDataEmph 5 2 2 6" xfId="27332"/>
    <cellStyle name="SAPBEXaggDataEmph 5 2 3" xfId="21945"/>
    <cellStyle name="SAPBEXaggDataEmph 5 2 3 2" xfId="42820"/>
    <cellStyle name="SAPBEXaggDataEmph 5 2 4" xfId="22795"/>
    <cellStyle name="SAPBEXaggDataEmph 5 2 4 2" xfId="43670"/>
    <cellStyle name="SAPBEXaggDataEmph 5 2 5" xfId="23294"/>
    <cellStyle name="SAPBEXaggDataEmph 5 2 5 2" xfId="44166"/>
    <cellStyle name="SAPBEXaggDataEmph 5 2 6" xfId="13376"/>
    <cellStyle name="SAPBEXaggDataEmph 5 2 6 2" xfId="34252"/>
    <cellStyle name="SAPBEXaggDataEmph 5 2 7" xfId="25514"/>
    <cellStyle name="SAPBEXaggDataEmph 5 3" xfId="8293"/>
    <cellStyle name="SAPBEXaggDataEmph 5 3 2" xfId="22982"/>
    <cellStyle name="SAPBEXaggDataEmph 5 3 2 2" xfId="43855"/>
    <cellStyle name="SAPBEXaggDataEmph 5 3 3" xfId="22650"/>
    <cellStyle name="SAPBEXaggDataEmph 5 3 3 2" xfId="43525"/>
    <cellStyle name="SAPBEXaggDataEmph 5 3 4" xfId="21743"/>
    <cellStyle name="SAPBEXaggDataEmph 5 3 4 2" xfId="42618"/>
    <cellStyle name="SAPBEXaggDataEmph 5 3 5" xfId="17298"/>
    <cellStyle name="SAPBEXaggDataEmph 5 3 5 2" xfId="38174"/>
    <cellStyle name="SAPBEXaggDataEmph 5 3 6" xfId="29436"/>
    <cellStyle name="SAPBEXaggDataEmph 5 4" xfId="10177"/>
    <cellStyle name="SAPBEXaggDataEmph 5 4 2" xfId="23462"/>
    <cellStyle name="SAPBEXaggDataEmph 5 4 2 2" xfId="44334"/>
    <cellStyle name="SAPBEXaggDataEmph 5 4 3" xfId="23731"/>
    <cellStyle name="SAPBEXaggDataEmph 5 4 3 2" xfId="44603"/>
    <cellStyle name="SAPBEXaggDataEmph 5 4 4" xfId="22330"/>
    <cellStyle name="SAPBEXaggDataEmph 5 4 4 2" xfId="43205"/>
    <cellStyle name="SAPBEXaggDataEmph 5 4 5" xfId="18948"/>
    <cellStyle name="SAPBEXaggDataEmph 5 4 5 2" xfId="39824"/>
    <cellStyle name="SAPBEXaggDataEmph 5 4 6" xfId="31088"/>
    <cellStyle name="SAPBEXaggDataEmph 5 5" xfId="21472"/>
    <cellStyle name="SAPBEXaggDataEmph 5 5 2" xfId="42347"/>
    <cellStyle name="SAPBEXaggDataEmph 5 6" xfId="21082"/>
    <cellStyle name="SAPBEXaggDataEmph 5 6 2" xfId="41957"/>
    <cellStyle name="SAPBEXaggDataEmph 5 7" xfId="22321"/>
    <cellStyle name="SAPBEXaggDataEmph 5 7 2" xfId="43196"/>
    <cellStyle name="SAPBEXaggDataEmph 5 8" xfId="12237"/>
    <cellStyle name="SAPBEXaggDataEmph 5 8 2" xfId="33126"/>
    <cellStyle name="SAPBEXaggDataEmph 5 9" xfId="24343"/>
    <cellStyle name="SAPBEXaggDataEmph 6" xfId="3808"/>
    <cellStyle name="SAPBEXaggDataEmph 6 2" xfId="6037"/>
    <cellStyle name="SAPBEXaggDataEmph 6 2 2" xfId="22396"/>
    <cellStyle name="SAPBEXaggDataEmph 6 2 2 2" xfId="43271"/>
    <cellStyle name="SAPBEXaggDataEmph 6 2 3" xfId="23797"/>
    <cellStyle name="SAPBEXaggDataEmph 6 2 3 2" xfId="44669"/>
    <cellStyle name="SAPBEXaggDataEmph 6 2 4" xfId="23307"/>
    <cellStyle name="SAPBEXaggDataEmph 6 2 4 2" xfId="44179"/>
    <cellStyle name="SAPBEXaggDataEmph 6 2 5" xfId="15046"/>
    <cellStyle name="SAPBEXaggDataEmph 6 2 5 2" xfId="35922"/>
    <cellStyle name="SAPBEXaggDataEmph 6 2 6" xfId="27184"/>
    <cellStyle name="SAPBEXaggDataEmph 6 3" xfId="21782"/>
    <cellStyle name="SAPBEXaggDataEmph 6 3 2" xfId="42657"/>
    <cellStyle name="SAPBEXaggDataEmph 6 4" xfId="22103"/>
    <cellStyle name="SAPBEXaggDataEmph 6 4 2" xfId="42978"/>
    <cellStyle name="SAPBEXaggDataEmph 6 5" xfId="21315"/>
    <cellStyle name="SAPBEXaggDataEmph 6 5 2" xfId="42190"/>
    <cellStyle name="SAPBEXaggDataEmph 6 6" xfId="13228"/>
    <cellStyle name="SAPBEXaggDataEmph 6 6 2" xfId="34104"/>
    <cellStyle name="SAPBEXaggDataEmph 6 7" xfId="25366"/>
    <cellStyle name="SAPBEXaggDataEmph 7" xfId="8289"/>
    <cellStyle name="SAPBEXaggDataEmph 7 2" xfId="22978"/>
    <cellStyle name="SAPBEXaggDataEmph 7 2 2" xfId="43851"/>
    <cellStyle name="SAPBEXaggDataEmph 7 3" xfId="23724"/>
    <cellStyle name="SAPBEXaggDataEmph 7 3 2" xfId="44596"/>
    <cellStyle name="SAPBEXaggDataEmph 7 4" xfId="21078"/>
    <cellStyle name="SAPBEXaggDataEmph 7 4 2" xfId="41953"/>
    <cellStyle name="SAPBEXaggDataEmph 7 5" xfId="17294"/>
    <cellStyle name="SAPBEXaggDataEmph 7 5 2" xfId="38170"/>
    <cellStyle name="SAPBEXaggDataEmph 7 6" xfId="29432"/>
    <cellStyle name="SAPBEXaggDataEmph 8" xfId="10173"/>
    <cellStyle name="SAPBEXaggDataEmph 8 2" xfId="23458"/>
    <cellStyle name="SAPBEXaggDataEmph 8 2 2" xfId="44330"/>
    <cellStyle name="SAPBEXaggDataEmph 8 3" xfId="23655"/>
    <cellStyle name="SAPBEXaggDataEmph 8 3 2" xfId="44527"/>
    <cellStyle name="SAPBEXaggDataEmph 8 4" xfId="22338"/>
    <cellStyle name="SAPBEXaggDataEmph 8 4 2" xfId="43213"/>
    <cellStyle name="SAPBEXaggDataEmph 8 5" xfId="18944"/>
    <cellStyle name="SAPBEXaggDataEmph 8 5 2" xfId="39820"/>
    <cellStyle name="SAPBEXaggDataEmph 8 6" xfId="31084"/>
    <cellStyle name="SAPBEXaggDataEmph 9" xfId="20877"/>
    <cellStyle name="SAPBEXaggDataEmph 9 2" xfId="41752"/>
    <cellStyle name="SAPBEXaggItem" xfId="1143"/>
    <cellStyle name="SAPBEXaggItem 10" xfId="21079"/>
    <cellStyle name="SAPBEXaggItem 10 2" xfId="41954"/>
    <cellStyle name="SAPBEXaggItem 11" xfId="22370"/>
    <cellStyle name="SAPBEXaggItem 11 2" xfId="43245"/>
    <cellStyle name="SAPBEXaggItem 12" xfId="12114"/>
    <cellStyle name="SAPBEXaggItem 12 2" xfId="33014"/>
    <cellStyle name="SAPBEXaggItem 13" xfId="24167"/>
    <cellStyle name="SAPBEXaggItem 13 2" xfId="45037"/>
    <cellStyle name="SAPBEXaggItem 14" xfId="24250"/>
    <cellStyle name="SAPBEXaggItem 14 2" xfId="45111"/>
    <cellStyle name="SAPBEXaggItem 2" xfId="2715"/>
    <cellStyle name="SAPBEXaggItem 2 10" xfId="24344"/>
    <cellStyle name="SAPBEXaggItem 2 2" xfId="4329"/>
    <cellStyle name="SAPBEXaggItem 2 2 2" xfId="6186"/>
    <cellStyle name="SAPBEXaggItem 2 2 2 2" xfId="22491"/>
    <cellStyle name="SAPBEXaggItem 2 2 2 2 2" xfId="43366"/>
    <cellStyle name="SAPBEXaggItem 2 2 2 3" xfId="24049"/>
    <cellStyle name="SAPBEXaggItem 2 2 2 3 2" xfId="44921"/>
    <cellStyle name="SAPBEXaggItem 2 2 2 4" xfId="23235"/>
    <cellStyle name="SAPBEXaggItem 2 2 2 4 2" xfId="44108"/>
    <cellStyle name="SAPBEXaggItem 2 2 2 5" xfId="15195"/>
    <cellStyle name="SAPBEXaggItem 2 2 2 5 2" xfId="36071"/>
    <cellStyle name="SAPBEXaggItem 2 2 2 6" xfId="27333"/>
    <cellStyle name="SAPBEXaggItem 2 2 3" xfId="21946"/>
    <cellStyle name="SAPBEXaggItem 2 2 3 2" xfId="42821"/>
    <cellStyle name="SAPBEXaggItem 2 2 4" xfId="23422"/>
    <cellStyle name="SAPBEXaggItem 2 2 4 2" xfId="44294"/>
    <cellStyle name="SAPBEXaggItem 2 2 5" xfId="23792"/>
    <cellStyle name="SAPBEXaggItem 2 2 5 2" xfId="44664"/>
    <cellStyle name="SAPBEXaggItem 2 2 6" xfId="13377"/>
    <cellStyle name="SAPBEXaggItem 2 2 6 2" xfId="34253"/>
    <cellStyle name="SAPBEXaggItem 2 2 7" xfId="25515"/>
    <cellStyle name="SAPBEXaggItem 2 3" xfId="8295"/>
    <cellStyle name="SAPBEXaggItem 2 3 2" xfId="22984"/>
    <cellStyle name="SAPBEXaggItem 2 3 2 2" xfId="43857"/>
    <cellStyle name="SAPBEXaggItem 2 3 3" xfId="22263"/>
    <cellStyle name="SAPBEXaggItem 2 3 3 2" xfId="43138"/>
    <cellStyle name="SAPBEXaggItem 2 3 4" xfId="23900"/>
    <cellStyle name="SAPBEXaggItem 2 3 4 2" xfId="44772"/>
    <cellStyle name="SAPBEXaggItem 2 3 5" xfId="17300"/>
    <cellStyle name="SAPBEXaggItem 2 3 5 2" xfId="38176"/>
    <cellStyle name="SAPBEXaggItem 2 3 6" xfId="29438"/>
    <cellStyle name="SAPBEXaggItem 2 4" xfId="10179"/>
    <cellStyle name="SAPBEXaggItem 2 4 2" xfId="23464"/>
    <cellStyle name="SAPBEXaggItem 2 4 2 2" xfId="44336"/>
    <cellStyle name="SAPBEXaggItem 2 4 3" xfId="22126"/>
    <cellStyle name="SAPBEXaggItem 2 4 3 2" xfId="43001"/>
    <cellStyle name="SAPBEXaggItem 2 4 4" xfId="21649"/>
    <cellStyle name="SAPBEXaggItem 2 4 4 2" xfId="42524"/>
    <cellStyle name="SAPBEXaggItem 2 4 5" xfId="18950"/>
    <cellStyle name="SAPBEXaggItem 2 4 5 2" xfId="39826"/>
    <cellStyle name="SAPBEXaggItem 2 4 6" xfId="31090"/>
    <cellStyle name="SAPBEXaggItem 2 5" xfId="20880"/>
    <cellStyle name="SAPBEXaggItem 2 5 2" xfId="41755"/>
    <cellStyle name="SAPBEXaggItem 2 6" xfId="21591"/>
    <cellStyle name="SAPBEXaggItem 2 6 2" xfId="42466"/>
    <cellStyle name="SAPBEXaggItem 2 7" xfId="22130"/>
    <cellStyle name="SAPBEXaggItem 2 7 2" xfId="43005"/>
    <cellStyle name="SAPBEXaggItem 2 8" xfId="12115"/>
    <cellStyle name="SAPBEXaggItem 2 8 2" xfId="33015"/>
    <cellStyle name="SAPBEXaggItem 2 9" xfId="24186"/>
    <cellStyle name="SAPBEXaggItem 2 9 2" xfId="45054"/>
    <cellStyle name="SAPBEXaggItem 3" xfId="2716"/>
    <cellStyle name="SAPBEXaggItem 3 2" xfId="4330"/>
    <cellStyle name="SAPBEXaggItem 3 2 2" xfId="6187"/>
    <cellStyle name="SAPBEXaggItem 3 2 2 2" xfId="22492"/>
    <cellStyle name="SAPBEXaggItem 3 2 2 2 2" xfId="43367"/>
    <cellStyle name="SAPBEXaggItem 3 2 2 3" xfId="20846"/>
    <cellStyle name="SAPBEXaggItem 3 2 2 3 2" xfId="41722"/>
    <cellStyle name="SAPBEXaggItem 3 2 2 4" xfId="21719"/>
    <cellStyle name="SAPBEXaggItem 3 2 2 4 2" xfId="42594"/>
    <cellStyle name="SAPBEXaggItem 3 2 2 5" xfId="15196"/>
    <cellStyle name="SAPBEXaggItem 3 2 2 5 2" xfId="36072"/>
    <cellStyle name="SAPBEXaggItem 3 2 2 6" xfId="27334"/>
    <cellStyle name="SAPBEXaggItem 3 2 3" xfId="21947"/>
    <cellStyle name="SAPBEXaggItem 3 2 3 2" xfId="42822"/>
    <cellStyle name="SAPBEXaggItem 3 2 4" xfId="24106"/>
    <cellStyle name="SAPBEXaggItem 3 2 4 2" xfId="44977"/>
    <cellStyle name="SAPBEXaggItem 3 2 5" xfId="22302"/>
    <cellStyle name="SAPBEXaggItem 3 2 5 2" xfId="43177"/>
    <cellStyle name="SAPBEXaggItem 3 2 6" xfId="13378"/>
    <cellStyle name="SAPBEXaggItem 3 2 6 2" xfId="34254"/>
    <cellStyle name="SAPBEXaggItem 3 2 7" xfId="25516"/>
    <cellStyle name="SAPBEXaggItem 3 3" xfId="8296"/>
    <cellStyle name="SAPBEXaggItem 3 3 2" xfId="22985"/>
    <cellStyle name="SAPBEXaggItem 3 3 2 2" xfId="43858"/>
    <cellStyle name="SAPBEXaggItem 3 3 3" xfId="21223"/>
    <cellStyle name="SAPBEXaggItem 3 3 3 2" xfId="42098"/>
    <cellStyle name="SAPBEXaggItem 3 3 4" xfId="23708"/>
    <cellStyle name="SAPBEXaggItem 3 3 4 2" xfId="44580"/>
    <cellStyle name="SAPBEXaggItem 3 3 5" xfId="17301"/>
    <cellStyle name="SAPBEXaggItem 3 3 5 2" xfId="38177"/>
    <cellStyle name="SAPBEXaggItem 3 3 6" xfId="29439"/>
    <cellStyle name="SAPBEXaggItem 3 4" xfId="10180"/>
    <cellStyle name="SAPBEXaggItem 3 4 2" xfId="23465"/>
    <cellStyle name="SAPBEXaggItem 3 4 2 2" xfId="44337"/>
    <cellStyle name="SAPBEXaggItem 3 4 3" xfId="22665"/>
    <cellStyle name="SAPBEXaggItem 3 4 3 2" xfId="43540"/>
    <cellStyle name="SAPBEXaggItem 3 4 4" xfId="22183"/>
    <cellStyle name="SAPBEXaggItem 3 4 4 2" xfId="43058"/>
    <cellStyle name="SAPBEXaggItem 3 4 5" xfId="18951"/>
    <cellStyle name="SAPBEXaggItem 3 4 5 2" xfId="39827"/>
    <cellStyle name="SAPBEXaggItem 3 4 6" xfId="31091"/>
    <cellStyle name="SAPBEXaggItem 3 5" xfId="21473"/>
    <cellStyle name="SAPBEXaggItem 3 5 2" xfId="42348"/>
    <cellStyle name="SAPBEXaggItem 3 6" xfId="23698"/>
    <cellStyle name="SAPBEXaggItem 3 6 2" xfId="44570"/>
    <cellStyle name="SAPBEXaggItem 3 7" xfId="21029"/>
    <cellStyle name="SAPBEXaggItem 3 7 2" xfId="41904"/>
    <cellStyle name="SAPBEXaggItem 3 8" xfId="12238"/>
    <cellStyle name="SAPBEXaggItem 3 8 2" xfId="33127"/>
    <cellStyle name="SAPBEXaggItem 3 9" xfId="24345"/>
    <cellStyle name="SAPBEXaggItem 4" xfId="2717"/>
    <cellStyle name="SAPBEXaggItem 4 2" xfId="4331"/>
    <cellStyle name="SAPBEXaggItem 4 2 2" xfId="6188"/>
    <cellStyle name="SAPBEXaggItem 4 2 2 2" xfId="22493"/>
    <cellStyle name="SAPBEXaggItem 4 2 2 2 2" xfId="43368"/>
    <cellStyle name="SAPBEXaggItem 4 2 2 3" xfId="21012"/>
    <cellStyle name="SAPBEXaggItem 4 2 2 3 2" xfId="41887"/>
    <cellStyle name="SAPBEXaggItem 4 2 2 4" xfId="22350"/>
    <cellStyle name="SAPBEXaggItem 4 2 2 4 2" xfId="43225"/>
    <cellStyle name="SAPBEXaggItem 4 2 2 5" xfId="15197"/>
    <cellStyle name="SAPBEXaggItem 4 2 2 5 2" xfId="36073"/>
    <cellStyle name="SAPBEXaggItem 4 2 2 6" xfId="27335"/>
    <cellStyle name="SAPBEXaggItem 4 2 3" xfId="21948"/>
    <cellStyle name="SAPBEXaggItem 4 2 3 2" xfId="42823"/>
    <cellStyle name="SAPBEXaggItem 4 2 4" xfId="23942"/>
    <cellStyle name="SAPBEXaggItem 4 2 4 2" xfId="44814"/>
    <cellStyle name="SAPBEXaggItem 4 2 5" xfId="22792"/>
    <cellStyle name="SAPBEXaggItem 4 2 5 2" xfId="43667"/>
    <cellStyle name="SAPBEXaggItem 4 2 6" xfId="13379"/>
    <cellStyle name="SAPBEXaggItem 4 2 6 2" xfId="34255"/>
    <cellStyle name="SAPBEXaggItem 4 2 7" xfId="25517"/>
    <cellStyle name="SAPBEXaggItem 4 3" xfId="8297"/>
    <cellStyle name="SAPBEXaggItem 4 3 2" xfId="22986"/>
    <cellStyle name="SAPBEXaggItem 4 3 2 2" xfId="43859"/>
    <cellStyle name="SAPBEXaggItem 4 3 3" xfId="22222"/>
    <cellStyle name="SAPBEXaggItem 4 3 3 2" xfId="43097"/>
    <cellStyle name="SAPBEXaggItem 4 3 4" xfId="23632"/>
    <cellStyle name="SAPBEXaggItem 4 3 4 2" xfId="44504"/>
    <cellStyle name="SAPBEXaggItem 4 3 5" xfId="17302"/>
    <cellStyle name="SAPBEXaggItem 4 3 5 2" xfId="38178"/>
    <cellStyle name="SAPBEXaggItem 4 3 6" xfId="29440"/>
    <cellStyle name="SAPBEXaggItem 4 4" xfId="10181"/>
    <cellStyle name="SAPBEXaggItem 4 4 2" xfId="23466"/>
    <cellStyle name="SAPBEXaggItem 4 4 2 2" xfId="44338"/>
    <cellStyle name="SAPBEXaggItem 4 4 3" xfId="23765"/>
    <cellStyle name="SAPBEXaggItem 4 4 3 2" xfId="44637"/>
    <cellStyle name="SAPBEXaggItem 4 4 4" xfId="23961"/>
    <cellStyle name="SAPBEXaggItem 4 4 4 2" xfId="44833"/>
    <cellStyle name="SAPBEXaggItem 4 4 5" xfId="18952"/>
    <cellStyle name="SAPBEXaggItem 4 4 5 2" xfId="39828"/>
    <cellStyle name="SAPBEXaggItem 4 4 6" xfId="31092"/>
    <cellStyle name="SAPBEXaggItem 4 5" xfId="21474"/>
    <cellStyle name="SAPBEXaggItem 4 5 2" xfId="42349"/>
    <cellStyle name="SAPBEXaggItem 4 6" xfId="22919"/>
    <cellStyle name="SAPBEXaggItem 4 6 2" xfId="43793"/>
    <cellStyle name="SAPBEXaggItem 4 7" xfId="23699"/>
    <cellStyle name="SAPBEXaggItem 4 7 2" xfId="44571"/>
    <cellStyle name="SAPBEXaggItem 4 8" xfId="12239"/>
    <cellStyle name="SAPBEXaggItem 4 8 2" xfId="33128"/>
    <cellStyle name="SAPBEXaggItem 4 9" xfId="24346"/>
    <cellStyle name="SAPBEXaggItem 5" xfId="2718"/>
    <cellStyle name="SAPBEXaggItem 5 2" xfId="4332"/>
    <cellStyle name="SAPBEXaggItem 5 2 2" xfId="6189"/>
    <cellStyle name="SAPBEXaggItem 5 2 2 2" xfId="22494"/>
    <cellStyle name="SAPBEXaggItem 5 2 2 2 2" xfId="43369"/>
    <cellStyle name="SAPBEXaggItem 5 2 2 3" xfId="21074"/>
    <cellStyle name="SAPBEXaggItem 5 2 2 3 2" xfId="41949"/>
    <cellStyle name="SAPBEXaggItem 5 2 2 4" xfId="22287"/>
    <cellStyle name="SAPBEXaggItem 5 2 2 4 2" xfId="43162"/>
    <cellStyle name="SAPBEXaggItem 5 2 2 5" xfId="15198"/>
    <cellStyle name="SAPBEXaggItem 5 2 2 5 2" xfId="36074"/>
    <cellStyle name="SAPBEXaggItem 5 2 2 6" xfId="27336"/>
    <cellStyle name="SAPBEXaggItem 5 2 3" xfId="21949"/>
    <cellStyle name="SAPBEXaggItem 5 2 3 2" xfId="42824"/>
    <cellStyle name="SAPBEXaggItem 5 2 4" xfId="22273"/>
    <cellStyle name="SAPBEXaggItem 5 2 4 2" xfId="43148"/>
    <cellStyle name="SAPBEXaggItem 5 2 5" xfId="21426"/>
    <cellStyle name="SAPBEXaggItem 5 2 5 2" xfId="42301"/>
    <cellStyle name="SAPBEXaggItem 5 2 6" xfId="13380"/>
    <cellStyle name="SAPBEXaggItem 5 2 6 2" xfId="34256"/>
    <cellStyle name="SAPBEXaggItem 5 2 7" xfId="25518"/>
    <cellStyle name="SAPBEXaggItem 5 3" xfId="8298"/>
    <cellStyle name="SAPBEXaggItem 5 3 2" xfId="22987"/>
    <cellStyle name="SAPBEXaggItem 5 3 2 2" xfId="43860"/>
    <cellStyle name="SAPBEXaggItem 5 3 3" xfId="23206"/>
    <cellStyle name="SAPBEXaggItem 5 3 3 2" xfId="44079"/>
    <cellStyle name="SAPBEXaggItem 5 3 4" xfId="21513"/>
    <cellStyle name="SAPBEXaggItem 5 3 4 2" xfId="42388"/>
    <cellStyle name="SAPBEXaggItem 5 3 5" xfId="17303"/>
    <cellStyle name="SAPBEXaggItem 5 3 5 2" xfId="38179"/>
    <cellStyle name="SAPBEXaggItem 5 3 6" xfId="29441"/>
    <cellStyle name="SAPBEXaggItem 5 4" xfId="10182"/>
    <cellStyle name="SAPBEXaggItem 5 4 2" xfId="23467"/>
    <cellStyle name="SAPBEXaggItem 5 4 2 2" xfId="44339"/>
    <cellStyle name="SAPBEXaggItem 5 4 3" xfId="23926"/>
    <cellStyle name="SAPBEXaggItem 5 4 3 2" xfId="44798"/>
    <cellStyle name="SAPBEXaggItem 5 4 4" xfId="24125"/>
    <cellStyle name="SAPBEXaggItem 5 4 4 2" xfId="44996"/>
    <cellStyle name="SAPBEXaggItem 5 4 5" xfId="18953"/>
    <cellStyle name="SAPBEXaggItem 5 4 5 2" xfId="39829"/>
    <cellStyle name="SAPBEXaggItem 5 4 6" xfId="31093"/>
    <cellStyle name="SAPBEXaggItem 5 5" xfId="21475"/>
    <cellStyle name="SAPBEXaggItem 5 5 2" xfId="42350"/>
    <cellStyle name="SAPBEXaggItem 5 6" xfId="23242"/>
    <cellStyle name="SAPBEXaggItem 5 6 2" xfId="44115"/>
    <cellStyle name="SAPBEXaggItem 5 7" xfId="21194"/>
    <cellStyle name="SAPBEXaggItem 5 7 2" xfId="42069"/>
    <cellStyle name="SAPBEXaggItem 5 8" xfId="12240"/>
    <cellStyle name="SAPBEXaggItem 5 8 2" xfId="33129"/>
    <cellStyle name="SAPBEXaggItem 5 9" xfId="24347"/>
    <cellStyle name="SAPBEXaggItem 6" xfId="3809"/>
    <cellStyle name="SAPBEXaggItem 6 2" xfId="6038"/>
    <cellStyle name="SAPBEXaggItem 6 2 2" xfId="22397"/>
    <cellStyle name="SAPBEXaggItem 6 2 2 2" xfId="43272"/>
    <cellStyle name="SAPBEXaggItem 6 2 3" xfId="21038"/>
    <cellStyle name="SAPBEXaggItem 6 2 3 2" xfId="41913"/>
    <cellStyle name="SAPBEXaggItem 6 2 4" xfId="22657"/>
    <cellStyle name="SAPBEXaggItem 6 2 4 2" xfId="43532"/>
    <cellStyle name="SAPBEXaggItem 6 2 5" xfId="15047"/>
    <cellStyle name="SAPBEXaggItem 6 2 5 2" xfId="35923"/>
    <cellStyle name="SAPBEXaggItem 6 2 6" xfId="27185"/>
    <cellStyle name="SAPBEXaggItem 6 3" xfId="21783"/>
    <cellStyle name="SAPBEXaggItem 6 3 2" xfId="42658"/>
    <cellStyle name="SAPBEXaggItem 6 4" xfId="21742"/>
    <cellStyle name="SAPBEXaggItem 6 4 2" xfId="42617"/>
    <cellStyle name="SAPBEXaggItem 6 5" xfId="23277"/>
    <cellStyle name="SAPBEXaggItem 6 5 2" xfId="44150"/>
    <cellStyle name="SAPBEXaggItem 6 6" xfId="13229"/>
    <cellStyle name="SAPBEXaggItem 6 6 2" xfId="34105"/>
    <cellStyle name="SAPBEXaggItem 6 7" xfId="25367"/>
    <cellStyle name="SAPBEXaggItem 7" xfId="8294"/>
    <cellStyle name="SAPBEXaggItem 7 2" xfId="22983"/>
    <cellStyle name="SAPBEXaggItem 7 2 2" xfId="43856"/>
    <cellStyle name="SAPBEXaggItem 7 3" xfId="23882"/>
    <cellStyle name="SAPBEXaggItem 7 3 2" xfId="44754"/>
    <cellStyle name="SAPBEXaggItem 7 4" xfId="23282"/>
    <cellStyle name="SAPBEXaggItem 7 4 2" xfId="44155"/>
    <cellStyle name="SAPBEXaggItem 7 5" xfId="17299"/>
    <cellStyle name="SAPBEXaggItem 7 5 2" xfId="38175"/>
    <cellStyle name="SAPBEXaggItem 7 6" xfId="29437"/>
    <cellStyle name="SAPBEXaggItem 8" xfId="10178"/>
    <cellStyle name="SAPBEXaggItem 8 2" xfId="23463"/>
    <cellStyle name="SAPBEXaggItem 8 2 2" xfId="44335"/>
    <cellStyle name="SAPBEXaggItem 8 3" xfId="23891"/>
    <cellStyle name="SAPBEXaggItem 8 3 2" xfId="44763"/>
    <cellStyle name="SAPBEXaggItem 8 4" xfId="24086"/>
    <cellStyle name="SAPBEXaggItem 8 4 2" xfId="44958"/>
    <cellStyle name="SAPBEXaggItem 8 5" xfId="18949"/>
    <cellStyle name="SAPBEXaggItem 8 5 2" xfId="39825"/>
    <cellStyle name="SAPBEXaggItem 8 6" xfId="31089"/>
    <cellStyle name="SAPBEXaggItem 9" xfId="20879"/>
    <cellStyle name="SAPBEXaggItem 9 2" xfId="41754"/>
    <cellStyle name="SAPBEXaggItemX" xfId="1144"/>
    <cellStyle name="SAPBEXaggItemX 10" xfId="21870"/>
    <cellStyle name="SAPBEXaggItemX 10 2" xfId="42745"/>
    <cellStyle name="SAPBEXaggItemX 11" xfId="23790"/>
    <cellStyle name="SAPBEXaggItemX 11 2" xfId="44662"/>
    <cellStyle name="SAPBEXaggItemX 12" xfId="12116"/>
    <cellStyle name="SAPBEXaggItemX 12 2" xfId="33016"/>
    <cellStyle name="SAPBEXaggItemX 13" xfId="24166"/>
    <cellStyle name="SAPBEXaggItemX 13 2" xfId="45036"/>
    <cellStyle name="SAPBEXaggItemX 14" xfId="24251"/>
    <cellStyle name="SAPBEXaggItemX 14 2" xfId="45112"/>
    <cellStyle name="SAPBEXaggItemX 2" xfId="2719"/>
    <cellStyle name="SAPBEXaggItemX 2 10" xfId="24348"/>
    <cellStyle name="SAPBEXaggItemX 2 2" xfId="4334"/>
    <cellStyle name="SAPBEXaggItemX 2 2 2" xfId="6190"/>
    <cellStyle name="SAPBEXaggItemX 2 2 2 2" xfId="22495"/>
    <cellStyle name="SAPBEXaggItemX 2 2 2 2 2" xfId="43370"/>
    <cellStyle name="SAPBEXaggItemX 2 2 2 3" xfId="23410"/>
    <cellStyle name="SAPBEXaggItemX 2 2 2 3 2" xfId="44282"/>
    <cellStyle name="SAPBEXaggItemX 2 2 2 4" xfId="21834"/>
    <cellStyle name="SAPBEXaggItemX 2 2 2 4 2" xfId="42709"/>
    <cellStyle name="SAPBEXaggItemX 2 2 2 5" xfId="15199"/>
    <cellStyle name="SAPBEXaggItemX 2 2 2 5 2" xfId="36075"/>
    <cellStyle name="SAPBEXaggItemX 2 2 2 6" xfId="27337"/>
    <cellStyle name="SAPBEXaggItemX 2 2 3" xfId="21950"/>
    <cellStyle name="SAPBEXaggItemX 2 2 3 2" xfId="42825"/>
    <cellStyle name="SAPBEXaggItemX 2 2 4" xfId="24065"/>
    <cellStyle name="SAPBEXaggItemX 2 2 4 2" xfId="44937"/>
    <cellStyle name="SAPBEXaggItemX 2 2 5" xfId="23929"/>
    <cellStyle name="SAPBEXaggItemX 2 2 5 2" xfId="44801"/>
    <cellStyle name="SAPBEXaggItemX 2 2 6" xfId="13381"/>
    <cellStyle name="SAPBEXaggItemX 2 2 6 2" xfId="34257"/>
    <cellStyle name="SAPBEXaggItemX 2 2 7" xfId="25519"/>
    <cellStyle name="SAPBEXaggItemX 2 3" xfId="8300"/>
    <cellStyle name="SAPBEXaggItemX 2 3 2" xfId="22989"/>
    <cellStyle name="SAPBEXaggItemX 2 3 2 2" xfId="43862"/>
    <cellStyle name="SAPBEXaggItemX 2 3 3" xfId="21219"/>
    <cellStyle name="SAPBEXaggItemX 2 3 3 2" xfId="42094"/>
    <cellStyle name="SAPBEXaggItemX 2 3 4" xfId="21266"/>
    <cellStyle name="SAPBEXaggItemX 2 3 4 2" xfId="42141"/>
    <cellStyle name="SAPBEXaggItemX 2 3 5" xfId="17305"/>
    <cellStyle name="SAPBEXaggItemX 2 3 5 2" xfId="38181"/>
    <cellStyle name="SAPBEXaggItemX 2 3 6" xfId="29443"/>
    <cellStyle name="SAPBEXaggItemX 2 4" xfId="10184"/>
    <cellStyle name="SAPBEXaggItemX 2 4 2" xfId="23469"/>
    <cellStyle name="SAPBEXaggItemX 2 4 2 2" xfId="44341"/>
    <cellStyle name="SAPBEXaggItemX 2 4 3" xfId="22757"/>
    <cellStyle name="SAPBEXaggItemX 2 4 3 2" xfId="43632"/>
    <cellStyle name="SAPBEXaggItemX 2 4 4" xfId="22911"/>
    <cellStyle name="SAPBEXaggItemX 2 4 4 2" xfId="43785"/>
    <cellStyle name="SAPBEXaggItemX 2 4 5" xfId="18955"/>
    <cellStyle name="SAPBEXaggItemX 2 4 5 2" xfId="39831"/>
    <cellStyle name="SAPBEXaggItemX 2 4 6" xfId="31095"/>
    <cellStyle name="SAPBEXaggItemX 2 5" xfId="20882"/>
    <cellStyle name="SAPBEXaggItemX 2 5 2" xfId="41757"/>
    <cellStyle name="SAPBEXaggItemX 2 6" xfId="23788"/>
    <cellStyle name="SAPBEXaggItemX 2 6 2" xfId="44660"/>
    <cellStyle name="SAPBEXaggItemX 2 7" xfId="23861"/>
    <cellStyle name="SAPBEXaggItemX 2 7 2" xfId="44733"/>
    <cellStyle name="SAPBEXaggItemX 2 8" xfId="12117"/>
    <cellStyle name="SAPBEXaggItemX 2 8 2" xfId="33017"/>
    <cellStyle name="SAPBEXaggItemX 2 9" xfId="24187"/>
    <cellStyle name="SAPBEXaggItemX 2 9 2" xfId="45055"/>
    <cellStyle name="SAPBEXaggItemX 3" xfId="2720"/>
    <cellStyle name="SAPBEXaggItemX 3 2" xfId="4335"/>
    <cellStyle name="SAPBEXaggItemX 3 2 2" xfId="6191"/>
    <cellStyle name="SAPBEXaggItemX 3 2 2 2" xfId="22496"/>
    <cellStyle name="SAPBEXaggItemX 3 2 2 2 2" xfId="43371"/>
    <cellStyle name="SAPBEXaggItemX 3 2 2 3" xfId="21724"/>
    <cellStyle name="SAPBEXaggItemX 3 2 2 3 2" xfId="42599"/>
    <cellStyle name="SAPBEXaggItemX 3 2 2 4" xfId="23791"/>
    <cellStyle name="SAPBEXaggItemX 3 2 2 4 2" xfId="44663"/>
    <cellStyle name="SAPBEXaggItemX 3 2 2 5" xfId="15200"/>
    <cellStyle name="SAPBEXaggItemX 3 2 2 5 2" xfId="36076"/>
    <cellStyle name="SAPBEXaggItemX 3 2 2 6" xfId="27338"/>
    <cellStyle name="SAPBEXaggItemX 3 2 3" xfId="21951"/>
    <cellStyle name="SAPBEXaggItemX 3 2 3 2" xfId="42826"/>
    <cellStyle name="SAPBEXaggItemX 3 2 4" xfId="20851"/>
    <cellStyle name="SAPBEXaggItemX 3 2 4 2" xfId="41727"/>
    <cellStyle name="SAPBEXaggItemX 3 2 5" xfId="22869"/>
    <cellStyle name="SAPBEXaggItemX 3 2 5 2" xfId="43743"/>
    <cellStyle name="SAPBEXaggItemX 3 2 6" xfId="13382"/>
    <cellStyle name="SAPBEXaggItemX 3 2 6 2" xfId="34258"/>
    <cellStyle name="SAPBEXaggItemX 3 2 7" xfId="25520"/>
    <cellStyle name="SAPBEXaggItemX 3 3" xfId="8301"/>
    <cellStyle name="SAPBEXaggItemX 3 3 2" xfId="22990"/>
    <cellStyle name="SAPBEXaggItemX 3 3 2 2" xfId="43863"/>
    <cellStyle name="SAPBEXaggItemX 3 3 3" xfId="21892"/>
    <cellStyle name="SAPBEXaggItemX 3 3 3 2" xfId="42767"/>
    <cellStyle name="SAPBEXaggItemX 3 3 4" xfId="21154"/>
    <cellStyle name="SAPBEXaggItemX 3 3 4 2" xfId="42029"/>
    <cellStyle name="SAPBEXaggItemX 3 3 5" xfId="17306"/>
    <cellStyle name="SAPBEXaggItemX 3 3 5 2" xfId="38182"/>
    <cellStyle name="SAPBEXaggItemX 3 3 6" xfId="29444"/>
    <cellStyle name="SAPBEXaggItemX 3 4" xfId="10185"/>
    <cellStyle name="SAPBEXaggItemX 3 4 2" xfId="23470"/>
    <cellStyle name="SAPBEXaggItemX 3 4 2 2" xfId="44342"/>
    <cellStyle name="SAPBEXaggItemX 3 4 3" xfId="22867"/>
    <cellStyle name="SAPBEXaggItemX 3 4 3 2" xfId="43741"/>
    <cellStyle name="SAPBEXaggItemX 3 4 4" xfId="23302"/>
    <cellStyle name="SAPBEXaggItemX 3 4 4 2" xfId="44174"/>
    <cellStyle name="SAPBEXaggItemX 3 4 5" xfId="18956"/>
    <cellStyle name="SAPBEXaggItemX 3 4 5 2" xfId="39832"/>
    <cellStyle name="SAPBEXaggItemX 3 4 6" xfId="31096"/>
    <cellStyle name="SAPBEXaggItemX 3 5" xfId="21476"/>
    <cellStyle name="SAPBEXaggItemX 3 5 2" xfId="42351"/>
    <cellStyle name="SAPBEXaggItemX 3 6" xfId="22102"/>
    <cellStyle name="SAPBEXaggItemX 3 6 2" xfId="42977"/>
    <cellStyle name="SAPBEXaggItemX 3 7" xfId="22704"/>
    <cellStyle name="SAPBEXaggItemX 3 7 2" xfId="43579"/>
    <cellStyle name="SAPBEXaggItemX 3 8" xfId="12241"/>
    <cellStyle name="SAPBEXaggItemX 3 8 2" xfId="33130"/>
    <cellStyle name="SAPBEXaggItemX 3 9" xfId="24349"/>
    <cellStyle name="SAPBEXaggItemX 4" xfId="2721"/>
    <cellStyle name="SAPBEXaggItemX 4 2" xfId="4336"/>
    <cellStyle name="SAPBEXaggItemX 4 2 2" xfId="6192"/>
    <cellStyle name="SAPBEXaggItemX 4 2 2 2" xfId="22497"/>
    <cellStyle name="SAPBEXaggItemX 4 2 2 2 2" xfId="43372"/>
    <cellStyle name="SAPBEXaggItemX 4 2 2 3" xfId="23869"/>
    <cellStyle name="SAPBEXaggItemX 4 2 2 3 2" xfId="44741"/>
    <cellStyle name="SAPBEXaggItemX 4 2 2 4" xfId="21954"/>
    <cellStyle name="SAPBEXaggItemX 4 2 2 4 2" xfId="42829"/>
    <cellStyle name="SAPBEXaggItemX 4 2 2 5" xfId="15201"/>
    <cellStyle name="SAPBEXaggItemX 4 2 2 5 2" xfId="36077"/>
    <cellStyle name="SAPBEXaggItemX 4 2 2 6" xfId="27339"/>
    <cellStyle name="SAPBEXaggItemX 4 2 3" xfId="21952"/>
    <cellStyle name="SAPBEXaggItemX 4 2 3 2" xfId="42827"/>
    <cellStyle name="SAPBEXaggItemX 4 2 4" xfId="21006"/>
    <cellStyle name="SAPBEXaggItemX 4 2 4 2" xfId="41881"/>
    <cellStyle name="SAPBEXaggItemX 4 2 5" xfId="21633"/>
    <cellStyle name="SAPBEXaggItemX 4 2 5 2" xfId="42508"/>
    <cellStyle name="SAPBEXaggItemX 4 2 6" xfId="13383"/>
    <cellStyle name="SAPBEXaggItemX 4 2 6 2" xfId="34259"/>
    <cellStyle name="SAPBEXaggItemX 4 2 7" xfId="25521"/>
    <cellStyle name="SAPBEXaggItemX 4 3" xfId="8302"/>
    <cellStyle name="SAPBEXaggItemX 4 3 2" xfId="22991"/>
    <cellStyle name="SAPBEXaggItemX 4 3 2 2" xfId="43864"/>
    <cellStyle name="SAPBEXaggItemX 4 3 3" xfId="21645"/>
    <cellStyle name="SAPBEXaggItemX 4 3 3 2" xfId="42520"/>
    <cellStyle name="SAPBEXaggItemX 4 3 4" xfId="24085"/>
    <cellStyle name="SAPBEXaggItemX 4 3 4 2" xfId="44957"/>
    <cellStyle name="SAPBEXaggItemX 4 3 5" xfId="17307"/>
    <cellStyle name="SAPBEXaggItemX 4 3 5 2" xfId="38183"/>
    <cellStyle name="SAPBEXaggItemX 4 3 6" xfId="29445"/>
    <cellStyle name="SAPBEXaggItemX 4 4" xfId="10186"/>
    <cellStyle name="SAPBEXaggItemX 4 4 2" xfId="23471"/>
    <cellStyle name="SAPBEXaggItemX 4 4 2 2" xfId="44343"/>
    <cellStyle name="SAPBEXaggItemX 4 4 3" xfId="23803"/>
    <cellStyle name="SAPBEXaggItemX 4 4 3 2" xfId="44675"/>
    <cellStyle name="SAPBEXaggItemX 4 4 4" xfId="21097"/>
    <cellStyle name="SAPBEXaggItemX 4 4 4 2" xfId="41972"/>
    <cellStyle name="SAPBEXaggItemX 4 4 5" xfId="18957"/>
    <cellStyle name="SAPBEXaggItemX 4 4 5 2" xfId="39833"/>
    <cellStyle name="SAPBEXaggItemX 4 4 6" xfId="31097"/>
    <cellStyle name="SAPBEXaggItemX 4 5" xfId="21477"/>
    <cellStyle name="SAPBEXaggItemX 4 5 2" xfId="42352"/>
    <cellStyle name="SAPBEXaggItemX 4 6" xfId="22152"/>
    <cellStyle name="SAPBEXaggItemX 4 6 2" xfId="43027"/>
    <cellStyle name="SAPBEXaggItemX 4 7" xfId="21595"/>
    <cellStyle name="SAPBEXaggItemX 4 7 2" xfId="42470"/>
    <cellStyle name="SAPBEXaggItemX 4 8" xfId="12242"/>
    <cellStyle name="SAPBEXaggItemX 4 8 2" xfId="33131"/>
    <cellStyle name="SAPBEXaggItemX 4 9" xfId="24350"/>
    <cellStyle name="SAPBEXaggItemX 5" xfId="2722"/>
    <cellStyle name="SAPBEXaggItemX 5 2" xfId="4337"/>
    <cellStyle name="SAPBEXaggItemX 5 2 2" xfId="6193"/>
    <cellStyle name="SAPBEXaggItemX 5 2 2 2" xfId="22498"/>
    <cellStyle name="SAPBEXaggItemX 5 2 2 2 2" xfId="43373"/>
    <cellStyle name="SAPBEXaggItemX 5 2 2 3" xfId="23638"/>
    <cellStyle name="SAPBEXaggItemX 5 2 2 3 2" xfId="44510"/>
    <cellStyle name="SAPBEXaggItemX 5 2 2 4" xfId="23677"/>
    <cellStyle name="SAPBEXaggItemX 5 2 2 4 2" xfId="44549"/>
    <cellStyle name="SAPBEXaggItemX 5 2 2 5" xfId="15202"/>
    <cellStyle name="SAPBEXaggItemX 5 2 2 5 2" xfId="36078"/>
    <cellStyle name="SAPBEXaggItemX 5 2 2 6" xfId="27340"/>
    <cellStyle name="SAPBEXaggItemX 5 2 3" xfId="21953"/>
    <cellStyle name="SAPBEXaggItemX 5 2 3 2" xfId="42828"/>
    <cellStyle name="SAPBEXaggItemX 5 2 4" xfId="21371"/>
    <cellStyle name="SAPBEXaggItemX 5 2 4 2" xfId="42246"/>
    <cellStyle name="SAPBEXaggItemX 5 2 5" xfId="21245"/>
    <cellStyle name="SAPBEXaggItemX 5 2 5 2" xfId="42120"/>
    <cellStyle name="SAPBEXaggItemX 5 2 6" xfId="13384"/>
    <cellStyle name="SAPBEXaggItemX 5 2 6 2" xfId="34260"/>
    <cellStyle name="SAPBEXaggItemX 5 2 7" xfId="25522"/>
    <cellStyle name="SAPBEXaggItemX 5 3" xfId="8303"/>
    <cellStyle name="SAPBEXaggItemX 5 3 2" xfId="22992"/>
    <cellStyle name="SAPBEXaggItemX 5 3 2 2" xfId="43865"/>
    <cellStyle name="SAPBEXaggItemX 5 3 3" xfId="23749"/>
    <cellStyle name="SAPBEXaggItemX 5 3 3 2" xfId="44621"/>
    <cellStyle name="SAPBEXaggItemX 5 3 4" xfId="21735"/>
    <cellStyle name="SAPBEXaggItemX 5 3 4 2" xfId="42610"/>
    <cellStyle name="SAPBEXaggItemX 5 3 5" xfId="17308"/>
    <cellStyle name="SAPBEXaggItemX 5 3 5 2" xfId="38184"/>
    <cellStyle name="SAPBEXaggItemX 5 3 6" xfId="29446"/>
    <cellStyle name="SAPBEXaggItemX 5 4" xfId="10187"/>
    <cellStyle name="SAPBEXaggItemX 5 4 2" xfId="23472"/>
    <cellStyle name="SAPBEXaggItemX 5 4 2 2" xfId="44344"/>
    <cellStyle name="SAPBEXaggItemX 5 4 3" xfId="23186"/>
    <cellStyle name="SAPBEXaggItemX 5 4 3 2" xfId="44059"/>
    <cellStyle name="SAPBEXaggItemX 5 4 4" xfId="22842"/>
    <cellStyle name="SAPBEXaggItemX 5 4 4 2" xfId="43717"/>
    <cellStyle name="SAPBEXaggItemX 5 4 5" xfId="18958"/>
    <cellStyle name="SAPBEXaggItemX 5 4 5 2" xfId="39834"/>
    <cellStyle name="SAPBEXaggItemX 5 4 6" xfId="31098"/>
    <cellStyle name="SAPBEXaggItemX 5 5" xfId="21478"/>
    <cellStyle name="SAPBEXaggItemX 5 5 2" xfId="42353"/>
    <cellStyle name="SAPBEXaggItemX 5 6" xfId="24034"/>
    <cellStyle name="SAPBEXaggItemX 5 6 2" xfId="44906"/>
    <cellStyle name="SAPBEXaggItemX 5 7" xfId="22213"/>
    <cellStyle name="SAPBEXaggItemX 5 7 2" xfId="43088"/>
    <cellStyle name="SAPBEXaggItemX 5 8" xfId="12243"/>
    <cellStyle name="SAPBEXaggItemX 5 8 2" xfId="33132"/>
    <cellStyle name="SAPBEXaggItemX 5 9" xfId="24351"/>
    <cellStyle name="SAPBEXaggItemX 6" xfId="3810"/>
    <cellStyle name="SAPBEXaggItemX 6 2" xfId="6039"/>
    <cellStyle name="SAPBEXaggItemX 6 2 2" xfId="22398"/>
    <cellStyle name="SAPBEXaggItemX 6 2 2 2" xfId="43273"/>
    <cellStyle name="SAPBEXaggItemX 6 2 3" xfId="21425"/>
    <cellStyle name="SAPBEXaggItemX 6 2 3 2" xfId="42300"/>
    <cellStyle name="SAPBEXaggItemX 6 2 4" xfId="22362"/>
    <cellStyle name="SAPBEXaggItemX 6 2 4 2" xfId="43237"/>
    <cellStyle name="SAPBEXaggItemX 6 2 5" xfId="15048"/>
    <cellStyle name="SAPBEXaggItemX 6 2 5 2" xfId="35924"/>
    <cellStyle name="SAPBEXaggItemX 6 2 6" xfId="27186"/>
    <cellStyle name="SAPBEXaggItemX 6 3" xfId="21784"/>
    <cellStyle name="SAPBEXaggItemX 6 3 2" xfId="42659"/>
    <cellStyle name="SAPBEXaggItemX 6 4" xfId="24028"/>
    <cellStyle name="SAPBEXaggItemX 6 4 2" xfId="44900"/>
    <cellStyle name="SAPBEXaggItemX 6 5" xfId="22760"/>
    <cellStyle name="SAPBEXaggItemX 6 5 2" xfId="43635"/>
    <cellStyle name="SAPBEXaggItemX 6 6" xfId="13230"/>
    <cellStyle name="SAPBEXaggItemX 6 6 2" xfId="34106"/>
    <cellStyle name="SAPBEXaggItemX 6 7" xfId="25368"/>
    <cellStyle name="SAPBEXaggItemX 7" xfId="8299"/>
    <cellStyle name="SAPBEXaggItemX 7 2" xfId="22988"/>
    <cellStyle name="SAPBEXaggItemX 7 2 2" xfId="43861"/>
    <cellStyle name="SAPBEXaggItemX 7 3" xfId="22335"/>
    <cellStyle name="SAPBEXaggItemX 7 3 2" xfId="43210"/>
    <cellStyle name="SAPBEXaggItemX 7 4" xfId="21058"/>
    <cellStyle name="SAPBEXaggItemX 7 4 2" xfId="41933"/>
    <cellStyle name="SAPBEXaggItemX 7 5" xfId="17304"/>
    <cellStyle name="SAPBEXaggItemX 7 5 2" xfId="38180"/>
    <cellStyle name="SAPBEXaggItemX 7 6" xfId="29442"/>
    <cellStyle name="SAPBEXaggItemX 8" xfId="10183"/>
    <cellStyle name="SAPBEXaggItemX 8 2" xfId="23468"/>
    <cellStyle name="SAPBEXaggItemX 8 2 2" xfId="44340"/>
    <cellStyle name="SAPBEXaggItemX 8 3" xfId="22265"/>
    <cellStyle name="SAPBEXaggItemX 8 3 2" xfId="43140"/>
    <cellStyle name="SAPBEXaggItemX 8 4" xfId="23417"/>
    <cellStyle name="SAPBEXaggItemX 8 4 2" xfId="44289"/>
    <cellStyle name="SAPBEXaggItemX 8 5" xfId="18954"/>
    <cellStyle name="SAPBEXaggItemX 8 5 2" xfId="39830"/>
    <cellStyle name="SAPBEXaggItemX 8 6" xfId="31094"/>
    <cellStyle name="SAPBEXaggItemX 9" xfId="20881"/>
    <cellStyle name="SAPBEXaggItemX 9 2" xfId="41756"/>
    <cellStyle name="SAPBEXchaText" xfId="1145"/>
    <cellStyle name="SAPBEXchaText 10" xfId="23666"/>
    <cellStyle name="SAPBEXchaText 10 2" xfId="44538"/>
    <cellStyle name="SAPBEXchaText 11" xfId="22158"/>
    <cellStyle name="SAPBEXchaText 11 2" xfId="43033"/>
    <cellStyle name="SAPBEXchaText 12" xfId="12118"/>
    <cellStyle name="SAPBEXchaText 12 2" xfId="33018"/>
    <cellStyle name="SAPBEXchaText 13" xfId="24165"/>
    <cellStyle name="SAPBEXchaText 13 2" xfId="45035"/>
    <cellStyle name="SAPBEXchaText 14" xfId="24252"/>
    <cellStyle name="SAPBEXchaText 14 2" xfId="45113"/>
    <cellStyle name="SAPBEXchaText 2" xfId="2723"/>
    <cellStyle name="SAPBEXchaText 2 10" xfId="24352"/>
    <cellStyle name="SAPBEXchaText 2 2" xfId="4339"/>
    <cellStyle name="SAPBEXchaText 2 2 2" xfId="6194"/>
    <cellStyle name="SAPBEXchaText 2 2 2 2" xfId="22499"/>
    <cellStyle name="SAPBEXchaText 2 2 2 2 2" xfId="43374"/>
    <cellStyle name="SAPBEXchaText 2 2 2 3" xfId="23436"/>
    <cellStyle name="SAPBEXchaText 2 2 2 3 2" xfId="44308"/>
    <cellStyle name="SAPBEXchaText 2 2 2 4" xfId="23911"/>
    <cellStyle name="SAPBEXchaText 2 2 2 4 2" xfId="44783"/>
    <cellStyle name="SAPBEXchaText 2 2 2 5" xfId="15203"/>
    <cellStyle name="SAPBEXchaText 2 2 2 5 2" xfId="36079"/>
    <cellStyle name="SAPBEXchaText 2 2 2 6" xfId="27341"/>
    <cellStyle name="SAPBEXchaText 2 2 3" xfId="21955"/>
    <cellStyle name="SAPBEXchaText 2 2 3 2" xfId="42830"/>
    <cellStyle name="SAPBEXchaText 2 2 4" xfId="23897"/>
    <cellStyle name="SAPBEXchaText 2 2 4 2" xfId="44769"/>
    <cellStyle name="SAPBEXchaText 2 2 5" xfId="23160"/>
    <cellStyle name="SAPBEXchaText 2 2 5 2" xfId="44033"/>
    <cellStyle name="SAPBEXchaText 2 2 6" xfId="13385"/>
    <cellStyle name="SAPBEXchaText 2 2 6 2" xfId="34261"/>
    <cellStyle name="SAPBEXchaText 2 2 7" xfId="25523"/>
    <cellStyle name="SAPBEXchaText 2 3" xfId="8305"/>
    <cellStyle name="SAPBEXchaText 2 3 2" xfId="22994"/>
    <cellStyle name="SAPBEXchaText 2 3 2 2" xfId="43867"/>
    <cellStyle name="SAPBEXchaText 2 3 3" xfId="21220"/>
    <cellStyle name="SAPBEXchaText 2 3 3 2" xfId="42095"/>
    <cellStyle name="SAPBEXchaText 2 3 4" xfId="23960"/>
    <cellStyle name="SAPBEXchaText 2 3 4 2" xfId="44832"/>
    <cellStyle name="SAPBEXchaText 2 3 5" xfId="17310"/>
    <cellStyle name="SAPBEXchaText 2 3 5 2" xfId="38186"/>
    <cellStyle name="SAPBEXchaText 2 3 6" xfId="29448"/>
    <cellStyle name="SAPBEXchaText 2 4" xfId="10189"/>
    <cellStyle name="SAPBEXchaText 2 4 2" xfId="23474"/>
    <cellStyle name="SAPBEXchaText 2 4 2 2" xfId="44346"/>
    <cellStyle name="SAPBEXchaText 2 4 3" xfId="23841"/>
    <cellStyle name="SAPBEXchaText 2 4 3 2" xfId="44713"/>
    <cellStyle name="SAPBEXchaText 2 4 4" xfId="23213"/>
    <cellStyle name="SAPBEXchaText 2 4 4 2" xfId="44086"/>
    <cellStyle name="SAPBEXchaText 2 4 5" xfId="18960"/>
    <cellStyle name="SAPBEXchaText 2 4 5 2" xfId="39836"/>
    <cellStyle name="SAPBEXchaText 2 4 6" xfId="31100"/>
    <cellStyle name="SAPBEXchaText 2 5" xfId="20884"/>
    <cellStyle name="SAPBEXchaText 2 5 2" xfId="41759"/>
    <cellStyle name="SAPBEXchaText 2 6" xfId="22778"/>
    <cellStyle name="SAPBEXchaText 2 6 2" xfId="43653"/>
    <cellStyle name="SAPBEXchaText 2 7" xfId="21037"/>
    <cellStyle name="SAPBEXchaText 2 7 2" xfId="41912"/>
    <cellStyle name="SAPBEXchaText 2 8" xfId="12119"/>
    <cellStyle name="SAPBEXchaText 2 8 2" xfId="33019"/>
    <cellStyle name="SAPBEXchaText 2 9" xfId="24188"/>
    <cellStyle name="SAPBEXchaText 2 9 2" xfId="45056"/>
    <cellStyle name="SAPBEXchaText 3" xfId="2724"/>
    <cellStyle name="SAPBEXchaText 3 2" xfId="4340"/>
    <cellStyle name="SAPBEXchaText 3 2 2" xfId="6195"/>
    <cellStyle name="SAPBEXchaText 3 2 2 2" xfId="22500"/>
    <cellStyle name="SAPBEXchaText 3 2 2 2 2" xfId="43375"/>
    <cellStyle name="SAPBEXchaText 3 2 2 3" xfId="22373"/>
    <cellStyle name="SAPBEXchaText 3 2 2 3 2" xfId="43248"/>
    <cellStyle name="SAPBEXchaText 3 2 2 4" xfId="21688"/>
    <cellStyle name="SAPBEXchaText 3 2 2 4 2" xfId="42563"/>
    <cellStyle name="SAPBEXchaText 3 2 2 5" xfId="15204"/>
    <cellStyle name="SAPBEXchaText 3 2 2 5 2" xfId="36080"/>
    <cellStyle name="SAPBEXchaText 3 2 2 6" xfId="27342"/>
    <cellStyle name="SAPBEXchaText 3 2 3" xfId="21956"/>
    <cellStyle name="SAPBEXchaText 3 2 3 2" xfId="42831"/>
    <cellStyle name="SAPBEXchaText 3 2 4" xfId="23673"/>
    <cellStyle name="SAPBEXchaText 3 2 4 2" xfId="44545"/>
    <cellStyle name="SAPBEXchaText 3 2 5" xfId="21932"/>
    <cellStyle name="SAPBEXchaText 3 2 5 2" xfId="42807"/>
    <cellStyle name="SAPBEXchaText 3 2 6" xfId="13386"/>
    <cellStyle name="SAPBEXchaText 3 2 6 2" xfId="34262"/>
    <cellStyle name="SAPBEXchaText 3 2 7" xfId="25524"/>
    <cellStyle name="SAPBEXchaText 3 3" xfId="8306"/>
    <cellStyle name="SAPBEXchaText 3 3 2" xfId="22995"/>
    <cellStyle name="SAPBEXchaText 3 3 2 2" xfId="43868"/>
    <cellStyle name="SAPBEXchaText 3 3 3" xfId="22220"/>
    <cellStyle name="SAPBEXchaText 3 3 3 2" xfId="43095"/>
    <cellStyle name="SAPBEXchaText 3 3 4" xfId="24124"/>
    <cellStyle name="SAPBEXchaText 3 3 4 2" xfId="44995"/>
    <cellStyle name="SAPBEXchaText 3 3 5" xfId="17311"/>
    <cellStyle name="SAPBEXchaText 3 3 5 2" xfId="38187"/>
    <cellStyle name="SAPBEXchaText 3 3 6" xfId="29449"/>
    <cellStyle name="SAPBEXchaText 3 4" xfId="10190"/>
    <cellStyle name="SAPBEXchaText 3 4 2" xfId="23475"/>
    <cellStyle name="SAPBEXchaText 3 4 2 2" xfId="44347"/>
    <cellStyle name="SAPBEXchaText 3 4 3" xfId="21751"/>
    <cellStyle name="SAPBEXchaText 3 4 3 2" xfId="42626"/>
    <cellStyle name="SAPBEXchaText 3 4 4" xfId="23818"/>
    <cellStyle name="SAPBEXchaText 3 4 4 2" xfId="44690"/>
    <cellStyle name="SAPBEXchaText 3 4 5" xfId="18961"/>
    <cellStyle name="SAPBEXchaText 3 4 5 2" xfId="39837"/>
    <cellStyle name="SAPBEXchaText 3 4 6" xfId="31101"/>
    <cellStyle name="SAPBEXchaText 3 5" xfId="21479"/>
    <cellStyle name="SAPBEXchaText 3 5 2" xfId="42354"/>
    <cellStyle name="SAPBEXchaText 3 6" xfId="23997"/>
    <cellStyle name="SAPBEXchaText 3 6 2" xfId="44869"/>
    <cellStyle name="SAPBEXchaText 3 7" xfId="23928"/>
    <cellStyle name="SAPBEXchaText 3 7 2" xfId="44800"/>
    <cellStyle name="SAPBEXchaText 3 8" xfId="12244"/>
    <cellStyle name="SAPBEXchaText 3 8 2" xfId="33133"/>
    <cellStyle name="SAPBEXchaText 3 9" xfId="24353"/>
    <cellStyle name="SAPBEXchaText 4" xfId="2725"/>
    <cellStyle name="SAPBEXchaText 4 2" xfId="4341"/>
    <cellStyle name="SAPBEXchaText 4 2 2" xfId="6196"/>
    <cellStyle name="SAPBEXchaText 4 2 2 2" xfId="22501"/>
    <cellStyle name="SAPBEXchaText 4 2 2 2 2" xfId="43376"/>
    <cellStyle name="SAPBEXchaText 4 2 2 3" xfId="20955"/>
    <cellStyle name="SAPBEXchaText 4 2 2 3 2" xfId="41830"/>
    <cellStyle name="SAPBEXchaText 4 2 2 4" xfId="21666"/>
    <cellStyle name="SAPBEXchaText 4 2 2 4 2" xfId="42541"/>
    <cellStyle name="SAPBEXchaText 4 2 2 5" xfId="15205"/>
    <cellStyle name="SAPBEXchaText 4 2 2 5 2" xfId="36081"/>
    <cellStyle name="SAPBEXchaText 4 2 2 6" xfId="27343"/>
    <cellStyle name="SAPBEXchaText 4 2 3" xfId="21957"/>
    <cellStyle name="SAPBEXchaText 4 2 3 2" xfId="42832"/>
    <cellStyle name="SAPBEXchaText 4 2 4" xfId="23369"/>
    <cellStyle name="SAPBEXchaText 4 2 4 2" xfId="44241"/>
    <cellStyle name="SAPBEXchaText 4 2 5" xfId="21094"/>
    <cellStyle name="SAPBEXchaText 4 2 5 2" xfId="41969"/>
    <cellStyle name="SAPBEXchaText 4 2 6" xfId="13387"/>
    <cellStyle name="SAPBEXchaText 4 2 6 2" xfId="34263"/>
    <cellStyle name="SAPBEXchaText 4 2 7" xfId="25525"/>
    <cellStyle name="SAPBEXchaText 4 3" xfId="8307"/>
    <cellStyle name="SAPBEXchaText 4 3 2" xfId="22996"/>
    <cellStyle name="SAPBEXchaText 4 3 2 2" xfId="43869"/>
    <cellStyle name="SAPBEXchaText 4 3 3" xfId="23822"/>
    <cellStyle name="SAPBEXchaText 4 3 3 2" xfId="44694"/>
    <cellStyle name="SAPBEXchaText 4 3 4" xfId="23295"/>
    <cellStyle name="SAPBEXchaText 4 3 4 2" xfId="44167"/>
    <cellStyle name="SAPBEXchaText 4 3 5" xfId="17312"/>
    <cellStyle name="SAPBEXchaText 4 3 5 2" xfId="38188"/>
    <cellStyle name="SAPBEXchaText 4 3 6" xfId="29450"/>
    <cellStyle name="SAPBEXchaText 4 4" xfId="10191"/>
    <cellStyle name="SAPBEXchaText 4 4 2" xfId="23476"/>
    <cellStyle name="SAPBEXchaText 4 4 2 2" xfId="44348"/>
    <cellStyle name="SAPBEXchaText 4 4 3" xfId="22380"/>
    <cellStyle name="SAPBEXchaText 4 4 3 2" xfId="43255"/>
    <cellStyle name="SAPBEXchaText 4 4 4" xfId="23329"/>
    <cellStyle name="SAPBEXchaText 4 4 4 2" xfId="44201"/>
    <cellStyle name="SAPBEXchaText 4 4 5" xfId="18962"/>
    <cellStyle name="SAPBEXchaText 4 4 5 2" xfId="39838"/>
    <cellStyle name="SAPBEXchaText 4 4 6" xfId="31102"/>
    <cellStyle name="SAPBEXchaText 4 5" xfId="21480"/>
    <cellStyle name="SAPBEXchaText 4 5 2" xfId="42355"/>
    <cellStyle name="SAPBEXchaText 4 6" xfId="21204"/>
    <cellStyle name="SAPBEXchaText 4 6 2" xfId="42079"/>
    <cellStyle name="SAPBEXchaText 4 7" xfId="23806"/>
    <cellStyle name="SAPBEXchaText 4 7 2" xfId="44678"/>
    <cellStyle name="SAPBEXchaText 4 8" xfId="12245"/>
    <cellStyle name="SAPBEXchaText 4 8 2" xfId="33134"/>
    <cellStyle name="SAPBEXchaText 4 9" xfId="24354"/>
    <cellStyle name="SAPBEXchaText 5" xfId="2726"/>
    <cellStyle name="SAPBEXchaText 5 2" xfId="4342"/>
    <cellStyle name="SAPBEXchaText 5 2 2" xfId="6197"/>
    <cellStyle name="SAPBEXchaText 5 2 2 2" xfId="22502"/>
    <cellStyle name="SAPBEXchaText 5 2 2 2 2" xfId="43377"/>
    <cellStyle name="SAPBEXchaText 5 2 2 3" xfId="21900"/>
    <cellStyle name="SAPBEXchaText 5 2 2 3 2" xfId="42775"/>
    <cellStyle name="SAPBEXchaText 5 2 2 4" xfId="23848"/>
    <cellStyle name="SAPBEXchaText 5 2 2 4 2" xfId="44720"/>
    <cellStyle name="SAPBEXchaText 5 2 2 5" xfId="15206"/>
    <cellStyle name="SAPBEXchaText 5 2 2 5 2" xfId="36082"/>
    <cellStyle name="SAPBEXchaText 5 2 2 6" xfId="27344"/>
    <cellStyle name="SAPBEXchaText 5 2 3" xfId="21958"/>
    <cellStyle name="SAPBEXchaText 5 2 3 2" xfId="42833"/>
    <cellStyle name="SAPBEXchaText 5 2 4" xfId="22436"/>
    <cellStyle name="SAPBEXchaText 5 2 4 2" xfId="43311"/>
    <cellStyle name="SAPBEXchaText 5 2 5" xfId="22197"/>
    <cellStyle name="SAPBEXchaText 5 2 5 2" xfId="43072"/>
    <cellStyle name="SAPBEXchaText 5 2 6" xfId="13388"/>
    <cellStyle name="SAPBEXchaText 5 2 6 2" xfId="34264"/>
    <cellStyle name="SAPBEXchaText 5 2 7" xfId="25526"/>
    <cellStyle name="SAPBEXchaText 5 3" xfId="8308"/>
    <cellStyle name="SAPBEXchaText 5 3 2" xfId="22997"/>
    <cellStyle name="SAPBEXchaText 5 3 2 2" xfId="43870"/>
    <cellStyle name="SAPBEXchaText 5 3 3" xfId="23910"/>
    <cellStyle name="SAPBEXchaText 5 3 3 2" xfId="44782"/>
    <cellStyle name="SAPBEXchaText 5 3 4" xfId="23367"/>
    <cellStyle name="SAPBEXchaText 5 3 4 2" xfId="44239"/>
    <cellStyle name="SAPBEXchaText 5 3 5" xfId="17313"/>
    <cellStyle name="SAPBEXchaText 5 3 5 2" xfId="38189"/>
    <cellStyle name="SAPBEXchaText 5 3 6" xfId="29451"/>
    <cellStyle name="SAPBEXchaText 5 4" xfId="10192"/>
    <cellStyle name="SAPBEXchaText 5 4 2" xfId="23477"/>
    <cellStyle name="SAPBEXchaText 5 4 2 2" xfId="44349"/>
    <cellStyle name="SAPBEXchaText 5 4 3" xfId="22161"/>
    <cellStyle name="SAPBEXchaText 5 4 3 2" xfId="43036"/>
    <cellStyle name="SAPBEXchaText 5 4 4" xfId="21409"/>
    <cellStyle name="SAPBEXchaText 5 4 4 2" xfId="42284"/>
    <cellStyle name="SAPBEXchaText 5 4 5" xfId="18963"/>
    <cellStyle name="SAPBEXchaText 5 4 5 2" xfId="39839"/>
    <cellStyle name="SAPBEXchaText 5 4 6" xfId="31103"/>
    <cellStyle name="SAPBEXchaText 5 5" xfId="21481"/>
    <cellStyle name="SAPBEXchaText 5 5 2" xfId="42356"/>
    <cellStyle name="SAPBEXchaText 5 6" xfId="23258"/>
    <cellStyle name="SAPBEXchaText 5 6 2" xfId="44131"/>
    <cellStyle name="SAPBEXchaText 5 7" xfId="20948"/>
    <cellStyle name="SAPBEXchaText 5 7 2" xfId="41823"/>
    <cellStyle name="SAPBEXchaText 5 8" xfId="12246"/>
    <cellStyle name="SAPBEXchaText 5 8 2" xfId="33135"/>
    <cellStyle name="SAPBEXchaText 5 9" xfId="24355"/>
    <cellStyle name="SAPBEXchaText 6" xfId="3811"/>
    <cellStyle name="SAPBEXchaText 6 2" xfId="6040"/>
    <cellStyle name="SAPBEXchaText 6 2 2" xfId="22399"/>
    <cellStyle name="SAPBEXchaText 6 2 2 2" xfId="43274"/>
    <cellStyle name="SAPBEXchaText 6 2 3" xfId="23237"/>
    <cellStyle name="SAPBEXchaText 6 2 3 2" xfId="44110"/>
    <cellStyle name="SAPBEXchaText 6 2 4" xfId="23630"/>
    <cellStyle name="SAPBEXchaText 6 2 4 2" xfId="44502"/>
    <cellStyle name="SAPBEXchaText 6 2 5" xfId="15049"/>
    <cellStyle name="SAPBEXchaText 6 2 5 2" xfId="35925"/>
    <cellStyle name="SAPBEXchaText 6 2 6" xfId="27187"/>
    <cellStyle name="SAPBEXchaText 6 3" xfId="21785"/>
    <cellStyle name="SAPBEXchaText 6 3 2" xfId="42660"/>
    <cellStyle name="SAPBEXchaText 6 4" xfId="21747"/>
    <cellStyle name="SAPBEXchaText 6 4 2" xfId="42622"/>
    <cellStyle name="SAPBEXchaText 6 5" xfId="21839"/>
    <cellStyle name="SAPBEXchaText 6 5 2" xfId="42714"/>
    <cellStyle name="SAPBEXchaText 6 6" xfId="13231"/>
    <cellStyle name="SAPBEXchaText 6 6 2" xfId="34107"/>
    <cellStyle name="SAPBEXchaText 6 7" xfId="25369"/>
    <cellStyle name="SAPBEXchaText 7" xfId="8304"/>
    <cellStyle name="SAPBEXchaText 7 2" xfId="22993"/>
    <cellStyle name="SAPBEXchaText 7 2 2" xfId="43866"/>
    <cellStyle name="SAPBEXchaText 7 3" xfId="22114"/>
    <cellStyle name="SAPBEXchaText 7 3 2" xfId="42989"/>
    <cellStyle name="SAPBEXchaText 7 4" xfId="22319"/>
    <cellStyle name="SAPBEXchaText 7 4 2" xfId="43194"/>
    <cellStyle name="SAPBEXchaText 7 5" xfId="17309"/>
    <cellStyle name="SAPBEXchaText 7 5 2" xfId="38185"/>
    <cellStyle name="SAPBEXchaText 7 6" xfId="29447"/>
    <cellStyle name="SAPBEXchaText 8" xfId="10188"/>
    <cellStyle name="SAPBEXchaText 8 2" xfId="23473"/>
    <cellStyle name="SAPBEXchaText 8 2 2" xfId="44345"/>
    <cellStyle name="SAPBEXchaText 8 3" xfId="21662"/>
    <cellStyle name="SAPBEXchaText 8 3 2" xfId="42537"/>
    <cellStyle name="SAPBEXchaText 8 4" xfId="21351"/>
    <cellStyle name="SAPBEXchaText 8 4 2" xfId="42226"/>
    <cellStyle name="SAPBEXchaText 8 5" xfId="18959"/>
    <cellStyle name="SAPBEXchaText 8 5 2" xfId="39835"/>
    <cellStyle name="SAPBEXchaText 8 6" xfId="31099"/>
    <cellStyle name="SAPBEXchaText 9" xfId="20883"/>
    <cellStyle name="SAPBEXchaText 9 2" xfId="41758"/>
    <cellStyle name="SAPBEXexcBad7" xfId="1146"/>
    <cellStyle name="SAPBEXexcBad7 10" xfId="22148"/>
    <cellStyle name="SAPBEXexcBad7 10 2" xfId="43023"/>
    <cellStyle name="SAPBEXexcBad7 11" xfId="22132"/>
    <cellStyle name="SAPBEXexcBad7 11 2" xfId="43007"/>
    <cellStyle name="SAPBEXexcBad7 12" xfId="12120"/>
    <cellStyle name="SAPBEXexcBad7 12 2" xfId="33020"/>
    <cellStyle name="SAPBEXexcBad7 13" xfId="24164"/>
    <cellStyle name="SAPBEXexcBad7 13 2" xfId="45034"/>
    <cellStyle name="SAPBEXexcBad7 14" xfId="24253"/>
    <cellStyle name="SAPBEXexcBad7 14 2" xfId="45114"/>
    <cellStyle name="SAPBEXexcBad7 2" xfId="2727"/>
    <cellStyle name="SAPBEXexcBad7 2 10" xfId="24356"/>
    <cellStyle name="SAPBEXexcBad7 2 2" xfId="4344"/>
    <cellStyle name="SAPBEXexcBad7 2 2 2" xfId="6198"/>
    <cellStyle name="SAPBEXexcBad7 2 2 2 2" xfId="22503"/>
    <cellStyle name="SAPBEXexcBad7 2 2 2 2 2" xfId="43378"/>
    <cellStyle name="SAPBEXexcBad7 2 2 2 3" xfId="21402"/>
    <cellStyle name="SAPBEXexcBad7 2 2 2 3 2" xfId="42277"/>
    <cellStyle name="SAPBEXexcBad7 2 2 2 4" xfId="21124"/>
    <cellStyle name="SAPBEXexcBad7 2 2 2 4 2" xfId="41999"/>
    <cellStyle name="SAPBEXexcBad7 2 2 2 5" xfId="15207"/>
    <cellStyle name="SAPBEXexcBad7 2 2 2 5 2" xfId="36083"/>
    <cellStyle name="SAPBEXexcBad7 2 2 2 6" xfId="27345"/>
    <cellStyle name="SAPBEXexcBad7 2 2 3" xfId="21959"/>
    <cellStyle name="SAPBEXexcBad7 2 2 3 2" xfId="42834"/>
    <cellStyle name="SAPBEXexcBad7 2 2 4" xfId="21183"/>
    <cellStyle name="SAPBEXexcBad7 2 2 4 2" xfId="42058"/>
    <cellStyle name="SAPBEXexcBad7 2 2 5" xfId="22753"/>
    <cellStyle name="SAPBEXexcBad7 2 2 5 2" xfId="43628"/>
    <cellStyle name="SAPBEXexcBad7 2 2 6" xfId="13389"/>
    <cellStyle name="SAPBEXexcBad7 2 2 6 2" xfId="34265"/>
    <cellStyle name="SAPBEXexcBad7 2 2 7" xfId="25527"/>
    <cellStyle name="SAPBEXexcBad7 2 3" xfId="8310"/>
    <cellStyle name="SAPBEXexcBad7 2 3 2" xfId="22999"/>
    <cellStyle name="SAPBEXexcBad7 2 3 2 2" xfId="43872"/>
    <cellStyle name="SAPBEXexcBad7 2 3 3" xfId="21221"/>
    <cellStyle name="SAPBEXexcBad7 2 3 3 2" xfId="42096"/>
    <cellStyle name="SAPBEXexcBad7 2 3 4" xfId="22873"/>
    <cellStyle name="SAPBEXexcBad7 2 3 4 2" xfId="43747"/>
    <cellStyle name="SAPBEXexcBad7 2 3 5" xfId="17315"/>
    <cellStyle name="SAPBEXexcBad7 2 3 5 2" xfId="38191"/>
    <cellStyle name="SAPBEXexcBad7 2 3 6" xfId="29453"/>
    <cellStyle name="SAPBEXexcBad7 2 4" xfId="10194"/>
    <cellStyle name="SAPBEXexcBad7 2 4 2" xfId="23479"/>
    <cellStyle name="SAPBEXexcBad7 2 4 2 2" xfId="44351"/>
    <cellStyle name="SAPBEXexcBad7 2 4 3" xfId="22295"/>
    <cellStyle name="SAPBEXexcBad7 2 4 3 2" xfId="43170"/>
    <cellStyle name="SAPBEXexcBad7 2 4 4" xfId="21200"/>
    <cellStyle name="SAPBEXexcBad7 2 4 4 2" xfId="42075"/>
    <cellStyle name="SAPBEXexcBad7 2 4 5" xfId="18965"/>
    <cellStyle name="SAPBEXexcBad7 2 4 5 2" xfId="39841"/>
    <cellStyle name="SAPBEXexcBad7 2 4 6" xfId="31105"/>
    <cellStyle name="SAPBEXexcBad7 2 5" xfId="20886"/>
    <cellStyle name="SAPBEXexcBad7 2 5 2" xfId="41761"/>
    <cellStyle name="SAPBEXexcBad7 2 6" xfId="21327"/>
    <cellStyle name="SAPBEXexcBad7 2 6 2" xfId="42202"/>
    <cellStyle name="SAPBEXexcBad7 2 7" xfId="23260"/>
    <cellStyle name="SAPBEXexcBad7 2 7 2" xfId="44133"/>
    <cellStyle name="SAPBEXexcBad7 2 8" xfId="12121"/>
    <cellStyle name="SAPBEXexcBad7 2 8 2" xfId="33021"/>
    <cellStyle name="SAPBEXexcBad7 2 9" xfId="24189"/>
    <cellStyle name="SAPBEXexcBad7 2 9 2" xfId="45057"/>
    <cellStyle name="SAPBEXexcBad7 3" xfId="2728"/>
    <cellStyle name="SAPBEXexcBad7 3 2" xfId="4345"/>
    <cellStyle name="SAPBEXexcBad7 3 2 2" xfId="6199"/>
    <cellStyle name="SAPBEXexcBad7 3 2 2 2" xfId="22504"/>
    <cellStyle name="SAPBEXexcBad7 3 2 2 2 2" xfId="43379"/>
    <cellStyle name="SAPBEXexcBad7 3 2 2 3" xfId="21763"/>
    <cellStyle name="SAPBEXexcBad7 3 2 2 3 2" xfId="42638"/>
    <cellStyle name="SAPBEXexcBad7 3 2 2 4" xfId="22920"/>
    <cellStyle name="SAPBEXexcBad7 3 2 2 4 2" xfId="43794"/>
    <cellStyle name="SAPBEXexcBad7 3 2 2 5" xfId="15208"/>
    <cellStyle name="SAPBEXexcBad7 3 2 2 5 2" xfId="36084"/>
    <cellStyle name="SAPBEXexcBad7 3 2 2 6" xfId="27346"/>
    <cellStyle name="SAPBEXexcBad7 3 2 3" xfId="21960"/>
    <cellStyle name="SAPBEXexcBad7 3 2 3 2" xfId="42835"/>
    <cellStyle name="SAPBEXexcBad7 3 2 4" xfId="21309"/>
    <cellStyle name="SAPBEXexcBad7 3 2 4 2" xfId="42184"/>
    <cellStyle name="SAPBEXexcBad7 3 2 5" xfId="22946"/>
    <cellStyle name="SAPBEXexcBad7 3 2 5 2" xfId="43820"/>
    <cellStyle name="SAPBEXexcBad7 3 2 6" xfId="13390"/>
    <cellStyle name="SAPBEXexcBad7 3 2 6 2" xfId="34266"/>
    <cellStyle name="SAPBEXexcBad7 3 2 7" xfId="25528"/>
    <cellStyle name="SAPBEXexcBad7 3 3" xfId="8311"/>
    <cellStyle name="SAPBEXexcBad7 3 3 2" xfId="23000"/>
    <cellStyle name="SAPBEXexcBad7 3 3 2 2" xfId="43873"/>
    <cellStyle name="SAPBEXexcBad7 3 3 3" xfId="21771"/>
    <cellStyle name="SAPBEXexcBad7 3 3 3 2" xfId="42646"/>
    <cellStyle name="SAPBEXexcBad7 3 3 4" xfId="21098"/>
    <cellStyle name="SAPBEXexcBad7 3 3 4 2" xfId="41973"/>
    <cellStyle name="SAPBEXexcBad7 3 3 5" xfId="17316"/>
    <cellStyle name="SAPBEXexcBad7 3 3 5 2" xfId="38192"/>
    <cellStyle name="SAPBEXexcBad7 3 3 6" xfId="29454"/>
    <cellStyle name="SAPBEXexcBad7 3 4" xfId="10195"/>
    <cellStyle name="SAPBEXexcBad7 3 4 2" xfId="23480"/>
    <cellStyle name="SAPBEXexcBad7 3 4 2 2" xfId="44352"/>
    <cellStyle name="SAPBEXexcBad7 3 4 3" xfId="22782"/>
    <cellStyle name="SAPBEXexcBad7 3 4 3 2" xfId="43657"/>
    <cellStyle name="SAPBEXexcBad7 3 4 4" xfId="24002"/>
    <cellStyle name="SAPBEXexcBad7 3 4 4 2" xfId="44874"/>
    <cellStyle name="SAPBEXexcBad7 3 4 5" xfId="18966"/>
    <cellStyle name="SAPBEXexcBad7 3 4 5 2" xfId="39842"/>
    <cellStyle name="SAPBEXexcBad7 3 4 6" xfId="31106"/>
    <cellStyle name="SAPBEXexcBad7 3 5" xfId="21482"/>
    <cellStyle name="SAPBEXexcBad7 3 5 2" xfId="42357"/>
    <cellStyle name="SAPBEXexcBad7 3 6" xfId="21414"/>
    <cellStyle name="SAPBEXexcBad7 3 6 2" xfId="42289"/>
    <cellStyle name="SAPBEXexcBad7 3 7" xfId="21910"/>
    <cellStyle name="SAPBEXexcBad7 3 7 2" xfId="42785"/>
    <cellStyle name="SAPBEXexcBad7 3 8" xfId="12247"/>
    <cellStyle name="SAPBEXexcBad7 3 8 2" xfId="33136"/>
    <cellStyle name="SAPBEXexcBad7 3 9" xfId="24357"/>
    <cellStyle name="SAPBEXexcBad7 4" xfId="2729"/>
    <cellStyle name="SAPBEXexcBad7 4 2" xfId="4346"/>
    <cellStyle name="SAPBEXexcBad7 4 2 2" xfId="6200"/>
    <cellStyle name="SAPBEXexcBad7 4 2 2 2" xfId="22505"/>
    <cellStyle name="SAPBEXexcBad7 4 2 2 2 2" xfId="43380"/>
    <cellStyle name="SAPBEXexcBad7 4 2 2 3" xfId="22179"/>
    <cellStyle name="SAPBEXexcBad7 4 2 2 3 2" xfId="43054"/>
    <cellStyle name="SAPBEXexcBad7 4 2 2 4" xfId="22146"/>
    <cellStyle name="SAPBEXexcBad7 4 2 2 4 2" xfId="43021"/>
    <cellStyle name="SAPBEXexcBad7 4 2 2 5" xfId="15209"/>
    <cellStyle name="SAPBEXexcBad7 4 2 2 5 2" xfId="36085"/>
    <cellStyle name="SAPBEXexcBad7 4 2 2 6" xfId="27347"/>
    <cellStyle name="SAPBEXexcBad7 4 2 3" xfId="21961"/>
    <cellStyle name="SAPBEXexcBad7 4 2 3 2" xfId="42836"/>
    <cellStyle name="SAPBEXexcBad7 4 2 4" xfId="21396"/>
    <cellStyle name="SAPBEXexcBad7 4 2 4 2" xfId="42271"/>
    <cellStyle name="SAPBEXexcBad7 4 2 5" xfId="22890"/>
    <cellStyle name="SAPBEXexcBad7 4 2 5 2" xfId="43764"/>
    <cellStyle name="SAPBEXexcBad7 4 2 6" xfId="13391"/>
    <cellStyle name="SAPBEXexcBad7 4 2 6 2" xfId="34267"/>
    <cellStyle name="SAPBEXexcBad7 4 2 7" xfId="25529"/>
    <cellStyle name="SAPBEXexcBad7 4 3" xfId="8312"/>
    <cellStyle name="SAPBEXexcBad7 4 3 2" xfId="23001"/>
    <cellStyle name="SAPBEXexcBad7 4 3 2 2" xfId="43874"/>
    <cellStyle name="SAPBEXexcBad7 4 3 3" xfId="21728"/>
    <cellStyle name="SAPBEXexcBad7 4 3 3 2" xfId="42603"/>
    <cellStyle name="SAPBEXexcBad7 4 3 4" xfId="21032"/>
    <cellStyle name="SAPBEXexcBad7 4 3 4 2" xfId="41907"/>
    <cellStyle name="SAPBEXexcBad7 4 3 5" xfId="17317"/>
    <cellStyle name="SAPBEXexcBad7 4 3 5 2" xfId="38193"/>
    <cellStyle name="SAPBEXexcBad7 4 3 6" xfId="29455"/>
    <cellStyle name="SAPBEXexcBad7 4 4" xfId="10196"/>
    <cellStyle name="SAPBEXexcBad7 4 4 2" xfId="23481"/>
    <cellStyle name="SAPBEXexcBad7 4 4 2 2" xfId="44353"/>
    <cellStyle name="SAPBEXexcBad7 4 4 3" xfId="22900"/>
    <cellStyle name="SAPBEXexcBad7 4 4 3 2" xfId="43774"/>
    <cellStyle name="SAPBEXexcBad7 4 4 4" xfId="22932"/>
    <cellStyle name="SAPBEXexcBad7 4 4 4 2" xfId="43806"/>
    <cellStyle name="SAPBEXexcBad7 4 4 5" xfId="18967"/>
    <cellStyle name="SAPBEXexcBad7 4 4 5 2" xfId="39843"/>
    <cellStyle name="SAPBEXexcBad7 4 4 6" xfId="31107"/>
    <cellStyle name="SAPBEXexcBad7 4 5" xfId="21483"/>
    <cellStyle name="SAPBEXexcBad7 4 5 2" xfId="42358"/>
    <cellStyle name="SAPBEXexcBad7 4 6" xfId="22355"/>
    <cellStyle name="SAPBEXexcBad7 4 6 2" xfId="43230"/>
    <cellStyle name="SAPBEXexcBad7 4 7" xfId="23741"/>
    <cellStyle name="SAPBEXexcBad7 4 7 2" xfId="44613"/>
    <cellStyle name="SAPBEXexcBad7 4 8" xfId="12248"/>
    <cellStyle name="SAPBEXexcBad7 4 8 2" xfId="33137"/>
    <cellStyle name="SAPBEXexcBad7 4 9" xfId="24358"/>
    <cellStyle name="SAPBEXexcBad7 5" xfId="2730"/>
    <cellStyle name="SAPBEXexcBad7 5 2" xfId="4347"/>
    <cellStyle name="SAPBEXexcBad7 5 2 2" xfId="6201"/>
    <cellStyle name="SAPBEXexcBad7 5 2 2 2" xfId="22506"/>
    <cellStyle name="SAPBEXexcBad7 5 2 2 2 2" xfId="43381"/>
    <cellStyle name="SAPBEXexcBad7 5 2 2 3" xfId="21845"/>
    <cellStyle name="SAPBEXexcBad7 5 2 2 3 2" xfId="42720"/>
    <cellStyle name="SAPBEXexcBad7 5 2 2 4" xfId="21056"/>
    <cellStyle name="SAPBEXexcBad7 5 2 2 4 2" xfId="41931"/>
    <cellStyle name="SAPBEXexcBad7 5 2 2 5" xfId="15210"/>
    <cellStyle name="SAPBEXexcBad7 5 2 2 5 2" xfId="36086"/>
    <cellStyle name="SAPBEXexcBad7 5 2 2 6" xfId="27348"/>
    <cellStyle name="SAPBEXexcBad7 5 2 3" xfId="21962"/>
    <cellStyle name="SAPBEXexcBad7 5 2 3 2" xfId="42837"/>
    <cellStyle name="SAPBEXexcBad7 5 2 4" xfId="21859"/>
    <cellStyle name="SAPBEXexcBad7 5 2 4 2" xfId="42734"/>
    <cellStyle name="SAPBEXexcBad7 5 2 5" xfId="22926"/>
    <cellStyle name="SAPBEXexcBad7 5 2 5 2" xfId="43800"/>
    <cellStyle name="SAPBEXexcBad7 5 2 6" xfId="13392"/>
    <cellStyle name="SAPBEXexcBad7 5 2 6 2" xfId="34268"/>
    <cellStyle name="SAPBEXexcBad7 5 2 7" xfId="25530"/>
    <cellStyle name="SAPBEXexcBad7 5 3" xfId="8313"/>
    <cellStyle name="SAPBEXexcBad7 5 3 2" xfId="23002"/>
    <cellStyle name="SAPBEXexcBad7 5 3 2 2" xfId="43875"/>
    <cellStyle name="SAPBEXexcBad7 5 3 3" xfId="22250"/>
    <cellStyle name="SAPBEXexcBad7 5 3 3 2" xfId="43125"/>
    <cellStyle name="SAPBEXexcBad7 5 3 4" xfId="22854"/>
    <cellStyle name="SAPBEXexcBad7 5 3 4 2" xfId="43729"/>
    <cellStyle name="SAPBEXexcBad7 5 3 5" xfId="17318"/>
    <cellStyle name="SAPBEXexcBad7 5 3 5 2" xfId="38194"/>
    <cellStyle name="SAPBEXexcBad7 5 3 6" xfId="29456"/>
    <cellStyle name="SAPBEXexcBad7 5 4" xfId="10197"/>
    <cellStyle name="SAPBEXexcBad7 5 4 2" xfId="23482"/>
    <cellStyle name="SAPBEXexcBad7 5 4 2 2" xfId="44354"/>
    <cellStyle name="SAPBEXexcBad7 5 4 3" xfId="23222"/>
    <cellStyle name="SAPBEXexcBad7 5 4 3 2" xfId="44095"/>
    <cellStyle name="SAPBEXexcBad7 5 4 4" xfId="21252"/>
    <cellStyle name="SAPBEXexcBad7 5 4 4 2" xfId="42127"/>
    <cellStyle name="SAPBEXexcBad7 5 4 5" xfId="18968"/>
    <cellStyle name="SAPBEXexcBad7 5 4 5 2" xfId="39844"/>
    <cellStyle name="SAPBEXexcBad7 5 4 6" xfId="31108"/>
    <cellStyle name="SAPBEXexcBad7 5 5" xfId="21484"/>
    <cellStyle name="SAPBEXexcBad7 5 5 2" xfId="42359"/>
    <cellStyle name="SAPBEXexcBad7 5 6" xfId="23306"/>
    <cellStyle name="SAPBEXexcBad7 5 6 2" xfId="44178"/>
    <cellStyle name="SAPBEXexcBad7 5 7" xfId="21875"/>
    <cellStyle name="SAPBEXexcBad7 5 7 2" xfId="42750"/>
    <cellStyle name="SAPBEXexcBad7 5 8" xfId="12249"/>
    <cellStyle name="SAPBEXexcBad7 5 8 2" xfId="33138"/>
    <cellStyle name="SAPBEXexcBad7 5 9" xfId="24359"/>
    <cellStyle name="SAPBEXexcBad7 6" xfId="3812"/>
    <cellStyle name="SAPBEXexcBad7 6 2" xfId="6041"/>
    <cellStyle name="SAPBEXexcBad7 6 2 2" xfId="22400"/>
    <cellStyle name="SAPBEXexcBad7 6 2 2 2" xfId="43275"/>
    <cellStyle name="SAPBEXexcBad7 6 2 3" xfId="22875"/>
    <cellStyle name="SAPBEXexcBad7 6 2 3 2" xfId="43749"/>
    <cellStyle name="SAPBEXexcBad7 6 2 4" xfId="20971"/>
    <cellStyle name="SAPBEXexcBad7 6 2 4 2" xfId="41846"/>
    <cellStyle name="SAPBEXexcBad7 6 2 5" xfId="15050"/>
    <cellStyle name="SAPBEXexcBad7 6 2 5 2" xfId="35926"/>
    <cellStyle name="SAPBEXexcBad7 6 2 6" xfId="27188"/>
    <cellStyle name="SAPBEXexcBad7 6 3" xfId="21786"/>
    <cellStyle name="SAPBEXexcBad7 6 3 2" xfId="42661"/>
    <cellStyle name="SAPBEXexcBad7 6 4" xfId="23991"/>
    <cellStyle name="SAPBEXexcBad7 6 4 2" xfId="44863"/>
    <cellStyle name="SAPBEXexcBad7 6 5" xfId="22121"/>
    <cellStyle name="SAPBEXexcBad7 6 5 2" xfId="42996"/>
    <cellStyle name="SAPBEXexcBad7 6 6" xfId="13232"/>
    <cellStyle name="SAPBEXexcBad7 6 6 2" xfId="34108"/>
    <cellStyle name="SAPBEXexcBad7 6 7" xfId="25370"/>
    <cellStyle name="SAPBEXexcBad7 7" xfId="8309"/>
    <cellStyle name="SAPBEXexcBad7 7 2" xfId="22998"/>
    <cellStyle name="SAPBEXexcBad7 7 2 2" xfId="43871"/>
    <cellStyle name="SAPBEXexcBad7 7 3" xfId="22656"/>
    <cellStyle name="SAPBEXexcBad7 7 3 2" xfId="43531"/>
    <cellStyle name="SAPBEXexcBad7 7 4" xfId="23631"/>
    <cellStyle name="SAPBEXexcBad7 7 4 2" xfId="44503"/>
    <cellStyle name="SAPBEXexcBad7 7 5" xfId="17314"/>
    <cellStyle name="SAPBEXexcBad7 7 5 2" xfId="38190"/>
    <cellStyle name="SAPBEXexcBad7 7 6" xfId="29452"/>
    <cellStyle name="SAPBEXexcBad7 8" xfId="10193"/>
    <cellStyle name="SAPBEXexcBad7 8 2" xfId="23478"/>
    <cellStyle name="SAPBEXexcBad7 8 2 2" xfId="44350"/>
    <cellStyle name="SAPBEXexcBad7 8 3" xfId="22688"/>
    <cellStyle name="SAPBEXexcBad7 8 3 2" xfId="43563"/>
    <cellStyle name="SAPBEXexcBad7 8 4" xfId="21322"/>
    <cellStyle name="SAPBEXexcBad7 8 4 2" xfId="42197"/>
    <cellStyle name="SAPBEXexcBad7 8 5" xfId="18964"/>
    <cellStyle name="SAPBEXexcBad7 8 5 2" xfId="39840"/>
    <cellStyle name="SAPBEXexcBad7 8 6" xfId="31104"/>
    <cellStyle name="SAPBEXexcBad7 9" xfId="20885"/>
    <cellStyle name="SAPBEXexcBad7 9 2" xfId="41760"/>
    <cellStyle name="SAPBEXexcBad8" xfId="1147"/>
    <cellStyle name="SAPBEXexcBad8 10" xfId="22672"/>
    <cellStyle name="SAPBEXexcBad8 10 2" xfId="43547"/>
    <cellStyle name="SAPBEXexcBad8 11" xfId="21428"/>
    <cellStyle name="SAPBEXexcBad8 11 2" xfId="42303"/>
    <cellStyle name="SAPBEXexcBad8 12" xfId="12122"/>
    <cellStyle name="SAPBEXexcBad8 12 2" xfId="33022"/>
    <cellStyle name="SAPBEXexcBad8 13" xfId="24163"/>
    <cellStyle name="SAPBEXexcBad8 13 2" xfId="45033"/>
    <cellStyle name="SAPBEXexcBad8 14" xfId="24254"/>
    <cellStyle name="SAPBEXexcBad8 14 2" xfId="45115"/>
    <cellStyle name="SAPBEXexcBad8 2" xfId="2731"/>
    <cellStyle name="SAPBEXexcBad8 2 10" xfId="24360"/>
    <cellStyle name="SAPBEXexcBad8 2 2" xfId="4348"/>
    <cellStyle name="SAPBEXexcBad8 2 2 2" xfId="6202"/>
    <cellStyle name="SAPBEXexcBad8 2 2 2 2" xfId="22507"/>
    <cellStyle name="SAPBEXexcBad8 2 2 2 2 2" xfId="43382"/>
    <cellStyle name="SAPBEXexcBad8 2 2 2 3" xfId="23338"/>
    <cellStyle name="SAPBEXexcBad8 2 2 2 3 2" xfId="44210"/>
    <cellStyle name="SAPBEXexcBad8 2 2 2 4" xfId="23834"/>
    <cellStyle name="SAPBEXexcBad8 2 2 2 4 2" xfId="44706"/>
    <cellStyle name="SAPBEXexcBad8 2 2 2 5" xfId="15211"/>
    <cellStyle name="SAPBEXexcBad8 2 2 2 5 2" xfId="36087"/>
    <cellStyle name="SAPBEXexcBad8 2 2 2 6" xfId="27349"/>
    <cellStyle name="SAPBEXexcBad8 2 2 3" xfId="21963"/>
    <cellStyle name="SAPBEXexcBad8 2 2 3 2" xfId="42838"/>
    <cellStyle name="SAPBEXexcBad8 2 2 4" xfId="21642"/>
    <cellStyle name="SAPBEXexcBad8 2 2 4 2" xfId="42517"/>
    <cellStyle name="SAPBEXexcBad8 2 2 5" xfId="21149"/>
    <cellStyle name="SAPBEXexcBad8 2 2 5 2" xfId="42024"/>
    <cellStyle name="SAPBEXexcBad8 2 2 6" xfId="13393"/>
    <cellStyle name="SAPBEXexcBad8 2 2 6 2" xfId="34269"/>
    <cellStyle name="SAPBEXexcBad8 2 2 7" xfId="25531"/>
    <cellStyle name="SAPBEXexcBad8 2 3" xfId="8315"/>
    <cellStyle name="SAPBEXexcBad8 2 3 2" xfId="23004"/>
    <cellStyle name="SAPBEXexcBad8 2 3 2 2" xfId="43877"/>
    <cellStyle name="SAPBEXexcBad8 2 3 3" xfId="21222"/>
    <cellStyle name="SAPBEXexcBad8 2 3 3 2" xfId="42097"/>
    <cellStyle name="SAPBEXexcBad8 2 3 4" xfId="23170"/>
    <cellStyle name="SAPBEXexcBad8 2 3 4 2" xfId="44043"/>
    <cellStyle name="SAPBEXexcBad8 2 3 5" xfId="17320"/>
    <cellStyle name="SAPBEXexcBad8 2 3 5 2" xfId="38196"/>
    <cellStyle name="SAPBEXexcBad8 2 3 6" xfId="29458"/>
    <cellStyle name="SAPBEXexcBad8 2 4" xfId="10199"/>
    <cellStyle name="SAPBEXexcBad8 2 4 2" xfId="23484"/>
    <cellStyle name="SAPBEXexcBad8 2 4 2 2" xfId="44356"/>
    <cellStyle name="SAPBEXexcBad8 2 4 3" xfId="23684"/>
    <cellStyle name="SAPBEXexcBad8 2 4 3 2" xfId="44556"/>
    <cellStyle name="SAPBEXexcBad8 2 4 4" xfId="24003"/>
    <cellStyle name="SAPBEXexcBad8 2 4 4 2" xfId="44875"/>
    <cellStyle name="SAPBEXexcBad8 2 4 5" xfId="18970"/>
    <cellStyle name="SAPBEXexcBad8 2 4 5 2" xfId="39846"/>
    <cellStyle name="SAPBEXexcBad8 2 4 6" xfId="31110"/>
    <cellStyle name="SAPBEXexcBad8 2 5" xfId="20888"/>
    <cellStyle name="SAPBEXexcBad8 2 5 2" xfId="41763"/>
    <cellStyle name="SAPBEXexcBad8 2 6" xfId="23276"/>
    <cellStyle name="SAPBEXexcBad8 2 6 2" xfId="44149"/>
    <cellStyle name="SAPBEXexcBad8 2 7" xfId="22651"/>
    <cellStyle name="SAPBEXexcBad8 2 7 2" xfId="43526"/>
    <cellStyle name="SAPBEXexcBad8 2 8" xfId="12123"/>
    <cellStyle name="SAPBEXexcBad8 2 8 2" xfId="33023"/>
    <cellStyle name="SAPBEXexcBad8 2 9" xfId="24190"/>
    <cellStyle name="SAPBEXexcBad8 2 9 2" xfId="45058"/>
    <cellStyle name="SAPBEXexcBad8 3" xfId="2732"/>
    <cellStyle name="SAPBEXexcBad8 3 2" xfId="4349"/>
    <cellStyle name="SAPBEXexcBad8 3 2 2" xfId="6203"/>
    <cellStyle name="SAPBEXexcBad8 3 2 2 2" xfId="22508"/>
    <cellStyle name="SAPBEXexcBad8 3 2 2 2 2" xfId="43383"/>
    <cellStyle name="SAPBEXexcBad8 3 2 2 3" xfId="22248"/>
    <cellStyle name="SAPBEXexcBad8 3 2 2 3 2" xfId="43123"/>
    <cellStyle name="SAPBEXexcBad8 3 2 2 4" xfId="21723"/>
    <cellStyle name="SAPBEXexcBad8 3 2 2 4 2" xfId="42598"/>
    <cellStyle name="SAPBEXexcBad8 3 2 2 5" xfId="15212"/>
    <cellStyle name="SAPBEXexcBad8 3 2 2 5 2" xfId="36088"/>
    <cellStyle name="SAPBEXexcBad8 3 2 2 6" xfId="27350"/>
    <cellStyle name="SAPBEXexcBad8 3 2 3" xfId="21964"/>
    <cellStyle name="SAPBEXexcBad8 3 2 3 2" xfId="42839"/>
    <cellStyle name="SAPBEXexcBad8 3 2 4" xfId="21648"/>
    <cellStyle name="SAPBEXexcBad8 3 2 4 2" xfId="42523"/>
    <cellStyle name="SAPBEXexcBad8 3 2 5" xfId="22675"/>
    <cellStyle name="SAPBEXexcBad8 3 2 5 2" xfId="43550"/>
    <cellStyle name="SAPBEXexcBad8 3 2 6" xfId="13394"/>
    <cellStyle name="SAPBEXexcBad8 3 2 6 2" xfId="34270"/>
    <cellStyle name="SAPBEXexcBad8 3 2 7" xfId="25532"/>
    <cellStyle name="SAPBEXexcBad8 3 3" xfId="8316"/>
    <cellStyle name="SAPBEXexcBad8 3 3 2" xfId="23005"/>
    <cellStyle name="SAPBEXexcBad8 3 3 2 2" xfId="43878"/>
    <cellStyle name="SAPBEXexcBad8 3 3 3" xfId="21891"/>
    <cellStyle name="SAPBEXexcBad8 3 3 3 2" xfId="42766"/>
    <cellStyle name="SAPBEXexcBad8 3 3 4" xfId="22187"/>
    <cellStyle name="SAPBEXexcBad8 3 3 4 2" xfId="43062"/>
    <cellStyle name="SAPBEXexcBad8 3 3 5" xfId="17321"/>
    <cellStyle name="SAPBEXexcBad8 3 3 5 2" xfId="38197"/>
    <cellStyle name="SAPBEXexcBad8 3 3 6" xfId="29459"/>
    <cellStyle name="SAPBEXexcBad8 3 4" xfId="10200"/>
    <cellStyle name="SAPBEXexcBad8 3 4 2" xfId="23485"/>
    <cellStyle name="SAPBEXexcBad8 3 4 2 2" xfId="44357"/>
    <cellStyle name="SAPBEXexcBad8 3 4 3" xfId="21707"/>
    <cellStyle name="SAPBEXexcBad8 3 4 3 2" xfId="42582"/>
    <cellStyle name="SAPBEXexcBad8 3 4 4" xfId="22155"/>
    <cellStyle name="SAPBEXexcBad8 3 4 4 2" xfId="43030"/>
    <cellStyle name="SAPBEXexcBad8 3 4 5" xfId="18971"/>
    <cellStyle name="SAPBEXexcBad8 3 4 5 2" xfId="39847"/>
    <cellStyle name="SAPBEXexcBad8 3 4 6" xfId="31111"/>
    <cellStyle name="SAPBEXexcBad8 3 5" xfId="21485"/>
    <cellStyle name="SAPBEXexcBad8 3 5 2" xfId="42360"/>
    <cellStyle name="SAPBEXexcBad8 3 6" xfId="24114"/>
    <cellStyle name="SAPBEXexcBad8 3 6 2" xfId="44985"/>
    <cellStyle name="SAPBEXexcBad8 3 7" xfId="22166"/>
    <cellStyle name="SAPBEXexcBad8 3 7 2" xfId="43041"/>
    <cellStyle name="SAPBEXexcBad8 3 8" xfId="12250"/>
    <cellStyle name="SAPBEXexcBad8 3 8 2" xfId="33139"/>
    <cellStyle name="SAPBEXexcBad8 3 9" xfId="24361"/>
    <cellStyle name="SAPBEXexcBad8 4" xfId="2733"/>
    <cellStyle name="SAPBEXexcBad8 4 2" xfId="4350"/>
    <cellStyle name="SAPBEXexcBad8 4 2 2" xfId="6204"/>
    <cellStyle name="SAPBEXexcBad8 4 2 2 2" xfId="22509"/>
    <cellStyle name="SAPBEXexcBad8 4 2 2 2 2" xfId="43384"/>
    <cellStyle name="SAPBEXexcBad8 4 2 2 3" xfId="22326"/>
    <cellStyle name="SAPBEXexcBad8 4 2 2 3 2" xfId="43201"/>
    <cellStyle name="SAPBEXexcBad8 4 2 2 4" xfId="22734"/>
    <cellStyle name="SAPBEXexcBad8 4 2 2 4 2" xfId="43609"/>
    <cellStyle name="SAPBEXexcBad8 4 2 2 5" xfId="15213"/>
    <cellStyle name="SAPBEXexcBad8 4 2 2 5 2" xfId="36089"/>
    <cellStyle name="SAPBEXexcBad8 4 2 2 6" xfId="27351"/>
    <cellStyle name="SAPBEXexcBad8 4 2 3" xfId="21965"/>
    <cellStyle name="SAPBEXexcBad8 4 2 3 2" xfId="42840"/>
    <cellStyle name="SAPBEXexcBad8 4 2 4" xfId="21601"/>
    <cellStyle name="SAPBEXexcBad8 4 2 4 2" xfId="42476"/>
    <cellStyle name="SAPBEXexcBad8 4 2 5" xfId="24048"/>
    <cellStyle name="SAPBEXexcBad8 4 2 5 2" xfId="44920"/>
    <cellStyle name="SAPBEXexcBad8 4 2 6" xfId="13395"/>
    <cellStyle name="SAPBEXexcBad8 4 2 6 2" xfId="34271"/>
    <cellStyle name="SAPBEXexcBad8 4 2 7" xfId="25533"/>
    <cellStyle name="SAPBEXexcBad8 4 3" xfId="8317"/>
    <cellStyle name="SAPBEXexcBad8 4 3 2" xfId="23006"/>
    <cellStyle name="SAPBEXexcBad8 4 3 2 2" xfId="43879"/>
    <cellStyle name="SAPBEXexcBad8 4 3 3" xfId="22361"/>
    <cellStyle name="SAPBEXexcBad8 4 3 3 2" xfId="43236"/>
    <cellStyle name="SAPBEXexcBad8 4 3 4" xfId="23908"/>
    <cellStyle name="SAPBEXexcBad8 4 3 4 2" xfId="44780"/>
    <cellStyle name="SAPBEXexcBad8 4 3 5" xfId="17322"/>
    <cellStyle name="SAPBEXexcBad8 4 3 5 2" xfId="38198"/>
    <cellStyle name="SAPBEXexcBad8 4 3 6" xfId="29460"/>
    <cellStyle name="SAPBEXexcBad8 4 4" xfId="10201"/>
    <cellStyle name="SAPBEXexcBad8 4 4 2" xfId="23486"/>
    <cellStyle name="SAPBEXexcBad8 4 4 2 2" xfId="44358"/>
    <cellStyle name="SAPBEXexcBad8 4 4 3" xfId="22206"/>
    <cellStyle name="SAPBEXexcBad8 4 4 3 2" xfId="43081"/>
    <cellStyle name="SAPBEXexcBad8 4 4 4" xfId="24038"/>
    <cellStyle name="SAPBEXexcBad8 4 4 4 2" xfId="44910"/>
    <cellStyle name="SAPBEXexcBad8 4 4 5" xfId="18972"/>
    <cellStyle name="SAPBEXexcBad8 4 4 5 2" xfId="39848"/>
    <cellStyle name="SAPBEXexcBad8 4 4 6" xfId="31112"/>
    <cellStyle name="SAPBEXexcBad8 4 5" xfId="21486"/>
    <cellStyle name="SAPBEXexcBad8 4 5 2" xfId="42361"/>
    <cellStyle name="SAPBEXexcBad8 4 6" xfId="23950"/>
    <cellStyle name="SAPBEXexcBad8 4 6 2" xfId="44822"/>
    <cellStyle name="SAPBEXexcBad8 4 7" xfId="23733"/>
    <cellStyle name="SAPBEXexcBad8 4 7 2" xfId="44605"/>
    <cellStyle name="SAPBEXexcBad8 4 8" xfId="12251"/>
    <cellStyle name="SAPBEXexcBad8 4 8 2" xfId="33140"/>
    <cellStyle name="SAPBEXexcBad8 4 9" xfId="24362"/>
    <cellStyle name="SAPBEXexcBad8 5" xfId="2734"/>
    <cellStyle name="SAPBEXexcBad8 5 2" xfId="4351"/>
    <cellStyle name="SAPBEXexcBad8 5 2 2" xfId="6205"/>
    <cellStyle name="SAPBEXexcBad8 5 2 2 2" xfId="22510"/>
    <cellStyle name="SAPBEXexcBad8 5 2 2 2 2" xfId="43385"/>
    <cellStyle name="SAPBEXexcBad8 5 2 2 3" xfId="21617"/>
    <cellStyle name="SAPBEXexcBad8 5 2 2 3 2" xfId="42492"/>
    <cellStyle name="SAPBEXexcBad8 5 2 2 4" xfId="24070"/>
    <cellStyle name="SAPBEXexcBad8 5 2 2 4 2" xfId="44942"/>
    <cellStyle name="SAPBEXexcBad8 5 2 2 5" xfId="15214"/>
    <cellStyle name="SAPBEXexcBad8 5 2 2 5 2" xfId="36090"/>
    <cellStyle name="SAPBEXexcBad8 5 2 2 6" xfId="27352"/>
    <cellStyle name="SAPBEXexcBad8 5 2 3" xfId="21966"/>
    <cellStyle name="SAPBEXexcBad8 5 2 3 2" xfId="42841"/>
    <cellStyle name="SAPBEXexcBad8 5 2 4" xfId="22193"/>
    <cellStyle name="SAPBEXexcBad8 5 2 4 2" xfId="43068"/>
    <cellStyle name="SAPBEXexcBad8 5 2 5" xfId="22325"/>
    <cellStyle name="SAPBEXexcBad8 5 2 5 2" xfId="43200"/>
    <cellStyle name="SAPBEXexcBad8 5 2 6" xfId="13396"/>
    <cellStyle name="SAPBEXexcBad8 5 2 6 2" xfId="34272"/>
    <cellStyle name="SAPBEXexcBad8 5 2 7" xfId="25534"/>
    <cellStyle name="SAPBEXexcBad8 5 3" xfId="8318"/>
    <cellStyle name="SAPBEXexcBad8 5 3 2" xfId="23007"/>
    <cellStyle name="SAPBEXexcBad8 5 3 2 2" xfId="43880"/>
    <cellStyle name="SAPBEXexcBad8 5 3 3" xfId="22743"/>
    <cellStyle name="SAPBEXexcBad8 5 3 3 2" xfId="43618"/>
    <cellStyle name="SAPBEXexcBad8 5 3 4" xfId="23198"/>
    <cellStyle name="SAPBEXexcBad8 5 3 4 2" xfId="44071"/>
    <cellStyle name="SAPBEXexcBad8 5 3 5" xfId="17323"/>
    <cellStyle name="SAPBEXexcBad8 5 3 5 2" xfId="38199"/>
    <cellStyle name="SAPBEXexcBad8 5 3 6" xfId="29461"/>
    <cellStyle name="SAPBEXexcBad8 5 4" xfId="10202"/>
    <cellStyle name="SAPBEXexcBad8 5 4 2" xfId="23487"/>
    <cellStyle name="SAPBEXexcBad8 5 4 2 2" xfId="44359"/>
    <cellStyle name="SAPBEXexcBad8 5 4 3" xfId="23290"/>
    <cellStyle name="SAPBEXexcBad8 5 4 3 2" xfId="44162"/>
    <cellStyle name="SAPBEXexcBad8 5 4 4" xfId="22892"/>
    <cellStyle name="SAPBEXexcBad8 5 4 4 2" xfId="43766"/>
    <cellStyle name="SAPBEXexcBad8 5 4 5" xfId="18973"/>
    <cellStyle name="SAPBEXexcBad8 5 4 5 2" xfId="39849"/>
    <cellStyle name="SAPBEXexcBad8 5 4 6" xfId="31113"/>
    <cellStyle name="SAPBEXexcBad8 5 5" xfId="21487"/>
    <cellStyle name="SAPBEXexcBad8 5 5 2" xfId="42362"/>
    <cellStyle name="SAPBEXexcBad8 5 6" xfId="23744"/>
    <cellStyle name="SAPBEXexcBad8 5 6 2" xfId="44616"/>
    <cellStyle name="SAPBEXexcBad8 5 7" xfId="23777"/>
    <cellStyle name="SAPBEXexcBad8 5 7 2" xfId="44649"/>
    <cellStyle name="SAPBEXexcBad8 5 8" xfId="12252"/>
    <cellStyle name="SAPBEXexcBad8 5 8 2" xfId="33141"/>
    <cellStyle name="SAPBEXexcBad8 5 9" xfId="24363"/>
    <cellStyle name="SAPBEXexcBad8 6" xfId="3813"/>
    <cellStyle name="SAPBEXexcBad8 6 2" xfId="6042"/>
    <cellStyle name="SAPBEXexcBad8 6 2 2" xfId="22401"/>
    <cellStyle name="SAPBEXexcBad8 6 2 2 2" xfId="43276"/>
    <cellStyle name="SAPBEXexcBad8 6 2 3" xfId="23279"/>
    <cellStyle name="SAPBEXexcBad8 6 2 3 2" xfId="44152"/>
    <cellStyle name="SAPBEXexcBad8 6 2 4" xfId="21055"/>
    <cellStyle name="SAPBEXexcBad8 6 2 4 2" xfId="41930"/>
    <cellStyle name="SAPBEXexcBad8 6 2 5" xfId="15051"/>
    <cellStyle name="SAPBEXexcBad8 6 2 5 2" xfId="35927"/>
    <cellStyle name="SAPBEXexcBad8 6 2 6" xfId="27189"/>
    <cellStyle name="SAPBEXexcBad8 6 3" xfId="21787"/>
    <cellStyle name="SAPBEXexcBad8 6 3 2" xfId="42662"/>
    <cellStyle name="SAPBEXexcBad8 6 4" xfId="21210"/>
    <cellStyle name="SAPBEXexcBad8 6 4 2" xfId="42085"/>
    <cellStyle name="SAPBEXexcBad8 6 5" xfId="22348"/>
    <cellStyle name="SAPBEXexcBad8 6 5 2" xfId="43223"/>
    <cellStyle name="SAPBEXexcBad8 6 6" xfId="13233"/>
    <cellStyle name="SAPBEXexcBad8 6 6 2" xfId="34109"/>
    <cellStyle name="SAPBEXexcBad8 6 7" xfId="25371"/>
    <cellStyle name="SAPBEXexcBad8 7" xfId="8314"/>
    <cellStyle name="SAPBEXexcBad8 7 2" xfId="23003"/>
    <cellStyle name="SAPBEXexcBad8 7 2 2" xfId="43876"/>
    <cellStyle name="SAPBEXexcBad8 7 3" xfId="23757"/>
    <cellStyle name="SAPBEXexcBad8 7 3 2" xfId="44629"/>
    <cellStyle name="SAPBEXexcBad8 7 4" xfId="24041"/>
    <cellStyle name="SAPBEXexcBad8 7 4 2" xfId="44913"/>
    <cellStyle name="SAPBEXexcBad8 7 5" xfId="17319"/>
    <cellStyle name="SAPBEXexcBad8 7 5 2" xfId="38195"/>
    <cellStyle name="SAPBEXexcBad8 7 6" xfId="29457"/>
    <cellStyle name="SAPBEXexcBad8 8" xfId="10198"/>
    <cellStyle name="SAPBEXexcBad8 8 2" xfId="23483"/>
    <cellStyle name="SAPBEXexcBad8 8 2 2" xfId="44355"/>
    <cellStyle name="SAPBEXexcBad8 8 3" xfId="23355"/>
    <cellStyle name="SAPBEXexcBad8 8 3 2" xfId="44227"/>
    <cellStyle name="SAPBEXexcBad8 8 4" xfId="21199"/>
    <cellStyle name="SAPBEXexcBad8 8 4 2" xfId="42074"/>
    <cellStyle name="SAPBEXexcBad8 8 5" xfId="18969"/>
    <cellStyle name="SAPBEXexcBad8 8 5 2" xfId="39845"/>
    <cellStyle name="SAPBEXexcBad8 8 6" xfId="31109"/>
    <cellStyle name="SAPBEXexcBad8 9" xfId="20887"/>
    <cellStyle name="SAPBEXexcBad8 9 2" xfId="41762"/>
    <cellStyle name="SAPBEXexcBad9" xfId="1148"/>
    <cellStyle name="SAPBEXexcBad9 10" xfId="21610"/>
    <cellStyle name="SAPBEXexcBad9 10 2" xfId="42485"/>
    <cellStyle name="SAPBEXexcBad9 11" xfId="21089"/>
    <cellStyle name="SAPBEXexcBad9 11 2" xfId="41964"/>
    <cellStyle name="SAPBEXexcBad9 12" xfId="12124"/>
    <cellStyle name="SAPBEXexcBad9 12 2" xfId="33024"/>
    <cellStyle name="SAPBEXexcBad9 13" xfId="24162"/>
    <cellStyle name="SAPBEXexcBad9 13 2" xfId="45032"/>
    <cellStyle name="SAPBEXexcBad9 14" xfId="24255"/>
    <cellStyle name="SAPBEXexcBad9 14 2" xfId="45116"/>
    <cellStyle name="SAPBEXexcBad9 2" xfId="2735"/>
    <cellStyle name="SAPBEXexcBad9 2 10" xfId="24364"/>
    <cellStyle name="SAPBEXexcBad9 2 2" xfId="4352"/>
    <cellStyle name="SAPBEXexcBad9 2 2 2" xfId="6206"/>
    <cellStyle name="SAPBEXexcBad9 2 2 2 2" xfId="22511"/>
    <cellStyle name="SAPBEXexcBad9 2 2 2 2 2" xfId="43386"/>
    <cellStyle name="SAPBEXexcBad9 2 2 2 3" xfId="24012"/>
    <cellStyle name="SAPBEXexcBad9 2 2 2 3 2" xfId="44884"/>
    <cellStyle name="SAPBEXexcBad9 2 2 2 4" xfId="22389"/>
    <cellStyle name="SAPBEXexcBad9 2 2 2 4 2" xfId="43264"/>
    <cellStyle name="SAPBEXexcBad9 2 2 2 5" xfId="15215"/>
    <cellStyle name="SAPBEXexcBad9 2 2 2 5 2" xfId="36091"/>
    <cellStyle name="SAPBEXexcBad9 2 2 2 6" xfId="27353"/>
    <cellStyle name="SAPBEXexcBad9 2 2 3" xfId="21967"/>
    <cellStyle name="SAPBEXexcBad9 2 2 3 2" xfId="42842"/>
    <cellStyle name="SAPBEXexcBad9 2 2 4" xfId="21732"/>
    <cellStyle name="SAPBEXexcBad9 2 2 4 2" xfId="42607"/>
    <cellStyle name="SAPBEXexcBad9 2 2 5" xfId="23424"/>
    <cellStyle name="SAPBEXexcBad9 2 2 5 2" xfId="44296"/>
    <cellStyle name="SAPBEXexcBad9 2 2 6" xfId="13397"/>
    <cellStyle name="SAPBEXexcBad9 2 2 6 2" xfId="34273"/>
    <cellStyle name="SAPBEXexcBad9 2 2 7" xfId="25535"/>
    <cellStyle name="SAPBEXexcBad9 2 3" xfId="8320"/>
    <cellStyle name="SAPBEXexcBad9 2 3 2" xfId="23009"/>
    <cellStyle name="SAPBEXexcBad9 2 3 2 2" xfId="43882"/>
    <cellStyle name="SAPBEXexcBad9 2 3 3" xfId="22755"/>
    <cellStyle name="SAPBEXexcBad9 2 3 3 2" xfId="43630"/>
    <cellStyle name="SAPBEXexcBad9 2 3 4" xfId="22315"/>
    <cellStyle name="SAPBEXexcBad9 2 3 4 2" xfId="43190"/>
    <cellStyle name="SAPBEXexcBad9 2 3 5" xfId="17325"/>
    <cellStyle name="SAPBEXexcBad9 2 3 5 2" xfId="38201"/>
    <cellStyle name="SAPBEXexcBad9 2 3 6" xfId="29463"/>
    <cellStyle name="SAPBEXexcBad9 2 4" xfId="10204"/>
    <cellStyle name="SAPBEXexcBad9 2 4 2" xfId="23489"/>
    <cellStyle name="SAPBEXexcBad9 2 4 2 2" xfId="44361"/>
    <cellStyle name="SAPBEXexcBad9 2 4 3" xfId="23326"/>
    <cellStyle name="SAPBEXexcBad9 2 4 3 2" xfId="44198"/>
    <cellStyle name="SAPBEXexcBad9 2 4 4" xfId="23835"/>
    <cellStyle name="SAPBEXexcBad9 2 4 4 2" xfId="44707"/>
    <cellStyle name="SAPBEXexcBad9 2 4 5" xfId="18975"/>
    <cellStyle name="SAPBEXexcBad9 2 4 5 2" xfId="39851"/>
    <cellStyle name="SAPBEXexcBad9 2 4 6" xfId="31115"/>
    <cellStyle name="SAPBEXexcBad9 2 5" xfId="20890"/>
    <cellStyle name="SAPBEXexcBad9 2 5 2" xfId="41765"/>
    <cellStyle name="SAPBEXexcBad9 2 6" xfId="22888"/>
    <cellStyle name="SAPBEXexcBad9 2 6 2" xfId="43762"/>
    <cellStyle name="SAPBEXexcBad9 2 7" xfId="21213"/>
    <cellStyle name="SAPBEXexcBad9 2 7 2" xfId="42088"/>
    <cellStyle name="SAPBEXexcBad9 2 8" xfId="12125"/>
    <cellStyle name="SAPBEXexcBad9 2 8 2" xfId="33025"/>
    <cellStyle name="SAPBEXexcBad9 2 9" xfId="24191"/>
    <cellStyle name="SAPBEXexcBad9 2 9 2" xfId="45059"/>
    <cellStyle name="SAPBEXexcBad9 3" xfId="2736"/>
    <cellStyle name="SAPBEXexcBad9 3 2" xfId="4353"/>
    <cellStyle name="SAPBEXexcBad9 3 2 2" xfId="6207"/>
    <cellStyle name="SAPBEXexcBad9 3 2 2 2" xfId="22512"/>
    <cellStyle name="SAPBEXexcBad9 3 2 2 2 2" xfId="43387"/>
    <cellStyle name="SAPBEXexcBad9 3 2 2 3" xfId="21623"/>
    <cellStyle name="SAPBEXexcBad9 3 2 2 3 2" xfId="42498"/>
    <cellStyle name="SAPBEXexcBad9 3 2 2 4" xfId="24072"/>
    <cellStyle name="SAPBEXexcBad9 3 2 2 4 2" xfId="44944"/>
    <cellStyle name="SAPBEXexcBad9 3 2 2 5" xfId="15216"/>
    <cellStyle name="SAPBEXexcBad9 3 2 2 5 2" xfId="36092"/>
    <cellStyle name="SAPBEXexcBad9 3 2 2 6" xfId="27354"/>
    <cellStyle name="SAPBEXexcBad9 3 2 3" xfId="21968"/>
    <cellStyle name="SAPBEXexcBad9 3 2 3 2" xfId="42843"/>
    <cellStyle name="SAPBEXexcBad9 3 2 4" xfId="23255"/>
    <cellStyle name="SAPBEXexcBad9 3 2 4 2" xfId="44128"/>
    <cellStyle name="SAPBEXexcBad9 3 2 5" xfId="22129"/>
    <cellStyle name="SAPBEXexcBad9 3 2 5 2" xfId="43004"/>
    <cellStyle name="SAPBEXexcBad9 3 2 6" xfId="13398"/>
    <cellStyle name="SAPBEXexcBad9 3 2 6 2" xfId="34274"/>
    <cellStyle name="SAPBEXexcBad9 3 2 7" xfId="25536"/>
    <cellStyle name="SAPBEXexcBad9 3 3" xfId="8321"/>
    <cellStyle name="SAPBEXexcBad9 3 3 2" xfId="23010"/>
    <cellStyle name="SAPBEXexcBad9 3 3 2 2" xfId="43883"/>
    <cellStyle name="SAPBEXexcBad9 3 3 3" xfId="21228"/>
    <cellStyle name="SAPBEXexcBad9 3 3 3 2" xfId="42103"/>
    <cellStyle name="SAPBEXexcBad9 3 3 4" xfId="21869"/>
    <cellStyle name="SAPBEXexcBad9 3 3 4 2" xfId="42744"/>
    <cellStyle name="SAPBEXexcBad9 3 3 5" xfId="17326"/>
    <cellStyle name="SAPBEXexcBad9 3 3 5 2" xfId="38202"/>
    <cellStyle name="SAPBEXexcBad9 3 3 6" xfId="29464"/>
    <cellStyle name="SAPBEXexcBad9 3 4" xfId="10205"/>
    <cellStyle name="SAPBEXexcBad9 3 4 2" xfId="23490"/>
    <cellStyle name="SAPBEXexcBad9 3 4 2 2" xfId="44362"/>
    <cellStyle name="SAPBEXexcBad9 3 4 3" xfId="23442"/>
    <cellStyle name="SAPBEXexcBad9 3 4 3 2" xfId="44314"/>
    <cellStyle name="SAPBEXexcBad9 3 4 4" xfId="21319"/>
    <cellStyle name="SAPBEXexcBad9 3 4 4 2" xfId="42194"/>
    <cellStyle name="SAPBEXexcBad9 3 4 5" xfId="18976"/>
    <cellStyle name="SAPBEXexcBad9 3 4 5 2" xfId="39852"/>
    <cellStyle name="SAPBEXexcBad9 3 4 6" xfId="31116"/>
    <cellStyle name="SAPBEXexcBad9 3 5" xfId="21488"/>
    <cellStyle name="SAPBEXexcBad9 3 5 2" xfId="42363"/>
    <cellStyle name="SAPBEXexcBad9 3 6" xfId="24077"/>
    <cellStyle name="SAPBEXexcBad9 3 6 2" xfId="44949"/>
    <cellStyle name="SAPBEXexcBad9 3 7" xfId="23762"/>
    <cellStyle name="SAPBEXexcBad9 3 7 2" xfId="44634"/>
    <cellStyle name="SAPBEXexcBad9 3 8" xfId="12253"/>
    <cellStyle name="SAPBEXexcBad9 3 8 2" xfId="33142"/>
    <cellStyle name="SAPBEXexcBad9 3 9" xfId="24365"/>
    <cellStyle name="SAPBEXexcBad9 4" xfId="2737"/>
    <cellStyle name="SAPBEXexcBad9 4 2" xfId="4354"/>
    <cellStyle name="SAPBEXexcBad9 4 2 2" xfId="6208"/>
    <cellStyle name="SAPBEXexcBad9 4 2 2 2" xfId="22513"/>
    <cellStyle name="SAPBEXexcBad9 4 2 2 2 2" xfId="43388"/>
    <cellStyle name="SAPBEXexcBad9 4 2 2 3" xfId="21041"/>
    <cellStyle name="SAPBEXexcBad9 4 2 2 3 2" xfId="41916"/>
    <cellStyle name="SAPBEXexcBad9 4 2 2 4" xfId="23826"/>
    <cellStyle name="SAPBEXexcBad9 4 2 2 4 2" xfId="44698"/>
    <cellStyle name="SAPBEXexcBad9 4 2 2 5" xfId="15217"/>
    <cellStyle name="SAPBEXexcBad9 4 2 2 5 2" xfId="36093"/>
    <cellStyle name="SAPBEXexcBad9 4 2 2 6" xfId="27355"/>
    <cellStyle name="SAPBEXexcBad9 4 2 3" xfId="21969"/>
    <cellStyle name="SAPBEXexcBad9 4 2 3 2" xfId="42844"/>
    <cellStyle name="SAPBEXexcBad9 4 2 4" xfId="24024"/>
    <cellStyle name="SAPBEXexcBad9 4 2 4 2" xfId="44896"/>
    <cellStyle name="SAPBEXexcBad9 4 2 5" xfId="22663"/>
    <cellStyle name="SAPBEXexcBad9 4 2 5 2" xfId="43538"/>
    <cellStyle name="SAPBEXexcBad9 4 2 6" xfId="13399"/>
    <cellStyle name="SAPBEXexcBad9 4 2 6 2" xfId="34275"/>
    <cellStyle name="SAPBEXexcBad9 4 2 7" xfId="25537"/>
    <cellStyle name="SAPBEXexcBad9 4 3" xfId="8322"/>
    <cellStyle name="SAPBEXexcBad9 4 3 2" xfId="23011"/>
    <cellStyle name="SAPBEXexcBad9 4 3 2 2" xfId="43884"/>
    <cellStyle name="SAPBEXexcBad9 4 3 3" xfId="21889"/>
    <cellStyle name="SAPBEXexcBad9 4 3 3 2" xfId="42764"/>
    <cellStyle name="SAPBEXexcBad9 4 3 4" xfId="21080"/>
    <cellStyle name="SAPBEXexcBad9 4 3 4 2" xfId="41955"/>
    <cellStyle name="SAPBEXexcBad9 4 3 5" xfId="17327"/>
    <cellStyle name="SAPBEXexcBad9 4 3 5 2" xfId="38203"/>
    <cellStyle name="SAPBEXexcBad9 4 3 6" xfId="29465"/>
    <cellStyle name="SAPBEXexcBad9 4 4" xfId="10206"/>
    <cellStyle name="SAPBEXexcBad9 4 4 2" xfId="23491"/>
    <cellStyle name="SAPBEXexcBad9 4 4 2 2" xfId="44363"/>
    <cellStyle name="SAPBEXexcBad9 4 4 3" xfId="23661"/>
    <cellStyle name="SAPBEXexcBad9 4 4 3 2" xfId="44533"/>
    <cellStyle name="SAPBEXexcBad9 4 4 4" xfId="20987"/>
    <cellStyle name="SAPBEXexcBad9 4 4 4 2" xfId="41862"/>
    <cellStyle name="SAPBEXexcBad9 4 4 5" xfId="18977"/>
    <cellStyle name="SAPBEXexcBad9 4 4 5 2" xfId="39853"/>
    <cellStyle name="SAPBEXexcBad9 4 4 6" xfId="31117"/>
    <cellStyle name="SAPBEXexcBad9 4 5" xfId="21489"/>
    <cellStyle name="SAPBEXexcBad9 4 5 2" xfId="42364"/>
    <cellStyle name="SAPBEXexcBad9 4 6" xfId="20853"/>
    <cellStyle name="SAPBEXexcBad9 4 6 2" xfId="41729"/>
    <cellStyle name="SAPBEXexcBad9 4 7" xfId="22383"/>
    <cellStyle name="SAPBEXexcBad9 4 7 2" xfId="43258"/>
    <cellStyle name="SAPBEXexcBad9 4 8" xfId="12254"/>
    <cellStyle name="SAPBEXexcBad9 4 8 2" xfId="33143"/>
    <cellStyle name="SAPBEXexcBad9 4 9" xfId="24366"/>
    <cellStyle name="SAPBEXexcBad9 5" xfId="2738"/>
    <cellStyle name="SAPBEXexcBad9 5 2" xfId="4355"/>
    <cellStyle name="SAPBEXexcBad9 5 2 2" xfId="6209"/>
    <cellStyle name="SAPBEXexcBad9 5 2 2 2" xfId="22514"/>
    <cellStyle name="SAPBEXexcBad9 5 2 2 2 2" xfId="43389"/>
    <cellStyle name="SAPBEXexcBad9 5 2 2 3" xfId="21108"/>
    <cellStyle name="SAPBEXexcBad9 5 2 2 3 2" xfId="41983"/>
    <cellStyle name="SAPBEXexcBad9 5 2 2 4" xfId="21729"/>
    <cellStyle name="SAPBEXexcBad9 5 2 2 4 2" xfId="42604"/>
    <cellStyle name="SAPBEXexcBad9 5 2 2 5" xfId="15218"/>
    <cellStyle name="SAPBEXexcBad9 5 2 2 5 2" xfId="36094"/>
    <cellStyle name="SAPBEXexcBad9 5 2 2 6" xfId="27356"/>
    <cellStyle name="SAPBEXexcBad9 5 2 3" xfId="21970"/>
    <cellStyle name="SAPBEXexcBad9 5 2 3 2" xfId="42845"/>
    <cellStyle name="SAPBEXexcBad9 5 2 4" xfId="23257"/>
    <cellStyle name="SAPBEXexcBad9 5 2 4 2" xfId="44130"/>
    <cellStyle name="SAPBEXexcBad9 5 2 5" xfId="21593"/>
    <cellStyle name="SAPBEXexcBad9 5 2 5 2" xfId="42468"/>
    <cellStyle name="SAPBEXexcBad9 5 2 6" xfId="13400"/>
    <cellStyle name="SAPBEXexcBad9 5 2 6 2" xfId="34276"/>
    <cellStyle name="SAPBEXexcBad9 5 2 7" xfId="25538"/>
    <cellStyle name="SAPBEXexcBad9 5 3" xfId="8323"/>
    <cellStyle name="SAPBEXexcBad9 5 3 2" xfId="23012"/>
    <cellStyle name="SAPBEXexcBad9 5 3 2 2" xfId="43885"/>
    <cellStyle name="SAPBEXexcBad9 5 3 3" xfId="23342"/>
    <cellStyle name="SAPBEXexcBad9 5 3 3 2" xfId="44214"/>
    <cellStyle name="SAPBEXexcBad9 5 3 4" xfId="21015"/>
    <cellStyle name="SAPBEXexcBad9 5 3 4 2" xfId="41890"/>
    <cellStyle name="SAPBEXexcBad9 5 3 5" xfId="17328"/>
    <cellStyle name="SAPBEXexcBad9 5 3 5 2" xfId="38204"/>
    <cellStyle name="SAPBEXexcBad9 5 3 6" xfId="29466"/>
    <cellStyle name="SAPBEXexcBad9 5 4" xfId="10207"/>
    <cellStyle name="SAPBEXexcBad9 5 4 2" xfId="23492"/>
    <cellStyle name="SAPBEXexcBad9 5 4 2 2" xfId="44364"/>
    <cellStyle name="SAPBEXexcBad9 5 4 3" xfId="23810"/>
    <cellStyle name="SAPBEXexcBad9 5 4 3 2" xfId="44682"/>
    <cellStyle name="SAPBEXexcBad9 5 4 4" xfId="21196"/>
    <cellStyle name="SAPBEXexcBad9 5 4 4 2" xfId="42071"/>
    <cellStyle name="SAPBEXexcBad9 5 4 5" xfId="18978"/>
    <cellStyle name="SAPBEXexcBad9 5 4 5 2" xfId="39854"/>
    <cellStyle name="SAPBEXexcBad9 5 4 6" xfId="31118"/>
    <cellStyle name="SAPBEXexcBad9 5 5" xfId="21490"/>
    <cellStyle name="SAPBEXexcBad9 5 5 2" xfId="42365"/>
    <cellStyle name="SAPBEXexcBad9 5 6" xfId="21272"/>
    <cellStyle name="SAPBEXexcBad9 5 6 2" xfId="42147"/>
    <cellStyle name="SAPBEXexcBad9 5 7" xfId="23390"/>
    <cellStyle name="SAPBEXexcBad9 5 7 2" xfId="44262"/>
    <cellStyle name="SAPBEXexcBad9 5 8" xfId="12255"/>
    <cellStyle name="SAPBEXexcBad9 5 8 2" xfId="33144"/>
    <cellStyle name="SAPBEXexcBad9 5 9" xfId="24367"/>
    <cellStyle name="SAPBEXexcBad9 6" xfId="3814"/>
    <cellStyle name="SAPBEXexcBad9 6 2" xfId="6043"/>
    <cellStyle name="SAPBEXexcBad9 6 2 2" xfId="22402"/>
    <cellStyle name="SAPBEXexcBad9 6 2 2 2" xfId="43277"/>
    <cellStyle name="SAPBEXexcBad9 6 2 3" xfId="24099"/>
    <cellStyle name="SAPBEXexcBad9 6 2 3 2" xfId="44970"/>
    <cellStyle name="SAPBEXexcBad9 6 2 4" xfId="23924"/>
    <cellStyle name="SAPBEXexcBad9 6 2 4 2" xfId="44796"/>
    <cellStyle name="SAPBEXexcBad9 6 2 5" xfId="15052"/>
    <cellStyle name="SAPBEXexcBad9 6 2 5 2" xfId="35928"/>
    <cellStyle name="SAPBEXexcBad9 6 2 6" xfId="27190"/>
    <cellStyle name="SAPBEXexcBad9 6 3" xfId="21788"/>
    <cellStyle name="SAPBEXexcBad9 6 3 2" xfId="42663"/>
    <cellStyle name="SAPBEXexcBad9 6 4" xfId="23382"/>
    <cellStyle name="SAPBEXexcBad9 6 4 2" xfId="44254"/>
    <cellStyle name="SAPBEXexcBad9 6 5" xfId="23906"/>
    <cellStyle name="SAPBEXexcBad9 6 5 2" xfId="44778"/>
    <cellStyle name="SAPBEXexcBad9 6 6" xfId="13234"/>
    <cellStyle name="SAPBEXexcBad9 6 6 2" xfId="34110"/>
    <cellStyle name="SAPBEXexcBad9 6 7" xfId="25372"/>
    <cellStyle name="SAPBEXexcBad9 7" xfId="8319"/>
    <cellStyle name="SAPBEXexcBad9 7 2" xfId="23008"/>
    <cellStyle name="SAPBEXexcBad9 7 2 2" xfId="43881"/>
    <cellStyle name="SAPBEXexcBad9 7 3" xfId="23915"/>
    <cellStyle name="SAPBEXexcBad9 7 3 2" xfId="44787"/>
    <cellStyle name="SAPBEXexcBad9 7 4" xfId="22885"/>
    <cellStyle name="SAPBEXexcBad9 7 4 2" xfId="43759"/>
    <cellStyle name="SAPBEXexcBad9 7 5" xfId="17324"/>
    <cellStyle name="SAPBEXexcBad9 7 5 2" xfId="38200"/>
    <cellStyle name="SAPBEXexcBad9 7 6" xfId="29462"/>
    <cellStyle name="SAPBEXexcBad9 8" xfId="10203"/>
    <cellStyle name="SAPBEXexcBad9 8 2" xfId="23488"/>
    <cellStyle name="SAPBEXexcBad9 8 2 2" xfId="44360"/>
    <cellStyle name="SAPBEXexcBad9 8 3" xfId="21634"/>
    <cellStyle name="SAPBEXexcBad9 8 3 2" xfId="42509"/>
    <cellStyle name="SAPBEXexcBad9 8 4" xfId="22642"/>
    <cellStyle name="SAPBEXexcBad9 8 4 2" xfId="43517"/>
    <cellStyle name="SAPBEXexcBad9 8 5" xfId="18974"/>
    <cellStyle name="SAPBEXexcBad9 8 5 2" xfId="39850"/>
    <cellStyle name="SAPBEXexcBad9 8 6" xfId="31114"/>
    <cellStyle name="SAPBEXexcBad9 9" xfId="20889"/>
    <cellStyle name="SAPBEXexcBad9 9 2" xfId="41764"/>
    <cellStyle name="SAPBEXexcCritical4" xfId="1149"/>
    <cellStyle name="SAPBEXexcCritical4 10" xfId="23207"/>
    <cellStyle name="SAPBEXexcCritical4 10 2" xfId="44080"/>
    <cellStyle name="SAPBEXexcCritical4 11" xfId="23979"/>
    <cellStyle name="SAPBEXexcCritical4 11 2" xfId="44851"/>
    <cellStyle name="SAPBEXexcCritical4 12" xfId="12126"/>
    <cellStyle name="SAPBEXexcCritical4 12 2" xfId="33026"/>
    <cellStyle name="SAPBEXexcCritical4 13" xfId="24161"/>
    <cellStyle name="SAPBEXexcCritical4 13 2" xfId="45031"/>
    <cellStyle name="SAPBEXexcCritical4 14" xfId="24256"/>
    <cellStyle name="SAPBEXexcCritical4 14 2" xfId="45117"/>
    <cellStyle name="SAPBEXexcCritical4 2" xfId="2739"/>
    <cellStyle name="SAPBEXexcCritical4 2 10" xfId="24368"/>
    <cellStyle name="SAPBEXexcCritical4 2 2" xfId="4356"/>
    <cellStyle name="SAPBEXexcCritical4 2 2 2" xfId="6210"/>
    <cellStyle name="SAPBEXexcCritical4 2 2 2 2" xfId="22515"/>
    <cellStyle name="SAPBEXexcCritical4 2 2 2 2 2" xfId="43390"/>
    <cellStyle name="SAPBEXexcCritical4 2 2 2 3" xfId="22632"/>
    <cellStyle name="SAPBEXexcCritical4 2 2 2 3 2" xfId="43507"/>
    <cellStyle name="SAPBEXexcCritical4 2 2 2 4" xfId="21819"/>
    <cellStyle name="SAPBEXexcCritical4 2 2 2 4 2" xfId="42694"/>
    <cellStyle name="SAPBEXexcCritical4 2 2 2 5" xfId="15219"/>
    <cellStyle name="SAPBEXexcCritical4 2 2 2 5 2" xfId="36095"/>
    <cellStyle name="SAPBEXexcCritical4 2 2 2 6" xfId="27357"/>
    <cellStyle name="SAPBEXexcCritical4 2 2 3" xfId="21971"/>
    <cellStyle name="SAPBEXexcCritical4 2 2 3 2" xfId="42846"/>
    <cellStyle name="SAPBEXexcCritical4 2 2 4" xfId="23988"/>
    <cellStyle name="SAPBEXexcCritical4 2 2 4 2" xfId="44860"/>
    <cellStyle name="SAPBEXexcCritical4 2 2 5" xfId="23265"/>
    <cellStyle name="SAPBEXexcCritical4 2 2 5 2" xfId="44138"/>
    <cellStyle name="SAPBEXexcCritical4 2 2 6" xfId="13401"/>
    <cellStyle name="SAPBEXexcCritical4 2 2 6 2" xfId="34277"/>
    <cellStyle name="SAPBEXexcCritical4 2 2 7" xfId="25539"/>
    <cellStyle name="SAPBEXexcCritical4 2 3" xfId="8325"/>
    <cellStyle name="SAPBEXexcCritical4 2 3 2" xfId="23014"/>
    <cellStyle name="SAPBEXexcCritical4 2 3 2 2" xfId="43887"/>
    <cellStyle name="SAPBEXexcCritical4 2 3 3" xfId="21224"/>
    <cellStyle name="SAPBEXexcCritical4 2 3 3 2" xfId="42099"/>
    <cellStyle name="SAPBEXexcCritical4 2 3 4" xfId="20947"/>
    <cellStyle name="SAPBEXexcCritical4 2 3 4 2" xfId="41822"/>
    <cellStyle name="SAPBEXexcCritical4 2 3 5" xfId="17330"/>
    <cellStyle name="SAPBEXexcCritical4 2 3 5 2" xfId="38206"/>
    <cellStyle name="SAPBEXexcCritical4 2 3 6" xfId="29468"/>
    <cellStyle name="SAPBEXexcCritical4 2 4" xfId="10209"/>
    <cellStyle name="SAPBEXexcCritical4 2 4 2" xfId="23494"/>
    <cellStyle name="SAPBEXexcCritical4 2 4 2 2" xfId="44366"/>
    <cellStyle name="SAPBEXexcCritical4 2 4 3" xfId="23690"/>
    <cellStyle name="SAPBEXexcCritical4 2 4 3 2" xfId="44562"/>
    <cellStyle name="SAPBEXexcCritical4 2 4 4" xfId="23381"/>
    <cellStyle name="SAPBEXexcCritical4 2 4 4 2" xfId="44253"/>
    <cellStyle name="SAPBEXexcCritical4 2 4 5" xfId="18980"/>
    <cellStyle name="SAPBEXexcCritical4 2 4 5 2" xfId="39856"/>
    <cellStyle name="SAPBEXexcCritical4 2 4 6" xfId="31120"/>
    <cellStyle name="SAPBEXexcCritical4 2 5" xfId="20892"/>
    <cellStyle name="SAPBEXexcCritical4 2 5 2" xfId="41767"/>
    <cellStyle name="SAPBEXexcCritical4 2 6" xfId="21061"/>
    <cellStyle name="SAPBEXexcCritical4 2 6 2" xfId="41936"/>
    <cellStyle name="SAPBEXexcCritical4 2 7" xfId="23876"/>
    <cellStyle name="SAPBEXexcCritical4 2 7 2" xfId="44748"/>
    <cellStyle name="SAPBEXexcCritical4 2 8" xfId="12127"/>
    <cellStyle name="SAPBEXexcCritical4 2 8 2" xfId="33027"/>
    <cellStyle name="SAPBEXexcCritical4 2 9" xfId="24192"/>
    <cellStyle name="SAPBEXexcCritical4 2 9 2" xfId="45060"/>
    <cellStyle name="SAPBEXexcCritical4 3" xfId="2740"/>
    <cellStyle name="SAPBEXexcCritical4 3 2" xfId="4357"/>
    <cellStyle name="SAPBEXexcCritical4 3 2 2" xfId="6211"/>
    <cellStyle name="SAPBEXexcCritical4 3 2 2 2" xfId="22516"/>
    <cellStyle name="SAPBEXexcCritical4 3 2 2 2 2" xfId="43391"/>
    <cellStyle name="SAPBEXexcCritical4 3 2 2 3" xfId="22181"/>
    <cellStyle name="SAPBEXexcCritical4 3 2 2 3 2" xfId="43056"/>
    <cellStyle name="SAPBEXexcCritical4 3 2 2 4" xfId="23642"/>
    <cellStyle name="SAPBEXexcCritical4 3 2 2 4 2" xfId="44514"/>
    <cellStyle name="SAPBEXexcCritical4 3 2 2 5" xfId="15220"/>
    <cellStyle name="SAPBEXexcCritical4 3 2 2 5 2" xfId="36096"/>
    <cellStyle name="SAPBEXexcCritical4 3 2 2 6" xfId="27358"/>
    <cellStyle name="SAPBEXexcCritical4 3 2 3" xfId="21972"/>
    <cellStyle name="SAPBEXexcCritical4 3 2 3 2" xfId="42847"/>
    <cellStyle name="SAPBEXexcCritical4 3 2 4" xfId="20963"/>
    <cellStyle name="SAPBEXexcCritical4 3 2 4 2" xfId="41838"/>
    <cellStyle name="SAPBEXexcCritical4 3 2 5" xfId="23358"/>
    <cellStyle name="SAPBEXexcCritical4 3 2 5 2" xfId="44230"/>
    <cellStyle name="SAPBEXexcCritical4 3 2 6" xfId="13402"/>
    <cellStyle name="SAPBEXexcCritical4 3 2 6 2" xfId="34278"/>
    <cellStyle name="SAPBEXexcCritical4 3 2 7" xfId="25540"/>
    <cellStyle name="SAPBEXexcCritical4 3 3" xfId="8326"/>
    <cellStyle name="SAPBEXexcCritical4 3 3 2" xfId="23015"/>
    <cellStyle name="SAPBEXexcCritical4 3 3 2 2" xfId="43888"/>
    <cellStyle name="SAPBEXexcCritical4 3 3 3" xfId="21773"/>
    <cellStyle name="SAPBEXexcCritical4 3 3 3 2" xfId="42648"/>
    <cellStyle name="SAPBEXexcCritical4 3 3 4" xfId="22896"/>
    <cellStyle name="SAPBEXexcCritical4 3 3 4 2" xfId="43770"/>
    <cellStyle name="SAPBEXexcCritical4 3 3 5" xfId="17331"/>
    <cellStyle name="SAPBEXexcCritical4 3 3 5 2" xfId="38207"/>
    <cellStyle name="SAPBEXexcCritical4 3 3 6" xfId="29469"/>
    <cellStyle name="SAPBEXexcCritical4 3 4" xfId="10210"/>
    <cellStyle name="SAPBEXexcCritical4 3 4 2" xfId="23495"/>
    <cellStyle name="SAPBEXexcCritical4 3 4 2 2" xfId="44367"/>
    <cellStyle name="SAPBEXexcCritical4 3 4 3" xfId="23850"/>
    <cellStyle name="SAPBEXexcCritical4 3 4 3 2" xfId="44722"/>
    <cellStyle name="SAPBEXexcCritical4 3 4 4" xfId="21172"/>
    <cellStyle name="SAPBEXexcCritical4 3 4 4 2" xfId="42047"/>
    <cellStyle name="SAPBEXexcCritical4 3 4 5" xfId="18981"/>
    <cellStyle name="SAPBEXexcCritical4 3 4 5 2" xfId="39857"/>
    <cellStyle name="SAPBEXexcCritical4 3 4 6" xfId="31121"/>
    <cellStyle name="SAPBEXexcCritical4 3 5" xfId="21491"/>
    <cellStyle name="SAPBEXexcCritical4 3 5 2" xfId="42366"/>
    <cellStyle name="SAPBEXexcCritical4 3 6" xfId="21144"/>
    <cellStyle name="SAPBEXexcCritical4 3 6 2" xfId="42019"/>
    <cellStyle name="SAPBEXexcCritical4 3 7" xfId="22195"/>
    <cellStyle name="SAPBEXexcCritical4 3 7 2" xfId="43070"/>
    <cellStyle name="SAPBEXexcCritical4 3 8" xfId="12256"/>
    <cellStyle name="SAPBEXexcCritical4 3 8 2" xfId="33145"/>
    <cellStyle name="SAPBEXexcCritical4 3 9" xfId="24369"/>
    <cellStyle name="SAPBEXexcCritical4 4" xfId="2741"/>
    <cellStyle name="SAPBEXexcCritical4 4 2" xfId="4358"/>
    <cellStyle name="SAPBEXexcCritical4 4 2 2" xfId="6212"/>
    <cellStyle name="SAPBEXexcCritical4 4 2 2 2" xfId="22517"/>
    <cellStyle name="SAPBEXexcCritical4 4 2 2 2 2" xfId="43392"/>
    <cellStyle name="SAPBEXexcCritical4 4 2 2 3" xfId="23426"/>
    <cellStyle name="SAPBEXexcCritical4 4 2 2 3 2" xfId="44298"/>
    <cellStyle name="SAPBEXexcCritical4 4 2 2 4" xfId="20996"/>
    <cellStyle name="SAPBEXexcCritical4 4 2 2 4 2" xfId="41871"/>
    <cellStyle name="SAPBEXexcCritical4 4 2 2 5" xfId="15221"/>
    <cellStyle name="SAPBEXexcCritical4 4 2 2 5 2" xfId="36097"/>
    <cellStyle name="SAPBEXexcCritical4 4 2 2 6" xfId="27359"/>
    <cellStyle name="SAPBEXexcCritical4 4 2 3" xfId="21973"/>
    <cellStyle name="SAPBEXexcCritical4 4 2 3 2" xfId="42848"/>
    <cellStyle name="SAPBEXexcCritical4 4 2 4" xfId="23650"/>
    <cellStyle name="SAPBEXexcCritical4 4 2 4 2" xfId="44522"/>
    <cellStyle name="SAPBEXexcCritical4 4 2 5" xfId="22333"/>
    <cellStyle name="SAPBEXexcCritical4 4 2 5 2" xfId="43208"/>
    <cellStyle name="SAPBEXexcCritical4 4 2 6" xfId="13403"/>
    <cellStyle name="SAPBEXexcCritical4 4 2 6 2" xfId="34279"/>
    <cellStyle name="SAPBEXexcCritical4 4 2 7" xfId="25541"/>
    <cellStyle name="SAPBEXexcCritical4 4 3" xfId="8327"/>
    <cellStyle name="SAPBEXexcCritical4 4 3 2" xfId="23016"/>
    <cellStyle name="SAPBEXexcCritical4 4 3 2 2" xfId="43889"/>
    <cellStyle name="SAPBEXexcCritical4 4 3 3" xfId="22141"/>
    <cellStyle name="SAPBEXexcCritical4 4 3 3 2" xfId="43016"/>
    <cellStyle name="SAPBEXexcCritical4 4 3 4" xfId="23283"/>
    <cellStyle name="SAPBEXexcCritical4 4 3 4 2" xfId="44156"/>
    <cellStyle name="SAPBEXexcCritical4 4 3 5" xfId="17332"/>
    <cellStyle name="SAPBEXexcCritical4 4 3 5 2" xfId="38208"/>
    <cellStyle name="SAPBEXexcCritical4 4 3 6" xfId="29470"/>
    <cellStyle name="SAPBEXexcCritical4 4 4" xfId="10211"/>
    <cellStyle name="SAPBEXexcCritical4 4 4 2" xfId="23496"/>
    <cellStyle name="SAPBEXexcCritical4 4 4 2 2" xfId="44368"/>
    <cellStyle name="SAPBEXexcCritical4 4 4 3" xfId="22719"/>
    <cellStyle name="SAPBEXexcCritical4 4 4 3 2" xfId="43594"/>
    <cellStyle name="SAPBEXexcCritical4 4 4 4" xfId="24044"/>
    <cellStyle name="SAPBEXexcCritical4 4 4 4 2" xfId="44916"/>
    <cellStyle name="SAPBEXexcCritical4 4 4 5" xfId="18982"/>
    <cellStyle name="SAPBEXexcCritical4 4 4 5 2" xfId="39858"/>
    <cellStyle name="SAPBEXexcCritical4 4 4 6" xfId="31122"/>
    <cellStyle name="SAPBEXexcCritical4 4 5" xfId="21492"/>
    <cellStyle name="SAPBEXexcCritical4 4 5 2" xfId="42367"/>
    <cellStyle name="SAPBEXexcCritical4 4 6" xfId="22175"/>
    <cellStyle name="SAPBEXexcCritical4 4 6 2" xfId="43050"/>
    <cellStyle name="SAPBEXexcCritical4 4 7" xfId="23172"/>
    <cellStyle name="SAPBEXexcCritical4 4 7 2" xfId="44045"/>
    <cellStyle name="SAPBEXexcCritical4 4 8" xfId="12257"/>
    <cellStyle name="SAPBEXexcCritical4 4 8 2" xfId="33146"/>
    <cellStyle name="SAPBEXexcCritical4 4 9" xfId="24370"/>
    <cellStyle name="SAPBEXexcCritical4 5" xfId="2742"/>
    <cellStyle name="SAPBEXexcCritical4 5 2" xfId="4359"/>
    <cellStyle name="SAPBEXexcCritical4 5 2 2" xfId="6213"/>
    <cellStyle name="SAPBEXexcCritical4 5 2 2 2" xfId="22518"/>
    <cellStyle name="SAPBEXexcCritical4 5 2 2 2 2" xfId="43393"/>
    <cellStyle name="SAPBEXexcCritical4 5 2 2 3" xfId="24096"/>
    <cellStyle name="SAPBEXexcCritical4 5 2 2 3 2" xfId="44967"/>
    <cellStyle name="SAPBEXexcCritical4 5 2 2 4" xfId="21637"/>
    <cellStyle name="SAPBEXexcCritical4 5 2 2 4 2" xfId="42512"/>
    <cellStyle name="SAPBEXexcCritical4 5 2 2 5" xfId="15222"/>
    <cellStyle name="SAPBEXexcCritical4 5 2 2 5 2" xfId="36098"/>
    <cellStyle name="SAPBEXexcCritical4 5 2 2 6" xfId="27360"/>
    <cellStyle name="SAPBEXexcCritical4 5 2 3" xfId="21974"/>
    <cellStyle name="SAPBEXexcCritical4 5 2 3 2" xfId="42849"/>
    <cellStyle name="SAPBEXexcCritical4 5 2 4" xfId="21335"/>
    <cellStyle name="SAPBEXexcCritical4 5 2 4 2" xfId="42210"/>
    <cellStyle name="SAPBEXexcCritical4 5 2 5" xfId="22749"/>
    <cellStyle name="SAPBEXexcCritical4 5 2 5 2" xfId="43624"/>
    <cellStyle name="SAPBEXexcCritical4 5 2 6" xfId="13404"/>
    <cellStyle name="SAPBEXexcCritical4 5 2 6 2" xfId="34280"/>
    <cellStyle name="SAPBEXexcCritical4 5 2 7" xfId="25542"/>
    <cellStyle name="SAPBEXexcCritical4 5 3" xfId="8328"/>
    <cellStyle name="SAPBEXexcCritical4 5 3 2" xfId="23017"/>
    <cellStyle name="SAPBEXexcCritical4 5 3 2 2" xfId="43890"/>
    <cellStyle name="SAPBEXexcCritical4 5 3 3" xfId="22849"/>
    <cellStyle name="SAPBEXexcCritical4 5 3 3 2" xfId="43724"/>
    <cellStyle name="SAPBEXexcCritical4 5 3 4" xfId="21600"/>
    <cellStyle name="SAPBEXexcCritical4 5 3 4 2" xfId="42475"/>
    <cellStyle name="SAPBEXexcCritical4 5 3 5" xfId="17333"/>
    <cellStyle name="SAPBEXexcCritical4 5 3 5 2" xfId="38209"/>
    <cellStyle name="SAPBEXexcCritical4 5 3 6" xfId="29471"/>
    <cellStyle name="SAPBEXexcCritical4 5 4" xfId="10212"/>
    <cellStyle name="SAPBEXexcCritical4 5 4 2" xfId="23497"/>
    <cellStyle name="SAPBEXexcCritical4 5 4 2 2" xfId="44369"/>
    <cellStyle name="SAPBEXexcCritical4 5 4 3" xfId="21758"/>
    <cellStyle name="SAPBEXexcCritical4 5 4 3 2" xfId="42633"/>
    <cellStyle name="SAPBEXexcCritical4 5 4 4" xfId="23718"/>
    <cellStyle name="SAPBEXexcCritical4 5 4 4 2" xfId="44590"/>
    <cellStyle name="SAPBEXexcCritical4 5 4 5" xfId="18983"/>
    <cellStyle name="SAPBEXexcCritical4 5 4 5 2" xfId="39859"/>
    <cellStyle name="SAPBEXexcCritical4 5 4 6" xfId="31123"/>
    <cellStyle name="SAPBEXexcCritical4 5 5" xfId="21493"/>
    <cellStyle name="SAPBEXexcCritical4 5 5 2" xfId="42368"/>
    <cellStyle name="SAPBEXexcCritical4 5 6" xfId="23166"/>
    <cellStyle name="SAPBEXexcCritical4 5 6 2" xfId="44039"/>
    <cellStyle name="SAPBEXexcCritical4 5 7" xfId="21009"/>
    <cellStyle name="SAPBEXexcCritical4 5 7 2" xfId="41884"/>
    <cellStyle name="SAPBEXexcCritical4 5 8" xfId="12258"/>
    <cellStyle name="SAPBEXexcCritical4 5 8 2" xfId="33147"/>
    <cellStyle name="SAPBEXexcCritical4 5 9" xfId="24371"/>
    <cellStyle name="SAPBEXexcCritical4 6" xfId="3815"/>
    <cellStyle name="SAPBEXexcCritical4 6 2" xfId="6044"/>
    <cellStyle name="SAPBEXexcCritical4 6 2 2" xfId="22403"/>
    <cellStyle name="SAPBEXexcCritical4 6 2 2 2" xfId="43278"/>
    <cellStyle name="SAPBEXexcCritical4 6 2 3" xfId="23934"/>
    <cellStyle name="SAPBEXexcCritical4 6 2 3 2" xfId="44806"/>
    <cellStyle name="SAPBEXexcCritical4 6 2 4" xfId="22942"/>
    <cellStyle name="SAPBEXexcCritical4 6 2 4 2" xfId="43816"/>
    <cellStyle name="SAPBEXexcCritical4 6 2 5" xfId="15053"/>
    <cellStyle name="SAPBEXexcCritical4 6 2 5 2" xfId="35929"/>
    <cellStyle name="SAPBEXexcCritical4 6 2 6" xfId="27191"/>
    <cellStyle name="SAPBEXexcCritical4 6 3" xfId="21789"/>
    <cellStyle name="SAPBEXexcCritical4 6 3 2" xfId="42664"/>
    <cellStyle name="SAPBEXexcCritical4 6 4" xfId="21332"/>
    <cellStyle name="SAPBEXexcCritical4 6 4 2" xfId="42207"/>
    <cellStyle name="SAPBEXexcCritical4 6 5" xfId="22830"/>
    <cellStyle name="SAPBEXexcCritical4 6 5 2" xfId="43705"/>
    <cellStyle name="SAPBEXexcCritical4 6 6" xfId="13235"/>
    <cellStyle name="SAPBEXexcCritical4 6 6 2" xfId="34111"/>
    <cellStyle name="SAPBEXexcCritical4 6 7" xfId="25373"/>
    <cellStyle name="SAPBEXexcCritical4 7" xfId="8324"/>
    <cellStyle name="SAPBEXexcCritical4 7 2" xfId="23013"/>
    <cellStyle name="SAPBEXexcCritical4 7 2 2" xfId="43886"/>
    <cellStyle name="SAPBEXexcCritical4 7 3" xfId="22812"/>
    <cellStyle name="SAPBEXexcCritical4 7 3 2" xfId="43687"/>
    <cellStyle name="SAPBEXexcCritical4 7 4" xfId="20855"/>
    <cellStyle name="SAPBEXexcCritical4 7 4 2" xfId="41731"/>
    <cellStyle name="SAPBEXexcCritical4 7 5" xfId="17329"/>
    <cellStyle name="SAPBEXexcCritical4 7 5 2" xfId="38205"/>
    <cellStyle name="SAPBEXexcCritical4 7 6" xfId="29467"/>
    <cellStyle name="SAPBEXexcCritical4 8" xfId="10208"/>
    <cellStyle name="SAPBEXexcCritical4 8 2" xfId="23493"/>
    <cellStyle name="SAPBEXexcCritical4 8 2 2" xfId="44365"/>
    <cellStyle name="SAPBEXexcCritical4 8 3" xfId="21671"/>
    <cellStyle name="SAPBEXexcCritical4 8 3 2" xfId="42546"/>
    <cellStyle name="SAPBEXexcCritical4 8 4" xfId="24009"/>
    <cellStyle name="SAPBEXexcCritical4 8 4 2" xfId="44881"/>
    <cellStyle name="SAPBEXexcCritical4 8 5" xfId="18979"/>
    <cellStyle name="SAPBEXexcCritical4 8 5 2" xfId="39855"/>
    <cellStyle name="SAPBEXexcCritical4 8 6" xfId="31119"/>
    <cellStyle name="SAPBEXexcCritical4 9" xfId="20891"/>
    <cellStyle name="SAPBEXexcCritical4 9 2" xfId="41766"/>
    <cellStyle name="SAPBEXexcCritical5" xfId="1150"/>
    <cellStyle name="SAPBEXexcCritical5 10" xfId="23912"/>
    <cellStyle name="SAPBEXexcCritical5 10 2" xfId="44784"/>
    <cellStyle name="SAPBEXexcCritical5 11" xfId="21066"/>
    <cellStyle name="SAPBEXexcCritical5 11 2" xfId="41941"/>
    <cellStyle name="SAPBEXexcCritical5 12" xfId="12128"/>
    <cellStyle name="SAPBEXexcCritical5 12 2" xfId="33028"/>
    <cellStyle name="SAPBEXexcCritical5 13" xfId="24160"/>
    <cellStyle name="SAPBEXexcCritical5 13 2" xfId="45030"/>
    <cellStyle name="SAPBEXexcCritical5 14" xfId="24257"/>
    <cellStyle name="SAPBEXexcCritical5 14 2" xfId="45118"/>
    <cellStyle name="SAPBEXexcCritical5 2" xfId="2743"/>
    <cellStyle name="SAPBEXexcCritical5 2 10" xfId="24372"/>
    <cellStyle name="SAPBEXexcCritical5 2 2" xfId="4360"/>
    <cellStyle name="SAPBEXexcCritical5 2 2 2" xfId="6214"/>
    <cellStyle name="SAPBEXexcCritical5 2 2 2 2" xfId="22519"/>
    <cellStyle name="SAPBEXexcCritical5 2 2 2 2 2" xfId="43394"/>
    <cellStyle name="SAPBEXexcCritical5 2 2 2 3" xfId="23931"/>
    <cellStyle name="SAPBEXexcCritical5 2 2 2 3 2" xfId="44803"/>
    <cellStyle name="SAPBEXexcCritical5 2 2 2 4" xfId="21754"/>
    <cellStyle name="SAPBEXexcCritical5 2 2 2 4 2" xfId="42629"/>
    <cellStyle name="SAPBEXexcCritical5 2 2 2 5" xfId="15223"/>
    <cellStyle name="SAPBEXexcCritical5 2 2 2 5 2" xfId="36099"/>
    <cellStyle name="SAPBEXexcCritical5 2 2 2 6" xfId="27361"/>
    <cellStyle name="SAPBEXexcCritical5 2 2 3" xfId="21975"/>
    <cellStyle name="SAPBEXexcCritical5 2 2 3 2" xfId="42850"/>
    <cellStyle name="SAPBEXexcCritical5 2 2 4" xfId="21420"/>
    <cellStyle name="SAPBEXexcCritical5 2 2 4 2" xfId="42295"/>
    <cellStyle name="SAPBEXexcCritical5 2 2 5" xfId="22880"/>
    <cellStyle name="SAPBEXexcCritical5 2 2 5 2" xfId="43754"/>
    <cellStyle name="SAPBEXexcCritical5 2 2 6" xfId="13405"/>
    <cellStyle name="SAPBEXexcCritical5 2 2 6 2" xfId="34281"/>
    <cellStyle name="SAPBEXexcCritical5 2 2 7" xfId="25543"/>
    <cellStyle name="SAPBEXexcCritical5 2 3" xfId="8330"/>
    <cellStyle name="SAPBEXexcCritical5 2 3 2" xfId="23019"/>
    <cellStyle name="SAPBEXexcCritical5 2 3 2 2" xfId="43892"/>
    <cellStyle name="SAPBEXexcCritical5 2 3 3" xfId="21225"/>
    <cellStyle name="SAPBEXexcCritical5 2 3 3 2" xfId="42100"/>
    <cellStyle name="SAPBEXexcCritical5 2 3 4" xfId="22133"/>
    <cellStyle name="SAPBEXexcCritical5 2 3 4 2" xfId="43008"/>
    <cellStyle name="SAPBEXexcCritical5 2 3 5" xfId="17335"/>
    <cellStyle name="SAPBEXexcCritical5 2 3 5 2" xfId="38211"/>
    <cellStyle name="SAPBEXexcCritical5 2 3 6" xfId="29473"/>
    <cellStyle name="SAPBEXexcCritical5 2 4" xfId="10214"/>
    <cellStyle name="SAPBEXexcCritical5 2 4 2" xfId="23499"/>
    <cellStyle name="SAPBEXexcCritical5 2 4 2 2" xfId="44371"/>
    <cellStyle name="SAPBEXexcCritical5 2 4 3" xfId="22825"/>
    <cellStyle name="SAPBEXexcCritical5 2 4 3 2" xfId="43700"/>
    <cellStyle name="SAPBEXexcCritical5 2 4 4" xfId="22143"/>
    <cellStyle name="SAPBEXexcCritical5 2 4 4 2" xfId="43018"/>
    <cellStyle name="SAPBEXexcCritical5 2 4 5" xfId="18985"/>
    <cellStyle name="SAPBEXexcCritical5 2 4 5 2" xfId="39861"/>
    <cellStyle name="SAPBEXexcCritical5 2 4 6" xfId="31125"/>
    <cellStyle name="SAPBEXexcCritical5 2 5" xfId="20894"/>
    <cellStyle name="SAPBEXexcCritical5 2 5 2" xfId="41769"/>
    <cellStyle name="SAPBEXexcCritical5 2 6" xfId="23334"/>
    <cellStyle name="SAPBEXexcCritical5 2 6 2" xfId="44206"/>
    <cellStyle name="SAPBEXexcCritical5 2 7" xfId="23968"/>
    <cellStyle name="SAPBEXexcCritical5 2 7 2" xfId="44840"/>
    <cellStyle name="SAPBEXexcCritical5 2 8" xfId="12129"/>
    <cellStyle name="SAPBEXexcCritical5 2 8 2" xfId="33029"/>
    <cellStyle name="SAPBEXexcCritical5 2 9" xfId="24193"/>
    <cellStyle name="SAPBEXexcCritical5 2 9 2" xfId="45061"/>
    <cellStyle name="SAPBEXexcCritical5 3" xfId="2744"/>
    <cellStyle name="SAPBEXexcCritical5 3 2" xfId="4361"/>
    <cellStyle name="SAPBEXexcCritical5 3 2 2" xfId="6215"/>
    <cellStyle name="SAPBEXexcCritical5 3 2 2 2" xfId="22520"/>
    <cellStyle name="SAPBEXexcCritical5 3 2 2 2 2" xfId="43395"/>
    <cellStyle name="SAPBEXexcCritical5 3 2 2 3" xfId="23202"/>
    <cellStyle name="SAPBEXexcCritical5 3 2 2 3 2" xfId="44075"/>
    <cellStyle name="SAPBEXexcCritical5 3 2 2 4" xfId="23971"/>
    <cellStyle name="SAPBEXexcCritical5 3 2 2 4 2" xfId="44843"/>
    <cellStyle name="SAPBEXexcCritical5 3 2 2 5" xfId="15224"/>
    <cellStyle name="SAPBEXexcCritical5 3 2 2 5 2" xfId="36100"/>
    <cellStyle name="SAPBEXexcCritical5 3 2 2 6" xfId="27362"/>
    <cellStyle name="SAPBEXexcCritical5 3 2 3" xfId="21976"/>
    <cellStyle name="SAPBEXexcCritical5 3 2 3 2" xfId="42851"/>
    <cellStyle name="SAPBEXexcCritical5 3 2 4" xfId="22909"/>
    <cellStyle name="SAPBEXexcCritical5 3 2 4 2" xfId="43783"/>
    <cellStyle name="SAPBEXexcCritical5 3 2 5" xfId="22797"/>
    <cellStyle name="SAPBEXexcCritical5 3 2 5 2" xfId="43672"/>
    <cellStyle name="SAPBEXexcCritical5 3 2 6" xfId="13406"/>
    <cellStyle name="SAPBEXexcCritical5 3 2 6 2" xfId="34282"/>
    <cellStyle name="SAPBEXexcCritical5 3 2 7" xfId="25544"/>
    <cellStyle name="SAPBEXexcCritical5 3 3" xfId="8331"/>
    <cellStyle name="SAPBEXexcCritical5 3 3 2" xfId="23020"/>
    <cellStyle name="SAPBEXexcCritical5 3 3 2 2" xfId="43893"/>
    <cellStyle name="SAPBEXexcCritical5 3 3 3" xfId="21890"/>
    <cellStyle name="SAPBEXexcCritical5 3 3 3 2" xfId="42765"/>
    <cellStyle name="SAPBEXexcCritical5 3 3 4" xfId="21523"/>
    <cellStyle name="SAPBEXexcCritical5 3 3 4 2" xfId="42398"/>
    <cellStyle name="SAPBEXexcCritical5 3 3 5" xfId="17336"/>
    <cellStyle name="SAPBEXexcCritical5 3 3 5 2" xfId="38212"/>
    <cellStyle name="SAPBEXexcCritical5 3 3 6" xfId="29474"/>
    <cellStyle name="SAPBEXexcCritical5 3 4" xfId="10215"/>
    <cellStyle name="SAPBEXexcCritical5 3 4 2" xfId="23500"/>
    <cellStyle name="SAPBEXexcCritical5 3 4 2 2" xfId="44372"/>
    <cellStyle name="SAPBEXexcCritical5 3 4 3" xfId="22939"/>
    <cellStyle name="SAPBEXexcCritical5 3 4 3 2" xfId="43813"/>
    <cellStyle name="SAPBEXexcCritical5 3 4 4" xfId="23440"/>
    <cellStyle name="SAPBEXexcCritical5 3 4 4 2" xfId="44312"/>
    <cellStyle name="SAPBEXexcCritical5 3 4 5" xfId="18986"/>
    <cellStyle name="SAPBEXexcCritical5 3 4 5 2" xfId="39862"/>
    <cellStyle name="SAPBEXexcCritical5 3 4 6" xfId="31126"/>
    <cellStyle name="SAPBEXexcCritical5 3 5" xfId="21494"/>
    <cellStyle name="SAPBEXexcCritical5 3 5 2" xfId="42369"/>
    <cellStyle name="SAPBEXexcCritical5 3 6" xfId="22191"/>
    <cellStyle name="SAPBEXexcCritical5 3 6 2" xfId="43066"/>
    <cellStyle name="SAPBEXexcCritical5 3 7" xfId="20993"/>
    <cellStyle name="SAPBEXexcCritical5 3 7 2" xfId="41868"/>
    <cellStyle name="SAPBEXexcCritical5 3 8" xfId="12259"/>
    <cellStyle name="SAPBEXexcCritical5 3 8 2" xfId="33148"/>
    <cellStyle name="SAPBEXexcCritical5 3 9" xfId="24373"/>
    <cellStyle name="SAPBEXexcCritical5 4" xfId="2745"/>
    <cellStyle name="SAPBEXexcCritical5 4 2" xfId="4362"/>
    <cellStyle name="SAPBEXexcCritical5 4 2 2" xfId="6216"/>
    <cellStyle name="SAPBEXexcCritical5 4 2 2 2" xfId="22521"/>
    <cellStyle name="SAPBEXexcCritical5 4 2 2 2 2" xfId="43396"/>
    <cellStyle name="SAPBEXexcCritical5 4 2 2 3" xfId="22848"/>
    <cellStyle name="SAPBEXexcCritical5 4 2 2 3 2" xfId="43723"/>
    <cellStyle name="SAPBEXexcCritical5 4 2 2 4" xfId="21375"/>
    <cellStyle name="SAPBEXexcCritical5 4 2 2 4 2" xfId="42250"/>
    <cellStyle name="SAPBEXexcCritical5 4 2 2 5" xfId="15225"/>
    <cellStyle name="SAPBEXexcCritical5 4 2 2 5 2" xfId="36101"/>
    <cellStyle name="SAPBEXexcCritical5 4 2 2 6" xfId="27363"/>
    <cellStyle name="SAPBEXexcCritical5 4 2 3" xfId="21977"/>
    <cellStyle name="SAPBEXexcCritical5 4 2 3 2" xfId="42852"/>
    <cellStyle name="SAPBEXexcCritical5 4 2 4" xfId="22764"/>
    <cellStyle name="SAPBEXexcCritical5 4 2 4 2" xfId="43639"/>
    <cellStyle name="SAPBEXexcCritical5 4 2 5" xfId="23176"/>
    <cellStyle name="SAPBEXexcCritical5 4 2 5 2" xfId="44049"/>
    <cellStyle name="SAPBEXexcCritical5 4 2 6" xfId="13407"/>
    <cellStyle name="SAPBEXexcCritical5 4 2 6 2" xfId="34283"/>
    <cellStyle name="SAPBEXexcCritical5 4 2 7" xfId="25545"/>
    <cellStyle name="SAPBEXexcCritical5 4 3" xfId="8332"/>
    <cellStyle name="SAPBEXexcCritical5 4 3 2" xfId="23021"/>
    <cellStyle name="SAPBEXexcCritical5 4 3 2 2" xfId="43894"/>
    <cellStyle name="SAPBEXexcCritical5 4 3 3" xfId="22674"/>
    <cellStyle name="SAPBEXexcCritical5 4 3 3 2" xfId="43549"/>
    <cellStyle name="SAPBEXexcCritical5 4 3 4" xfId="21060"/>
    <cellStyle name="SAPBEXexcCritical5 4 3 4 2" xfId="41935"/>
    <cellStyle name="SAPBEXexcCritical5 4 3 5" xfId="17337"/>
    <cellStyle name="SAPBEXexcCritical5 4 3 5 2" xfId="38213"/>
    <cellStyle name="SAPBEXexcCritical5 4 3 6" xfId="29475"/>
    <cellStyle name="SAPBEXexcCritical5 4 4" xfId="10216"/>
    <cellStyle name="SAPBEXexcCritical5 4 4 2" xfId="23501"/>
    <cellStyle name="SAPBEXexcCritical5 4 4 2 2" xfId="44373"/>
    <cellStyle name="SAPBEXexcCritical5 4 4 3" xfId="23261"/>
    <cellStyle name="SAPBEXexcCritical5 4 4 3 2" xfId="44134"/>
    <cellStyle name="SAPBEXexcCritical5 4 4 4" xfId="21644"/>
    <cellStyle name="SAPBEXexcCritical5 4 4 4 2" xfId="42519"/>
    <cellStyle name="SAPBEXexcCritical5 4 4 5" xfId="18987"/>
    <cellStyle name="SAPBEXexcCritical5 4 4 5 2" xfId="39863"/>
    <cellStyle name="SAPBEXexcCritical5 4 4 6" xfId="31127"/>
    <cellStyle name="SAPBEXexcCritical5 4 5" xfId="21495"/>
    <cellStyle name="SAPBEXexcCritical5 4 5 2" xfId="42370"/>
    <cellStyle name="SAPBEXexcCritical5 4 6" xfId="22712"/>
    <cellStyle name="SAPBEXexcCritical5 4 6 2" xfId="43587"/>
    <cellStyle name="SAPBEXexcCritical5 4 7" xfId="24030"/>
    <cellStyle name="SAPBEXexcCritical5 4 7 2" xfId="44902"/>
    <cellStyle name="SAPBEXexcCritical5 4 8" xfId="12260"/>
    <cellStyle name="SAPBEXexcCritical5 4 8 2" xfId="33149"/>
    <cellStyle name="SAPBEXexcCritical5 4 9" xfId="24374"/>
    <cellStyle name="SAPBEXexcCritical5 5" xfId="2746"/>
    <cellStyle name="SAPBEXexcCritical5 5 2" xfId="4363"/>
    <cellStyle name="SAPBEXexcCritical5 5 2 2" xfId="6217"/>
    <cellStyle name="SAPBEXexcCritical5 5 2 2 2" xfId="22522"/>
    <cellStyle name="SAPBEXexcCritical5 5 2 2 2 2" xfId="43397"/>
    <cellStyle name="SAPBEXexcCritical5 5 2 2 3" xfId="24053"/>
    <cellStyle name="SAPBEXexcCritical5 5 2 2 3 2" xfId="44925"/>
    <cellStyle name="SAPBEXexcCritical5 5 2 2 4" xfId="22943"/>
    <cellStyle name="SAPBEXexcCritical5 5 2 2 4 2" xfId="43817"/>
    <cellStyle name="SAPBEXexcCritical5 5 2 2 5" xfId="15226"/>
    <cellStyle name="SAPBEXexcCritical5 5 2 2 5 2" xfId="36102"/>
    <cellStyle name="SAPBEXexcCritical5 5 2 2 6" xfId="27364"/>
    <cellStyle name="SAPBEXexcCritical5 5 2 3" xfId="21978"/>
    <cellStyle name="SAPBEXexcCritical5 5 2 3 2" xfId="42853"/>
    <cellStyle name="SAPBEXexcCritical5 5 2 4" xfId="21837"/>
    <cellStyle name="SAPBEXexcCritical5 5 2 4 2" xfId="42712"/>
    <cellStyle name="SAPBEXexcCritical5 5 2 5" xfId="21654"/>
    <cellStyle name="SAPBEXexcCritical5 5 2 5 2" xfId="42529"/>
    <cellStyle name="SAPBEXexcCritical5 5 2 6" xfId="13408"/>
    <cellStyle name="SAPBEXexcCritical5 5 2 6 2" xfId="34284"/>
    <cellStyle name="SAPBEXexcCritical5 5 2 7" xfId="25546"/>
    <cellStyle name="SAPBEXexcCritical5 5 3" xfId="8333"/>
    <cellStyle name="SAPBEXexcCritical5 5 3 2" xfId="23022"/>
    <cellStyle name="SAPBEXexcCritical5 5 3 2 2" xfId="43895"/>
    <cellStyle name="SAPBEXexcCritical5 5 3 3" xfId="23169"/>
    <cellStyle name="SAPBEXexcCritical5 5 3 3 2" xfId="44042"/>
    <cellStyle name="SAPBEXexcCritical5 5 3 4" xfId="24079"/>
    <cellStyle name="SAPBEXexcCritical5 5 3 4 2" xfId="44951"/>
    <cellStyle name="SAPBEXexcCritical5 5 3 5" xfId="17338"/>
    <cellStyle name="SAPBEXexcCritical5 5 3 5 2" xfId="38214"/>
    <cellStyle name="SAPBEXexcCritical5 5 3 6" xfId="29476"/>
    <cellStyle name="SAPBEXexcCritical5 5 4" xfId="10217"/>
    <cellStyle name="SAPBEXexcCritical5 5 4 2" xfId="23502"/>
    <cellStyle name="SAPBEXexcCritical5 5 4 2 2" xfId="44374"/>
    <cellStyle name="SAPBEXexcCritical5 5 4 3" xfId="23391"/>
    <cellStyle name="SAPBEXexcCritical5 5 4 3 2" xfId="44263"/>
    <cellStyle name="SAPBEXexcCritical5 5 4 4" xfId="23370"/>
    <cellStyle name="SAPBEXexcCritical5 5 4 4 2" xfId="44242"/>
    <cellStyle name="SAPBEXexcCritical5 5 4 5" xfId="18988"/>
    <cellStyle name="SAPBEXexcCritical5 5 4 5 2" xfId="39864"/>
    <cellStyle name="SAPBEXexcCritical5 5 4 6" xfId="31128"/>
    <cellStyle name="SAPBEXexcCritical5 5 5" xfId="21496"/>
    <cellStyle name="SAPBEXexcCritical5 5 5 2" xfId="42371"/>
    <cellStyle name="SAPBEXexcCritical5 5 6" xfId="21178"/>
    <cellStyle name="SAPBEXexcCritical5 5 6 2" xfId="42053"/>
    <cellStyle name="SAPBEXexcCritical5 5 7" xfId="22349"/>
    <cellStyle name="SAPBEXexcCritical5 5 7 2" xfId="43224"/>
    <cellStyle name="SAPBEXexcCritical5 5 8" xfId="12261"/>
    <cellStyle name="SAPBEXexcCritical5 5 8 2" xfId="33150"/>
    <cellStyle name="SAPBEXexcCritical5 5 9" xfId="24375"/>
    <cellStyle name="SAPBEXexcCritical5 6" xfId="3816"/>
    <cellStyle name="SAPBEXexcCritical5 6 2" xfId="6045"/>
    <cellStyle name="SAPBEXexcCritical5 6 2 2" xfId="22404"/>
    <cellStyle name="SAPBEXexcCritical5 6 2 2 2" xfId="43279"/>
    <cellStyle name="SAPBEXexcCritical5 6 2 3" xfId="22140"/>
    <cellStyle name="SAPBEXexcCritical5 6 2 3 2" xfId="43015"/>
    <cellStyle name="SAPBEXexcCritical5 6 2 4" xfId="22835"/>
    <cellStyle name="SAPBEXexcCritical5 6 2 4 2" xfId="43710"/>
    <cellStyle name="SAPBEXexcCritical5 6 2 5" xfId="15054"/>
    <cellStyle name="SAPBEXexcCritical5 6 2 5 2" xfId="35930"/>
    <cellStyle name="SAPBEXexcCritical5 6 2 6" xfId="27192"/>
    <cellStyle name="SAPBEXexcCritical5 6 3" xfId="21790"/>
    <cellStyle name="SAPBEXexcCritical5 6 3 2" xfId="42665"/>
    <cellStyle name="SAPBEXexcCritical5 6 4" xfId="21417"/>
    <cellStyle name="SAPBEXexcCritical5 6 4 2" xfId="42292"/>
    <cellStyle name="SAPBEXexcCritical5 6 5" xfId="23211"/>
    <cellStyle name="SAPBEXexcCritical5 6 5 2" xfId="44084"/>
    <cellStyle name="SAPBEXexcCritical5 6 6" xfId="13236"/>
    <cellStyle name="SAPBEXexcCritical5 6 6 2" xfId="34112"/>
    <cellStyle name="SAPBEXexcCritical5 6 7" xfId="25374"/>
    <cellStyle name="SAPBEXexcCritical5 7" xfId="8329"/>
    <cellStyle name="SAPBEXexcCritical5 7 2" xfId="23018"/>
    <cellStyle name="SAPBEXexcCritical5 7 2 2" xfId="43891"/>
    <cellStyle name="SAPBEXexcCritical5 7 3" xfId="22256"/>
    <cellStyle name="SAPBEXexcCritical5 7 3 2" xfId="43131"/>
    <cellStyle name="SAPBEXexcCritical5 7 4" xfId="22242"/>
    <cellStyle name="SAPBEXexcCritical5 7 4 2" xfId="43117"/>
    <cellStyle name="SAPBEXexcCritical5 7 5" xfId="17334"/>
    <cellStyle name="SAPBEXexcCritical5 7 5 2" xfId="38210"/>
    <cellStyle name="SAPBEXexcCritical5 7 6" xfId="29472"/>
    <cellStyle name="SAPBEXexcCritical5 8" xfId="10213"/>
    <cellStyle name="SAPBEXexcCritical5 8 2" xfId="23498"/>
    <cellStyle name="SAPBEXexcCritical5 8 2 2" xfId="44370"/>
    <cellStyle name="SAPBEXexcCritical5 8 3" xfId="22345"/>
    <cellStyle name="SAPBEXexcCritical5 8 3 2" xfId="43220"/>
    <cellStyle name="SAPBEXexcCritical5 8 4" xfId="23787"/>
    <cellStyle name="SAPBEXexcCritical5 8 4 2" xfId="44659"/>
    <cellStyle name="SAPBEXexcCritical5 8 5" xfId="18984"/>
    <cellStyle name="SAPBEXexcCritical5 8 5 2" xfId="39860"/>
    <cellStyle name="SAPBEXexcCritical5 8 6" xfId="31124"/>
    <cellStyle name="SAPBEXexcCritical5 9" xfId="20893"/>
    <cellStyle name="SAPBEXexcCritical5 9 2" xfId="41768"/>
    <cellStyle name="SAPBEXexcCritical6" xfId="1151"/>
    <cellStyle name="SAPBEXexcCritical6 10" xfId="24042"/>
    <cellStyle name="SAPBEXexcCritical6 10 2" xfId="44914"/>
    <cellStyle name="SAPBEXexcCritical6 11" xfId="23404"/>
    <cellStyle name="SAPBEXexcCritical6 11 2" xfId="44276"/>
    <cellStyle name="SAPBEXexcCritical6 12" xfId="12130"/>
    <cellStyle name="SAPBEXexcCritical6 12 2" xfId="33030"/>
    <cellStyle name="SAPBEXexcCritical6 13" xfId="24159"/>
    <cellStyle name="SAPBEXexcCritical6 13 2" xfId="45029"/>
    <cellStyle name="SAPBEXexcCritical6 14" xfId="24258"/>
    <cellStyle name="SAPBEXexcCritical6 14 2" xfId="45119"/>
    <cellStyle name="SAPBEXexcCritical6 2" xfId="2747"/>
    <cellStyle name="SAPBEXexcCritical6 2 10" xfId="24376"/>
    <cellStyle name="SAPBEXexcCritical6 2 2" xfId="4364"/>
    <cellStyle name="SAPBEXexcCritical6 2 2 2" xfId="6218"/>
    <cellStyle name="SAPBEXexcCritical6 2 2 2 2" xfId="22523"/>
    <cellStyle name="SAPBEXexcCritical6 2 2 2 2 2" xfId="43398"/>
    <cellStyle name="SAPBEXexcCritical6 2 2 2 3" xfId="21166"/>
    <cellStyle name="SAPBEXexcCritical6 2 2 2 3 2" xfId="42041"/>
    <cellStyle name="SAPBEXexcCritical6 2 2 2 4" xfId="23887"/>
    <cellStyle name="SAPBEXexcCritical6 2 2 2 4 2" xfId="44759"/>
    <cellStyle name="SAPBEXexcCritical6 2 2 2 5" xfId="15227"/>
    <cellStyle name="SAPBEXexcCritical6 2 2 2 5 2" xfId="36103"/>
    <cellStyle name="SAPBEXexcCritical6 2 2 2 6" xfId="27365"/>
    <cellStyle name="SAPBEXexcCritical6 2 2 3" xfId="21979"/>
    <cellStyle name="SAPBEXexcCritical6 2 2 3 2" xfId="42854"/>
    <cellStyle name="SAPBEXexcCritical6 2 2 4" xfId="24105"/>
    <cellStyle name="SAPBEXexcCritical6 2 2 4 2" xfId="44976"/>
    <cellStyle name="SAPBEXexcCritical6 2 2 5" xfId="22696"/>
    <cellStyle name="SAPBEXexcCritical6 2 2 5 2" xfId="43571"/>
    <cellStyle name="SAPBEXexcCritical6 2 2 6" xfId="13409"/>
    <cellStyle name="SAPBEXexcCritical6 2 2 6 2" xfId="34285"/>
    <cellStyle name="SAPBEXexcCritical6 2 2 7" xfId="25547"/>
    <cellStyle name="SAPBEXexcCritical6 2 3" xfId="8335"/>
    <cellStyle name="SAPBEXexcCritical6 2 3 2" xfId="23024"/>
    <cellStyle name="SAPBEXexcCritical6 2 3 2 2" xfId="43897"/>
    <cellStyle name="SAPBEXexcCritical6 2 3 3" xfId="21226"/>
    <cellStyle name="SAPBEXexcCritical6 2 3 3 2" xfId="42101"/>
    <cellStyle name="SAPBEXexcCritical6 2 3 4" xfId="22098"/>
    <cellStyle name="SAPBEXexcCritical6 2 3 4 2" xfId="42973"/>
    <cellStyle name="SAPBEXexcCritical6 2 3 5" xfId="17340"/>
    <cellStyle name="SAPBEXexcCritical6 2 3 5 2" xfId="38216"/>
    <cellStyle name="SAPBEXexcCritical6 2 3 6" xfId="29478"/>
    <cellStyle name="SAPBEXexcCritical6 2 4" xfId="10219"/>
    <cellStyle name="SAPBEXexcCritical6 2 4 2" xfId="23504"/>
    <cellStyle name="SAPBEXexcCritical6 2 4 2 2" xfId="44376"/>
    <cellStyle name="SAPBEXexcCritical6 2 4 3" xfId="23884"/>
    <cellStyle name="SAPBEXexcCritical6 2 4 3 2" xfId="44756"/>
    <cellStyle name="SAPBEXexcCritical6 2 4 4" xfId="22271"/>
    <cellStyle name="SAPBEXexcCritical6 2 4 4 2" xfId="43146"/>
    <cellStyle name="SAPBEXexcCritical6 2 4 5" xfId="18990"/>
    <cellStyle name="SAPBEXexcCritical6 2 4 5 2" xfId="39866"/>
    <cellStyle name="SAPBEXexcCritical6 2 4 6" xfId="31130"/>
    <cellStyle name="SAPBEXexcCritical6 2 5" xfId="20896"/>
    <cellStyle name="SAPBEXexcCritical6 2 5 2" xfId="41771"/>
    <cellStyle name="SAPBEXexcCritical6 2 6" xfId="21301"/>
    <cellStyle name="SAPBEXexcCritical6 2 6 2" xfId="42176"/>
    <cellStyle name="SAPBEXexcCritical6 2 7" xfId="23838"/>
    <cellStyle name="SAPBEXexcCritical6 2 7 2" xfId="44710"/>
    <cellStyle name="SAPBEXexcCritical6 2 8" xfId="12131"/>
    <cellStyle name="SAPBEXexcCritical6 2 8 2" xfId="33031"/>
    <cellStyle name="SAPBEXexcCritical6 2 9" xfId="24194"/>
    <cellStyle name="SAPBEXexcCritical6 2 9 2" xfId="45062"/>
    <cellStyle name="SAPBEXexcCritical6 3" xfId="2748"/>
    <cellStyle name="SAPBEXexcCritical6 3 2" xfId="4365"/>
    <cellStyle name="SAPBEXexcCritical6 3 2 2" xfId="6219"/>
    <cellStyle name="SAPBEXexcCritical6 3 2 2 2" xfId="22524"/>
    <cellStyle name="SAPBEXexcCritical6 3 2 2 2 2" xfId="43399"/>
    <cellStyle name="SAPBEXexcCritical6 3 2 2 3" xfId="21284"/>
    <cellStyle name="SAPBEXexcCritical6 3 2 2 3 2" xfId="42159"/>
    <cellStyle name="SAPBEXexcCritical6 3 2 2 4" xfId="23839"/>
    <cellStyle name="SAPBEXexcCritical6 3 2 2 4 2" xfId="44711"/>
    <cellStyle name="SAPBEXexcCritical6 3 2 2 5" xfId="15228"/>
    <cellStyle name="SAPBEXexcCritical6 3 2 2 5 2" xfId="36104"/>
    <cellStyle name="SAPBEXexcCritical6 3 2 2 6" xfId="27366"/>
    <cellStyle name="SAPBEXexcCritical6 3 2 3" xfId="21980"/>
    <cellStyle name="SAPBEXexcCritical6 3 2 3 2" xfId="42855"/>
    <cellStyle name="SAPBEXexcCritical6 3 2 4" xfId="23941"/>
    <cellStyle name="SAPBEXexcCritical6 3 2 4 2" xfId="44813"/>
    <cellStyle name="SAPBEXexcCritical6 3 2 5" xfId="22301"/>
    <cellStyle name="SAPBEXexcCritical6 3 2 5 2" xfId="43176"/>
    <cellStyle name="SAPBEXexcCritical6 3 2 6" xfId="13410"/>
    <cellStyle name="SAPBEXexcCritical6 3 2 6 2" xfId="34286"/>
    <cellStyle name="SAPBEXexcCritical6 3 2 7" xfId="25548"/>
    <cellStyle name="SAPBEXexcCritical6 3 3" xfId="8336"/>
    <cellStyle name="SAPBEXexcCritical6 3 3 2" xfId="23025"/>
    <cellStyle name="SAPBEXexcCritical6 3 3 2 2" xfId="43898"/>
    <cellStyle name="SAPBEXexcCritical6 3 3 3" xfId="22224"/>
    <cellStyle name="SAPBEXexcCritical6 3 3 3 2" xfId="43099"/>
    <cellStyle name="SAPBEXexcCritical6 3 3 4" xfId="23952"/>
    <cellStyle name="SAPBEXexcCritical6 3 3 4 2" xfId="44824"/>
    <cellStyle name="SAPBEXexcCritical6 3 3 5" xfId="17341"/>
    <cellStyle name="SAPBEXexcCritical6 3 3 5 2" xfId="38217"/>
    <cellStyle name="SAPBEXexcCritical6 3 3 6" xfId="29479"/>
    <cellStyle name="SAPBEXexcCritical6 3 4" xfId="10220"/>
    <cellStyle name="SAPBEXexcCritical6 3 4 2" xfId="23505"/>
    <cellStyle name="SAPBEXexcCritical6 3 4 2 2" xfId="44377"/>
    <cellStyle name="SAPBEXexcCritical6 3 4 3" xfId="22118"/>
    <cellStyle name="SAPBEXexcCritical6 3 4 3 2" xfId="42993"/>
    <cellStyle name="SAPBEXexcCritical6 3 4 4" xfId="21872"/>
    <cellStyle name="SAPBEXexcCritical6 3 4 4 2" xfId="42747"/>
    <cellStyle name="SAPBEXexcCritical6 3 4 5" xfId="18991"/>
    <cellStyle name="SAPBEXexcCritical6 3 4 5 2" xfId="39867"/>
    <cellStyle name="SAPBEXexcCritical6 3 4 6" xfId="31131"/>
    <cellStyle name="SAPBEXexcCritical6 3 5" xfId="21497"/>
    <cellStyle name="SAPBEXexcCritical6 3 5 2" xfId="42372"/>
    <cellStyle name="SAPBEXexcCritical6 3 6" xfId="21083"/>
    <cellStyle name="SAPBEXexcCritical6 3 6 2" xfId="41958"/>
    <cellStyle name="SAPBEXexcCritical6 3 7" xfId="21126"/>
    <cellStyle name="SAPBEXexcCritical6 3 7 2" xfId="42001"/>
    <cellStyle name="SAPBEXexcCritical6 3 8" xfId="12262"/>
    <cellStyle name="SAPBEXexcCritical6 3 8 2" xfId="33151"/>
    <cellStyle name="SAPBEXexcCritical6 3 9" xfId="24377"/>
    <cellStyle name="SAPBEXexcCritical6 4" xfId="2749"/>
    <cellStyle name="SAPBEXexcCritical6 4 2" xfId="4366"/>
    <cellStyle name="SAPBEXexcCritical6 4 2 2" xfId="6220"/>
    <cellStyle name="SAPBEXexcCritical6 4 2 2 2" xfId="22525"/>
    <cellStyle name="SAPBEXexcCritical6 4 2 2 2 2" xfId="43400"/>
    <cellStyle name="SAPBEXexcCritical6 4 2 2 3" xfId="21070"/>
    <cellStyle name="SAPBEXexcCritical6 4 2 2 3 2" xfId="41945"/>
    <cellStyle name="SAPBEXexcCritical6 4 2 2 4" xfId="21112"/>
    <cellStyle name="SAPBEXexcCritical6 4 2 2 4 2" xfId="41987"/>
    <cellStyle name="SAPBEXexcCritical6 4 2 2 5" xfId="15229"/>
    <cellStyle name="SAPBEXexcCritical6 4 2 2 5 2" xfId="36105"/>
    <cellStyle name="SAPBEXexcCritical6 4 2 2 6" xfId="27367"/>
    <cellStyle name="SAPBEXexcCritical6 4 2 3" xfId="21981"/>
    <cellStyle name="SAPBEXexcCritical6 4 2 3 2" xfId="42856"/>
    <cellStyle name="SAPBEXexcCritical6 4 2 4" xfId="22766"/>
    <cellStyle name="SAPBEXexcCritical6 4 2 4 2" xfId="43641"/>
    <cellStyle name="SAPBEXexcCritical6 4 2 5" xfId="21899"/>
    <cellStyle name="SAPBEXexcCritical6 4 2 5 2" xfId="42774"/>
    <cellStyle name="SAPBEXexcCritical6 4 2 6" xfId="13411"/>
    <cellStyle name="SAPBEXexcCritical6 4 2 6 2" xfId="34287"/>
    <cellStyle name="SAPBEXexcCritical6 4 2 7" xfId="25549"/>
    <cellStyle name="SAPBEXexcCritical6 4 3" xfId="8337"/>
    <cellStyle name="SAPBEXexcCritical6 4 3 2" xfId="23026"/>
    <cellStyle name="SAPBEXexcCritical6 4 3 2 2" xfId="43899"/>
    <cellStyle name="SAPBEXexcCritical6 4 3 3" xfId="22275"/>
    <cellStyle name="SAPBEXexcCritical6 4 3 3 2" xfId="43150"/>
    <cellStyle name="SAPBEXexcCritical6 4 3 4" xfId="24116"/>
    <cellStyle name="SAPBEXexcCritical6 4 3 4 2" xfId="44987"/>
    <cellStyle name="SAPBEXexcCritical6 4 3 5" xfId="17342"/>
    <cellStyle name="SAPBEXexcCritical6 4 3 5 2" xfId="38218"/>
    <cellStyle name="SAPBEXexcCritical6 4 3 6" xfId="29480"/>
    <cellStyle name="SAPBEXexcCritical6 4 4" xfId="10221"/>
    <cellStyle name="SAPBEXexcCritical6 4 4 2" xfId="23506"/>
    <cellStyle name="SAPBEXexcCritical6 4 4 2 2" xfId="44378"/>
    <cellStyle name="SAPBEXexcCritical6 4 4 3" xfId="22659"/>
    <cellStyle name="SAPBEXexcCritical6 4 4 3 2" xfId="43534"/>
    <cellStyle name="SAPBEXexcCritical6 4 4 4" xfId="21388"/>
    <cellStyle name="SAPBEXexcCritical6 4 4 4 2" xfId="42263"/>
    <cellStyle name="SAPBEXexcCritical6 4 4 5" xfId="18992"/>
    <cellStyle name="SAPBEXexcCritical6 4 4 5 2" xfId="39868"/>
    <cellStyle name="SAPBEXexcCritical6 4 4 6" xfId="31132"/>
    <cellStyle name="SAPBEXexcCritical6 4 5" xfId="21498"/>
    <cellStyle name="SAPBEXexcCritical6 4 5 2" xfId="42373"/>
    <cellStyle name="SAPBEXexcCritical6 4 6" xfId="21865"/>
    <cellStyle name="SAPBEXexcCritical6 4 6 2" xfId="42740"/>
    <cellStyle name="SAPBEXexcCritical6 4 7" xfId="21095"/>
    <cellStyle name="SAPBEXexcCritical6 4 7 2" xfId="41970"/>
    <cellStyle name="SAPBEXexcCritical6 4 8" xfId="12263"/>
    <cellStyle name="SAPBEXexcCritical6 4 8 2" xfId="33152"/>
    <cellStyle name="SAPBEXexcCritical6 4 9" xfId="24378"/>
    <cellStyle name="SAPBEXexcCritical6 5" xfId="2750"/>
    <cellStyle name="SAPBEXexcCritical6 5 2" xfId="4367"/>
    <cellStyle name="SAPBEXexcCritical6 5 2 2" xfId="6221"/>
    <cellStyle name="SAPBEXexcCritical6 5 2 2 2" xfId="22526"/>
    <cellStyle name="SAPBEXexcCritical6 5 2 2 2 2" xfId="43401"/>
    <cellStyle name="SAPBEXexcCritical6 5 2 2 3" xfId="21587"/>
    <cellStyle name="SAPBEXexcCritical6 5 2 2 3 2" xfId="42462"/>
    <cellStyle name="SAPBEXexcCritical6 5 2 2 4" xfId="22142"/>
    <cellStyle name="SAPBEXexcCritical6 5 2 2 4 2" xfId="43017"/>
    <cellStyle name="SAPBEXexcCritical6 5 2 2 5" xfId="15230"/>
    <cellStyle name="SAPBEXexcCritical6 5 2 2 5 2" xfId="36106"/>
    <cellStyle name="SAPBEXexcCritical6 5 2 2 6" xfId="27368"/>
    <cellStyle name="SAPBEXexcCritical6 5 2 3" xfId="21982"/>
    <cellStyle name="SAPBEXexcCritical6 5 2 3 2" xfId="42857"/>
    <cellStyle name="SAPBEXexcCritical6 5 2 4" xfId="22106"/>
    <cellStyle name="SAPBEXexcCritical6 5 2 4 2" xfId="42981"/>
    <cellStyle name="SAPBEXexcCritical6 5 2 5" xfId="21620"/>
    <cellStyle name="SAPBEXexcCritical6 5 2 5 2" xfId="42495"/>
    <cellStyle name="SAPBEXexcCritical6 5 2 6" xfId="13412"/>
    <cellStyle name="SAPBEXexcCritical6 5 2 6 2" xfId="34288"/>
    <cellStyle name="SAPBEXexcCritical6 5 2 7" xfId="25550"/>
    <cellStyle name="SAPBEXexcCritical6 5 3" xfId="8338"/>
    <cellStyle name="SAPBEXexcCritical6 5 3 2" xfId="23027"/>
    <cellStyle name="SAPBEXexcCritical6 5 3 2 2" xfId="43900"/>
    <cellStyle name="SAPBEXexcCritical6 5 3 3" xfId="23314"/>
    <cellStyle name="SAPBEXexcCritical6 5 3 3 2" xfId="44186"/>
    <cellStyle name="SAPBEXexcCritical6 5 3 4" xfId="22441"/>
    <cellStyle name="SAPBEXexcCritical6 5 3 4 2" xfId="43316"/>
    <cellStyle name="SAPBEXexcCritical6 5 3 5" xfId="17343"/>
    <cellStyle name="SAPBEXexcCritical6 5 3 5 2" xfId="38219"/>
    <cellStyle name="SAPBEXexcCritical6 5 3 6" xfId="29481"/>
    <cellStyle name="SAPBEXexcCritical6 5 4" xfId="10222"/>
    <cellStyle name="SAPBEXexcCritical6 5 4 2" xfId="23507"/>
    <cellStyle name="SAPBEXexcCritical6 5 4 2 2" xfId="44379"/>
    <cellStyle name="SAPBEXexcCritical6 5 4 3" xfId="23759"/>
    <cellStyle name="SAPBEXexcCritical6 5 4 3 2" xfId="44631"/>
    <cellStyle name="SAPBEXexcCritical6 5 4 4" xfId="21293"/>
    <cellStyle name="SAPBEXexcCritical6 5 4 4 2" xfId="42168"/>
    <cellStyle name="SAPBEXexcCritical6 5 4 5" xfId="18993"/>
    <cellStyle name="SAPBEXexcCritical6 5 4 5 2" xfId="39869"/>
    <cellStyle name="SAPBEXexcCritical6 5 4 6" xfId="31133"/>
    <cellStyle name="SAPBEXexcCritical6 5 5" xfId="21499"/>
    <cellStyle name="SAPBEXexcCritical6 5 5 2" xfId="42374"/>
    <cellStyle name="SAPBEXexcCritical6 5 6" xfId="23855"/>
    <cellStyle name="SAPBEXexcCritical6 5 6 2" xfId="44727"/>
    <cellStyle name="SAPBEXexcCritical6 5 7" xfId="20956"/>
    <cellStyle name="SAPBEXexcCritical6 5 7 2" xfId="41831"/>
    <cellStyle name="SAPBEXexcCritical6 5 8" xfId="12264"/>
    <cellStyle name="SAPBEXexcCritical6 5 8 2" xfId="33153"/>
    <cellStyle name="SAPBEXexcCritical6 5 9" xfId="24379"/>
    <cellStyle name="SAPBEXexcCritical6 6" xfId="3817"/>
    <cellStyle name="SAPBEXexcCritical6 6 2" xfId="6046"/>
    <cellStyle name="SAPBEXexcCritical6 6 2 2" xfId="22405"/>
    <cellStyle name="SAPBEXexcCritical6 6 2 2 2" xfId="43280"/>
    <cellStyle name="SAPBEXexcCritical6 6 2 3" xfId="22649"/>
    <cellStyle name="SAPBEXexcCritical6 6 2 3 2" xfId="43524"/>
    <cellStyle name="SAPBEXexcCritical6 6 2 4" xfId="22435"/>
    <cellStyle name="SAPBEXexcCritical6 6 2 4 2" xfId="43310"/>
    <cellStyle name="SAPBEXexcCritical6 6 2 5" xfId="15055"/>
    <cellStyle name="SAPBEXexcCritical6 6 2 5 2" xfId="35931"/>
    <cellStyle name="SAPBEXexcCritical6 6 2 6" xfId="27193"/>
    <cellStyle name="SAPBEXexcCritical6 6 3" xfId="21791"/>
    <cellStyle name="SAPBEXexcCritical6 6 3 2" xfId="42666"/>
    <cellStyle name="SAPBEXexcCritical6 6 4" xfId="23816"/>
    <cellStyle name="SAPBEXexcCritical6 6 4 2" xfId="44688"/>
    <cellStyle name="SAPBEXexcCritical6 6 5" xfId="24089"/>
    <cellStyle name="SAPBEXexcCritical6 6 5 2" xfId="44961"/>
    <cellStyle name="SAPBEXexcCritical6 6 6" xfId="13237"/>
    <cellStyle name="SAPBEXexcCritical6 6 6 2" xfId="34113"/>
    <cellStyle name="SAPBEXexcCritical6 6 7" xfId="25375"/>
    <cellStyle name="SAPBEXexcCritical6 7" xfId="8334"/>
    <cellStyle name="SAPBEXexcCritical6 7 2" xfId="23023"/>
    <cellStyle name="SAPBEXexcCritical6 7 2 2" xfId="43896"/>
    <cellStyle name="SAPBEXexcCritical6 7 3" xfId="22747"/>
    <cellStyle name="SAPBEXexcCritical6 7 3 2" xfId="43622"/>
    <cellStyle name="SAPBEXexcCritical6 7 4" xfId="22280"/>
    <cellStyle name="SAPBEXexcCritical6 7 4 2" xfId="43155"/>
    <cellStyle name="SAPBEXexcCritical6 7 5" xfId="17339"/>
    <cellStyle name="SAPBEXexcCritical6 7 5 2" xfId="38215"/>
    <cellStyle name="SAPBEXexcCritical6 7 6" xfId="29477"/>
    <cellStyle name="SAPBEXexcCritical6 8" xfId="10218"/>
    <cellStyle name="SAPBEXexcCritical6 8 2" xfId="23503"/>
    <cellStyle name="SAPBEXexcCritical6 8 2 2" xfId="44375"/>
    <cellStyle name="SAPBEXexcCritical6 8 3" xfId="23726"/>
    <cellStyle name="SAPBEXexcCritical6 8 3 2" xfId="44598"/>
    <cellStyle name="SAPBEXexcCritical6 8 4" xfId="23786"/>
    <cellStyle name="SAPBEXexcCritical6 8 4 2" xfId="44658"/>
    <cellStyle name="SAPBEXexcCritical6 8 5" xfId="18989"/>
    <cellStyle name="SAPBEXexcCritical6 8 5 2" xfId="39865"/>
    <cellStyle name="SAPBEXexcCritical6 8 6" xfId="31129"/>
    <cellStyle name="SAPBEXexcCritical6 9" xfId="20895"/>
    <cellStyle name="SAPBEXexcCritical6 9 2" xfId="41770"/>
    <cellStyle name="SAPBEXexcGood1" xfId="1152"/>
    <cellStyle name="SAPBEXexcGood1 10" xfId="21174"/>
    <cellStyle name="SAPBEXexcGood1 10 2" xfId="42049"/>
    <cellStyle name="SAPBEXexcGood1 11" xfId="23226"/>
    <cellStyle name="SAPBEXexcGood1 11 2" xfId="44099"/>
    <cellStyle name="SAPBEXexcGood1 12" xfId="12132"/>
    <cellStyle name="SAPBEXexcGood1 12 2" xfId="33032"/>
    <cellStyle name="SAPBEXexcGood1 13" xfId="24158"/>
    <cellStyle name="SAPBEXexcGood1 13 2" xfId="45028"/>
    <cellStyle name="SAPBEXexcGood1 14" xfId="24259"/>
    <cellStyle name="SAPBEXexcGood1 14 2" xfId="45120"/>
    <cellStyle name="SAPBEXexcGood1 2" xfId="2751"/>
    <cellStyle name="SAPBEXexcGood1 2 10" xfId="24380"/>
    <cellStyle name="SAPBEXexcGood1 2 2" xfId="4368"/>
    <cellStyle name="SAPBEXexcGood1 2 2 2" xfId="6222"/>
    <cellStyle name="SAPBEXexcGood1 2 2 2 2" xfId="22527"/>
    <cellStyle name="SAPBEXexcGood1 2 2 2 2 2" xfId="43402"/>
    <cellStyle name="SAPBEXexcGood1 2 2 2 3" xfId="21598"/>
    <cellStyle name="SAPBEXexcGood1 2 2 2 3 2" xfId="42473"/>
    <cellStyle name="SAPBEXexcGood1 2 2 2 4" xfId="20845"/>
    <cellStyle name="SAPBEXexcGood1 2 2 2 4 2" xfId="41721"/>
    <cellStyle name="SAPBEXexcGood1 2 2 2 5" xfId="15231"/>
    <cellStyle name="SAPBEXexcGood1 2 2 2 5 2" xfId="36107"/>
    <cellStyle name="SAPBEXexcGood1 2 2 2 6" xfId="27369"/>
    <cellStyle name="SAPBEXexcGood1 2 2 3" xfId="21983"/>
    <cellStyle name="SAPBEXexcGood1 2 2 3 2" xfId="42858"/>
    <cellStyle name="SAPBEXexcGood1 2 2 4" xfId="24064"/>
    <cellStyle name="SAPBEXexcGood1 2 2 4 2" xfId="44936"/>
    <cellStyle name="SAPBEXexcGood1 2 2 5" xfId="23768"/>
    <cellStyle name="SAPBEXexcGood1 2 2 5 2" xfId="44640"/>
    <cellStyle name="SAPBEXexcGood1 2 2 6" xfId="13413"/>
    <cellStyle name="SAPBEXexcGood1 2 2 6 2" xfId="34289"/>
    <cellStyle name="SAPBEXexcGood1 2 2 7" xfId="25551"/>
    <cellStyle name="SAPBEXexcGood1 2 3" xfId="8340"/>
    <cellStyle name="SAPBEXexcGood1 2 3 2" xfId="23029"/>
    <cellStyle name="SAPBEXexcGood1 2 3 2 2" xfId="43902"/>
    <cellStyle name="SAPBEXexcGood1 2 3 3" xfId="21227"/>
    <cellStyle name="SAPBEXexcGood1 2 3 3 2" xfId="42102"/>
    <cellStyle name="SAPBEXexcGood1 2 3 4" xfId="23815"/>
    <cellStyle name="SAPBEXexcGood1 2 3 4 2" xfId="44687"/>
    <cellStyle name="SAPBEXexcGood1 2 3 5" xfId="17345"/>
    <cellStyle name="SAPBEXexcGood1 2 3 5 2" xfId="38221"/>
    <cellStyle name="SAPBEXexcGood1 2 3 6" xfId="29483"/>
    <cellStyle name="SAPBEXexcGood1 2 4" xfId="10224"/>
    <cellStyle name="SAPBEXexcGood1 2 4 2" xfId="23509"/>
    <cellStyle name="SAPBEXexcGood1 2 4 2 2" xfId="44381"/>
    <cellStyle name="SAPBEXexcGood1 2 4 3" xfId="22258"/>
    <cellStyle name="SAPBEXexcGood1 2 4 3 2" xfId="43133"/>
    <cellStyle name="SAPBEXexcGood1 2 4 4" xfId="22912"/>
    <cellStyle name="SAPBEXexcGood1 2 4 4 2" xfId="43786"/>
    <cellStyle name="SAPBEXexcGood1 2 4 5" xfId="18995"/>
    <cellStyle name="SAPBEXexcGood1 2 4 5 2" xfId="39871"/>
    <cellStyle name="SAPBEXexcGood1 2 4 6" xfId="31135"/>
    <cellStyle name="SAPBEXexcGood1 2 5" xfId="20898"/>
    <cellStyle name="SAPBEXexcGood1 2 5 2" xfId="41773"/>
    <cellStyle name="SAPBEXexcGood1 2 6" xfId="23249"/>
    <cellStyle name="SAPBEXexcGood1 2 6 2" xfId="44122"/>
    <cellStyle name="SAPBEXexcGood1 2 7" xfId="21854"/>
    <cellStyle name="SAPBEXexcGood1 2 7 2" xfId="42729"/>
    <cellStyle name="SAPBEXexcGood1 2 8" xfId="12133"/>
    <cellStyle name="SAPBEXexcGood1 2 8 2" xfId="33033"/>
    <cellStyle name="SAPBEXexcGood1 2 9" xfId="24195"/>
    <cellStyle name="SAPBEXexcGood1 2 9 2" xfId="45063"/>
    <cellStyle name="SAPBEXexcGood1 3" xfId="2752"/>
    <cellStyle name="SAPBEXexcGood1 3 2" xfId="4369"/>
    <cellStyle name="SAPBEXexcGood1 3 2 2" xfId="6223"/>
    <cellStyle name="SAPBEXexcGood1 3 2 2 2" xfId="22528"/>
    <cellStyle name="SAPBEXexcGood1 3 2 2 2 2" xfId="43403"/>
    <cellStyle name="SAPBEXexcGood1 3 2 2 3" xfId="22327"/>
    <cellStyle name="SAPBEXexcGood1 3 2 2 3 2" xfId="43202"/>
    <cellStyle name="SAPBEXexcGood1 3 2 2 4" xfId="23862"/>
    <cellStyle name="SAPBEXexcGood1 3 2 2 4 2" xfId="44734"/>
    <cellStyle name="SAPBEXexcGood1 3 2 2 5" xfId="15232"/>
    <cellStyle name="SAPBEXexcGood1 3 2 2 5 2" xfId="36108"/>
    <cellStyle name="SAPBEXexcGood1 3 2 2 6" xfId="27370"/>
    <cellStyle name="SAPBEXexcGood1 3 2 3" xfId="21984"/>
    <cellStyle name="SAPBEXexcGood1 3 2 3 2" xfId="42859"/>
    <cellStyle name="SAPBEXexcGood1 3 2 4" xfId="20850"/>
    <cellStyle name="SAPBEXexcGood1 3 2 4 2" xfId="41726"/>
    <cellStyle name="SAPBEXexcGood1 3 2 5" xfId="22759"/>
    <cellStyle name="SAPBEXexcGood1 3 2 5 2" xfId="43634"/>
    <cellStyle name="SAPBEXexcGood1 3 2 6" xfId="13414"/>
    <cellStyle name="SAPBEXexcGood1 3 2 6 2" xfId="34290"/>
    <cellStyle name="SAPBEXexcGood1 3 2 7" xfId="25552"/>
    <cellStyle name="SAPBEXexcGood1 3 3" xfId="8341"/>
    <cellStyle name="SAPBEXexcGood1 3 3 2" xfId="23030"/>
    <cellStyle name="SAPBEXexcGood1 3 3 2 2" xfId="43903"/>
    <cellStyle name="SAPBEXexcGood1 3 3 3" xfId="21775"/>
    <cellStyle name="SAPBEXexcGood1 3 3 3 2" xfId="42650"/>
    <cellStyle name="SAPBEXexcGood1 3 3 4" xfId="21412"/>
    <cellStyle name="SAPBEXexcGood1 3 3 4 2" xfId="42287"/>
    <cellStyle name="SAPBEXexcGood1 3 3 5" xfId="17346"/>
    <cellStyle name="SAPBEXexcGood1 3 3 5 2" xfId="38222"/>
    <cellStyle name="SAPBEXexcGood1 3 3 6" xfId="29484"/>
    <cellStyle name="SAPBEXexcGood1 3 4" xfId="10225"/>
    <cellStyle name="SAPBEXexcGood1 3 4 2" xfId="23510"/>
    <cellStyle name="SAPBEXexcGood1 3 4 2 2" xfId="44382"/>
    <cellStyle name="SAPBEXexcGood1 3 4 3" xfId="22751"/>
    <cellStyle name="SAPBEXexcGood1 3 4 3 2" xfId="43626"/>
    <cellStyle name="SAPBEXexcGood1 3 4 4" xfId="23429"/>
    <cellStyle name="SAPBEXexcGood1 3 4 4 2" xfId="44301"/>
    <cellStyle name="SAPBEXexcGood1 3 4 5" xfId="18996"/>
    <cellStyle name="SAPBEXexcGood1 3 4 5 2" xfId="39872"/>
    <cellStyle name="SAPBEXexcGood1 3 4 6" xfId="31136"/>
    <cellStyle name="SAPBEXexcGood1 3 5" xfId="21500"/>
    <cellStyle name="SAPBEXexcGood1 3 5 2" xfId="42375"/>
    <cellStyle name="SAPBEXexcGood1 3 6" xfId="23371"/>
    <cellStyle name="SAPBEXexcGood1 3 6 2" xfId="44243"/>
    <cellStyle name="SAPBEXexcGood1 3 7" xfId="22929"/>
    <cellStyle name="SAPBEXexcGood1 3 7 2" xfId="43803"/>
    <cellStyle name="SAPBEXexcGood1 3 8" xfId="12265"/>
    <cellStyle name="SAPBEXexcGood1 3 8 2" xfId="33154"/>
    <cellStyle name="SAPBEXexcGood1 3 9" xfId="24381"/>
    <cellStyle name="SAPBEXexcGood1 4" xfId="2753"/>
    <cellStyle name="SAPBEXexcGood1 4 2" xfId="4370"/>
    <cellStyle name="SAPBEXexcGood1 4 2 2" xfId="6224"/>
    <cellStyle name="SAPBEXexcGood1 4 2 2 2" xfId="22529"/>
    <cellStyle name="SAPBEXexcGood1 4 2 2 2 2" xfId="43404"/>
    <cellStyle name="SAPBEXexcGood1 4 2 2 3" xfId="22235"/>
    <cellStyle name="SAPBEXexcGood1 4 2 2 3 2" xfId="43110"/>
    <cellStyle name="SAPBEXexcGood1 4 2 2 4" xfId="22176"/>
    <cellStyle name="SAPBEXexcGood1 4 2 2 4 2" xfId="43051"/>
    <cellStyle name="SAPBEXexcGood1 4 2 2 5" xfId="15233"/>
    <cellStyle name="SAPBEXexcGood1 4 2 2 5 2" xfId="36109"/>
    <cellStyle name="SAPBEXexcGood1 4 2 2 6" xfId="27371"/>
    <cellStyle name="SAPBEXexcGood1 4 2 3" xfId="21985"/>
    <cellStyle name="SAPBEXexcGood1 4 2 3 2" xfId="42860"/>
    <cellStyle name="SAPBEXexcGood1 4 2 4" xfId="21007"/>
    <cellStyle name="SAPBEXexcGood1 4 2 4 2" xfId="41882"/>
    <cellStyle name="SAPBEXexcGood1 4 2 5" xfId="23325"/>
    <cellStyle name="SAPBEXexcGood1 4 2 5 2" xfId="44197"/>
    <cellStyle name="SAPBEXexcGood1 4 2 6" xfId="13415"/>
    <cellStyle name="SAPBEXexcGood1 4 2 6 2" xfId="34291"/>
    <cellStyle name="SAPBEXexcGood1 4 2 7" xfId="25553"/>
    <cellStyle name="SAPBEXexcGood1 4 3" xfId="8342"/>
    <cellStyle name="SAPBEXexcGood1 4 3 2" xfId="23031"/>
    <cellStyle name="SAPBEXexcGood1 4 3 2 2" xfId="43904"/>
    <cellStyle name="SAPBEXexcGood1 4 3 3" xfId="22769"/>
    <cellStyle name="SAPBEXexcGood1 4 3 3 2" xfId="43644"/>
    <cellStyle name="SAPBEXexcGood1 4 3 4" xfId="21325"/>
    <cellStyle name="SAPBEXexcGood1 4 3 4 2" xfId="42200"/>
    <cellStyle name="SAPBEXexcGood1 4 3 5" xfId="17347"/>
    <cellStyle name="SAPBEXexcGood1 4 3 5 2" xfId="38223"/>
    <cellStyle name="SAPBEXexcGood1 4 3 6" xfId="29485"/>
    <cellStyle name="SAPBEXexcGood1 4 4" xfId="10226"/>
    <cellStyle name="SAPBEXexcGood1 4 4 2" xfId="23511"/>
    <cellStyle name="SAPBEXexcGood1 4 4 2 2" xfId="44383"/>
    <cellStyle name="SAPBEXexcGood1 4 4 3" xfId="22861"/>
    <cellStyle name="SAPBEXexcGood1 4 4 3 2" xfId="43735"/>
    <cellStyle name="SAPBEXexcGood1 4 4 4" xfId="21874"/>
    <cellStyle name="SAPBEXexcGood1 4 4 4 2" xfId="42749"/>
    <cellStyle name="SAPBEXexcGood1 4 4 5" xfId="18997"/>
    <cellStyle name="SAPBEXexcGood1 4 4 5 2" xfId="39873"/>
    <cellStyle name="SAPBEXexcGood1 4 4 6" xfId="31137"/>
    <cellStyle name="SAPBEXexcGood1 4 5" xfId="21501"/>
    <cellStyle name="SAPBEXexcGood1 4 5 2" xfId="42376"/>
    <cellStyle name="SAPBEXexcGood1 4 6" xfId="21650"/>
    <cellStyle name="SAPBEXexcGood1 4 6 2" xfId="42525"/>
    <cellStyle name="SAPBEXexcGood1 4 7" xfId="23937"/>
    <cellStyle name="SAPBEXexcGood1 4 7 2" xfId="44809"/>
    <cellStyle name="SAPBEXexcGood1 4 8" xfId="12266"/>
    <cellStyle name="SAPBEXexcGood1 4 8 2" xfId="33155"/>
    <cellStyle name="SAPBEXexcGood1 4 9" xfId="24382"/>
    <cellStyle name="SAPBEXexcGood1 5" xfId="2754"/>
    <cellStyle name="SAPBEXexcGood1 5 2" xfId="4371"/>
    <cellStyle name="SAPBEXexcGood1 5 2 2" xfId="6225"/>
    <cellStyle name="SAPBEXexcGood1 5 2 2 2" xfId="22530"/>
    <cellStyle name="SAPBEXexcGood1 5 2 2 2 2" xfId="43405"/>
    <cellStyle name="SAPBEXexcGood1 5 2 2 3" xfId="23435"/>
    <cellStyle name="SAPBEXexcGood1 5 2 2 3 2" xfId="44307"/>
    <cellStyle name="SAPBEXexcGood1 5 2 2 4" xfId="23750"/>
    <cellStyle name="SAPBEXexcGood1 5 2 2 4 2" xfId="44622"/>
    <cellStyle name="SAPBEXexcGood1 5 2 2 5" xfId="15234"/>
    <cellStyle name="SAPBEXexcGood1 5 2 2 5 2" xfId="36110"/>
    <cellStyle name="SAPBEXexcGood1 5 2 2 6" xfId="27372"/>
    <cellStyle name="SAPBEXexcGood1 5 2 3" xfId="21986"/>
    <cellStyle name="SAPBEXexcGood1 5 2 3 2" xfId="42861"/>
    <cellStyle name="SAPBEXexcGood1 5 2 4" xfId="21372"/>
    <cellStyle name="SAPBEXexcGood1 5 2 4 2" xfId="42247"/>
    <cellStyle name="SAPBEXexcGood1 5 2 5" xfId="22944"/>
    <cellStyle name="SAPBEXexcGood1 5 2 5 2" xfId="43818"/>
    <cellStyle name="SAPBEXexcGood1 5 2 6" xfId="13416"/>
    <cellStyle name="SAPBEXexcGood1 5 2 6 2" xfId="34292"/>
    <cellStyle name="SAPBEXexcGood1 5 2 7" xfId="25554"/>
    <cellStyle name="SAPBEXexcGood1 5 3" xfId="8343"/>
    <cellStyle name="SAPBEXexcGood1 5 3 2" xfId="23032"/>
    <cellStyle name="SAPBEXexcGood1 5 3 2 2" xfId="43905"/>
    <cellStyle name="SAPBEXexcGood1 5 3 3" xfId="21615"/>
    <cellStyle name="SAPBEXexcGood1 5 3 3 2" xfId="42490"/>
    <cellStyle name="SAPBEXexcGood1 5 3 4" xfId="22820"/>
    <cellStyle name="SAPBEXexcGood1 5 3 4 2" xfId="43695"/>
    <cellStyle name="SAPBEXexcGood1 5 3 5" xfId="17348"/>
    <cellStyle name="SAPBEXexcGood1 5 3 5 2" xfId="38224"/>
    <cellStyle name="SAPBEXexcGood1 5 3 6" xfId="29486"/>
    <cellStyle name="SAPBEXexcGood1 5 4" xfId="10227"/>
    <cellStyle name="SAPBEXexcGood1 5 4 2" xfId="23512"/>
    <cellStyle name="SAPBEXexcGood1 5 4 2 2" xfId="44384"/>
    <cellStyle name="SAPBEXexcGood1 5 4 3" xfId="23181"/>
    <cellStyle name="SAPBEXexcGood1 5 4 3 2" xfId="44054"/>
    <cellStyle name="SAPBEXexcGood1 5 4 4" xfId="23248"/>
    <cellStyle name="SAPBEXexcGood1 5 4 4 2" xfId="44121"/>
    <cellStyle name="SAPBEXexcGood1 5 4 5" xfId="18998"/>
    <cellStyle name="SAPBEXexcGood1 5 4 5 2" xfId="39874"/>
    <cellStyle name="SAPBEXexcGood1 5 4 6" xfId="31138"/>
    <cellStyle name="SAPBEXexcGood1 5 5" xfId="21502"/>
    <cellStyle name="SAPBEXexcGood1 5 5 2" xfId="42377"/>
    <cellStyle name="SAPBEXexcGood1 5 6" xfId="22643"/>
    <cellStyle name="SAPBEXexcGood1 5 6 2" xfId="43518"/>
    <cellStyle name="SAPBEXexcGood1 5 7" xfId="23154"/>
    <cellStyle name="SAPBEXexcGood1 5 7 2" xfId="44027"/>
    <cellStyle name="SAPBEXexcGood1 5 8" xfId="12267"/>
    <cellStyle name="SAPBEXexcGood1 5 8 2" xfId="33156"/>
    <cellStyle name="SAPBEXexcGood1 5 9" xfId="24383"/>
    <cellStyle name="SAPBEXexcGood1 6" xfId="3818"/>
    <cellStyle name="SAPBEXexcGood1 6 2" xfId="6047"/>
    <cellStyle name="SAPBEXexcGood1 6 2 2" xfId="22406"/>
    <cellStyle name="SAPBEXexcGood1 6 2 2 2" xfId="43281"/>
    <cellStyle name="SAPBEXexcGood1 6 2 3" xfId="24055"/>
    <cellStyle name="SAPBEXexcGood1 6 2 3 2" xfId="44927"/>
    <cellStyle name="SAPBEXexcGood1 6 2 4" xfId="22123"/>
    <cellStyle name="SAPBEXexcGood1 6 2 4 2" xfId="42998"/>
    <cellStyle name="SAPBEXexcGood1 6 2 5" xfId="15056"/>
    <cellStyle name="SAPBEXexcGood1 6 2 5 2" xfId="35932"/>
    <cellStyle name="SAPBEXexcGood1 6 2 6" xfId="27194"/>
    <cellStyle name="SAPBEXexcGood1 6 3" xfId="21792"/>
    <cellStyle name="SAPBEXexcGood1 6 3 2" xfId="42667"/>
    <cellStyle name="SAPBEXexcGood1 6 4" xfId="23899"/>
    <cellStyle name="SAPBEXexcGood1 6 4 2" xfId="44771"/>
    <cellStyle name="SAPBEXexcGood1 6 5" xfId="22278"/>
    <cellStyle name="SAPBEXexcGood1 6 5 2" xfId="43153"/>
    <cellStyle name="SAPBEXexcGood1 6 6" xfId="13238"/>
    <cellStyle name="SAPBEXexcGood1 6 6 2" xfId="34114"/>
    <cellStyle name="SAPBEXexcGood1 6 7" xfId="25376"/>
    <cellStyle name="SAPBEXexcGood1 7" xfId="8339"/>
    <cellStyle name="SAPBEXexcGood1 7 2" xfId="23028"/>
    <cellStyle name="SAPBEXexcGood1 7 2 2" xfId="43901"/>
    <cellStyle name="SAPBEXexcGood1 7 3" xfId="22858"/>
    <cellStyle name="SAPBEXexcGood1 7 3 2" xfId="43733"/>
    <cellStyle name="SAPBEXexcGood1 7 4" xfId="22838"/>
    <cellStyle name="SAPBEXexcGood1 7 4 2" xfId="43713"/>
    <cellStyle name="SAPBEXexcGood1 7 5" xfId="17344"/>
    <cellStyle name="SAPBEXexcGood1 7 5 2" xfId="38220"/>
    <cellStyle name="SAPBEXexcGood1 7 6" xfId="29482"/>
    <cellStyle name="SAPBEXexcGood1 8" xfId="10223"/>
    <cellStyle name="SAPBEXexcGood1 8 2" xfId="23508"/>
    <cellStyle name="SAPBEXexcGood1 8 2 2" xfId="44380"/>
    <cellStyle name="SAPBEXexcGood1 8 3" xfId="23919"/>
    <cellStyle name="SAPBEXexcGood1 8 3 2" xfId="44791"/>
    <cellStyle name="SAPBEXexcGood1 8 4" xfId="21250"/>
    <cellStyle name="SAPBEXexcGood1 8 4 2" xfId="42125"/>
    <cellStyle name="SAPBEXexcGood1 8 5" xfId="18994"/>
    <cellStyle name="SAPBEXexcGood1 8 5 2" xfId="39870"/>
    <cellStyle name="SAPBEXexcGood1 8 6" xfId="31134"/>
    <cellStyle name="SAPBEXexcGood1 9" xfId="20897"/>
    <cellStyle name="SAPBEXexcGood1 9 2" xfId="41772"/>
    <cellStyle name="SAPBEXexcGood2" xfId="1153"/>
    <cellStyle name="SAPBEXexcGood2 10" xfId="23753"/>
    <cellStyle name="SAPBEXexcGood2 10 2" xfId="44625"/>
    <cellStyle name="SAPBEXexcGood2 11" xfId="23901"/>
    <cellStyle name="SAPBEXexcGood2 11 2" xfId="44773"/>
    <cellStyle name="SAPBEXexcGood2 12" xfId="12134"/>
    <cellStyle name="SAPBEXexcGood2 12 2" xfId="33034"/>
    <cellStyle name="SAPBEXexcGood2 13" xfId="24157"/>
    <cellStyle name="SAPBEXexcGood2 13 2" xfId="45027"/>
    <cellStyle name="SAPBEXexcGood2 14" xfId="24260"/>
    <cellStyle name="SAPBEXexcGood2 14 2" xfId="45121"/>
    <cellStyle name="SAPBEXexcGood2 2" xfId="2755"/>
    <cellStyle name="SAPBEXexcGood2 2 10" xfId="24384"/>
    <cellStyle name="SAPBEXexcGood2 2 2" xfId="4373"/>
    <cellStyle name="SAPBEXexcGood2 2 2 2" xfId="6226"/>
    <cellStyle name="SAPBEXexcGood2 2 2 2 2" xfId="22531"/>
    <cellStyle name="SAPBEXexcGood2 2 2 2 2 2" xfId="43406"/>
    <cellStyle name="SAPBEXexcGood2 2 2 2 3" xfId="21621"/>
    <cellStyle name="SAPBEXexcGood2 2 2 2 3 2" xfId="42496"/>
    <cellStyle name="SAPBEXexcGood2 2 2 2 4" xfId="24071"/>
    <cellStyle name="SAPBEXexcGood2 2 2 2 4 2" xfId="44943"/>
    <cellStyle name="SAPBEXexcGood2 2 2 2 5" xfId="15235"/>
    <cellStyle name="SAPBEXexcGood2 2 2 2 5 2" xfId="36111"/>
    <cellStyle name="SAPBEXexcGood2 2 2 2 6" xfId="27373"/>
    <cellStyle name="SAPBEXexcGood2 2 2 3" xfId="21987"/>
    <cellStyle name="SAPBEXexcGood2 2 2 3 2" xfId="42862"/>
    <cellStyle name="SAPBEXexcGood2 2 2 4" xfId="21849"/>
    <cellStyle name="SAPBEXexcGood2 2 2 4 2" xfId="42724"/>
    <cellStyle name="SAPBEXexcGood2 2 2 5" xfId="23247"/>
    <cellStyle name="SAPBEXexcGood2 2 2 5 2" xfId="44120"/>
    <cellStyle name="SAPBEXexcGood2 2 2 6" xfId="13417"/>
    <cellStyle name="SAPBEXexcGood2 2 2 6 2" xfId="34293"/>
    <cellStyle name="SAPBEXexcGood2 2 2 7" xfId="25555"/>
    <cellStyle name="SAPBEXexcGood2 2 3" xfId="8345"/>
    <cellStyle name="SAPBEXexcGood2 2 3 2" xfId="23034"/>
    <cellStyle name="SAPBEXexcGood2 2 3 2 2" xfId="43907"/>
    <cellStyle name="SAPBEXexcGood2 2 3 3" xfId="22865"/>
    <cellStyle name="SAPBEXexcGood2 2 3 3 2" xfId="43739"/>
    <cellStyle name="SAPBEXexcGood2 2 3 4" xfId="23999"/>
    <cellStyle name="SAPBEXexcGood2 2 3 4 2" xfId="44871"/>
    <cellStyle name="SAPBEXexcGood2 2 3 5" xfId="17350"/>
    <cellStyle name="SAPBEXexcGood2 2 3 5 2" xfId="38226"/>
    <cellStyle name="SAPBEXexcGood2 2 3 6" xfId="29488"/>
    <cellStyle name="SAPBEXexcGood2 2 4" xfId="10229"/>
    <cellStyle name="SAPBEXexcGood2 2 4 2" xfId="23514"/>
    <cellStyle name="SAPBEXexcGood2 2 4 2 2" xfId="44386"/>
    <cellStyle name="SAPBEXexcGood2 2 4 3" xfId="22167"/>
    <cellStyle name="SAPBEXexcGood2 2 4 3 2" xfId="43042"/>
    <cellStyle name="SAPBEXexcGood2 2 4 4" xfId="21867"/>
    <cellStyle name="SAPBEXexcGood2 2 4 4 2" xfId="42742"/>
    <cellStyle name="SAPBEXexcGood2 2 4 5" xfId="19000"/>
    <cellStyle name="SAPBEXexcGood2 2 4 5 2" xfId="39876"/>
    <cellStyle name="SAPBEXexcGood2 2 4 6" xfId="31140"/>
    <cellStyle name="SAPBEXexcGood2 2 5" xfId="20900"/>
    <cellStyle name="SAPBEXexcGood2 2 5 2" xfId="41775"/>
    <cellStyle name="SAPBEXexcGood2 2 6" xfId="22682"/>
    <cellStyle name="SAPBEXexcGood2 2 6 2" xfId="43557"/>
    <cellStyle name="SAPBEXexcGood2 2 7" xfId="21416"/>
    <cellStyle name="SAPBEXexcGood2 2 7 2" xfId="42291"/>
    <cellStyle name="SAPBEXexcGood2 2 8" xfId="12135"/>
    <cellStyle name="SAPBEXexcGood2 2 8 2" xfId="33035"/>
    <cellStyle name="SAPBEXexcGood2 2 9" xfId="24196"/>
    <cellStyle name="SAPBEXexcGood2 2 9 2" xfId="45064"/>
    <cellStyle name="SAPBEXexcGood2 3" xfId="2756"/>
    <cellStyle name="SAPBEXexcGood2 3 2" xfId="4374"/>
    <cellStyle name="SAPBEXexcGood2 3 2 2" xfId="6227"/>
    <cellStyle name="SAPBEXexcGood2 3 2 2 2" xfId="22532"/>
    <cellStyle name="SAPBEXexcGood2 3 2 2 2 2" xfId="43407"/>
    <cellStyle name="SAPBEXexcGood2 3 2 2 3" xfId="21191"/>
    <cellStyle name="SAPBEXexcGood2 3 2 2 3 2" xfId="42066"/>
    <cellStyle name="SAPBEXexcGood2 3 2 2 4" xfId="23233"/>
    <cellStyle name="SAPBEXexcGood2 3 2 2 4 2" xfId="44106"/>
    <cellStyle name="SAPBEXexcGood2 3 2 2 5" xfId="15236"/>
    <cellStyle name="SAPBEXexcGood2 3 2 2 5 2" xfId="36112"/>
    <cellStyle name="SAPBEXexcGood2 3 2 2 6" xfId="27374"/>
    <cellStyle name="SAPBEXexcGood2 3 2 3" xfId="21988"/>
    <cellStyle name="SAPBEXexcGood2 3 2 3 2" xfId="42863"/>
    <cellStyle name="SAPBEXexcGood2 3 2 4" xfId="21695"/>
    <cellStyle name="SAPBEXexcGood2 3 2 4 2" xfId="42570"/>
    <cellStyle name="SAPBEXexcGood2 3 2 5" xfId="23983"/>
    <cellStyle name="SAPBEXexcGood2 3 2 5 2" xfId="44855"/>
    <cellStyle name="SAPBEXexcGood2 3 2 6" xfId="13418"/>
    <cellStyle name="SAPBEXexcGood2 3 2 6 2" xfId="34294"/>
    <cellStyle name="SAPBEXexcGood2 3 2 7" xfId="25556"/>
    <cellStyle name="SAPBEXexcGood2 3 3" xfId="8346"/>
    <cellStyle name="SAPBEXexcGood2 3 3 2" xfId="23035"/>
    <cellStyle name="SAPBEXexcGood2 3 3 2 2" xfId="43908"/>
    <cellStyle name="SAPBEXexcGood2 3 3 3" xfId="23317"/>
    <cellStyle name="SAPBEXexcGood2 3 3 3 2" xfId="44189"/>
    <cellStyle name="SAPBEXexcGood2 3 3 4" xfId="22683"/>
    <cellStyle name="SAPBEXexcGood2 3 3 4 2" xfId="43558"/>
    <cellStyle name="SAPBEXexcGood2 3 3 5" xfId="17351"/>
    <cellStyle name="SAPBEXexcGood2 3 3 5 2" xfId="38227"/>
    <cellStyle name="SAPBEXexcGood2 3 3 6" xfId="29489"/>
    <cellStyle name="SAPBEXexcGood2 3 4" xfId="10230"/>
    <cellStyle name="SAPBEXexcGood2 3 4 2" xfId="23515"/>
    <cellStyle name="SAPBEXexcGood2 3 4 2 2" xfId="44387"/>
    <cellStyle name="SAPBEXexcGood2 3 4 3" xfId="22693"/>
    <cellStyle name="SAPBEXexcGood2 3 4 3 2" xfId="43568"/>
    <cellStyle name="SAPBEXexcGood2 3 4 4" xfId="21390"/>
    <cellStyle name="SAPBEXexcGood2 3 4 4 2" xfId="42265"/>
    <cellStyle name="SAPBEXexcGood2 3 4 5" xfId="19001"/>
    <cellStyle name="SAPBEXexcGood2 3 4 5 2" xfId="39877"/>
    <cellStyle name="SAPBEXexcGood2 3 4 6" xfId="31141"/>
    <cellStyle name="SAPBEXexcGood2 3 5" xfId="21503"/>
    <cellStyle name="SAPBEXexcGood2 3 5 2" xfId="42378"/>
    <cellStyle name="SAPBEXexcGood2 3 6" xfId="24033"/>
    <cellStyle name="SAPBEXexcGood2 3 6 2" xfId="44905"/>
    <cellStyle name="SAPBEXexcGood2 3 7" xfId="21713"/>
    <cellStyle name="SAPBEXexcGood2 3 7 2" xfId="42588"/>
    <cellStyle name="SAPBEXexcGood2 3 8" xfId="12268"/>
    <cellStyle name="SAPBEXexcGood2 3 8 2" xfId="33157"/>
    <cellStyle name="SAPBEXexcGood2 3 9" xfId="24385"/>
    <cellStyle name="SAPBEXexcGood2 4" xfId="2757"/>
    <cellStyle name="SAPBEXexcGood2 4 2" xfId="4375"/>
    <cellStyle name="SAPBEXexcGood2 4 2 2" xfId="6228"/>
    <cellStyle name="SAPBEXexcGood2 4 2 2 2" xfId="22533"/>
    <cellStyle name="SAPBEXexcGood2 4 2 2 2 2" xfId="43408"/>
    <cellStyle name="SAPBEXexcGood2 4 2 2 3" xfId="21026"/>
    <cellStyle name="SAPBEXexcGood2 4 2 2 3 2" xfId="41901"/>
    <cellStyle name="SAPBEXexcGood2 4 2 2 4" xfId="22298"/>
    <cellStyle name="SAPBEXexcGood2 4 2 2 4 2" xfId="43173"/>
    <cellStyle name="SAPBEXexcGood2 4 2 2 5" xfId="15237"/>
    <cellStyle name="SAPBEXexcGood2 4 2 2 5 2" xfId="36113"/>
    <cellStyle name="SAPBEXexcGood2 4 2 2 6" xfId="27375"/>
    <cellStyle name="SAPBEXexcGood2 4 2 3" xfId="21989"/>
    <cellStyle name="SAPBEXexcGood2 4 2 3 2" xfId="42864"/>
    <cellStyle name="SAPBEXexcGood2 4 2 4" xfId="23703"/>
    <cellStyle name="SAPBEXexcGood2 4 2 4 2" xfId="44575"/>
    <cellStyle name="SAPBEXexcGood2 4 2 5" xfId="21316"/>
    <cellStyle name="SAPBEXexcGood2 4 2 5 2" xfId="42191"/>
    <cellStyle name="SAPBEXexcGood2 4 2 6" xfId="13419"/>
    <cellStyle name="SAPBEXexcGood2 4 2 6 2" xfId="34295"/>
    <cellStyle name="SAPBEXexcGood2 4 2 7" xfId="25557"/>
    <cellStyle name="SAPBEXexcGood2 4 3" xfId="8347"/>
    <cellStyle name="SAPBEXexcGood2 4 3 2" xfId="23036"/>
    <cellStyle name="SAPBEXexcGood2 4 3 2 2" xfId="43909"/>
    <cellStyle name="SAPBEXexcGood2 4 3 3" xfId="20978"/>
    <cellStyle name="SAPBEXexcGood2 4 3 3 2" xfId="41853"/>
    <cellStyle name="SAPBEXexcGood2 4 3 4" xfId="24036"/>
    <cellStyle name="SAPBEXexcGood2 4 3 4 2" xfId="44908"/>
    <cellStyle name="SAPBEXexcGood2 4 3 5" xfId="17352"/>
    <cellStyle name="SAPBEXexcGood2 4 3 5 2" xfId="38228"/>
    <cellStyle name="SAPBEXexcGood2 4 3 6" xfId="29490"/>
    <cellStyle name="SAPBEXexcGood2 4 4" xfId="10231"/>
    <cellStyle name="SAPBEXexcGood2 4 4 2" xfId="23516"/>
    <cellStyle name="SAPBEXexcGood2 4 4 2 2" xfId="44388"/>
    <cellStyle name="SAPBEXexcGood2 4 4 3" xfId="22299"/>
    <cellStyle name="SAPBEXexcGood2 4 4 3 2" xfId="43174"/>
    <cellStyle name="SAPBEXexcGood2 4 4 4" xfId="21297"/>
    <cellStyle name="SAPBEXexcGood2 4 4 4 2" xfId="42172"/>
    <cellStyle name="SAPBEXexcGood2 4 4 5" xfId="19002"/>
    <cellStyle name="SAPBEXexcGood2 4 4 5 2" xfId="39878"/>
    <cellStyle name="SAPBEXexcGood2 4 4 6" xfId="31142"/>
    <cellStyle name="SAPBEXexcGood2 4 5" xfId="21504"/>
    <cellStyle name="SAPBEXexcGood2 4 5 2" xfId="42379"/>
    <cellStyle name="SAPBEXexcGood2 4 6" xfId="22897"/>
    <cellStyle name="SAPBEXexcGood2 4 6 2" xfId="43771"/>
    <cellStyle name="SAPBEXexcGood2 4 7" xfId="20961"/>
    <cellStyle name="SAPBEXexcGood2 4 7 2" xfId="41836"/>
    <cellStyle name="SAPBEXexcGood2 4 8" xfId="12269"/>
    <cellStyle name="SAPBEXexcGood2 4 8 2" xfId="33158"/>
    <cellStyle name="SAPBEXexcGood2 4 9" xfId="24386"/>
    <cellStyle name="SAPBEXexcGood2 5" xfId="2758"/>
    <cellStyle name="SAPBEXexcGood2 5 2" xfId="4376"/>
    <cellStyle name="SAPBEXexcGood2 5 2 2" xfId="6229"/>
    <cellStyle name="SAPBEXexcGood2 5 2 2 2" xfId="22534"/>
    <cellStyle name="SAPBEXexcGood2 5 2 2 2 2" xfId="43409"/>
    <cellStyle name="SAPBEXexcGood2 5 2 2 3" xfId="21092"/>
    <cellStyle name="SAPBEXexcGood2 5 2 2 3 2" xfId="41967"/>
    <cellStyle name="SAPBEXexcGood2 5 2 2 4" xfId="21441"/>
    <cellStyle name="SAPBEXexcGood2 5 2 2 4 2" xfId="42316"/>
    <cellStyle name="SAPBEXexcGood2 5 2 2 5" xfId="15238"/>
    <cellStyle name="SAPBEXexcGood2 5 2 2 5 2" xfId="36114"/>
    <cellStyle name="SAPBEXexcGood2 5 2 2 6" xfId="27376"/>
    <cellStyle name="SAPBEXexcGood2 5 2 3" xfId="21990"/>
    <cellStyle name="SAPBEXexcGood2 5 2 3 2" xfId="42865"/>
    <cellStyle name="SAPBEXexcGood2 5 2 4" xfId="23432"/>
    <cellStyle name="SAPBEXexcGood2 5 2 4 2" xfId="44304"/>
    <cellStyle name="SAPBEXexcGood2 5 2 5" xfId="22641"/>
    <cellStyle name="SAPBEXexcGood2 5 2 5 2" xfId="43516"/>
    <cellStyle name="SAPBEXexcGood2 5 2 6" xfId="13420"/>
    <cellStyle name="SAPBEXexcGood2 5 2 6 2" xfId="34296"/>
    <cellStyle name="SAPBEXexcGood2 5 2 7" xfId="25558"/>
    <cellStyle name="SAPBEXexcGood2 5 3" xfId="8348"/>
    <cellStyle name="SAPBEXexcGood2 5 3 2" xfId="23037"/>
    <cellStyle name="SAPBEXexcGood2 5 3 2 2" xfId="43910"/>
    <cellStyle name="SAPBEXexcGood2 5 3 3" xfId="21766"/>
    <cellStyle name="SAPBEXexcGood2 5 3 3 2" xfId="42641"/>
    <cellStyle name="SAPBEXexcGood2 5 3 4" xfId="21741"/>
    <cellStyle name="SAPBEXexcGood2 5 3 4 2" xfId="42616"/>
    <cellStyle name="SAPBEXexcGood2 5 3 5" xfId="17353"/>
    <cellStyle name="SAPBEXexcGood2 5 3 5 2" xfId="38229"/>
    <cellStyle name="SAPBEXexcGood2 5 3 6" xfId="29491"/>
    <cellStyle name="SAPBEXexcGood2 5 4" xfId="10232"/>
    <cellStyle name="SAPBEXexcGood2 5 4 2" xfId="23517"/>
    <cellStyle name="SAPBEXexcGood2 5 4 2 2" xfId="44389"/>
    <cellStyle name="SAPBEXexcGood2 5 4 3" xfId="22788"/>
    <cellStyle name="SAPBEXexcGood2 5 4 3 2" xfId="43663"/>
    <cellStyle name="SAPBEXexcGood2 5 4 4" xfId="21991"/>
    <cellStyle name="SAPBEXexcGood2 5 4 4 2" xfId="42866"/>
    <cellStyle name="SAPBEXexcGood2 5 4 5" xfId="19003"/>
    <cellStyle name="SAPBEXexcGood2 5 4 5 2" xfId="39879"/>
    <cellStyle name="SAPBEXexcGood2 5 4 6" xfId="31143"/>
    <cellStyle name="SAPBEXexcGood2 5 5" xfId="21505"/>
    <cellStyle name="SAPBEXexcGood2 5 5 2" xfId="42380"/>
    <cellStyle name="SAPBEXexcGood2 5 6" xfId="23996"/>
    <cellStyle name="SAPBEXexcGood2 5 6 2" xfId="44868"/>
    <cellStyle name="SAPBEXexcGood2 5 7" xfId="23767"/>
    <cellStyle name="SAPBEXexcGood2 5 7 2" xfId="44639"/>
    <cellStyle name="SAPBEXexcGood2 5 8" xfId="12270"/>
    <cellStyle name="SAPBEXexcGood2 5 8 2" xfId="33159"/>
    <cellStyle name="SAPBEXexcGood2 5 9" xfId="24387"/>
    <cellStyle name="SAPBEXexcGood2 6" xfId="3819"/>
    <cellStyle name="SAPBEXexcGood2 6 2" xfId="6048"/>
    <cellStyle name="SAPBEXexcGood2 6 2 2" xfId="22407"/>
    <cellStyle name="SAPBEXexcGood2 6 2 2 2" xfId="43282"/>
    <cellStyle name="SAPBEXexcGood2 6 2 3" xfId="21164"/>
    <cellStyle name="SAPBEXexcGood2 6 2 3 2" xfId="42039"/>
    <cellStyle name="SAPBEXexcGood2 6 2 4" xfId="22261"/>
    <cellStyle name="SAPBEXexcGood2 6 2 4 2" xfId="43136"/>
    <cellStyle name="SAPBEXexcGood2 6 2 5" xfId="15057"/>
    <cellStyle name="SAPBEXexcGood2 6 2 5 2" xfId="35933"/>
    <cellStyle name="SAPBEXexcGood2 6 2 6" xfId="27195"/>
    <cellStyle name="SAPBEXexcGood2 6 3" xfId="21793"/>
    <cellStyle name="SAPBEXexcGood2 6 3 2" xfId="42668"/>
    <cellStyle name="SAPBEXexcGood2 6 4" xfId="23421"/>
    <cellStyle name="SAPBEXexcGood2 6 4 2" xfId="44293"/>
    <cellStyle name="SAPBEXexcGood2 6 5" xfId="21258"/>
    <cellStyle name="SAPBEXexcGood2 6 5 2" xfId="42133"/>
    <cellStyle name="SAPBEXexcGood2 6 6" xfId="13239"/>
    <cellStyle name="SAPBEXexcGood2 6 6 2" xfId="34115"/>
    <cellStyle name="SAPBEXexcGood2 6 7" xfId="25377"/>
    <cellStyle name="SAPBEXexcGood2 7" xfId="8344"/>
    <cellStyle name="SAPBEXexcGood2 7 2" xfId="23033"/>
    <cellStyle name="SAPBEXexcGood2 7 2 2" xfId="43906"/>
    <cellStyle name="SAPBEXexcGood2 7 3" xfId="23177"/>
    <cellStyle name="SAPBEXexcGood2 7 3 2" xfId="44050"/>
    <cellStyle name="SAPBEXexcGood2 7 4" xfId="21202"/>
    <cellStyle name="SAPBEXexcGood2 7 4 2" xfId="42077"/>
    <cellStyle name="SAPBEXexcGood2 7 5" xfId="17349"/>
    <cellStyle name="SAPBEXexcGood2 7 5 2" xfId="38225"/>
    <cellStyle name="SAPBEXexcGood2 7 6" xfId="29487"/>
    <cellStyle name="SAPBEXexcGood2 8" xfId="10228"/>
    <cellStyle name="SAPBEXexcGood2 8 2" xfId="23513"/>
    <cellStyle name="SAPBEXexcGood2 8 2 2" xfId="44385"/>
    <cellStyle name="SAPBEXexcGood2 8 3" xfId="22387"/>
    <cellStyle name="SAPBEXexcGood2 8 3 2" xfId="43262"/>
    <cellStyle name="SAPBEXexcGood2 8 4" xfId="23737"/>
    <cellStyle name="SAPBEXexcGood2 8 4 2" xfId="44609"/>
    <cellStyle name="SAPBEXexcGood2 8 5" xfId="18999"/>
    <cellStyle name="SAPBEXexcGood2 8 5 2" xfId="39875"/>
    <cellStyle name="SAPBEXexcGood2 8 6" xfId="31139"/>
    <cellStyle name="SAPBEXexcGood2 9" xfId="20899"/>
    <cellStyle name="SAPBEXexcGood2 9 2" xfId="41774"/>
    <cellStyle name="SAPBEXexcGood3" xfId="1154"/>
    <cellStyle name="SAPBEXexcGood3 10" xfId="24006"/>
    <cellStyle name="SAPBEXexcGood3 10 2" xfId="44878"/>
    <cellStyle name="SAPBEXexcGood3 11" xfId="23807"/>
    <cellStyle name="SAPBEXexcGood3 11 2" xfId="44679"/>
    <cellStyle name="SAPBEXexcGood3 12" xfId="12136"/>
    <cellStyle name="SAPBEXexcGood3 12 2" xfId="33036"/>
    <cellStyle name="SAPBEXexcGood3 13" xfId="24156"/>
    <cellStyle name="SAPBEXexcGood3 13 2" xfId="45026"/>
    <cellStyle name="SAPBEXexcGood3 14" xfId="24261"/>
    <cellStyle name="SAPBEXexcGood3 14 2" xfId="45122"/>
    <cellStyle name="SAPBEXexcGood3 2" xfId="2759"/>
    <cellStyle name="SAPBEXexcGood3 2 10" xfId="24388"/>
    <cellStyle name="SAPBEXexcGood3 2 2" xfId="4378"/>
    <cellStyle name="SAPBEXexcGood3 2 2 2" xfId="6230"/>
    <cellStyle name="SAPBEXexcGood3 2 2 2 2" xfId="22535"/>
    <cellStyle name="SAPBEXexcGood3 2 2 2 2 2" xfId="43410"/>
    <cellStyle name="SAPBEXexcGood3 2 2 2 3" xfId="21121"/>
    <cellStyle name="SAPBEXexcGood3 2 2 2 3 2" xfId="41996"/>
    <cellStyle name="SAPBEXexcGood3 2 2 2 4" xfId="22391"/>
    <cellStyle name="SAPBEXexcGood3 2 2 2 4 2" xfId="43266"/>
    <cellStyle name="SAPBEXexcGood3 2 2 2 5" xfId="15239"/>
    <cellStyle name="SAPBEXexcGood3 2 2 2 5 2" xfId="36115"/>
    <cellStyle name="SAPBEXexcGood3 2 2 2 6" xfId="27377"/>
    <cellStyle name="SAPBEXexcGood3 2 2 3" xfId="21992"/>
    <cellStyle name="SAPBEXexcGood3 2 2 3 2" xfId="42867"/>
    <cellStyle name="SAPBEXexcGood3 2 2 4" xfId="21184"/>
    <cellStyle name="SAPBEXexcGood3 2 2 4 2" xfId="42059"/>
    <cellStyle name="SAPBEXexcGood3 2 2 5" xfId="22260"/>
    <cellStyle name="SAPBEXexcGood3 2 2 5 2" xfId="43135"/>
    <cellStyle name="SAPBEXexcGood3 2 2 6" xfId="13421"/>
    <cellStyle name="SAPBEXexcGood3 2 2 6 2" xfId="34297"/>
    <cellStyle name="SAPBEXexcGood3 2 2 7" xfId="25559"/>
    <cellStyle name="SAPBEXexcGood3 2 3" xfId="8350"/>
    <cellStyle name="SAPBEXexcGood3 2 3 2" xfId="23039"/>
    <cellStyle name="SAPBEXexcGood3 2 3 2 2" xfId="43912"/>
    <cellStyle name="SAPBEXexcGood3 2 3 3" xfId="22925"/>
    <cellStyle name="SAPBEXexcGood3 2 3 3 2" xfId="43799"/>
    <cellStyle name="SAPBEXexcGood3 2 3 4" xfId="21612"/>
    <cellStyle name="SAPBEXexcGood3 2 3 4 2" xfId="42487"/>
    <cellStyle name="SAPBEXexcGood3 2 3 5" xfId="17355"/>
    <cellStyle name="SAPBEXexcGood3 2 3 5 2" xfId="38231"/>
    <cellStyle name="SAPBEXexcGood3 2 3 6" xfId="29493"/>
    <cellStyle name="SAPBEXexcGood3 2 4" xfId="10234"/>
    <cellStyle name="SAPBEXexcGood3 2 4 2" xfId="23519"/>
    <cellStyle name="SAPBEXexcGood3 2 4 2 2" xfId="44391"/>
    <cellStyle name="SAPBEXexcGood3 2 4 3" xfId="23231"/>
    <cellStyle name="SAPBEXexcGood3 2 4 3 2" xfId="44104"/>
    <cellStyle name="SAPBEXexcGood3 2 4 4" xfId="21828"/>
    <cellStyle name="SAPBEXexcGood3 2 4 4 2" xfId="42703"/>
    <cellStyle name="SAPBEXexcGood3 2 4 5" xfId="19005"/>
    <cellStyle name="SAPBEXexcGood3 2 4 5 2" xfId="39881"/>
    <cellStyle name="SAPBEXexcGood3 2 4 6" xfId="31145"/>
    <cellStyle name="SAPBEXexcGood3 2 5" xfId="20902"/>
    <cellStyle name="SAPBEXexcGood3 2 5 2" xfId="41777"/>
    <cellStyle name="SAPBEXexcGood3 2 6" xfId="21205"/>
    <cellStyle name="SAPBEXexcGood3 2 6 2" xfId="42080"/>
    <cellStyle name="SAPBEXexcGood3 2 7" xfId="23659"/>
    <cellStyle name="SAPBEXexcGood3 2 7 2" xfId="44531"/>
    <cellStyle name="SAPBEXexcGood3 2 8" xfId="12137"/>
    <cellStyle name="SAPBEXexcGood3 2 8 2" xfId="33037"/>
    <cellStyle name="SAPBEXexcGood3 2 9" xfId="24197"/>
    <cellStyle name="SAPBEXexcGood3 2 9 2" xfId="45065"/>
    <cellStyle name="SAPBEXexcGood3 3" xfId="2760"/>
    <cellStyle name="SAPBEXexcGood3 3 2" xfId="4379"/>
    <cellStyle name="SAPBEXexcGood3 3 2 2" xfId="6231"/>
    <cellStyle name="SAPBEXexcGood3 3 2 2 2" xfId="22536"/>
    <cellStyle name="SAPBEXexcGood3 3 2 2 2 2" xfId="43411"/>
    <cellStyle name="SAPBEXexcGood3 3 2 2 3" xfId="22762"/>
    <cellStyle name="SAPBEXexcGood3 3 2 2 3 2" xfId="43637"/>
    <cellStyle name="SAPBEXexcGood3 3 2 2 4" xfId="21659"/>
    <cellStyle name="SAPBEXexcGood3 3 2 2 4 2" xfId="42534"/>
    <cellStyle name="SAPBEXexcGood3 3 2 2 5" xfId="15240"/>
    <cellStyle name="SAPBEXexcGood3 3 2 2 5 2" xfId="36116"/>
    <cellStyle name="SAPBEXexcGood3 3 2 2 6" xfId="27378"/>
    <cellStyle name="SAPBEXexcGood3 3 2 3" xfId="21993"/>
    <cellStyle name="SAPBEXexcGood3 3 2 3 2" xfId="42868"/>
    <cellStyle name="SAPBEXexcGood3 3 2 4" xfId="21310"/>
    <cellStyle name="SAPBEXexcGood3 3 2 4 2" xfId="42185"/>
    <cellStyle name="SAPBEXexcGood3 3 2 5" xfId="22205"/>
    <cellStyle name="SAPBEXexcGood3 3 2 5 2" xfId="43080"/>
    <cellStyle name="SAPBEXexcGood3 3 2 6" xfId="13422"/>
    <cellStyle name="SAPBEXexcGood3 3 2 6 2" xfId="34298"/>
    <cellStyle name="SAPBEXexcGood3 3 2 7" xfId="25560"/>
    <cellStyle name="SAPBEXexcGood3 3 3" xfId="8351"/>
    <cellStyle name="SAPBEXexcGood3 3 3 2" xfId="23040"/>
    <cellStyle name="SAPBEXexcGood3 3 3 2 2" xfId="43913"/>
    <cellStyle name="SAPBEXexcGood3 3 3 3" xfId="21229"/>
    <cellStyle name="SAPBEXexcGood3 3 3 3 2" xfId="42104"/>
    <cellStyle name="SAPBEXexcGood3 3 3 4" xfId="22800"/>
    <cellStyle name="SAPBEXexcGood3 3 3 4 2" xfId="43675"/>
    <cellStyle name="SAPBEXexcGood3 3 3 5" xfId="17356"/>
    <cellStyle name="SAPBEXexcGood3 3 3 5 2" xfId="38232"/>
    <cellStyle name="SAPBEXexcGood3 3 3 6" xfId="29494"/>
    <cellStyle name="SAPBEXexcGood3 3 4" xfId="10235"/>
    <cellStyle name="SAPBEXexcGood3 3 4 2" xfId="23520"/>
    <cellStyle name="SAPBEXexcGood3 3 4 2 2" xfId="44392"/>
    <cellStyle name="SAPBEXexcGood3 3 4 3" xfId="23362"/>
    <cellStyle name="SAPBEXexcGood3 3 4 3 2" xfId="44234"/>
    <cellStyle name="SAPBEXexcGood3 3 4 4" xfId="22765"/>
    <cellStyle name="SAPBEXexcGood3 3 4 4 2" xfId="43640"/>
    <cellStyle name="SAPBEXexcGood3 3 4 5" xfId="19006"/>
    <cellStyle name="SAPBEXexcGood3 3 4 5 2" xfId="39882"/>
    <cellStyle name="SAPBEXexcGood3 3 4 6" xfId="31146"/>
    <cellStyle name="SAPBEXexcGood3 3 5" xfId="21506"/>
    <cellStyle name="SAPBEXexcGood3 3 5 2" xfId="42381"/>
    <cellStyle name="SAPBEXexcGood3 3 6" xfId="23384"/>
    <cellStyle name="SAPBEXexcGood3 3 6 2" xfId="44256"/>
    <cellStyle name="SAPBEXexcGood3 3 7" xfId="22852"/>
    <cellStyle name="SAPBEXexcGood3 3 7 2" xfId="43727"/>
    <cellStyle name="SAPBEXexcGood3 3 8" xfId="12271"/>
    <cellStyle name="SAPBEXexcGood3 3 8 2" xfId="33160"/>
    <cellStyle name="SAPBEXexcGood3 3 9" xfId="24389"/>
    <cellStyle name="SAPBEXexcGood3 4" xfId="2761"/>
    <cellStyle name="SAPBEXexcGood3 4 2" xfId="4380"/>
    <cellStyle name="SAPBEXexcGood3 4 2 2" xfId="6232"/>
    <cellStyle name="SAPBEXexcGood3 4 2 2 2" xfId="22537"/>
    <cellStyle name="SAPBEXexcGood3 4 2 2 2 2" xfId="43412"/>
    <cellStyle name="SAPBEXexcGood3 4 2 2 3" xfId="21847"/>
    <cellStyle name="SAPBEXexcGood3 4 2 2 3 2" xfId="42722"/>
    <cellStyle name="SAPBEXexcGood3 4 2 2 4" xfId="21898"/>
    <cellStyle name="SAPBEXexcGood3 4 2 2 4 2" xfId="42773"/>
    <cellStyle name="SAPBEXexcGood3 4 2 2 5" xfId="15241"/>
    <cellStyle name="SAPBEXexcGood3 4 2 2 5 2" xfId="36117"/>
    <cellStyle name="SAPBEXexcGood3 4 2 2 6" xfId="27379"/>
    <cellStyle name="SAPBEXexcGood3 4 2 3" xfId="21994"/>
    <cellStyle name="SAPBEXexcGood3 4 2 3 2" xfId="42869"/>
    <cellStyle name="SAPBEXexcGood3 4 2 4" xfId="21397"/>
    <cellStyle name="SAPBEXexcGood3 4 2 4 2" xfId="42272"/>
    <cellStyle name="SAPBEXexcGood3 4 2 5" xfId="22881"/>
    <cellStyle name="SAPBEXexcGood3 4 2 5 2" xfId="43755"/>
    <cellStyle name="SAPBEXexcGood3 4 2 6" xfId="13423"/>
    <cellStyle name="SAPBEXexcGood3 4 2 6 2" xfId="34299"/>
    <cellStyle name="SAPBEXexcGood3 4 2 7" xfId="25561"/>
    <cellStyle name="SAPBEXexcGood3 4 3" xfId="8352"/>
    <cellStyle name="SAPBEXexcGood3 4 3 2" xfId="23041"/>
    <cellStyle name="SAPBEXexcGood3 4 3 2 2" xfId="43914"/>
    <cellStyle name="SAPBEXexcGood3 4 3 3" xfId="22226"/>
    <cellStyle name="SAPBEXexcGood3 4 3 3 2" xfId="43101"/>
    <cellStyle name="SAPBEXexcGood3 4 3 4" xfId="22329"/>
    <cellStyle name="SAPBEXexcGood3 4 3 4 2" xfId="43204"/>
    <cellStyle name="SAPBEXexcGood3 4 3 5" xfId="17357"/>
    <cellStyle name="SAPBEXexcGood3 4 3 5 2" xfId="38233"/>
    <cellStyle name="SAPBEXexcGood3 4 3 6" xfId="29495"/>
    <cellStyle name="SAPBEXexcGood3 4 4" xfId="10236"/>
    <cellStyle name="SAPBEXexcGood3 4 4 2" xfId="23521"/>
    <cellStyle name="SAPBEXexcGood3 4 4 2 2" xfId="44393"/>
    <cellStyle name="SAPBEXexcGood3 4 4 3" xfId="23443"/>
    <cellStyle name="SAPBEXexcGood3 4 4 3 2" xfId="44315"/>
    <cellStyle name="SAPBEXexcGood3 4 4 4" xfId="23643"/>
    <cellStyle name="SAPBEXexcGood3 4 4 4 2" xfId="44515"/>
    <cellStyle name="SAPBEXexcGood3 4 4 5" xfId="19007"/>
    <cellStyle name="SAPBEXexcGood3 4 4 5 2" xfId="39883"/>
    <cellStyle name="SAPBEXexcGood3 4 4 6" xfId="31147"/>
    <cellStyle name="SAPBEXexcGood3 4 5" xfId="21507"/>
    <cellStyle name="SAPBEXexcGood3 4 5 2" xfId="42382"/>
    <cellStyle name="SAPBEXexcGood3 4 6" xfId="23995"/>
    <cellStyle name="SAPBEXexcGood3 4 6 2" xfId="44867"/>
    <cellStyle name="SAPBEXexcGood3 4 7" xfId="22667"/>
    <cellStyle name="SAPBEXexcGood3 4 7 2" xfId="43542"/>
    <cellStyle name="SAPBEXexcGood3 4 8" xfId="12272"/>
    <cellStyle name="SAPBEXexcGood3 4 8 2" xfId="33161"/>
    <cellStyle name="SAPBEXexcGood3 4 9" xfId="24390"/>
    <cellStyle name="SAPBEXexcGood3 5" xfId="2762"/>
    <cellStyle name="SAPBEXexcGood3 5 2" xfId="4381"/>
    <cellStyle name="SAPBEXexcGood3 5 2 2" xfId="6233"/>
    <cellStyle name="SAPBEXexcGood3 5 2 2 2" xfId="22538"/>
    <cellStyle name="SAPBEXexcGood3 5 2 2 2 2" xfId="43413"/>
    <cellStyle name="SAPBEXexcGood3 5 2 2 3" xfId="22139"/>
    <cellStyle name="SAPBEXexcGood3 5 2 2 3 2" xfId="43014"/>
    <cellStyle name="SAPBEXexcGood3 5 2 2 4" xfId="21638"/>
    <cellStyle name="SAPBEXexcGood3 5 2 2 4 2" xfId="42513"/>
    <cellStyle name="SAPBEXexcGood3 5 2 2 5" xfId="15242"/>
    <cellStyle name="SAPBEXexcGood3 5 2 2 5 2" xfId="36118"/>
    <cellStyle name="SAPBEXexcGood3 5 2 2 6" xfId="27380"/>
    <cellStyle name="SAPBEXexcGood3 5 2 3" xfId="21995"/>
    <cellStyle name="SAPBEXexcGood3 5 2 3 2" xfId="42870"/>
    <cellStyle name="SAPBEXexcGood3 5 2 4" xfId="21858"/>
    <cellStyle name="SAPBEXexcGood3 5 2 4 2" xfId="42733"/>
    <cellStyle name="SAPBEXexcGood3 5 2 5" xfId="22811"/>
    <cellStyle name="SAPBEXexcGood3 5 2 5 2" xfId="43686"/>
    <cellStyle name="SAPBEXexcGood3 5 2 6" xfId="13424"/>
    <cellStyle name="SAPBEXexcGood3 5 2 6 2" xfId="34300"/>
    <cellStyle name="SAPBEXexcGood3 5 2 7" xfId="25562"/>
    <cellStyle name="SAPBEXexcGood3 5 3" xfId="8353"/>
    <cellStyle name="SAPBEXexcGood3 5 3 2" xfId="23042"/>
    <cellStyle name="SAPBEXexcGood3 5 3 2 2" xfId="43915"/>
    <cellStyle name="SAPBEXexcGood3 5 3 3" xfId="22879"/>
    <cellStyle name="SAPBEXexcGood3 5 3 3 2" xfId="43753"/>
    <cellStyle name="SAPBEXexcGood3 5 3 4" xfId="23238"/>
    <cellStyle name="SAPBEXexcGood3 5 3 4 2" xfId="44111"/>
    <cellStyle name="SAPBEXexcGood3 5 3 5" xfId="17358"/>
    <cellStyle name="SAPBEXexcGood3 5 3 5 2" xfId="38234"/>
    <cellStyle name="SAPBEXexcGood3 5 3 6" xfId="29496"/>
    <cellStyle name="SAPBEXexcGood3 5 4" xfId="10237"/>
    <cellStyle name="SAPBEXexcGood3 5 4 2" xfId="23522"/>
    <cellStyle name="SAPBEXexcGood3 5 4 2 2" xfId="44394"/>
    <cellStyle name="SAPBEXexcGood3 5 4 3" xfId="23319"/>
    <cellStyle name="SAPBEXexcGood3 5 4 3 2" xfId="44191"/>
    <cellStyle name="SAPBEXexcGood3 5 4 4" xfId="22698"/>
    <cellStyle name="SAPBEXexcGood3 5 4 4 2" xfId="43573"/>
    <cellStyle name="SAPBEXexcGood3 5 4 5" xfId="19008"/>
    <cellStyle name="SAPBEXexcGood3 5 4 5 2" xfId="39884"/>
    <cellStyle name="SAPBEXexcGood3 5 4 6" xfId="31148"/>
    <cellStyle name="SAPBEXexcGood3 5 5" xfId="21508"/>
    <cellStyle name="SAPBEXexcGood3 5 5 2" xfId="42383"/>
    <cellStyle name="SAPBEXexcGood3 5 6" xfId="21206"/>
    <cellStyle name="SAPBEXexcGood3 5 6 2" xfId="42081"/>
    <cellStyle name="SAPBEXexcGood3 5 7" xfId="21630"/>
    <cellStyle name="SAPBEXexcGood3 5 7 2" xfId="42505"/>
    <cellStyle name="SAPBEXexcGood3 5 8" xfId="12273"/>
    <cellStyle name="SAPBEXexcGood3 5 8 2" xfId="33162"/>
    <cellStyle name="SAPBEXexcGood3 5 9" xfId="24391"/>
    <cellStyle name="SAPBEXexcGood3 6" xfId="3820"/>
    <cellStyle name="SAPBEXexcGood3 6 2" xfId="6049"/>
    <cellStyle name="SAPBEXexcGood3 6 2 2" xfId="22408"/>
    <cellStyle name="SAPBEXexcGood3 6 2 2 2" xfId="43283"/>
    <cellStyle name="SAPBEXexcGood3 6 2 3" xfId="21281"/>
    <cellStyle name="SAPBEXexcGood3 6 2 3 2" xfId="42156"/>
    <cellStyle name="SAPBEXexcGood3 6 2 4" xfId="22294"/>
    <cellStyle name="SAPBEXexcGood3 6 2 4 2" xfId="43169"/>
    <cellStyle name="SAPBEXexcGood3 6 2 5" xfId="15058"/>
    <cellStyle name="SAPBEXexcGood3 6 2 5 2" xfId="35934"/>
    <cellStyle name="SAPBEXexcGood3 6 2 6" xfId="27196"/>
    <cellStyle name="SAPBEXexcGood3 6 3" xfId="21794"/>
    <cellStyle name="SAPBEXexcGood3 6 3 2" xfId="42669"/>
    <cellStyle name="SAPBEXexcGood3 6 4" xfId="24108"/>
    <cellStyle name="SAPBEXexcGood3 6 4 2" xfId="44979"/>
    <cellStyle name="SAPBEXexcGood3 6 5" xfId="22124"/>
    <cellStyle name="SAPBEXexcGood3 6 5 2" xfId="42999"/>
    <cellStyle name="SAPBEXexcGood3 6 6" xfId="13240"/>
    <cellStyle name="SAPBEXexcGood3 6 6 2" xfId="34116"/>
    <cellStyle name="SAPBEXexcGood3 6 7" xfId="25378"/>
    <cellStyle name="SAPBEXexcGood3 7" xfId="8349"/>
    <cellStyle name="SAPBEXexcGood3 7 2" xfId="23038"/>
    <cellStyle name="SAPBEXexcGood3 7 2 2" xfId="43911"/>
    <cellStyle name="SAPBEXexcGood3 7 3" xfId="23672"/>
    <cellStyle name="SAPBEXexcGood3 7 3 2" xfId="44544"/>
    <cellStyle name="SAPBEXexcGood3 7 4" xfId="23707"/>
    <cellStyle name="SAPBEXexcGood3 7 4 2" xfId="44579"/>
    <cellStyle name="SAPBEXexcGood3 7 5" xfId="17354"/>
    <cellStyle name="SAPBEXexcGood3 7 5 2" xfId="38230"/>
    <cellStyle name="SAPBEXexcGood3 7 6" xfId="29492"/>
    <cellStyle name="SAPBEXexcGood3 8" xfId="10233"/>
    <cellStyle name="SAPBEXexcGood3 8 2" xfId="23518"/>
    <cellStyle name="SAPBEXexcGood3 8 2 2" xfId="44390"/>
    <cellStyle name="SAPBEXexcGood3 8 3" xfId="22905"/>
    <cellStyle name="SAPBEXexcGood3 8 3 2" xfId="43779"/>
    <cellStyle name="SAPBEXexcGood3 8 4" xfId="22714"/>
    <cellStyle name="SAPBEXexcGood3 8 4 2" xfId="43589"/>
    <cellStyle name="SAPBEXexcGood3 8 5" xfId="19004"/>
    <cellStyle name="SAPBEXexcGood3 8 5 2" xfId="39880"/>
    <cellStyle name="SAPBEXexcGood3 8 6" xfId="31144"/>
    <cellStyle name="SAPBEXexcGood3 9" xfId="20901"/>
    <cellStyle name="SAPBEXexcGood3 9 2" xfId="41776"/>
    <cellStyle name="SAPBEXfilterDrill" xfId="1155"/>
    <cellStyle name="SAPBEXfilterDrill 10" xfId="20958"/>
    <cellStyle name="SAPBEXfilterDrill 10 2" xfId="41833"/>
    <cellStyle name="SAPBEXfilterDrill 11" xfId="21718"/>
    <cellStyle name="SAPBEXfilterDrill 11 2" xfId="42593"/>
    <cellStyle name="SAPBEXfilterDrill 12" xfId="12138"/>
    <cellStyle name="SAPBEXfilterDrill 12 2" xfId="33038"/>
    <cellStyle name="SAPBEXfilterDrill 13" xfId="24155"/>
    <cellStyle name="SAPBEXfilterDrill 13 2" xfId="45025"/>
    <cellStyle name="SAPBEXfilterDrill 14" xfId="24262"/>
    <cellStyle name="SAPBEXfilterDrill 14 2" xfId="45123"/>
    <cellStyle name="SAPBEXfilterDrill 2" xfId="2763"/>
    <cellStyle name="SAPBEXfilterDrill 2 10" xfId="24392"/>
    <cellStyle name="SAPBEXfilterDrill 2 2" xfId="4383"/>
    <cellStyle name="SAPBEXfilterDrill 2 2 2" xfId="6234"/>
    <cellStyle name="SAPBEXfilterDrill 2 2 2 2" xfId="22539"/>
    <cellStyle name="SAPBEXfilterDrill 2 2 2 2 2" xfId="43414"/>
    <cellStyle name="SAPBEXfilterDrill 2 2 2 3" xfId="23712"/>
    <cellStyle name="SAPBEXfilterDrill 2 2 2 3 2" xfId="44584"/>
    <cellStyle name="SAPBEXfilterDrill 2 2 2 4" xfId="21314"/>
    <cellStyle name="SAPBEXfilterDrill 2 2 2 4 2" xfId="42189"/>
    <cellStyle name="SAPBEXfilterDrill 2 2 2 5" xfId="15243"/>
    <cellStyle name="SAPBEXfilterDrill 2 2 2 5 2" xfId="36119"/>
    <cellStyle name="SAPBEXfilterDrill 2 2 2 6" xfId="27381"/>
    <cellStyle name="SAPBEXfilterDrill 2 2 3" xfId="21997"/>
    <cellStyle name="SAPBEXfilterDrill 2 2 3 2" xfId="42872"/>
    <cellStyle name="SAPBEXfilterDrill 2 2 4" xfId="23824"/>
    <cellStyle name="SAPBEXfilterDrill 2 2 4 2" xfId="44696"/>
    <cellStyle name="SAPBEXfilterDrill 2 2 5" xfId="21260"/>
    <cellStyle name="SAPBEXfilterDrill 2 2 5 2" xfId="42135"/>
    <cellStyle name="SAPBEXfilterDrill 2 2 6" xfId="13425"/>
    <cellStyle name="SAPBEXfilterDrill 2 2 6 2" xfId="34301"/>
    <cellStyle name="SAPBEXfilterDrill 2 2 7" xfId="25563"/>
    <cellStyle name="SAPBEXfilterDrill 2 3" xfId="8355"/>
    <cellStyle name="SAPBEXfilterDrill 2 3 2" xfId="23044"/>
    <cellStyle name="SAPBEXfilterDrill 2 3 2 2" xfId="43917"/>
    <cellStyle name="SAPBEXfilterDrill 2 3 3" xfId="21625"/>
    <cellStyle name="SAPBEXfilterDrill 2 3 3 2" xfId="42500"/>
    <cellStyle name="SAPBEXfilterDrill 2 3 4" xfId="21391"/>
    <cellStyle name="SAPBEXfilterDrill 2 3 4 2" xfId="42266"/>
    <cellStyle name="SAPBEXfilterDrill 2 3 5" xfId="17360"/>
    <cellStyle name="SAPBEXfilterDrill 2 3 5 2" xfId="38236"/>
    <cellStyle name="SAPBEXfilterDrill 2 3 6" xfId="29498"/>
    <cellStyle name="SAPBEXfilterDrill 2 4" xfId="10239"/>
    <cellStyle name="SAPBEXfilterDrill 2 4 2" xfId="23524"/>
    <cellStyle name="SAPBEXfilterDrill 2 4 2 2" xfId="44396"/>
    <cellStyle name="SAPBEXfilterDrill 2 4 3" xfId="22214"/>
    <cellStyle name="SAPBEXfilterDrill 2 4 3 2" xfId="43089"/>
    <cellStyle name="SAPBEXfilterDrill 2 4 4" xfId="21539"/>
    <cellStyle name="SAPBEXfilterDrill 2 4 4 2" xfId="42414"/>
    <cellStyle name="SAPBEXfilterDrill 2 4 5" xfId="19010"/>
    <cellStyle name="SAPBEXfilterDrill 2 4 5 2" xfId="39886"/>
    <cellStyle name="SAPBEXfilterDrill 2 4 6" xfId="31150"/>
    <cellStyle name="SAPBEXfilterDrill 2 5" xfId="20904"/>
    <cellStyle name="SAPBEXfilterDrill 2 5 2" xfId="41779"/>
    <cellStyle name="SAPBEXfilterDrill 2 6" xfId="21328"/>
    <cellStyle name="SAPBEXfilterDrill 2 6 2" xfId="42203"/>
    <cellStyle name="SAPBEXfilterDrill 2 7" xfId="22935"/>
    <cellStyle name="SAPBEXfilterDrill 2 7 2" xfId="43809"/>
    <cellStyle name="SAPBEXfilterDrill 2 8" xfId="12139"/>
    <cellStyle name="SAPBEXfilterDrill 2 8 2" xfId="33039"/>
    <cellStyle name="SAPBEXfilterDrill 2 9" xfId="24198"/>
    <cellStyle name="SAPBEXfilterDrill 2 9 2" xfId="45066"/>
    <cellStyle name="SAPBEXfilterDrill 3" xfId="2764"/>
    <cellStyle name="SAPBEXfilterDrill 3 2" xfId="4384"/>
    <cellStyle name="SAPBEXfilterDrill 3 2 2" xfId="6235"/>
    <cellStyle name="SAPBEXfilterDrill 3 2 2 2" xfId="22540"/>
    <cellStyle name="SAPBEXfilterDrill 3 2 2 2 2" xfId="43415"/>
    <cellStyle name="SAPBEXfilterDrill 3 2 2 3" xfId="23209"/>
    <cellStyle name="SAPBEXfilterDrill 3 2 2 3 2" xfId="44082"/>
    <cellStyle name="SAPBEXfilterDrill 3 2 2 4" xfId="23981"/>
    <cellStyle name="SAPBEXfilterDrill 3 2 2 4 2" xfId="44853"/>
    <cellStyle name="SAPBEXfilterDrill 3 2 2 5" xfId="15244"/>
    <cellStyle name="SAPBEXfilterDrill 3 2 2 5 2" xfId="36120"/>
    <cellStyle name="SAPBEXfilterDrill 3 2 2 6" xfId="27382"/>
    <cellStyle name="SAPBEXfilterDrill 3 2 3" xfId="21998"/>
    <cellStyle name="SAPBEXfilterDrill 3 2 3 2" xfId="42873"/>
    <cellStyle name="SAPBEXfilterDrill 3 2 4" xfId="23640"/>
    <cellStyle name="SAPBEXfilterDrill 3 2 4 2" xfId="44512"/>
    <cellStyle name="SAPBEXfilterDrill 3 2 5" xfId="22282"/>
    <cellStyle name="SAPBEXfilterDrill 3 2 5 2" xfId="43157"/>
    <cellStyle name="SAPBEXfilterDrill 3 2 6" xfId="13426"/>
    <cellStyle name="SAPBEXfilterDrill 3 2 6 2" xfId="34302"/>
    <cellStyle name="SAPBEXfilterDrill 3 2 7" xfId="25564"/>
    <cellStyle name="SAPBEXfilterDrill 3 3" xfId="8356"/>
    <cellStyle name="SAPBEXfilterDrill 3 3 2" xfId="23045"/>
    <cellStyle name="SAPBEXfilterDrill 3 3 2 2" xfId="43918"/>
    <cellStyle name="SAPBEXfilterDrill 3 3 3" xfId="21230"/>
    <cellStyle name="SAPBEXfilterDrill 3 3 3 2" xfId="42105"/>
    <cellStyle name="SAPBEXfilterDrill 3 3 4" xfId="21298"/>
    <cellStyle name="SAPBEXfilterDrill 3 3 4 2" xfId="42173"/>
    <cellStyle name="SAPBEXfilterDrill 3 3 5" xfId="17361"/>
    <cellStyle name="SAPBEXfilterDrill 3 3 5 2" xfId="38237"/>
    <cellStyle name="SAPBEXfilterDrill 3 3 6" xfId="29499"/>
    <cellStyle name="SAPBEXfilterDrill 3 4" xfId="10240"/>
    <cellStyle name="SAPBEXfilterDrill 3 4 2" xfId="23525"/>
    <cellStyle name="SAPBEXfilterDrill 3 4 2 2" xfId="44397"/>
    <cellStyle name="SAPBEXfilterDrill 3 4 3" xfId="21628"/>
    <cellStyle name="SAPBEXfilterDrill 3 4 3 2" xfId="42503"/>
    <cellStyle name="SAPBEXfilterDrill 3 4 4" xfId="21363"/>
    <cellStyle name="SAPBEXfilterDrill 3 4 4 2" xfId="42238"/>
    <cellStyle name="SAPBEXfilterDrill 3 4 5" xfId="19011"/>
    <cellStyle name="SAPBEXfilterDrill 3 4 5 2" xfId="39887"/>
    <cellStyle name="SAPBEXfilterDrill 3 4 6" xfId="31151"/>
    <cellStyle name="SAPBEXfilterDrill 3 5" xfId="21509"/>
    <cellStyle name="SAPBEXfilterDrill 3 5 2" xfId="42384"/>
    <cellStyle name="SAPBEXfilterDrill 3 6" xfId="21102"/>
    <cellStyle name="SAPBEXfilterDrill 3 6 2" xfId="41977"/>
    <cellStyle name="SAPBEXfilterDrill 3 7" xfId="22251"/>
    <cellStyle name="SAPBEXfilterDrill 3 7 2" xfId="43126"/>
    <cellStyle name="SAPBEXfilterDrill 3 8" xfId="12274"/>
    <cellStyle name="SAPBEXfilterDrill 3 8 2" xfId="33163"/>
    <cellStyle name="SAPBEXfilterDrill 3 9" xfId="24393"/>
    <cellStyle name="SAPBEXfilterDrill 4" xfId="2765"/>
    <cellStyle name="SAPBEXfilterDrill 4 2" xfId="4385"/>
    <cellStyle name="SAPBEXfilterDrill 4 2 2" xfId="6236"/>
    <cellStyle name="SAPBEXfilterDrill 4 2 2 2" xfId="22541"/>
    <cellStyle name="SAPBEXfilterDrill 4 2 2 2 2" xfId="43416"/>
    <cellStyle name="SAPBEXfilterDrill 4 2 2 3" xfId="23913"/>
    <cellStyle name="SAPBEXfilterDrill 4 2 2 3 2" xfId="44785"/>
    <cellStyle name="SAPBEXfilterDrill 4 2 2 4" xfId="23709"/>
    <cellStyle name="SAPBEXfilterDrill 4 2 2 4 2" xfId="44581"/>
    <cellStyle name="SAPBEXfilterDrill 4 2 2 5" xfId="15245"/>
    <cellStyle name="SAPBEXfilterDrill 4 2 2 5 2" xfId="36121"/>
    <cellStyle name="SAPBEXfilterDrill 4 2 2 6" xfId="27383"/>
    <cellStyle name="SAPBEXfilterDrill 4 2 3" xfId="21999"/>
    <cellStyle name="SAPBEXfilterDrill 4 2 3 2" xfId="42874"/>
    <cellStyle name="SAPBEXfilterDrill 4 2 4" xfId="22707"/>
    <cellStyle name="SAPBEXfilterDrill 4 2 4 2" xfId="43582"/>
    <cellStyle name="SAPBEXfilterDrill 4 2 5" xfId="22247"/>
    <cellStyle name="SAPBEXfilterDrill 4 2 5 2" xfId="43122"/>
    <cellStyle name="SAPBEXfilterDrill 4 2 6" xfId="13427"/>
    <cellStyle name="SAPBEXfilterDrill 4 2 6 2" xfId="34303"/>
    <cellStyle name="SAPBEXfilterDrill 4 2 7" xfId="25565"/>
    <cellStyle name="SAPBEXfilterDrill 4 3" xfId="8357"/>
    <cellStyle name="SAPBEXfilterDrill 4 3 2" xfId="23046"/>
    <cellStyle name="SAPBEXfilterDrill 4 3 2 2" xfId="43919"/>
    <cellStyle name="SAPBEXfilterDrill 4 3 3" xfId="21777"/>
    <cellStyle name="SAPBEXfilterDrill 4 3 3 2" xfId="42652"/>
    <cellStyle name="SAPBEXfilterDrill 4 3 4" xfId="21838"/>
    <cellStyle name="SAPBEXfilterDrill 4 3 4 2" xfId="42713"/>
    <cellStyle name="SAPBEXfilterDrill 4 3 5" xfId="17362"/>
    <cellStyle name="SAPBEXfilterDrill 4 3 5 2" xfId="38238"/>
    <cellStyle name="SAPBEXfilterDrill 4 3 6" xfId="29500"/>
    <cellStyle name="SAPBEXfilterDrill 4 4" xfId="10241"/>
    <cellStyle name="SAPBEXfilterDrill 4 4 2" xfId="23526"/>
    <cellStyle name="SAPBEXfilterDrill 4 4 2 2" xfId="44398"/>
    <cellStyle name="SAPBEXfilterDrill 4 4 3" xfId="23657"/>
    <cellStyle name="SAPBEXfilterDrill 4 4 3 2" xfId="44529"/>
    <cellStyle name="SAPBEXfilterDrill 4 4 4" xfId="21002"/>
    <cellStyle name="SAPBEXfilterDrill 4 4 4 2" xfId="41877"/>
    <cellStyle name="SAPBEXfilterDrill 4 4 5" xfId="19012"/>
    <cellStyle name="SAPBEXfilterDrill 4 4 5 2" xfId="39888"/>
    <cellStyle name="SAPBEXfilterDrill 4 4 6" xfId="31152"/>
    <cellStyle name="SAPBEXfilterDrill 4 5" xfId="21510"/>
    <cellStyle name="SAPBEXfilterDrill 4 5 2" xfId="42385"/>
    <cellStyle name="SAPBEXfilterDrill 4 6" xfId="22131"/>
    <cellStyle name="SAPBEXfilterDrill 4 6 2" xfId="43006"/>
    <cellStyle name="SAPBEXfilterDrill 4 7" xfId="22354"/>
    <cellStyle name="SAPBEXfilterDrill 4 7 2" xfId="43229"/>
    <cellStyle name="SAPBEXfilterDrill 4 8" xfId="12275"/>
    <cellStyle name="SAPBEXfilterDrill 4 8 2" xfId="33164"/>
    <cellStyle name="SAPBEXfilterDrill 4 9" xfId="24394"/>
    <cellStyle name="SAPBEXfilterDrill 5" xfId="2766"/>
    <cellStyle name="SAPBEXfilterDrill 5 2" xfId="4386"/>
    <cellStyle name="SAPBEXfilterDrill 5 2 2" xfId="6237"/>
    <cellStyle name="SAPBEXfilterDrill 5 2 2 2" xfId="22542"/>
    <cellStyle name="SAPBEXfilterDrill 5 2 2 2 2" xfId="43417"/>
    <cellStyle name="SAPBEXfilterDrill 5 2 2 3" xfId="24016"/>
    <cellStyle name="SAPBEXfilterDrill 5 2 2 3 2" xfId="44888"/>
    <cellStyle name="SAPBEXfilterDrill 5 2 2 4" xfId="23234"/>
    <cellStyle name="SAPBEXfilterDrill 5 2 2 4 2" xfId="44107"/>
    <cellStyle name="SAPBEXfilterDrill 5 2 2 5" xfId="15246"/>
    <cellStyle name="SAPBEXfilterDrill 5 2 2 5 2" xfId="36122"/>
    <cellStyle name="SAPBEXfilterDrill 5 2 2 6" xfId="27384"/>
    <cellStyle name="SAPBEXfilterDrill 5 2 3" xfId="22000"/>
    <cellStyle name="SAPBEXfilterDrill 5 2 3 2" xfId="42875"/>
    <cellStyle name="SAPBEXfilterDrill 5 2 4" xfId="22364"/>
    <cellStyle name="SAPBEXfilterDrill 5 2 4 2" xfId="43239"/>
    <cellStyle name="SAPBEXfilterDrill 5 2 5" xfId="22136"/>
    <cellStyle name="SAPBEXfilterDrill 5 2 5 2" xfId="43011"/>
    <cellStyle name="SAPBEXfilterDrill 5 2 6" xfId="13428"/>
    <cellStyle name="SAPBEXfilterDrill 5 2 6 2" xfId="34304"/>
    <cellStyle name="SAPBEXfilterDrill 5 2 7" xfId="25566"/>
    <cellStyle name="SAPBEXfilterDrill 5 3" xfId="8358"/>
    <cellStyle name="SAPBEXfilterDrill 5 3 2" xfId="23047"/>
    <cellStyle name="SAPBEXfilterDrill 5 3 2 2" xfId="43920"/>
    <cellStyle name="SAPBEXfilterDrill 5 3 3" xfId="23203"/>
    <cellStyle name="SAPBEXfilterDrill 5 3 3 2" xfId="44076"/>
    <cellStyle name="SAPBEXfilterDrill 5 3 4" xfId="23285"/>
    <cellStyle name="SAPBEXfilterDrill 5 3 4 2" xfId="44158"/>
    <cellStyle name="SAPBEXfilterDrill 5 3 5" xfId="17363"/>
    <cellStyle name="SAPBEXfilterDrill 5 3 5 2" xfId="38239"/>
    <cellStyle name="SAPBEXfilterDrill 5 3 6" xfId="29501"/>
    <cellStyle name="SAPBEXfilterDrill 5 4" xfId="10242"/>
    <cellStyle name="SAPBEXfilterDrill 5 4 2" xfId="23527"/>
    <cellStyle name="SAPBEXfilterDrill 5 4 2 2" xfId="44399"/>
    <cellStyle name="SAPBEXfilterDrill 5 4 3" xfId="23804"/>
    <cellStyle name="SAPBEXfilterDrill 5 4 3 2" xfId="44676"/>
    <cellStyle name="SAPBEXfilterDrill 5 4 4" xfId="20857"/>
    <cellStyle name="SAPBEXfilterDrill 5 4 4 2" xfId="41733"/>
    <cellStyle name="SAPBEXfilterDrill 5 4 5" xfId="19013"/>
    <cellStyle name="SAPBEXfilterDrill 5 4 5 2" xfId="39889"/>
    <cellStyle name="SAPBEXfilterDrill 5 4 6" xfId="31153"/>
    <cellStyle name="SAPBEXfilterDrill 5 5" xfId="21511"/>
    <cellStyle name="SAPBEXfilterDrill 5 5 2" xfId="42386"/>
    <cellStyle name="SAPBEXfilterDrill 5 6" xfId="23413"/>
    <cellStyle name="SAPBEXfilterDrill 5 6 2" xfId="44285"/>
    <cellStyle name="SAPBEXfilterDrill 5 7" xfId="21076"/>
    <cellStyle name="SAPBEXfilterDrill 5 7 2" xfId="41951"/>
    <cellStyle name="SAPBEXfilterDrill 5 8" xfId="12276"/>
    <cellStyle name="SAPBEXfilterDrill 5 8 2" xfId="33165"/>
    <cellStyle name="SAPBEXfilterDrill 5 9" xfId="24395"/>
    <cellStyle name="SAPBEXfilterDrill 6" xfId="3821"/>
    <cellStyle name="SAPBEXfilterDrill 6 2" xfId="6050"/>
    <cellStyle name="SAPBEXfilterDrill 6 2 2" xfId="22409"/>
    <cellStyle name="SAPBEXfilterDrill 6 2 2 2" xfId="43284"/>
    <cellStyle name="SAPBEXfilterDrill 6 2 3" xfId="21378"/>
    <cellStyle name="SAPBEXfilterDrill 6 2 3 2" xfId="42253"/>
    <cellStyle name="SAPBEXfilterDrill 6 2 4" xfId="21113"/>
    <cellStyle name="SAPBEXfilterDrill 6 2 4 2" xfId="41988"/>
    <cellStyle name="SAPBEXfilterDrill 6 2 5" xfId="15059"/>
    <cellStyle name="SAPBEXfilterDrill 6 2 5 2" xfId="35935"/>
    <cellStyle name="SAPBEXfilterDrill 6 2 6" xfId="27197"/>
    <cellStyle name="SAPBEXfilterDrill 6 3" xfId="21795"/>
    <cellStyle name="SAPBEXfilterDrill 6 3 2" xfId="42670"/>
    <cellStyle name="SAPBEXfilterDrill 6 4" xfId="23944"/>
    <cellStyle name="SAPBEXfilterDrill 6 4 2" xfId="44816"/>
    <cellStyle name="SAPBEXfilterDrill 6 5" xfId="21711"/>
    <cellStyle name="SAPBEXfilterDrill 6 5 2" xfId="42586"/>
    <cellStyle name="SAPBEXfilterDrill 6 6" xfId="13241"/>
    <cellStyle name="SAPBEXfilterDrill 6 6 2" xfId="34117"/>
    <cellStyle name="SAPBEXfilterDrill 6 7" xfId="25379"/>
    <cellStyle name="SAPBEXfilterDrill 7" xfId="8354"/>
    <cellStyle name="SAPBEXfilterDrill 7 2" xfId="23043"/>
    <cellStyle name="SAPBEXfilterDrill 7 2 2" xfId="43916"/>
    <cellStyle name="SAPBEXfilterDrill 7 3" xfId="23789"/>
    <cellStyle name="SAPBEXfilterDrill 7 3 2" xfId="44661"/>
    <cellStyle name="SAPBEXfilterDrill 7 4" xfId="21866"/>
    <cellStyle name="SAPBEXfilterDrill 7 4 2" xfId="42741"/>
    <cellStyle name="SAPBEXfilterDrill 7 5" xfId="17359"/>
    <cellStyle name="SAPBEXfilterDrill 7 5 2" xfId="38235"/>
    <cellStyle name="SAPBEXfilterDrill 7 6" xfId="29497"/>
    <cellStyle name="SAPBEXfilterDrill 8" xfId="10238"/>
    <cellStyle name="SAPBEXfilterDrill 8 2" xfId="23523"/>
    <cellStyle name="SAPBEXfilterDrill 8 2 2" xfId="44395"/>
    <cellStyle name="SAPBEXfilterDrill 8 3" xfId="21716"/>
    <cellStyle name="SAPBEXfilterDrill 8 3 2" xfId="42591"/>
    <cellStyle name="SAPBEXfilterDrill 8 4" xfId="20951"/>
    <cellStyle name="SAPBEXfilterDrill 8 4 2" xfId="41826"/>
    <cellStyle name="SAPBEXfilterDrill 8 5" xfId="19009"/>
    <cellStyle name="SAPBEXfilterDrill 8 5 2" xfId="39885"/>
    <cellStyle name="SAPBEXfilterDrill 8 6" xfId="31149"/>
    <cellStyle name="SAPBEXfilterDrill 9" xfId="20903"/>
    <cellStyle name="SAPBEXfilterDrill 9 2" xfId="41778"/>
    <cellStyle name="SAPBEXfilterItem" xfId="1156"/>
    <cellStyle name="SAPBEXfilterItem 10" xfId="24154"/>
    <cellStyle name="SAPBEXfilterItem 10 2" xfId="45024"/>
    <cellStyle name="SAPBEXfilterItem 11" xfId="24263"/>
    <cellStyle name="SAPBEXfilterItem 11 2" xfId="45124"/>
    <cellStyle name="SAPBEXfilterItem 2" xfId="2767"/>
    <cellStyle name="SAPBEXfilterItem 2 2" xfId="4388"/>
    <cellStyle name="SAPBEXfilterItem 2 2 2" xfId="6238"/>
    <cellStyle name="SAPBEXfilterItem 2 2 2 2" xfId="22543"/>
    <cellStyle name="SAPBEXfilterItem 2 2 2 2 2" xfId="43418"/>
    <cellStyle name="SAPBEXfilterItem 2 2 2 3" xfId="23914"/>
    <cellStyle name="SAPBEXfilterItem 2 2 2 3 2" xfId="44786"/>
    <cellStyle name="SAPBEXfilterItem 2 2 2 4" xfId="22772"/>
    <cellStyle name="SAPBEXfilterItem 2 2 2 4 2" xfId="43647"/>
    <cellStyle name="SAPBEXfilterItem 2 2 2 5" xfId="15247"/>
    <cellStyle name="SAPBEXfilterItem 2 2 2 5 2" xfId="36123"/>
    <cellStyle name="SAPBEXfilterItem 2 2 2 6" xfId="27385"/>
    <cellStyle name="SAPBEXfilterItem 2 2 3" xfId="22001"/>
    <cellStyle name="SAPBEXfilterItem 2 2 3 2" xfId="42876"/>
    <cellStyle name="SAPBEXfilterItem 2 2 4" xfId="24023"/>
    <cellStyle name="SAPBEXfilterItem 2 2 4 2" xfId="44895"/>
    <cellStyle name="SAPBEXfilterItem 2 2 5" xfId="22122"/>
    <cellStyle name="SAPBEXfilterItem 2 2 5 2" xfId="42997"/>
    <cellStyle name="SAPBEXfilterItem 2 2 6" xfId="13429"/>
    <cellStyle name="SAPBEXfilterItem 2 2 6 2" xfId="34305"/>
    <cellStyle name="SAPBEXfilterItem 2 2 7" xfId="25567"/>
    <cellStyle name="SAPBEXfilterItem 2 3" xfId="10244"/>
    <cellStyle name="SAPBEXfilterItem 2 3 2" xfId="23529"/>
    <cellStyle name="SAPBEXfilterItem 2 3 2 2" xfId="44401"/>
    <cellStyle name="SAPBEXfilterItem 2 3 3" xfId="23842"/>
    <cellStyle name="SAPBEXfilterItem 2 3 3 2" xfId="44714"/>
    <cellStyle name="SAPBEXfilterItem 2 3 4" xfId="22706"/>
    <cellStyle name="SAPBEXfilterItem 2 3 4 2" xfId="43581"/>
    <cellStyle name="SAPBEXfilterItem 2 3 5" xfId="19015"/>
    <cellStyle name="SAPBEXfilterItem 2 3 5 2" xfId="39891"/>
    <cellStyle name="SAPBEXfilterItem 2 3 6" xfId="31155"/>
    <cellStyle name="SAPBEXfilterItem 2 4" xfId="21512"/>
    <cellStyle name="SAPBEXfilterItem 2 4 2" xfId="42387"/>
    <cellStyle name="SAPBEXfilterItem 2 5" xfId="23296"/>
    <cellStyle name="SAPBEXfilterItem 2 5 2" xfId="44168"/>
    <cellStyle name="SAPBEXfilterItem 2 6" xfId="23904"/>
    <cellStyle name="SAPBEXfilterItem 2 6 2" xfId="44776"/>
    <cellStyle name="SAPBEXfilterItem 2 7" xfId="12277"/>
    <cellStyle name="SAPBEXfilterItem 2 7 2" xfId="33166"/>
    <cellStyle name="SAPBEXfilterItem 2 8" xfId="24396"/>
    <cellStyle name="SAPBEXfilterItem 3" xfId="3822"/>
    <cellStyle name="SAPBEXfilterItem 3 2" xfId="6051"/>
    <cellStyle name="SAPBEXfilterItem 3 2 2" xfId="22410"/>
    <cellStyle name="SAPBEXfilterItem 3 2 2 2" xfId="43285"/>
    <cellStyle name="SAPBEXfilterItem 3 2 3" xfId="23769"/>
    <cellStyle name="SAPBEXfilterItem 3 2 3 2" xfId="44641"/>
    <cellStyle name="SAPBEXfilterItem 3 2 4" xfId="21653"/>
    <cellStyle name="SAPBEXfilterItem 3 2 4 2" xfId="42528"/>
    <cellStyle name="SAPBEXfilterItem 3 2 5" xfId="15060"/>
    <cellStyle name="SAPBEXfilterItem 3 2 5 2" xfId="35936"/>
    <cellStyle name="SAPBEXfilterItem 3 2 6" xfId="27198"/>
    <cellStyle name="SAPBEXfilterItem 3 3" xfId="21796"/>
    <cellStyle name="SAPBEXfilterItem 3 3 2" xfId="42671"/>
    <cellStyle name="SAPBEXfilterItem 3 4" xfId="22099"/>
    <cellStyle name="SAPBEXfilterItem 3 4 2" xfId="42974"/>
    <cellStyle name="SAPBEXfilterItem 3 5" xfId="22846"/>
    <cellStyle name="SAPBEXfilterItem 3 5 2" xfId="43721"/>
    <cellStyle name="SAPBEXfilterItem 3 6" xfId="13242"/>
    <cellStyle name="SAPBEXfilterItem 3 6 2" xfId="34118"/>
    <cellStyle name="SAPBEXfilterItem 3 7" xfId="25380"/>
    <cellStyle name="SAPBEXfilterItem 4" xfId="10243"/>
    <cellStyle name="SAPBEXfilterItem 4 2" xfId="23528"/>
    <cellStyle name="SAPBEXfilterItem 4 2 2" xfId="44400"/>
    <cellStyle name="SAPBEXfilterItem 4 3" xfId="21663"/>
    <cellStyle name="SAPBEXfilterItem 4 3 2" xfId="42538"/>
    <cellStyle name="SAPBEXfilterItem 4 4" xfId="24081"/>
    <cellStyle name="SAPBEXfilterItem 4 4 2" xfId="44953"/>
    <cellStyle name="SAPBEXfilterItem 4 5" xfId="19014"/>
    <cellStyle name="SAPBEXfilterItem 4 5 2" xfId="39890"/>
    <cellStyle name="SAPBEXfilterItem 4 6" xfId="31154"/>
    <cellStyle name="SAPBEXfilterItem 5" xfId="12190"/>
    <cellStyle name="SAPBEXfilterItem 5 2" xfId="33088"/>
    <cellStyle name="SAPBEXfilterItem 6" xfId="20905"/>
    <cellStyle name="SAPBEXfilterItem 6 2" xfId="41780"/>
    <cellStyle name="SAPBEXfilterItem 7" xfId="20990"/>
    <cellStyle name="SAPBEXfilterItem 7 2" xfId="41865"/>
    <cellStyle name="SAPBEXfilterItem 8" xfId="21757"/>
    <cellStyle name="SAPBEXfilterItem 8 2" xfId="42632"/>
    <cellStyle name="SAPBEXfilterItem 9" xfId="12140"/>
    <cellStyle name="SAPBEXfilterItem 9 2" xfId="33040"/>
    <cellStyle name="SAPBEXfilterText" xfId="1157"/>
    <cellStyle name="SAPBEXformats" xfId="1158"/>
    <cellStyle name="SAPBEXformats 10" xfId="22289"/>
    <cellStyle name="SAPBEXformats 10 2" xfId="43164"/>
    <cellStyle name="SAPBEXformats 11" xfId="21036"/>
    <cellStyle name="SAPBEXformats 11 2" xfId="41911"/>
    <cellStyle name="SAPBEXformats 12" xfId="12141"/>
    <cellStyle name="SAPBEXformats 12 2" xfId="33041"/>
    <cellStyle name="SAPBEXformats 13" xfId="24153"/>
    <cellStyle name="SAPBEXformats 13 2" xfId="45023"/>
    <cellStyle name="SAPBEXformats 14" xfId="24264"/>
    <cellStyle name="SAPBEXformats 14 2" xfId="45125"/>
    <cellStyle name="SAPBEXformats 2" xfId="2768"/>
    <cellStyle name="SAPBEXformats 2 10" xfId="24397"/>
    <cellStyle name="SAPBEXformats 2 2" xfId="4390"/>
    <cellStyle name="SAPBEXformats 2 2 2" xfId="6239"/>
    <cellStyle name="SAPBEXformats 2 2 2 2" xfId="22544"/>
    <cellStyle name="SAPBEXformats 2 2 2 2 2" xfId="43419"/>
    <cellStyle name="SAPBEXformats 2 2 2 3" xfId="23974"/>
    <cellStyle name="SAPBEXformats 2 2 2 3 2" xfId="44846"/>
    <cellStyle name="SAPBEXformats 2 2 2 4" xfId="23687"/>
    <cellStyle name="SAPBEXformats 2 2 2 4 2" xfId="44559"/>
    <cellStyle name="SAPBEXformats 2 2 2 5" xfId="15248"/>
    <cellStyle name="SAPBEXformats 2 2 2 5 2" xfId="36124"/>
    <cellStyle name="SAPBEXformats 2 2 2 6" xfId="27386"/>
    <cellStyle name="SAPBEXformats 2 2 3" xfId="22002"/>
    <cellStyle name="SAPBEXformats 2 2 3 2" xfId="42877"/>
    <cellStyle name="SAPBEXformats 2 2 4" xfId="23987"/>
    <cellStyle name="SAPBEXformats 2 2 4 2" xfId="44859"/>
    <cellStyle name="SAPBEXformats 2 2 5" xfId="22945"/>
    <cellStyle name="SAPBEXformats 2 2 5 2" xfId="43819"/>
    <cellStyle name="SAPBEXformats 2 2 6" xfId="13430"/>
    <cellStyle name="SAPBEXformats 2 2 6 2" xfId="34306"/>
    <cellStyle name="SAPBEXformats 2 2 7" xfId="25568"/>
    <cellStyle name="SAPBEXformats 2 3" xfId="8360"/>
    <cellStyle name="SAPBEXformats 2 3 2" xfId="23049"/>
    <cellStyle name="SAPBEXformats 2 3 2 2" xfId="43922"/>
    <cellStyle name="SAPBEXformats 2 3 3" xfId="23651"/>
    <cellStyle name="SAPBEXformats 2 3 3 2" xfId="44523"/>
    <cellStyle name="SAPBEXformats 2 3 4" xfId="21118"/>
    <cellStyle name="SAPBEXformats 2 3 4 2" xfId="41993"/>
    <cellStyle name="SAPBEXformats 2 3 5" xfId="17365"/>
    <cellStyle name="SAPBEXformats 2 3 5 2" xfId="38241"/>
    <cellStyle name="SAPBEXformats 2 3 6" xfId="29503"/>
    <cellStyle name="SAPBEXformats 2 4" xfId="10246"/>
    <cellStyle name="SAPBEXformats 2 4 2" xfId="23531"/>
    <cellStyle name="SAPBEXformats 2 4 2 2" xfId="44403"/>
    <cellStyle name="SAPBEXformats 2 4 3" xfId="22381"/>
    <cellStyle name="SAPBEXformats 2 4 3 2" xfId="43256"/>
    <cellStyle name="SAPBEXformats 2 4 4" xfId="23956"/>
    <cellStyle name="SAPBEXformats 2 4 4 2" xfId="44828"/>
    <cellStyle name="SAPBEXformats 2 4 5" xfId="19017"/>
    <cellStyle name="SAPBEXformats 2 4 5 2" xfId="39893"/>
    <cellStyle name="SAPBEXformats 2 4 6" xfId="31157"/>
    <cellStyle name="SAPBEXformats 2 5" xfId="20907"/>
    <cellStyle name="SAPBEXformats 2 5 2" xfId="41782"/>
    <cellStyle name="SAPBEXformats 2 6" xfId="24113"/>
    <cellStyle name="SAPBEXformats 2 6 2" xfId="44984"/>
    <cellStyle name="SAPBEXformats 2 7" xfId="22384"/>
    <cellStyle name="SAPBEXformats 2 7 2" xfId="43259"/>
    <cellStyle name="SAPBEXformats 2 8" xfId="12142"/>
    <cellStyle name="SAPBEXformats 2 8 2" xfId="33042"/>
    <cellStyle name="SAPBEXformats 2 9" xfId="24199"/>
    <cellStyle name="SAPBEXformats 2 9 2" xfId="45067"/>
    <cellStyle name="SAPBEXformats 3" xfId="2769"/>
    <cellStyle name="SAPBEXformats 3 2" xfId="4391"/>
    <cellStyle name="SAPBEXformats 3 2 2" xfId="6240"/>
    <cellStyle name="SAPBEXformats 3 2 2 2" xfId="22545"/>
    <cellStyle name="SAPBEXformats 3 2 2 2 2" xfId="43420"/>
    <cellStyle name="SAPBEXformats 3 2 2 3" xfId="20966"/>
    <cellStyle name="SAPBEXformats 3 2 2 3 2" xfId="41841"/>
    <cellStyle name="SAPBEXformats 3 2 2 4" xfId="23446"/>
    <cellStyle name="SAPBEXformats 3 2 2 4 2" xfId="44318"/>
    <cellStyle name="SAPBEXformats 3 2 2 5" xfId="15249"/>
    <cellStyle name="SAPBEXformats 3 2 2 5 2" xfId="36125"/>
    <cellStyle name="SAPBEXformats 3 2 2 6" xfId="27387"/>
    <cellStyle name="SAPBEXformats 3 2 3" xfId="22003"/>
    <cellStyle name="SAPBEXformats 3 2 3 2" xfId="42878"/>
    <cellStyle name="SAPBEXformats 3 2 4" xfId="20964"/>
    <cellStyle name="SAPBEXformats 3 2 4 2" xfId="41839"/>
    <cellStyle name="SAPBEXformats 3 2 5" xfId="23225"/>
    <cellStyle name="SAPBEXformats 3 2 5 2" xfId="44098"/>
    <cellStyle name="SAPBEXformats 3 2 6" xfId="13431"/>
    <cellStyle name="SAPBEXformats 3 2 6 2" xfId="34307"/>
    <cellStyle name="SAPBEXformats 3 2 7" xfId="25569"/>
    <cellStyle name="SAPBEXformats 3 3" xfId="8361"/>
    <cellStyle name="SAPBEXformats 3 3 2" xfId="23050"/>
    <cellStyle name="SAPBEXformats 3 3 2 2" xfId="43923"/>
    <cellStyle name="SAPBEXformats 3 3 3" xfId="21231"/>
    <cellStyle name="SAPBEXformats 3 3 3 2" xfId="42106"/>
    <cellStyle name="SAPBEXformats 3 3 4" xfId="23943"/>
    <cellStyle name="SAPBEXformats 3 3 4 2" xfId="44815"/>
    <cellStyle name="SAPBEXformats 3 3 5" xfId="17366"/>
    <cellStyle name="SAPBEXformats 3 3 5 2" xfId="38242"/>
    <cellStyle name="SAPBEXformats 3 3 6" xfId="29504"/>
    <cellStyle name="SAPBEXformats 3 4" xfId="10247"/>
    <cellStyle name="SAPBEXformats 3 4 2" xfId="23532"/>
    <cellStyle name="SAPBEXformats 3 4 2 2" xfId="44404"/>
    <cellStyle name="SAPBEXformats 3 4 3" xfId="22162"/>
    <cellStyle name="SAPBEXformats 3 4 3 2" xfId="43037"/>
    <cellStyle name="SAPBEXformats 3 4 4" xfId="24120"/>
    <cellStyle name="SAPBEXformats 3 4 4 2" xfId="44991"/>
    <cellStyle name="SAPBEXformats 3 4 5" xfId="19018"/>
    <cellStyle name="SAPBEXformats 3 4 5 2" xfId="39894"/>
    <cellStyle name="SAPBEXformats 3 4 6" xfId="31158"/>
    <cellStyle name="SAPBEXformats 3 5" xfId="21514"/>
    <cellStyle name="SAPBEXformats 3 5 2" xfId="42389"/>
    <cellStyle name="SAPBEXformats 3 6" xfId="23949"/>
    <cellStyle name="SAPBEXformats 3 6 2" xfId="44821"/>
    <cellStyle name="SAPBEXformats 3 7" xfId="23183"/>
    <cellStyle name="SAPBEXformats 3 7 2" xfId="44056"/>
    <cellStyle name="SAPBEXformats 3 8" xfId="12278"/>
    <cellStyle name="SAPBEXformats 3 8 2" xfId="33167"/>
    <cellStyle name="SAPBEXformats 3 9" xfId="24398"/>
    <cellStyle name="SAPBEXformats 4" xfId="2770"/>
    <cellStyle name="SAPBEXformats 4 2" xfId="4392"/>
    <cellStyle name="SAPBEXformats 4 2 2" xfId="6241"/>
    <cellStyle name="SAPBEXformats 4 2 2 2" xfId="22546"/>
    <cellStyle name="SAPBEXformats 4 2 2 2 2" xfId="43421"/>
    <cellStyle name="SAPBEXformats 4 2 2 3" xfId="22686"/>
    <cellStyle name="SAPBEXformats 4 2 2 3 2" xfId="43561"/>
    <cellStyle name="SAPBEXformats 4 2 2 4" xfId="21105"/>
    <cellStyle name="SAPBEXformats 4 2 2 4 2" xfId="41980"/>
    <cellStyle name="SAPBEXformats 4 2 2 5" xfId="15250"/>
    <cellStyle name="SAPBEXformats 4 2 2 5 2" xfId="36126"/>
    <cellStyle name="SAPBEXformats 4 2 2 6" xfId="27388"/>
    <cellStyle name="SAPBEXformats 4 2 3" xfId="22004"/>
    <cellStyle name="SAPBEXformats 4 2 3 2" xfId="42879"/>
    <cellStyle name="SAPBEXformats 4 2 4" xfId="23796"/>
    <cellStyle name="SAPBEXformats 4 2 4 2" xfId="44668"/>
    <cellStyle name="SAPBEXformats 4 2 5" xfId="21602"/>
    <cellStyle name="SAPBEXformats 4 2 5 2" xfId="42477"/>
    <cellStyle name="SAPBEXformats 4 2 6" xfId="13432"/>
    <cellStyle name="SAPBEXformats 4 2 6 2" xfId="34308"/>
    <cellStyle name="SAPBEXformats 4 2 7" xfId="25570"/>
    <cellStyle name="SAPBEXformats 4 3" xfId="8362"/>
    <cellStyle name="SAPBEXformats 4 3 2" xfId="23051"/>
    <cellStyle name="SAPBEXformats 4 3 2 2" xfId="43924"/>
    <cellStyle name="SAPBEXformats 4 3 3" xfId="21888"/>
    <cellStyle name="SAPBEXformats 4 3 3 2" xfId="42763"/>
    <cellStyle name="SAPBEXformats 4 3 4" xfId="24069"/>
    <cellStyle name="SAPBEXformats 4 3 4 2" xfId="44941"/>
    <cellStyle name="SAPBEXformats 4 3 5" xfId="17367"/>
    <cellStyle name="SAPBEXformats 4 3 5 2" xfId="38243"/>
    <cellStyle name="SAPBEXformats 4 3 6" xfId="29505"/>
    <cellStyle name="SAPBEXformats 4 4" xfId="10248"/>
    <cellStyle name="SAPBEXformats 4 4 2" xfId="23533"/>
    <cellStyle name="SAPBEXformats 4 4 2 2" xfId="44405"/>
    <cellStyle name="SAPBEXformats 4 4 3" xfId="22689"/>
    <cellStyle name="SAPBEXformats 4 4 3 2" xfId="43564"/>
    <cellStyle name="SAPBEXformats 4 4 4" xfId="21843"/>
    <cellStyle name="SAPBEXformats 4 4 4 2" xfId="42718"/>
    <cellStyle name="SAPBEXformats 4 4 5" xfId="19019"/>
    <cellStyle name="SAPBEXformats 4 4 5 2" xfId="39895"/>
    <cellStyle name="SAPBEXformats 4 4 6" xfId="31159"/>
    <cellStyle name="SAPBEXformats 4 5" xfId="21515"/>
    <cellStyle name="SAPBEXformats 4 5 2" xfId="42390"/>
    <cellStyle name="SAPBEXformats 4 6" xfId="23902"/>
    <cellStyle name="SAPBEXformats 4 6 2" xfId="44774"/>
    <cellStyle name="SAPBEXformats 4 7" xfId="22104"/>
    <cellStyle name="SAPBEXformats 4 7 2" xfId="42979"/>
    <cellStyle name="SAPBEXformats 4 8" xfId="12279"/>
    <cellStyle name="SAPBEXformats 4 8 2" xfId="33168"/>
    <cellStyle name="SAPBEXformats 4 9" xfId="24399"/>
    <cellStyle name="SAPBEXformats 5" xfId="2771"/>
    <cellStyle name="SAPBEXformats 5 2" xfId="4393"/>
    <cellStyle name="SAPBEXformats 5 2 2" xfId="6242"/>
    <cellStyle name="SAPBEXformats 5 2 2 2" xfId="22547"/>
    <cellStyle name="SAPBEXformats 5 2 2 2 2" xfId="43422"/>
    <cellStyle name="SAPBEXformats 5 2 2 3" xfId="21042"/>
    <cellStyle name="SAPBEXformats 5 2 2 3 2" xfId="41917"/>
    <cellStyle name="SAPBEXformats 5 2 2 4" xfId="21047"/>
    <cellStyle name="SAPBEXformats 5 2 2 4 2" xfId="41922"/>
    <cellStyle name="SAPBEXformats 5 2 2 5" xfId="15251"/>
    <cellStyle name="SAPBEXformats 5 2 2 5 2" xfId="36127"/>
    <cellStyle name="SAPBEXformats 5 2 2 6" xfId="27389"/>
    <cellStyle name="SAPBEXformats 5 2 3" xfId="22005"/>
    <cellStyle name="SAPBEXformats 5 2 3 2" xfId="42880"/>
    <cellStyle name="SAPBEXformats 5 2 4" xfId="21336"/>
    <cellStyle name="SAPBEXformats 5 2 4 2" xfId="42211"/>
    <cellStyle name="SAPBEXformats 5 2 5" xfId="22810"/>
    <cellStyle name="SAPBEXformats 5 2 5 2" xfId="43685"/>
    <cellStyle name="SAPBEXformats 5 2 6" xfId="13433"/>
    <cellStyle name="SAPBEXformats 5 2 6 2" xfId="34309"/>
    <cellStyle name="SAPBEXformats 5 2 7" xfId="25571"/>
    <cellStyle name="SAPBEXformats 5 3" xfId="8363"/>
    <cellStyle name="SAPBEXformats 5 3 2" xfId="23052"/>
    <cellStyle name="SAPBEXformats 5 3 2 2" xfId="43925"/>
    <cellStyle name="SAPBEXformats 5 3 3" xfId="23340"/>
    <cellStyle name="SAPBEXformats 5 3 3 2" xfId="44212"/>
    <cellStyle name="SAPBEXformats 5 3 4" xfId="23819"/>
    <cellStyle name="SAPBEXformats 5 3 4 2" xfId="44691"/>
    <cellStyle name="SAPBEXformats 5 3 5" xfId="17368"/>
    <cellStyle name="SAPBEXformats 5 3 5 2" xfId="38244"/>
    <cellStyle name="SAPBEXformats 5 3 6" xfId="29506"/>
    <cellStyle name="SAPBEXformats 5 4" xfId="10249"/>
    <cellStyle name="SAPBEXformats 5 4 2" xfId="23534"/>
    <cellStyle name="SAPBEXformats 5 4 2 2" xfId="44406"/>
    <cellStyle name="SAPBEXformats 5 4 3" xfId="22296"/>
    <cellStyle name="SAPBEXformats 5 4 3 2" xfId="43171"/>
    <cellStyle name="SAPBEXformats 5 4 4" xfId="21640"/>
    <cellStyle name="SAPBEXformats 5 4 4 2" xfId="42515"/>
    <cellStyle name="SAPBEXformats 5 4 5" xfId="19020"/>
    <cellStyle name="SAPBEXformats 5 4 5 2" xfId="39896"/>
    <cellStyle name="SAPBEXformats 5 4 6" xfId="31160"/>
    <cellStyle name="SAPBEXformats 5 5" xfId="21516"/>
    <cellStyle name="SAPBEXformats 5 5 2" xfId="42391"/>
    <cellStyle name="SAPBEXformats 5 6" xfId="23212"/>
    <cellStyle name="SAPBEXformats 5 6 2" xfId="44085"/>
    <cellStyle name="SAPBEXformats 5 7" xfId="23984"/>
    <cellStyle name="SAPBEXformats 5 7 2" xfId="44856"/>
    <cellStyle name="SAPBEXformats 5 8" xfId="12280"/>
    <cellStyle name="SAPBEXformats 5 8 2" xfId="33169"/>
    <cellStyle name="SAPBEXformats 5 9" xfId="24400"/>
    <cellStyle name="SAPBEXformats 6" xfId="3823"/>
    <cellStyle name="SAPBEXformats 6 2" xfId="6052"/>
    <cellStyle name="SAPBEXformats 6 2 2" xfId="22411"/>
    <cellStyle name="SAPBEXformats 6 2 2 2" xfId="43286"/>
    <cellStyle name="SAPBEXformats 6 2 3" xfId="21848"/>
    <cellStyle name="SAPBEXformats 6 2 3 2" xfId="42723"/>
    <cellStyle name="SAPBEXformats 6 2 4" xfId="22917"/>
    <cellStyle name="SAPBEXformats 6 2 4 2" xfId="43791"/>
    <cellStyle name="SAPBEXformats 6 2 5" xfId="15061"/>
    <cellStyle name="SAPBEXformats 6 2 5 2" xfId="35937"/>
    <cellStyle name="SAPBEXformats 6 2 6" xfId="27199"/>
    <cellStyle name="SAPBEXformats 6 3" xfId="21797"/>
    <cellStyle name="SAPBEXformats 6 3 2" xfId="42672"/>
    <cellStyle name="SAPBEXformats 6 4" xfId="22281"/>
    <cellStyle name="SAPBEXformats 6 4 2" xfId="43156"/>
    <cellStyle name="SAPBEXformats 6 5" xfId="21339"/>
    <cellStyle name="SAPBEXformats 6 5 2" xfId="42214"/>
    <cellStyle name="SAPBEXformats 6 6" xfId="13243"/>
    <cellStyle name="SAPBEXformats 6 6 2" xfId="34119"/>
    <cellStyle name="SAPBEXformats 6 7" xfId="25381"/>
    <cellStyle name="SAPBEXformats 7" xfId="8359"/>
    <cellStyle name="SAPBEXformats 7 2" xfId="23048"/>
    <cellStyle name="SAPBEXformats 7 2 2" xfId="43921"/>
    <cellStyle name="SAPBEXformats 7 3" xfId="21652"/>
    <cellStyle name="SAPBEXformats 7 3 2" xfId="42527"/>
    <cellStyle name="SAPBEXformats 7 4" xfId="24107"/>
    <cellStyle name="SAPBEXformats 7 4 2" xfId="44978"/>
    <cellStyle name="SAPBEXformats 7 5" xfId="17364"/>
    <cellStyle name="SAPBEXformats 7 5 2" xfId="38240"/>
    <cellStyle name="SAPBEXformats 7 6" xfId="29502"/>
    <cellStyle name="SAPBEXformats 8" xfId="10245"/>
    <cellStyle name="SAPBEXformats 8 2" xfId="23530"/>
    <cellStyle name="SAPBEXformats 8 2 2" xfId="44402"/>
    <cellStyle name="SAPBEXformats 8 3" xfId="21752"/>
    <cellStyle name="SAPBEXformats 8 3 2" xfId="42627"/>
    <cellStyle name="SAPBEXformats 8 4" xfId="22736"/>
    <cellStyle name="SAPBEXformats 8 4 2" xfId="43611"/>
    <cellStyle name="SAPBEXformats 8 5" xfId="19016"/>
    <cellStyle name="SAPBEXformats 8 5 2" xfId="39892"/>
    <cellStyle name="SAPBEXformats 8 6" xfId="31156"/>
    <cellStyle name="SAPBEXformats 9" xfId="20906"/>
    <cellStyle name="SAPBEXformats 9 2" xfId="41781"/>
    <cellStyle name="SAPBEXheaderItem" xfId="1159"/>
    <cellStyle name="SAPBEXheaderItem 10" xfId="21352"/>
    <cellStyle name="SAPBEXheaderItem 10 2" xfId="42227"/>
    <cellStyle name="SAPBEXheaderItem 11" xfId="23178"/>
    <cellStyle name="SAPBEXheaderItem 11 2" xfId="44051"/>
    <cellStyle name="SAPBEXheaderItem 12" xfId="12143"/>
    <cellStyle name="SAPBEXheaderItem 12 2" xfId="33043"/>
    <cellStyle name="SAPBEXheaderItem 13" xfId="24152"/>
    <cellStyle name="SAPBEXheaderItem 13 2" xfId="45022"/>
    <cellStyle name="SAPBEXheaderItem 14" xfId="24265"/>
    <cellStyle name="SAPBEXheaderItem 14 2" xfId="45126"/>
    <cellStyle name="SAPBEXheaderItem 2" xfId="2772"/>
    <cellStyle name="SAPBEXheaderItem 2 10" xfId="24401"/>
    <cellStyle name="SAPBEXheaderItem 2 2" xfId="4394"/>
    <cellStyle name="SAPBEXheaderItem 2 2 2" xfId="6243"/>
    <cellStyle name="SAPBEXheaderItem 2 2 2 2" xfId="22548"/>
    <cellStyle name="SAPBEXheaderItem 2 2 2 2 2" xfId="43423"/>
    <cellStyle name="SAPBEXheaderItem 2 2 2 3" xfId="21109"/>
    <cellStyle name="SAPBEXheaderItem 2 2 2 3 2" xfId="41984"/>
    <cellStyle name="SAPBEXheaderItem 2 2 2 4" xfId="21881"/>
    <cellStyle name="SAPBEXheaderItem 2 2 2 4 2" xfId="42756"/>
    <cellStyle name="SAPBEXheaderItem 2 2 2 5" xfId="15252"/>
    <cellStyle name="SAPBEXheaderItem 2 2 2 5 2" xfId="36128"/>
    <cellStyle name="SAPBEXheaderItem 2 2 2 6" xfId="27390"/>
    <cellStyle name="SAPBEXheaderItem 2 2 3" xfId="22006"/>
    <cellStyle name="SAPBEXheaderItem 2 2 3 2" xfId="42881"/>
    <cellStyle name="SAPBEXheaderItem 2 2 4" xfId="21421"/>
    <cellStyle name="SAPBEXheaderItem 2 2 4 2" xfId="42296"/>
    <cellStyle name="SAPBEXheaderItem 2 2 5" xfId="21433"/>
    <cellStyle name="SAPBEXheaderItem 2 2 5 2" xfId="42308"/>
    <cellStyle name="SAPBEXheaderItem 2 2 6" xfId="13434"/>
    <cellStyle name="SAPBEXheaderItem 2 2 6 2" xfId="34310"/>
    <cellStyle name="SAPBEXheaderItem 2 2 7" xfId="25572"/>
    <cellStyle name="SAPBEXheaderItem 2 3" xfId="8365"/>
    <cellStyle name="SAPBEXheaderItem 2 3 2" xfId="23054"/>
    <cellStyle name="SAPBEXheaderItem 2 3 2 2" xfId="43927"/>
    <cellStyle name="SAPBEXheaderItem 2 3 3" xfId="23798"/>
    <cellStyle name="SAPBEXheaderItem 2 3 3 2" xfId="44670"/>
    <cellStyle name="SAPBEXheaderItem 2 3 4" xfId="22807"/>
    <cellStyle name="SAPBEXheaderItem 2 3 4 2" xfId="43682"/>
    <cellStyle name="SAPBEXheaderItem 2 3 5" xfId="17370"/>
    <cellStyle name="SAPBEXheaderItem 2 3 5 2" xfId="38246"/>
    <cellStyle name="SAPBEXheaderItem 2 3 6" xfId="29508"/>
    <cellStyle name="SAPBEXheaderItem 2 4" xfId="10251"/>
    <cellStyle name="SAPBEXheaderItem 2 4 2" xfId="23536"/>
    <cellStyle name="SAPBEXheaderItem 2 4 2 2" xfId="44408"/>
    <cellStyle name="SAPBEXheaderItem 2 4 3" xfId="22901"/>
    <cellStyle name="SAPBEXheaderItem 2 4 3 2" xfId="43775"/>
    <cellStyle name="SAPBEXheaderItem 2 4 4" xfId="21408"/>
    <cellStyle name="SAPBEXheaderItem 2 4 4 2" xfId="42283"/>
    <cellStyle name="SAPBEXheaderItem 2 4 5" xfId="19022"/>
    <cellStyle name="SAPBEXheaderItem 2 4 5 2" xfId="39898"/>
    <cellStyle name="SAPBEXheaderItem 2 4 6" xfId="31162"/>
    <cellStyle name="SAPBEXheaderItem 2 5" xfId="20909"/>
    <cellStyle name="SAPBEXheaderItem 2 5 2" xfId="41784"/>
    <cellStyle name="SAPBEXheaderItem 2 6" xfId="23722"/>
    <cellStyle name="SAPBEXheaderItem 2 6 2" xfId="44594"/>
    <cellStyle name="SAPBEXheaderItem 2 7" xfId="23907"/>
    <cellStyle name="SAPBEXheaderItem 2 7 2" xfId="44779"/>
    <cellStyle name="SAPBEXheaderItem 2 8" xfId="12144"/>
    <cellStyle name="SAPBEXheaderItem 2 8 2" xfId="33044"/>
    <cellStyle name="SAPBEXheaderItem 2 9" xfId="24200"/>
    <cellStyle name="SAPBEXheaderItem 2 9 2" xfId="45068"/>
    <cellStyle name="SAPBEXheaderItem 3" xfId="2773"/>
    <cellStyle name="SAPBEXheaderItem 3 2" xfId="4395"/>
    <cellStyle name="SAPBEXheaderItem 3 2 2" xfId="6244"/>
    <cellStyle name="SAPBEXheaderItem 3 2 2 2" xfId="22549"/>
    <cellStyle name="SAPBEXheaderItem 3 2 2 2 2" xfId="43424"/>
    <cellStyle name="SAPBEXheaderItem 3 2 2 3" xfId="23736"/>
    <cellStyle name="SAPBEXheaderItem 3 2 2 3 2" xfId="44608"/>
    <cellStyle name="SAPBEXheaderItem 3 2 2 4" xfId="21643"/>
    <cellStyle name="SAPBEXheaderItem 3 2 2 4 2" xfId="42518"/>
    <cellStyle name="SAPBEXheaderItem 3 2 2 5" xfId="15253"/>
    <cellStyle name="SAPBEXheaderItem 3 2 2 5 2" xfId="36129"/>
    <cellStyle name="SAPBEXheaderItem 3 2 2 6" xfId="27391"/>
    <cellStyle name="SAPBEXheaderItem 3 2 3" xfId="22007"/>
    <cellStyle name="SAPBEXheaderItem 3 2 3 2" xfId="42882"/>
    <cellStyle name="SAPBEXheaderItem 3 2 4" xfId="23236"/>
    <cellStyle name="SAPBEXheaderItem 3 2 4 2" xfId="44109"/>
    <cellStyle name="SAPBEXheaderItem 3 2 5" xfId="23770"/>
    <cellStyle name="SAPBEXheaderItem 3 2 5 2" xfId="44642"/>
    <cellStyle name="SAPBEXheaderItem 3 2 6" xfId="13435"/>
    <cellStyle name="SAPBEXheaderItem 3 2 6 2" xfId="34311"/>
    <cellStyle name="SAPBEXheaderItem 3 2 7" xfId="25573"/>
    <cellStyle name="SAPBEXheaderItem 3 3" xfId="8366"/>
    <cellStyle name="SAPBEXheaderItem 3 3 2" xfId="23055"/>
    <cellStyle name="SAPBEXheaderItem 3 3 2 2" xfId="43928"/>
    <cellStyle name="SAPBEXheaderItem 3 3 3" xfId="21232"/>
    <cellStyle name="SAPBEXheaderItem 3 3 3 2" xfId="42107"/>
    <cellStyle name="SAPBEXheaderItem 3 3 4" xfId="21106"/>
    <cellStyle name="SAPBEXheaderItem 3 3 4 2" xfId="41981"/>
    <cellStyle name="SAPBEXheaderItem 3 3 5" xfId="17371"/>
    <cellStyle name="SAPBEXheaderItem 3 3 5 2" xfId="38247"/>
    <cellStyle name="SAPBEXheaderItem 3 3 6" xfId="29509"/>
    <cellStyle name="SAPBEXheaderItem 3 4" xfId="10252"/>
    <cellStyle name="SAPBEXheaderItem 3 4 2" xfId="23537"/>
    <cellStyle name="SAPBEXheaderItem 3 4 2 2" xfId="44409"/>
    <cellStyle name="SAPBEXheaderItem 3 4 3" xfId="23223"/>
    <cellStyle name="SAPBEXheaderItem 3 4 3 2" xfId="44096"/>
    <cellStyle name="SAPBEXheaderItem 3 4 4" xfId="21321"/>
    <cellStyle name="SAPBEXheaderItem 3 4 4 2" xfId="42196"/>
    <cellStyle name="SAPBEXheaderItem 3 4 5" xfId="19023"/>
    <cellStyle name="SAPBEXheaderItem 3 4 5 2" xfId="39899"/>
    <cellStyle name="SAPBEXheaderItem 3 4 6" xfId="31163"/>
    <cellStyle name="SAPBEXheaderItem 3 5" xfId="21517"/>
    <cellStyle name="SAPBEXheaderItem 3 5 2" xfId="42392"/>
    <cellStyle name="SAPBEXheaderItem 3 6" xfId="24073"/>
    <cellStyle name="SAPBEXheaderItem 3 6 2" xfId="44945"/>
    <cellStyle name="SAPBEXheaderItem 3 7" xfId="22793"/>
    <cellStyle name="SAPBEXheaderItem 3 7 2" xfId="43668"/>
    <cellStyle name="SAPBEXheaderItem 3 8" xfId="12281"/>
    <cellStyle name="SAPBEXheaderItem 3 8 2" xfId="33170"/>
    <cellStyle name="SAPBEXheaderItem 3 9" xfId="24402"/>
    <cellStyle name="SAPBEXheaderItem 4" xfId="2774"/>
    <cellStyle name="SAPBEXheaderItem 4 2" xfId="4396"/>
    <cellStyle name="SAPBEXheaderItem 4 2 2" xfId="6245"/>
    <cellStyle name="SAPBEXheaderItem 4 2 2 2" xfId="22550"/>
    <cellStyle name="SAPBEXheaderItem 4 2 2 2 2" xfId="43425"/>
    <cellStyle name="SAPBEXheaderItem 4 2 2 3" xfId="22700"/>
    <cellStyle name="SAPBEXheaderItem 4 2 2 3 2" xfId="43575"/>
    <cellStyle name="SAPBEXheaderItem 4 2 2 4" xfId="23210"/>
    <cellStyle name="SAPBEXheaderItem 4 2 2 4 2" xfId="44083"/>
    <cellStyle name="SAPBEXheaderItem 4 2 2 5" xfId="15254"/>
    <cellStyle name="SAPBEXheaderItem 4 2 2 5 2" xfId="36130"/>
    <cellStyle name="SAPBEXheaderItem 4 2 2 6" xfId="27392"/>
    <cellStyle name="SAPBEXheaderItem 4 2 3" xfId="22008"/>
    <cellStyle name="SAPBEXheaderItem 4 2 3 2" xfId="42883"/>
    <cellStyle name="SAPBEXheaderItem 4 2 4" xfId="22874"/>
    <cellStyle name="SAPBEXheaderItem 4 2 4 2" xfId="43748"/>
    <cellStyle name="SAPBEXheaderItem 4 2 5" xfId="21218"/>
    <cellStyle name="SAPBEXheaderItem 4 2 5 2" xfId="42093"/>
    <cellStyle name="SAPBEXheaderItem 4 2 6" xfId="13436"/>
    <cellStyle name="SAPBEXheaderItem 4 2 6 2" xfId="34312"/>
    <cellStyle name="SAPBEXheaderItem 4 2 7" xfId="25574"/>
    <cellStyle name="SAPBEXheaderItem 4 3" xfId="8367"/>
    <cellStyle name="SAPBEXheaderItem 4 3 2" xfId="23056"/>
    <cellStyle name="SAPBEXheaderItem 4 3 2 2" xfId="43929"/>
    <cellStyle name="SAPBEXheaderItem 4 3 3" xfId="22228"/>
    <cellStyle name="SAPBEXheaderItem 4 3 3 2" xfId="43103"/>
    <cellStyle name="SAPBEXheaderItem 4 3 4" xfId="24067"/>
    <cellStyle name="SAPBEXheaderItem 4 3 4 2" xfId="44939"/>
    <cellStyle name="SAPBEXheaderItem 4 3 5" xfId="17372"/>
    <cellStyle name="SAPBEXheaderItem 4 3 5 2" xfId="38248"/>
    <cellStyle name="SAPBEXheaderItem 4 3 6" xfId="29510"/>
    <cellStyle name="SAPBEXheaderItem 4 4" xfId="10253"/>
    <cellStyle name="SAPBEXheaderItem 4 4 2" xfId="23538"/>
    <cellStyle name="SAPBEXheaderItem 4 4 2 2" xfId="44410"/>
    <cellStyle name="SAPBEXheaderItem 4 4 3" xfId="23356"/>
    <cellStyle name="SAPBEXheaderItem 4 4 3 2" xfId="44228"/>
    <cellStyle name="SAPBEXheaderItem 4 4 4" xfId="22815"/>
    <cellStyle name="SAPBEXheaderItem 4 4 4 2" xfId="43690"/>
    <cellStyle name="SAPBEXheaderItem 4 4 5" xfId="19024"/>
    <cellStyle name="SAPBEXheaderItem 4 4 5 2" xfId="39900"/>
    <cellStyle name="SAPBEXheaderItem 4 4 6" xfId="31164"/>
    <cellStyle name="SAPBEXheaderItem 4 5" xfId="21518"/>
    <cellStyle name="SAPBEXheaderItem 4 5 2" xfId="42393"/>
    <cellStyle name="SAPBEXheaderItem 4 6" xfId="21158"/>
    <cellStyle name="SAPBEXheaderItem 4 6 2" xfId="42033"/>
    <cellStyle name="SAPBEXheaderItem 4 7" xfId="23364"/>
    <cellStyle name="SAPBEXheaderItem 4 7 2" xfId="44236"/>
    <cellStyle name="SAPBEXheaderItem 4 8" xfId="12282"/>
    <cellStyle name="SAPBEXheaderItem 4 8 2" xfId="33171"/>
    <cellStyle name="SAPBEXheaderItem 4 9" xfId="24403"/>
    <cellStyle name="SAPBEXheaderItem 5" xfId="2775"/>
    <cellStyle name="SAPBEXheaderItem 5 2" xfId="4397"/>
    <cellStyle name="SAPBEXheaderItem 5 2 2" xfId="6246"/>
    <cellStyle name="SAPBEXheaderItem 5 2 2 2" xfId="22551"/>
    <cellStyle name="SAPBEXheaderItem 5 2 2 2 2" xfId="43426"/>
    <cellStyle name="SAPBEXheaderItem 5 2 2 3" xfId="23280"/>
    <cellStyle name="SAPBEXheaderItem 5 2 2 3 2" xfId="44153"/>
    <cellStyle name="SAPBEXheaderItem 5 2 2 4" xfId="21054"/>
    <cellStyle name="SAPBEXheaderItem 5 2 2 4 2" xfId="41929"/>
    <cellStyle name="SAPBEXheaderItem 5 2 2 5" xfId="15255"/>
    <cellStyle name="SAPBEXheaderItem 5 2 2 5 2" xfId="36131"/>
    <cellStyle name="SAPBEXheaderItem 5 2 2 6" xfId="27393"/>
    <cellStyle name="SAPBEXheaderItem 5 2 3" xfId="22009"/>
    <cellStyle name="SAPBEXheaderItem 5 2 3 2" xfId="42884"/>
    <cellStyle name="SAPBEXheaderItem 5 2 4" xfId="22439"/>
    <cellStyle name="SAPBEXheaderItem 5 2 4 2" xfId="43314"/>
    <cellStyle name="SAPBEXheaderItem 5 2 5" xfId="23830"/>
    <cellStyle name="SAPBEXheaderItem 5 2 5 2" xfId="44702"/>
    <cellStyle name="SAPBEXheaderItem 5 2 6" xfId="13437"/>
    <cellStyle name="SAPBEXheaderItem 5 2 6 2" xfId="34313"/>
    <cellStyle name="SAPBEXheaderItem 5 2 7" xfId="25575"/>
    <cellStyle name="SAPBEXheaderItem 5 3" xfId="8368"/>
    <cellStyle name="SAPBEXheaderItem 5 3 2" xfId="23057"/>
    <cellStyle name="SAPBEXheaderItem 5 3 2 2" xfId="43930"/>
    <cellStyle name="SAPBEXheaderItem 5 3 3" xfId="23671"/>
    <cellStyle name="SAPBEXheaderItem 5 3 3 2" xfId="44543"/>
    <cellStyle name="SAPBEXheaderItem 5 3 4" xfId="23992"/>
    <cellStyle name="SAPBEXheaderItem 5 3 4 2" xfId="44864"/>
    <cellStyle name="SAPBEXheaderItem 5 3 5" xfId="17373"/>
    <cellStyle name="SAPBEXheaderItem 5 3 5 2" xfId="38249"/>
    <cellStyle name="SAPBEXheaderItem 5 3 6" xfId="29511"/>
    <cellStyle name="SAPBEXheaderItem 5 4" xfId="10254"/>
    <cellStyle name="SAPBEXheaderItem 5 4 2" xfId="23539"/>
    <cellStyle name="SAPBEXheaderItem 5 4 2 2" xfId="44411"/>
    <cellStyle name="SAPBEXheaderItem 5 4 3" xfId="22194"/>
    <cellStyle name="SAPBEXheaderItem 5 4 3 2" xfId="43069"/>
    <cellStyle name="SAPBEXheaderItem 5 4 4" xfId="24026"/>
    <cellStyle name="SAPBEXheaderItem 5 4 4 2" xfId="44898"/>
    <cellStyle name="SAPBEXheaderItem 5 4 5" xfId="19025"/>
    <cellStyle name="SAPBEXheaderItem 5 4 5 2" xfId="39901"/>
    <cellStyle name="SAPBEXheaderItem 5 4 6" xfId="31165"/>
    <cellStyle name="SAPBEXheaderItem 5 5" xfId="21519"/>
    <cellStyle name="SAPBEXheaderItem 5 5 2" xfId="42394"/>
    <cellStyle name="SAPBEXheaderItem 5 6" xfId="21275"/>
    <cellStyle name="SAPBEXheaderItem 5 6 2" xfId="42150"/>
    <cellStyle name="SAPBEXheaderItem 5 7" xfId="23683"/>
    <cellStyle name="SAPBEXheaderItem 5 7 2" xfId="44555"/>
    <cellStyle name="SAPBEXheaderItem 5 8" xfId="12283"/>
    <cellStyle name="SAPBEXheaderItem 5 8 2" xfId="33172"/>
    <cellStyle name="SAPBEXheaderItem 5 9" xfId="24404"/>
    <cellStyle name="SAPBEXheaderItem 6" xfId="3824"/>
    <cellStyle name="SAPBEXheaderItem 6 2" xfId="6053"/>
    <cellStyle name="SAPBEXheaderItem 6 2 2" xfId="22412"/>
    <cellStyle name="SAPBEXheaderItem 6 2 2 2" xfId="43287"/>
    <cellStyle name="SAPBEXheaderItem 6 2 3" xfId="23345"/>
    <cellStyle name="SAPBEXheaderItem 6 2 3 2" xfId="44217"/>
    <cellStyle name="SAPBEXheaderItem 6 2 4" xfId="22898"/>
    <cellStyle name="SAPBEXheaderItem 6 2 4 2" xfId="43772"/>
    <cellStyle name="SAPBEXheaderItem 6 2 5" xfId="15062"/>
    <cellStyle name="SAPBEXheaderItem 6 2 5 2" xfId="35938"/>
    <cellStyle name="SAPBEXheaderItem 6 2 6" xfId="27200"/>
    <cellStyle name="SAPBEXheaderItem 6 3" xfId="21798"/>
    <cellStyle name="SAPBEXheaderItem 6 3 2" xfId="42673"/>
    <cellStyle name="SAPBEXheaderItem 6 4" xfId="24068"/>
    <cellStyle name="SAPBEXheaderItem 6 4 2" xfId="44940"/>
    <cellStyle name="SAPBEXheaderItem 6 5" xfId="23397"/>
    <cellStyle name="SAPBEXheaderItem 6 5 2" xfId="44269"/>
    <cellStyle name="SAPBEXheaderItem 6 6" xfId="13244"/>
    <cellStyle name="SAPBEXheaderItem 6 6 2" xfId="34120"/>
    <cellStyle name="SAPBEXheaderItem 6 7" xfId="25382"/>
    <cellStyle name="SAPBEXheaderItem 7" xfId="8364"/>
    <cellStyle name="SAPBEXheaderItem 7 2" xfId="23053"/>
    <cellStyle name="SAPBEXheaderItem 7 2 2" xfId="43926"/>
    <cellStyle name="SAPBEXheaderItem 7 3" xfId="23829"/>
    <cellStyle name="SAPBEXheaderItem 7 3 2" xfId="44701"/>
    <cellStyle name="SAPBEXheaderItem 7 4" xfId="24109"/>
    <cellStyle name="SAPBEXheaderItem 7 4 2" xfId="44980"/>
    <cellStyle name="SAPBEXheaderItem 7 5" xfId="17369"/>
    <cellStyle name="SAPBEXheaderItem 7 5 2" xfId="38245"/>
    <cellStyle name="SAPBEXheaderItem 7 6" xfId="29507"/>
    <cellStyle name="SAPBEXheaderItem 8" xfId="10250"/>
    <cellStyle name="SAPBEXheaderItem 8 2" xfId="23535"/>
    <cellStyle name="SAPBEXheaderItem 8 2 2" xfId="44407"/>
    <cellStyle name="SAPBEXheaderItem 8 3" xfId="22783"/>
    <cellStyle name="SAPBEXheaderItem 8 3 2" xfId="43658"/>
    <cellStyle name="SAPBEXheaderItem 8 4" xfId="23191"/>
    <cellStyle name="SAPBEXheaderItem 8 4 2" xfId="44064"/>
    <cellStyle name="SAPBEXheaderItem 8 5" xfId="19021"/>
    <cellStyle name="SAPBEXheaderItem 8 5 2" xfId="39897"/>
    <cellStyle name="SAPBEXheaderItem 8 6" xfId="31161"/>
    <cellStyle name="SAPBEXheaderItem 9" xfId="20908"/>
    <cellStyle name="SAPBEXheaderItem 9 2" xfId="41783"/>
    <cellStyle name="SAPBEXheaderText" xfId="1160"/>
    <cellStyle name="SAPBEXheaderText 10" xfId="21100"/>
    <cellStyle name="SAPBEXheaderText 10 2" xfId="41975"/>
    <cellStyle name="SAPBEXheaderText 11" xfId="21242"/>
    <cellStyle name="SAPBEXheaderText 11 2" xfId="42117"/>
    <cellStyle name="SAPBEXheaderText 12" xfId="12145"/>
    <cellStyle name="SAPBEXheaderText 12 2" xfId="33045"/>
    <cellStyle name="SAPBEXheaderText 13" xfId="24151"/>
    <cellStyle name="SAPBEXheaderText 13 2" xfId="45021"/>
    <cellStyle name="SAPBEXheaderText 14" xfId="24266"/>
    <cellStyle name="SAPBEXheaderText 14 2" xfId="45127"/>
    <cellStyle name="SAPBEXheaderText 2" xfId="2776"/>
    <cellStyle name="SAPBEXheaderText 2 10" xfId="24405"/>
    <cellStyle name="SAPBEXheaderText 2 2" xfId="4398"/>
    <cellStyle name="SAPBEXheaderText 2 2 2" xfId="6247"/>
    <cellStyle name="SAPBEXheaderText 2 2 2 2" xfId="22552"/>
    <cellStyle name="SAPBEXheaderText 2 2 2 2 2" xfId="43427"/>
    <cellStyle name="SAPBEXheaderText 2 2 2 3" xfId="24095"/>
    <cellStyle name="SAPBEXheaderText 2 2 2 3 2" xfId="44966"/>
    <cellStyle name="SAPBEXheaderText 2 2 2 4" xfId="23688"/>
    <cellStyle name="SAPBEXheaderText 2 2 2 4 2" xfId="44560"/>
    <cellStyle name="SAPBEXheaderText 2 2 2 5" xfId="15256"/>
    <cellStyle name="SAPBEXheaderText 2 2 2 5 2" xfId="36132"/>
    <cellStyle name="SAPBEXheaderText 2 2 2 6" xfId="27394"/>
    <cellStyle name="SAPBEXheaderText 2 2 3" xfId="22010"/>
    <cellStyle name="SAPBEXheaderText 2 2 3 2" xfId="42885"/>
    <cellStyle name="SAPBEXheaderText 2 2 4" xfId="24104"/>
    <cellStyle name="SAPBEXheaderText 2 2 4 2" xfId="44975"/>
    <cellStyle name="SAPBEXheaderText 2 2 5" xfId="22170"/>
    <cellStyle name="SAPBEXheaderText 2 2 5 2" xfId="43045"/>
    <cellStyle name="SAPBEXheaderText 2 2 6" xfId="13438"/>
    <cellStyle name="SAPBEXheaderText 2 2 6 2" xfId="34314"/>
    <cellStyle name="SAPBEXheaderText 2 2 7" xfId="25576"/>
    <cellStyle name="SAPBEXheaderText 2 3" xfId="8370"/>
    <cellStyle name="SAPBEXheaderText 2 3 2" xfId="23059"/>
    <cellStyle name="SAPBEXheaderText 2 3 2 2" xfId="43932"/>
    <cellStyle name="SAPBEXheaderText 2 3 3" xfId="21660"/>
    <cellStyle name="SAPBEXheaderText 2 3 3 2" xfId="42535"/>
    <cellStyle name="SAPBEXheaderText 2 3 4" xfId="21160"/>
    <cellStyle name="SAPBEXheaderText 2 3 4 2" xfId="42035"/>
    <cellStyle name="SAPBEXheaderText 2 3 5" xfId="17375"/>
    <cellStyle name="SAPBEXheaderText 2 3 5 2" xfId="38251"/>
    <cellStyle name="SAPBEXheaderText 2 3 6" xfId="29513"/>
    <cellStyle name="SAPBEXheaderText 2 4" xfId="10256"/>
    <cellStyle name="SAPBEXheaderText 2 4 2" xfId="23541"/>
    <cellStyle name="SAPBEXheaderText 2 4 2 2" xfId="44413"/>
    <cellStyle name="SAPBEXheaderText 2 4 3" xfId="23679"/>
    <cellStyle name="SAPBEXheaderText 2 4 3 2" xfId="44551"/>
    <cellStyle name="SAPBEXheaderText 2 4 4" xfId="23990"/>
    <cellStyle name="SAPBEXheaderText 2 4 4 2" xfId="44862"/>
    <cellStyle name="SAPBEXheaderText 2 4 5" xfId="19027"/>
    <cellStyle name="SAPBEXheaderText 2 4 5 2" xfId="39903"/>
    <cellStyle name="SAPBEXheaderText 2 4 6" xfId="31167"/>
    <cellStyle name="SAPBEXheaderText 2 5" xfId="20911"/>
    <cellStyle name="SAPBEXheaderText 2 5 2" xfId="41786"/>
    <cellStyle name="SAPBEXheaderText 2 6" xfId="21064"/>
    <cellStyle name="SAPBEXheaderText 2 6 2" xfId="41939"/>
    <cellStyle name="SAPBEXheaderText 2 7" xfId="21246"/>
    <cellStyle name="SAPBEXheaderText 2 7 2" xfId="42121"/>
    <cellStyle name="SAPBEXheaderText 2 8" xfId="12146"/>
    <cellStyle name="SAPBEXheaderText 2 8 2" xfId="33046"/>
    <cellStyle name="SAPBEXheaderText 2 9" xfId="24201"/>
    <cellStyle name="SAPBEXheaderText 2 9 2" xfId="45069"/>
    <cellStyle name="SAPBEXheaderText 3" xfId="2777"/>
    <cellStyle name="SAPBEXheaderText 3 2" xfId="4399"/>
    <cellStyle name="SAPBEXheaderText 3 2 2" xfId="6248"/>
    <cellStyle name="SAPBEXheaderText 3 2 2 2" xfId="22553"/>
    <cellStyle name="SAPBEXheaderText 3 2 2 2 2" xfId="43428"/>
    <cellStyle name="SAPBEXheaderText 3 2 2 3" xfId="23930"/>
    <cellStyle name="SAPBEXheaderText 3 2 2 3 2" xfId="44802"/>
    <cellStyle name="SAPBEXheaderText 3 2 2 4" xfId="23845"/>
    <cellStyle name="SAPBEXheaderText 3 2 2 4 2" xfId="44717"/>
    <cellStyle name="SAPBEXheaderText 3 2 2 5" xfId="15257"/>
    <cellStyle name="SAPBEXheaderText 3 2 2 5 2" xfId="36133"/>
    <cellStyle name="SAPBEXheaderText 3 2 2 6" xfId="27395"/>
    <cellStyle name="SAPBEXheaderText 3 2 3" xfId="22011"/>
    <cellStyle name="SAPBEXheaderText 3 2 3 2" xfId="42886"/>
    <cellStyle name="SAPBEXheaderText 3 2 4" xfId="23940"/>
    <cellStyle name="SAPBEXheaderText 3 2 4 2" xfId="44812"/>
    <cellStyle name="SAPBEXheaderText 3 2 5" xfId="22695"/>
    <cellStyle name="SAPBEXheaderText 3 2 5 2" xfId="43570"/>
    <cellStyle name="SAPBEXheaderText 3 2 6" xfId="13439"/>
    <cellStyle name="SAPBEXheaderText 3 2 6 2" xfId="34315"/>
    <cellStyle name="SAPBEXheaderText 3 2 7" xfId="25577"/>
    <cellStyle name="SAPBEXheaderText 3 3" xfId="8371"/>
    <cellStyle name="SAPBEXheaderText 3 3 2" xfId="23060"/>
    <cellStyle name="SAPBEXheaderText 3 3 2 2" xfId="43933"/>
    <cellStyle name="SAPBEXheaderText 3 3 3" xfId="23184"/>
    <cellStyle name="SAPBEXheaderText 3 3 3 2" xfId="44057"/>
    <cellStyle name="SAPBEXheaderText 3 3 4" xfId="22359"/>
    <cellStyle name="SAPBEXheaderText 3 3 4 2" xfId="43234"/>
    <cellStyle name="SAPBEXheaderText 3 3 5" xfId="17376"/>
    <cellStyle name="SAPBEXheaderText 3 3 5 2" xfId="38252"/>
    <cellStyle name="SAPBEXheaderText 3 3 6" xfId="29514"/>
    <cellStyle name="SAPBEXheaderText 3 4" xfId="10257"/>
    <cellStyle name="SAPBEXheaderText 3 4 2" xfId="23542"/>
    <cellStyle name="SAPBEXheaderText 3 4 2 2" xfId="44414"/>
    <cellStyle name="SAPBEXheaderText 3 4 3" xfId="23351"/>
    <cellStyle name="SAPBEXheaderText 3 4 3 2" xfId="44223"/>
    <cellStyle name="SAPBEXheaderText 3 4 4" xfId="20962"/>
    <cellStyle name="SAPBEXheaderText 3 4 4 2" xfId="41837"/>
    <cellStyle name="SAPBEXheaderText 3 4 5" xfId="19028"/>
    <cellStyle name="SAPBEXheaderText 3 4 5 2" xfId="39904"/>
    <cellStyle name="SAPBEXheaderText 3 4 6" xfId="31168"/>
    <cellStyle name="SAPBEXheaderText 3 5" xfId="21520"/>
    <cellStyle name="SAPBEXheaderText 3 5 2" xfId="42395"/>
    <cellStyle name="SAPBEXheaderText 3 6" xfId="21123"/>
    <cellStyle name="SAPBEXheaderText 3 6 2" xfId="41998"/>
    <cellStyle name="SAPBEXheaderText 3 7" xfId="21714"/>
    <cellStyle name="SAPBEXheaderText 3 7 2" xfId="42589"/>
    <cellStyle name="SAPBEXheaderText 3 8" xfId="12284"/>
    <cellStyle name="SAPBEXheaderText 3 8 2" xfId="33173"/>
    <cellStyle name="SAPBEXheaderText 3 9" xfId="24406"/>
    <cellStyle name="SAPBEXheaderText 4" xfId="2778"/>
    <cellStyle name="SAPBEXheaderText 4 2" xfId="4400"/>
    <cellStyle name="SAPBEXheaderText 4 2 2" xfId="6249"/>
    <cellStyle name="SAPBEXheaderText 4 2 2 2" xfId="22554"/>
    <cellStyle name="SAPBEXheaderText 4 2 2 2 2" xfId="43429"/>
    <cellStyle name="SAPBEXheaderText 4 2 2 3" xfId="23339"/>
    <cellStyle name="SAPBEXheaderText 4 2 2 3 2" xfId="44211"/>
    <cellStyle name="SAPBEXheaderText 4 2 2 4" xfId="23174"/>
    <cellStyle name="SAPBEXheaderText 4 2 2 4 2" xfId="44047"/>
    <cellStyle name="SAPBEXheaderText 4 2 2 5" xfId="15258"/>
    <cellStyle name="SAPBEXheaderText 4 2 2 5 2" xfId="36134"/>
    <cellStyle name="SAPBEXheaderText 4 2 2 6" xfId="27396"/>
    <cellStyle name="SAPBEXheaderText 4 2 3" xfId="22012"/>
    <cellStyle name="SAPBEXheaderText 4 2 3 2" xfId="42887"/>
    <cellStyle name="SAPBEXheaderText 4 2 4" xfId="22876"/>
    <cellStyle name="SAPBEXheaderText 4 2 4 2" xfId="43750"/>
    <cellStyle name="SAPBEXheaderText 4 2 5" xfId="20999"/>
    <cellStyle name="SAPBEXheaderText 4 2 5 2" xfId="41874"/>
    <cellStyle name="SAPBEXheaderText 4 2 6" xfId="13440"/>
    <cellStyle name="SAPBEXheaderText 4 2 6 2" xfId="34316"/>
    <cellStyle name="SAPBEXheaderText 4 2 7" xfId="25578"/>
    <cellStyle name="SAPBEXheaderText 4 3" xfId="8372"/>
    <cellStyle name="SAPBEXheaderText 4 3 2" xfId="23061"/>
    <cellStyle name="SAPBEXheaderText 4 3 2 2" xfId="43934"/>
    <cellStyle name="SAPBEXheaderText 4 3 3" xfId="20983"/>
    <cellStyle name="SAPBEXheaderText 4 3 3 2" xfId="41858"/>
    <cellStyle name="SAPBEXheaderText 4 3 4" xfId="21347"/>
    <cellStyle name="SAPBEXheaderText 4 3 4 2" xfId="42222"/>
    <cellStyle name="SAPBEXheaderText 4 3 5" xfId="17377"/>
    <cellStyle name="SAPBEXheaderText 4 3 5 2" xfId="38253"/>
    <cellStyle name="SAPBEXheaderText 4 3 6" xfId="29515"/>
    <cellStyle name="SAPBEXheaderText 4 4" xfId="10258"/>
    <cellStyle name="SAPBEXheaderText 4 4 2" xfId="23543"/>
    <cellStyle name="SAPBEXheaderText 4 4 2 2" xfId="44415"/>
    <cellStyle name="SAPBEXheaderText 4 4 3" xfId="23215"/>
    <cellStyle name="SAPBEXheaderText 4 4 3 2" xfId="44088"/>
    <cellStyle name="SAPBEXheaderText 4 4 4" xfId="21077"/>
    <cellStyle name="SAPBEXheaderText 4 4 4 2" xfId="41952"/>
    <cellStyle name="SAPBEXheaderText 4 4 5" xfId="19029"/>
    <cellStyle name="SAPBEXheaderText 4 4 5 2" xfId="39905"/>
    <cellStyle name="SAPBEXheaderText 4 4 6" xfId="31169"/>
    <cellStyle name="SAPBEXheaderText 4 5" xfId="21521"/>
    <cellStyle name="SAPBEXheaderText 4 5 2" xfId="42396"/>
    <cellStyle name="SAPBEXheaderText 4 6" xfId="23854"/>
    <cellStyle name="SAPBEXheaderText 4 6 2" xfId="44726"/>
    <cellStyle name="SAPBEXheaderText 4 7" xfId="21317"/>
    <cellStyle name="SAPBEXheaderText 4 7 2" xfId="42192"/>
    <cellStyle name="SAPBEXheaderText 4 8" xfId="12285"/>
    <cellStyle name="SAPBEXheaderText 4 8 2" xfId="33174"/>
    <cellStyle name="SAPBEXheaderText 4 9" xfId="24407"/>
    <cellStyle name="SAPBEXheaderText 5" xfId="2779"/>
    <cellStyle name="SAPBEXheaderText 5 2" xfId="4401"/>
    <cellStyle name="SAPBEXheaderText 5 2 2" xfId="6250"/>
    <cellStyle name="SAPBEXheaderText 5 2 2 2" xfId="22555"/>
    <cellStyle name="SAPBEXheaderText 5 2 2 2 2" xfId="43430"/>
    <cellStyle name="SAPBEXheaderText 5 2 2 3" xfId="23168"/>
    <cellStyle name="SAPBEXheaderText 5 2 2 3 2" xfId="44041"/>
    <cellStyle name="SAPBEXheaderText 5 2 2 4" xfId="21279"/>
    <cellStyle name="SAPBEXheaderText 5 2 2 4 2" xfId="42154"/>
    <cellStyle name="SAPBEXheaderText 5 2 2 5" xfId="15259"/>
    <cellStyle name="SAPBEXheaderText 5 2 2 5 2" xfId="36135"/>
    <cellStyle name="SAPBEXheaderText 5 2 2 6" xfId="27397"/>
    <cellStyle name="SAPBEXheaderText 5 2 3" xfId="22013"/>
    <cellStyle name="SAPBEXheaderText 5 2 3 2" xfId="42888"/>
    <cellStyle name="SAPBEXheaderText 5 2 4" xfId="22648"/>
    <cellStyle name="SAPBEXheaderText 5 2 4 2" xfId="43523"/>
    <cellStyle name="SAPBEXheaderText 5 2 5" xfId="23434"/>
    <cellStyle name="SAPBEXheaderText 5 2 5 2" xfId="44306"/>
    <cellStyle name="SAPBEXheaderText 5 2 6" xfId="13441"/>
    <cellStyle name="SAPBEXheaderText 5 2 6 2" xfId="34317"/>
    <cellStyle name="SAPBEXheaderText 5 2 7" xfId="25579"/>
    <cellStyle name="SAPBEXheaderText 5 3" xfId="8373"/>
    <cellStyle name="SAPBEXheaderText 5 3 2" xfId="23062"/>
    <cellStyle name="SAPBEXheaderText 5 3 2 2" xfId="43935"/>
    <cellStyle name="SAPBEXheaderText 5 3 3" xfId="22221"/>
    <cellStyle name="SAPBEXheaderText 5 3 3 2" xfId="43096"/>
    <cellStyle name="SAPBEXheaderText 5 3 4" xfId="21004"/>
    <cellStyle name="SAPBEXheaderText 5 3 4 2" xfId="41879"/>
    <cellStyle name="SAPBEXheaderText 5 3 5" xfId="17378"/>
    <cellStyle name="SAPBEXheaderText 5 3 5 2" xfId="38254"/>
    <cellStyle name="SAPBEXheaderText 5 3 6" xfId="29516"/>
    <cellStyle name="SAPBEXheaderText 5 4" xfId="10259"/>
    <cellStyle name="SAPBEXheaderText 5 4 2" xfId="23544"/>
    <cellStyle name="SAPBEXheaderText 5 4 2 2" xfId="44416"/>
    <cellStyle name="SAPBEXheaderText 5 4 3" xfId="22726"/>
    <cellStyle name="SAPBEXheaderText 5 4 3 2" xfId="43601"/>
    <cellStyle name="SAPBEXheaderText 5 4 4" xfId="21292"/>
    <cellStyle name="SAPBEXheaderText 5 4 4 2" xfId="42167"/>
    <cellStyle name="SAPBEXheaderText 5 4 5" xfId="19030"/>
    <cellStyle name="SAPBEXheaderText 5 4 5 2" xfId="39906"/>
    <cellStyle name="SAPBEXheaderText 5 4 6" xfId="31170"/>
    <cellStyle name="SAPBEXheaderText 5 5" xfId="21522"/>
    <cellStyle name="SAPBEXheaderText 5 5 2" xfId="42397"/>
    <cellStyle name="SAPBEXheaderText 5 6" xfId="22365"/>
    <cellStyle name="SAPBEXheaderText 5 6 2" xfId="43240"/>
    <cellStyle name="SAPBEXheaderText 5 7" xfId="23776"/>
    <cellStyle name="SAPBEXheaderText 5 7 2" xfId="44648"/>
    <cellStyle name="SAPBEXheaderText 5 8" xfId="12286"/>
    <cellStyle name="SAPBEXheaderText 5 8 2" xfId="33175"/>
    <cellStyle name="SAPBEXheaderText 5 9" xfId="24408"/>
    <cellStyle name="SAPBEXheaderText 6" xfId="3825"/>
    <cellStyle name="SAPBEXheaderText 6 2" xfId="6054"/>
    <cellStyle name="SAPBEXheaderText 6 2 2" xfId="22413"/>
    <cellStyle name="SAPBEXheaderText 6 2 2 2" xfId="43288"/>
    <cellStyle name="SAPBEXheaderText 6 2 3" xfId="23859"/>
    <cellStyle name="SAPBEXheaderText 6 2 3 2" xfId="44731"/>
    <cellStyle name="SAPBEXheaderText 6 2 4" xfId="21192"/>
    <cellStyle name="SAPBEXheaderText 6 2 4 2" xfId="42067"/>
    <cellStyle name="SAPBEXheaderText 6 2 5" xfId="15063"/>
    <cellStyle name="SAPBEXheaderText 6 2 5 2" xfId="35939"/>
    <cellStyle name="SAPBEXheaderText 6 2 6" xfId="27201"/>
    <cellStyle name="SAPBEXheaderText 6 3" xfId="21799"/>
    <cellStyle name="SAPBEXheaderText 6 3 2" xfId="42674"/>
    <cellStyle name="SAPBEXheaderText 6 4" xfId="21159"/>
    <cellStyle name="SAPBEXheaderText 6 4 2" xfId="42034"/>
    <cellStyle name="SAPBEXheaderText 6 5" xfId="23396"/>
    <cellStyle name="SAPBEXheaderText 6 5 2" xfId="44268"/>
    <cellStyle name="SAPBEXheaderText 6 6" xfId="13245"/>
    <cellStyle name="SAPBEXheaderText 6 6 2" xfId="34121"/>
    <cellStyle name="SAPBEXheaderText 6 7" xfId="25383"/>
    <cellStyle name="SAPBEXheaderText 7" xfId="8369"/>
    <cellStyle name="SAPBEXheaderText 7 2" xfId="23058"/>
    <cellStyle name="SAPBEXheaderText 7 2 2" xfId="43931"/>
    <cellStyle name="SAPBEXheaderText 7 3" xfId="21739"/>
    <cellStyle name="SAPBEXheaderText 7 3 2" xfId="42614"/>
    <cellStyle name="SAPBEXheaderText 7 4" xfId="20995"/>
    <cellStyle name="SAPBEXheaderText 7 4 2" xfId="41870"/>
    <cellStyle name="SAPBEXheaderText 7 5" xfId="17374"/>
    <cellStyle name="SAPBEXheaderText 7 5 2" xfId="38250"/>
    <cellStyle name="SAPBEXheaderText 7 6" xfId="29512"/>
    <cellStyle name="SAPBEXheaderText 8" xfId="10255"/>
    <cellStyle name="SAPBEXheaderText 8 2" xfId="23540"/>
    <cellStyle name="SAPBEXheaderText 8 2 2" xfId="44412"/>
    <cellStyle name="SAPBEXheaderText 8 3" xfId="21700"/>
    <cellStyle name="SAPBEXheaderText 8 3 2" xfId="42575"/>
    <cellStyle name="SAPBEXheaderText 8 4" xfId="22818"/>
    <cellStyle name="SAPBEXheaderText 8 4 2" xfId="43693"/>
    <cellStyle name="SAPBEXheaderText 8 5" xfId="19026"/>
    <cellStyle name="SAPBEXheaderText 8 5 2" xfId="39902"/>
    <cellStyle name="SAPBEXheaderText 8 6" xfId="31166"/>
    <cellStyle name="SAPBEXheaderText 9" xfId="20910"/>
    <cellStyle name="SAPBEXheaderText 9 2" xfId="41785"/>
    <cellStyle name="SAPBEXHLevel0" xfId="1161"/>
    <cellStyle name="SAPBEXHLevel0 10" xfId="23664"/>
    <cellStyle name="SAPBEXHLevel0 10 2" xfId="44536"/>
    <cellStyle name="SAPBEXHLevel0 11" xfId="20862"/>
    <cellStyle name="SAPBEXHLevel0 11 2" xfId="41738"/>
    <cellStyle name="SAPBEXHLevel0 12" xfId="12147"/>
    <cellStyle name="SAPBEXHLevel0 12 2" xfId="33047"/>
    <cellStyle name="SAPBEXHLevel0 13" xfId="24150"/>
    <cellStyle name="SAPBEXHLevel0 13 2" xfId="45020"/>
    <cellStyle name="SAPBEXHLevel0 14" xfId="24267"/>
    <cellStyle name="SAPBEXHLevel0 14 2" xfId="45128"/>
    <cellStyle name="SAPBEXHLevel0 2" xfId="2780"/>
    <cellStyle name="SAPBEXHLevel0 2 10" xfId="24409"/>
    <cellStyle name="SAPBEXHLevel0 2 2" xfId="4402"/>
    <cellStyle name="SAPBEXHLevel0 2 2 2" xfId="6251"/>
    <cellStyle name="SAPBEXHLevel0 2 2 2 2" xfId="22556"/>
    <cellStyle name="SAPBEXHLevel0 2 2 2 2 2" xfId="43431"/>
    <cellStyle name="SAPBEXHLevel0 2 2 2 3" xfId="24052"/>
    <cellStyle name="SAPBEXHLevel0 2 2 2 3 2" xfId="44924"/>
    <cellStyle name="SAPBEXHLevel0 2 2 2 4" xfId="22217"/>
    <cellStyle name="SAPBEXHLevel0 2 2 2 4 2" xfId="43092"/>
    <cellStyle name="SAPBEXHLevel0 2 2 2 5" xfId="15260"/>
    <cellStyle name="SAPBEXHLevel0 2 2 2 5 2" xfId="36136"/>
    <cellStyle name="SAPBEXHLevel0 2 2 2 6" xfId="27398"/>
    <cellStyle name="SAPBEXHLevel0 2 2 3" xfId="22014"/>
    <cellStyle name="SAPBEXHLevel0 2 2 3 2" xfId="42889"/>
    <cellStyle name="SAPBEXHLevel0 2 2 4" xfId="24063"/>
    <cellStyle name="SAPBEXHLevel0 2 2 4 2" xfId="44935"/>
    <cellStyle name="SAPBEXHLevel0 2 2 5" xfId="22262"/>
    <cellStyle name="SAPBEXHLevel0 2 2 5 2" xfId="43137"/>
    <cellStyle name="SAPBEXHLevel0 2 2 6" xfId="13442"/>
    <cellStyle name="SAPBEXHLevel0 2 2 6 2" xfId="34318"/>
    <cellStyle name="SAPBEXHLevel0 2 2 7" xfId="25580"/>
    <cellStyle name="SAPBEXHLevel0 2 3" xfId="8375"/>
    <cellStyle name="SAPBEXHLevel0 2 3 2" xfId="23064"/>
    <cellStyle name="SAPBEXHLevel0 2 3 2 2" xfId="43937"/>
    <cellStyle name="SAPBEXHLevel0 2 3 3" xfId="23252"/>
    <cellStyle name="SAPBEXHLevel0 2 3 3 2" xfId="44125"/>
    <cellStyle name="SAPBEXHLevel0 2 3 4" xfId="23715"/>
    <cellStyle name="SAPBEXHLevel0 2 3 4 2" xfId="44587"/>
    <cellStyle name="SAPBEXHLevel0 2 3 5" xfId="17380"/>
    <cellStyle name="SAPBEXHLevel0 2 3 5 2" xfId="38256"/>
    <cellStyle name="SAPBEXHLevel0 2 3 6" xfId="29518"/>
    <cellStyle name="SAPBEXHLevel0 2 4" xfId="10261"/>
    <cellStyle name="SAPBEXHLevel0 2 4 2" xfId="23546"/>
    <cellStyle name="SAPBEXHLevel0 2 4 2 2" xfId="44418"/>
    <cellStyle name="SAPBEXHLevel0 2 4 3" xfId="22832"/>
    <cellStyle name="SAPBEXHLevel0 2 4 3 2" xfId="43707"/>
    <cellStyle name="SAPBEXHLevel0 2 4 4" xfId="22337"/>
    <cellStyle name="SAPBEXHLevel0 2 4 4 2" xfId="43212"/>
    <cellStyle name="SAPBEXHLevel0 2 4 5" xfId="19032"/>
    <cellStyle name="SAPBEXHLevel0 2 4 5 2" xfId="39908"/>
    <cellStyle name="SAPBEXHLevel0 2 4 6" xfId="31172"/>
    <cellStyle name="SAPBEXHLevel0 2 5" xfId="20913"/>
    <cellStyle name="SAPBEXHLevel0 2 5 2" xfId="41788"/>
    <cellStyle name="SAPBEXHLevel0 2 6" xfId="23239"/>
    <cellStyle name="SAPBEXHLevel0 2 6 2" xfId="44112"/>
    <cellStyle name="SAPBEXHLevel0 2 7" xfId="22678"/>
    <cellStyle name="SAPBEXHLevel0 2 7 2" xfId="43553"/>
    <cellStyle name="SAPBEXHLevel0 2 8" xfId="12148"/>
    <cellStyle name="SAPBEXHLevel0 2 8 2" xfId="33048"/>
    <cellStyle name="SAPBEXHLevel0 2 9" xfId="24202"/>
    <cellStyle name="SAPBEXHLevel0 2 9 2" xfId="45070"/>
    <cellStyle name="SAPBEXHLevel0 3" xfId="2781"/>
    <cellStyle name="SAPBEXHLevel0 3 2" xfId="4403"/>
    <cellStyle name="SAPBEXHLevel0 3 2 2" xfId="6252"/>
    <cellStyle name="SAPBEXHLevel0 3 2 2 2" xfId="22557"/>
    <cellStyle name="SAPBEXHLevel0 3 2 2 2 2" xfId="43432"/>
    <cellStyle name="SAPBEXHLevel0 3 2 2 3" xfId="21167"/>
    <cellStyle name="SAPBEXHLevel0 3 2 2 3 2" xfId="42042"/>
    <cellStyle name="SAPBEXHLevel0 3 2 2 4" xfId="23729"/>
    <cellStyle name="SAPBEXHLevel0 3 2 2 4 2" xfId="44601"/>
    <cellStyle name="SAPBEXHLevel0 3 2 2 5" xfId="15261"/>
    <cellStyle name="SAPBEXHLevel0 3 2 2 5 2" xfId="36137"/>
    <cellStyle name="SAPBEXHLevel0 3 2 2 6" xfId="27399"/>
    <cellStyle name="SAPBEXHLevel0 3 2 3" xfId="22015"/>
    <cellStyle name="SAPBEXHLevel0 3 2 3 2" xfId="42890"/>
    <cellStyle name="SAPBEXHLevel0 3 2 4" xfId="20849"/>
    <cellStyle name="SAPBEXHLevel0 3 2 4 2" xfId="41725"/>
    <cellStyle name="SAPBEXHLevel0 3 2 5" xfId="22267"/>
    <cellStyle name="SAPBEXHLevel0 3 2 5 2" xfId="43142"/>
    <cellStyle name="SAPBEXHLevel0 3 2 6" xfId="13443"/>
    <cellStyle name="SAPBEXHLevel0 3 2 6 2" xfId="34319"/>
    <cellStyle name="SAPBEXHLevel0 3 2 7" xfId="25581"/>
    <cellStyle name="SAPBEXHLevel0 3 3" xfId="8376"/>
    <cellStyle name="SAPBEXHLevel0 3 3 2" xfId="23065"/>
    <cellStyle name="SAPBEXHLevel0 3 3 2 2" xfId="43938"/>
    <cellStyle name="SAPBEXHLevel0 3 3 3" xfId="20979"/>
    <cellStyle name="SAPBEXHLevel0 3 3 3 2" xfId="41854"/>
    <cellStyle name="SAPBEXHLevel0 3 3 4" xfId="21068"/>
    <cellStyle name="SAPBEXHLevel0 3 3 4 2" xfId="41943"/>
    <cellStyle name="SAPBEXHLevel0 3 3 5" xfId="17381"/>
    <cellStyle name="SAPBEXHLevel0 3 3 5 2" xfId="38257"/>
    <cellStyle name="SAPBEXHLevel0 3 3 6" xfId="29519"/>
    <cellStyle name="SAPBEXHLevel0 3 4" xfId="10262"/>
    <cellStyle name="SAPBEXHLevel0 3 4 2" xfId="23547"/>
    <cellStyle name="SAPBEXHLevel0 3 4 2 2" xfId="44419"/>
    <cellStyle name="SAPBEXHLevel0 3 4 3" xfId="22947"/>
    <cellStyle name="SAPBEXHLevel0 3 4 3 2" xfId="43821"/>
    <cellStyle name="SAPBEXHLevel0 3 4 4" xfId="21833"/>
    <cellStyle name="SAPBEXHLevel0 3 4 4 2" xfId="42708"/>
    <cellStyle name="SAPBEXHLevel0 3 4 5" xfId="19033"/>
    <cellStyle name="SAPBEXHLevel0 3 4 5 2" xfId="39909"/>
    <cellStyle name="SAPBEXHLevel0 3 4 6" xfId="31173"/>
    <cellStyle name="SAPBEXHLevel0 3 5" xfId="21524"/>
    <cellStyle name="SAPBEXHLevel0 3 5 2" xfId="42399"/>
    <cellStyle name="SAPBEXHLevel0 3 6" xfId="23375"/>
    <cellStyle name="SAPBEXHLevel0 3 6 2" xfId="44247"/>
    <cellStyle name="SAPBEXHLevel0 3 7" xfId="21050"/>
    <cellStyle name="SAPBEXHLevel0 3 7 2" xfId="41925"/>
    <cellStyle name="SAPBEXHLevel0 3 8" xfId="12287"/>
    <cellStyle name="SAPBEXHLevel0 3 8 2" xfId="33176"/>
    <cellStyle name="SAPBEXHLevel0 3 9" xfId="24410"/>
    <cellStyle name="SAPBEXHLevel0 4" xfId="2782"/>
    <cellStyle name="SAPBEXHLevel0 4 2" xfId="4404"/>
    <cellStyle name="SAPBEXHLevel0 4 2 2" xfId="6253"/>
    <cellStyle name="SAPBEXHLevel0 4 2 2 2" xfId="22558"/>
    <cellStyle name="SAPBEXHLevel0 4 2 2 2 2" xfId="43433"/>
    <cellStyle name="SAPBEXHLevel0 4 2 2 3" xfId="21285"/>
    <cellStyle name="SAPBEXHLevel0 4 2 2 3 2" xfId="42160"/>
    <cellStyle name="SAPBEXHLevel0 4 2 2 4" xfId="21661"/>
    <cellStyle name="SAPBEXHLevel0 4 2 2 4 2" xfId="42536"/>
    <cellStyle name="SAPBEXHLevel0 4 2 2 5" xfId="15262"/>
    <cellStyle name="SAPBEXHLevel0 4 2 2 5 2" xfId="36138"/>
    <cellStyle name="SAPBEXHLevel0 4 2 2 6" xfId="27400"/>
    <cellStyle name="SAPBEXHLevel0 4 2 3" xfId="22016"/>
    <cellStyle name="SAPBEXHLevel0 4 2 3 2" xfId="42891"/>
    <cellStyle name="SAPBEXHLevel0 4 2 4" xfId="21008"/>
    <cellStyle name="SAPBEXHLevel0 4 2 4 2" xfId="41883"/>
    <cellStyle name="SAPBEXHLevel0 4 2 5" xfId="23185"/>
    <cellStyle name="SAPBEXHLevel0 4 2 5 2" xfId="44058"/>
    <cellStyle name="SAPBEXHLevel0 4 2 6" xfId="13444"/>
    <cellStyle name="SAPBEXHLevel0 4 2 6 2" xfId="34320"/>
    <cellStyle name="SAPBEXHLevel0 4 2 7" xfId="25582"/>
    <cellStyle name="SAPBEXHLevel0 4 3" xfId="8377"/>
    <cellStyle name="SAPBEXHLevel0 4 3 2" xfId="23066"/>
    <cellStyle name="SAPBEXHLevel0 4 3 2 2" xfId="43939"/>
    <cellStyle name="SAPBEXHLevel0 4 3 3" xfId="21887"/>
    <cellStyle name="SAPBEXHLevel0 4 3 3 2" xfId="42762"/>
    <cellStyle name="SAPBEXHLevel0 4 3 4" xfId="22680"/>
    <cellStyle name="SAPBEXHLevel0 4 3 4 2" xfId="43555"/>
    <cellStyle name="SAPBEXHLevel0 4 3 5" xfId="17382"/>
    <cellStyle name="SAPBEXHLevel0 4 3 5 2" xfId="38258"/>
    <cellStyle name="SAPBEXHLevel0 4 3 6" xfId="29520"/>
    <cellStyle name="SAPBEXHLevel0 4 4" xfId="10263"/>
    <cellStyle name="SAPBEXHLevel0 4 4 2" xfId="23548"/>
    <cellStyle name="SAPBEXHLevel0 4 4 2 2" xfId="44420"/>
    <cellStyle name="SAPBEXHLevel0 4 4 3" xfId="23267"/>
    <cellStyle name="SAPBEXHLevel0 4 4 3 2" xfId="44140"/>
    <cellStyle name="SAPBEXHLevel0 4 4 4" xfId="22137"/>
    <cellStyle name="SAPBEXHLevel0 4 4 4 2" xfId="43012"/>
    <cellStyle name="SAPBEXHLevel0 4 4 5" xfId="19034"/>
    <cellStyle name="SAPBEXHLevel0 4 4 5 2" xfId="39910"/>
    <cellStyle name="SAPBEXHLevel0 4 4 6" xfId="31174"/>
    <cellStyle name="SAPBEXHLevel0 4 5" xfId="21525"/>
    <cellStyle name="SAPBEXHLevel0 4 5 2" xfId="42400"/>
    <cellStyle name="SAPBEXHLevel0 4 6" xfId="21618"/>
    <cellStyle name="SAPBEXHLevel0 4 6 2" xfId="42493"/>
    <cellStyle name="SAPBEXHLevel0 4 7" xfId="21393"/>
    <cellStyle name="SAPBEXHLevel0 4 7 2" xfId="42268"/>
    <cellStyle name="SAPBEXHLevel0 4 8" xfId="12288"/>
    <cellStyle name="SAPBEXHLevel0 4 8 2" xfId="33177"/>
    <cellStyle name="SAPBEXHLevel0 4 9" xfId="24411"/>
    <cellStyle name="SAPBEXHLevel0 5" xfId="2783"/>
    <cellStyle name="SAPBEXHLevel0 5 2" xfId="4405"/>
    <cellStyle name="SAPBEXHLevel0 5 2 2" xfId="6254"/>
    <cellStyle name="SAPBEXHLevel0 5 2 2 2" xfId="22559"/>
    <cellStyle name="SAPBEXHLevel0 5 2 2 2 2" xfId="43434"/>
    <cellStyle name="SAPBEXHLevel0 5 2 2 3" xfId="21071"/>
    <cellStyle name="SAPBEXHLevel0 5 2 2 3 2" xfId="41946"/>
    <cellStyle name="SAPBEXHLevel0 5 2 2 4" xfId="22748"/>
    <cellStyle name="SAPBEXHLevel0 5 2 2 4 2" xfId="43623"/>
    <cellStyle name="SAPBEXHLevel0 5 2 2 5" xfId="15263"/>
    <cellStyle name="SAPBEXHLevel0 5 2 2 5 2" xfId="36139"/>
    <cellStyle name="SAPBEXHLevel0 5 2 2 6" xfId="27401"/>
    <cellStyle name="SAPBEXHLevel0 5 2 3" xfId="22017"/>
    <cellStyle name="SAPBEXHLevel0 5 2 3 2" xfId="42892"/>
    <cellStyle name="SAPBEXHLevel0 5 2 4" xfId="21373"/>
    <cellStyle name="SAPBEXHLevel0 5 2 4 2" xfId="42248"/>
    <cellStyle name="SAPBEXHLevel0 5 2 5" xfId="23652"/>
    <cellStyle name="SAPBEXHLevel0 5 2 5 2" xfId="44524"/>
    <cellStyle name="SAPBEXHLevel0 5 2 6" xfId="13445"/>
    <cellStyle name="SAPBEXHLevel0 5 2 6 2" xfId="34321"/>
    <cellStyle name="SAPBEXHLevel0 5 2 7" xfId="25583"/>
    <cellStyle name="SAPBEXHLevel0 5 3" xfId="8378"/>
    <cellStyle name="SAPBEXHLevel0 5 3 2" xfId="23067"/>
    <cellStyle name="SAPBEXHLevel0 5 3 2 2" xfId="43940"/>
    <cellStyle name="SAPBEXHLevel0 5 3 3" xfId="21693"/>
    <cellStyle name="SAPBEXHLevel0 5 3 3 2" xfId="42568"/>
    <cellStyle name="SAPBEXHLevel0 5 3 4" xfId="21255"/>
    <cellStyle name="SAPBEXHLevel0 5 3 4 2" xfId="42130"/>
    <cellStyle name="SAPBEXHLevel0 5 3 5" xfId="17383"/>
    <cellStyle name="SAPBEXHLevel0 5 3 5 2" xfId="38259"/>
    <cellStyle name="SAPBEXHLevel0 5 3 6" xfId="29521"/>
    <cellStyle name="SAPBEXHLevel0 5 4" xfId="10264"/>
    <cellStyle name="SAPBEXHLevel0 5 4 2" xfId="23549"/>
    <cellStyle name="SAPBEXHLevel0 5 4 2 2" xfId="44421"/>
    <cellStyle name="SAPBEXHLevel0 5 4 3" xfId="23403"/>
    <cellStyle name="SAPBEXHLevel0 5 4 3 2" xfId="44275"/>
    <cellStyle name="SAPBEXHLevel0 5 4 4" xfId="23783"/>
    <cellStyle name="SAPBEXHLevel0 5 4 4 2" xfId="44655"/>
    <cellStyle name="SAPBEXHLevel0 5 4 5" xfId="19035"/>
    <cellStyle name="SAPBEXHLevel0 5 4 5 2" xfId="39911"/>
    <cellStyle name="SAPBEXHLevel0 5 4 6" xfId="31175"/>
    <cellStyle name="SAPBEXHLevel0 5 5" xfId="21526"/>
    <cellStyle name="SAPBEXHLevel0 5 5 2" xfId="42401"/>
    <cellStyle name="SAPBEXHLevel0 5 6" xfId="21181"/>
    <cellStyle name="SAPBEXHLevel0 5 6 2" xfId="42056"/>
    <cellStyle name="SAPBEXHLevel0 5 7" xfId="22787"/>
    <cellStyle name="SAPBEXHLevel0 5 7 2" xfId="43662"/>
    <cellStyle name="SAPBEXHLevel0 5 8" xfId="12289"/>
    <cellStyle name="SAPBEXHLevel0 5 8 2" xfId="33178"/>
    <cellStyle name="SAPBEXHLevel0 5 9" xfId="24412"/>
    <cellStyle name="SAPBEXHLevel0 6" xfId="3826"/>
    <cellStyle name="SAPBEXHLevel0 6 2" xfId="6055"/>
    <cellStyle name="SAPBEXHLevel0 6 2 2" xfId="22414"/>
    <cellStyle name="SAPBEXHLevel0 6 2 2 2" xfId="43289"/>
    <cellStyle name="SAPBEXHLevel0 6 2 3" xfId="21822"/>
    <cellStyle name="SAPBEXHLevel0 6 2 3 2" xfId="42697"/>
    <cellStyle name="SAPBEXHLevel0 6 2 4" xfId="23378"/>
    <cellStyle name="SAPBEXHLevel0 6 2 4 2" xfId="44250"/>
    <cellStyle name="SAPBEXHLevel0 6 2 5" xfId="15064"/>
    <cellStyle name="SAPBEXHLevel0 6 2 5 2" xfId="35940"/>
    <cellStyle name="SAPBEXHLevel0 6 2 6" xfId="27202"/>
    <cellStyle name="SAPBEXHLevel0 6 3" xfId="21800"/>
    <cellStyle name="SAPBEXHLevel0 6 3 2" xfId="42675"/>
    <cellStyle name="SAPBEXHLevel0 6 4" xfId="21277"/>
    <cellStyle name="SAPBEXHLevel0 6 4 2" xfId="42152"/>
    <cellStyle name="SAPBEXHLevel0 6 5" xfId="23840"/>
    <cellStyle name="SAPBEXHLevel0 6 5 2" xfId="44712"/>
    <cellStyle name="SAPBEXHLevel0 6 6" xfId="13246"/>
    <cellStyle name="SAPBEXHLevel0 6 6 2" xfId="34122"/>
    <cellStyle name="SAPBEXHLevel0 6 7" xfId="25384"/>
    <cellStyle name="SAPBEXHLevel0 7" xfId="8374"/>
    <cellStyle name="SAPBEXHLevel0 7 2" xfId="23063"/>
    <cellStyle name="SAPBEXHLevel0 7 2 2" xfId="43936"/>
    <cellStyle name="SAPBEXHLevel0 7 3" xfId="21694"/>
    <cellStyle name="SAPBEXHLevel0 7 3 2" xfId="42569"/>
    <cellStyle name="SAPBEXHLevel0 7 4" xfId="21896"/>
    <cellStyle name="SAPBEXHLevel0 7 4 2" xfId="42771"/>
    <cellStyle name="SAPBEXHLevel0 7 5" xfId="17379"/>
    <cellStyle name="SAPBEXHLevel0 7 5 2" xfId="38255"/>
    <cellStyle name="SAPBEXHLevel0 7 6" xfId="29517"/>
    <cellStyle name="SAPBEXHLevel0 8" xfId="10260"/>
    <cellStyle name="SAPBEXHLevel0 8 2" xfId="23545"/>
    <cellStyle name="SAPBEXHLevel0 8 2 2" xfId="44417"/>
    <cellStyle name="SAPBEXHLevel0 8 3" xfId="22351"/>
    <cellStyle name="SAPBEXHLevel0 8 3 2" xfId="43226"/>
    <cellStyle name="SAPBEXHLevel0 8 4" xfId="20844"/>
    <cellStyle name="SAPBEXHLevel0 8 4 2" xfId="41720"/>
    <cellStyle name="SAPBEXHLevel0 8 5" xfId="19031"/>
    <cellStyle name="SAPBEXHLevel0 8 5 2" xfId="39907"/>
    <cellStyle name="SAPBEXHLevel0 8 6" xfId="31171"/>
    <cellStyle name="SAPBEXHLevel0 9" xfId="20912"/>
    <cellStyle name="SAPBEXHLevel0 9 2" xfId="41787"/>
    <cellStyle name="SAPBEXHLevel0X" xfId="1162"/>
    <cellStyle name="SAPBEXHLevel0X 10" xfId="22094"/>
    <cellStyle name="SAPBEXHLevel0X 10 2" xfId="42969"/>
    <cellStyle name="SAPBEXHLevel0X 11" xfId="22328"/>
    <cellStyle name="SAPBEXHLevel0X 11 2" xfId="43203"/>
    <cellStyle name="SAPBEXHLevel0X 12" xfId="12149"/>
    <cellStyle name="SAPBEXHLevel0X 12 2" xfId="33049"/>
    <cellStyle name="SAPBEXHLevel0X 13" xfId="24149"/>
    <cellStyle name="SAPBEXHLevel0X 13 2" xfId="45019"/>
    <cellStyle name="SAPBEXHLevel0X 14" xfId="24268"/>
    <cellStyle name="SAPBEXHLevel0X 14 2" xfId="45129"/>
    <cellStyle name="SAPBEXHLevel0X 2" xfId="2784"/>
    <cellStyle name="SAPBEXHLevel0X 2 10" xfId="24413"/>
    <cellStyle name="SAPBEXHLevel0X 2 2" xfId="4407"/>
    <cellStyle name="SAPBEXHLevel0X 2 2 2" xfId="6255"/>
    <cellStyle name="SAPBEXHLevel0X 2 2 2 2" xfId="22560"/>
    <cellStyle name="SAPBEXHLevel0X 2 2 2 2 2" xfId="43435"/>
    <cellStyle name="SAPBEXHLevel0X 2 2 2 3" xfId="21779"/>
    <cellStyle name="SAPBEXHLevel0X 2 2 2 3 2" xfId="42654"/>
    <cellStyle name="SAPBEXHLevel0X 2 2 2 4" xfId="21263"/>
    <cellStyle name="SAPBEXHLevel0X 2 2 2 4 2" xfId="42138"/>
    <cellStyle name="SAPBEXHLevel0X 2 2 2 5" xfId="15264"/>
    <cellStyle name="SAPBEXHLevel0X 2 2 2 5 2" xfId="36140"/>
    <cellStyle name="SAPBEXHLevel0X 2 2 2 6" xfId="27402"/>
    <cellStyle name="SAPBEXHLevel0X 2 2 3" xfId="22019"/>
    <cellStyle name="SAPBEXHLevel0X 2 2 3 2" xfId="42894"/>
    <cellStyle name="SAPBEXHLevel0X 2 2 4" xfId="22233"/>
    <cellStyle name="SAPBEXHLevel0X 2 2 4 2" xfId="43108"/>
    <cellStyle name="SAPBEXHLevel0X 2 2 5" xfId="23634"/>
    <cellStyle name="SAPBEXHLevel0X 2 2 5 2" xfId="44506"/>
    <cellStyle name="SAPBEXHLevel0X 2 2 6" xfId="13446"/>
    <cellStyle name="SAPBEXHLevel0X 2 2 6 2" xfId="34322"/>
    <cellStyle name="SAPBEXHLevel0X 2 2 7" xfId="25584"/>
    <cellStyle name="SAPBEXHLevel0X 2 3" xfId="8380"/>
    <cellStyle name="SAPBEXHLevel0X 2 3 2" xfId="23069"/>
    <cellStyle name="SAPBEXHLevel0X 2 3 2 2" xfId="43942"/>
    <cellStyle name="SAPBEXHLevel0X 2 3 3" xfId="23837"/>
    <cellStyle name="SAPBEXHLevel0X 2 3 3 2" xfId="44709"/>
    <cellStyle name="SAPBEXHLevel0X 2 3 4" xfId="22440"/>
    <cellStyle name="SAPBEXHLevel0X 2 3 4 2" xfId="43315"/>
    <cellStyle name="SAPBEXHLevel0X 2 3 5" xfId="17385"/>
    <cellStyle name="SAPBEXHLevel0X 2 3 5 2" xfId="38261"/>
    <cellStyle name="SAPBEXHLevel0X 2 3 6" xfId="29523"/>
    <cellStyle name="SAPBEXHLevel0X 2 4" xfId="10266"/>
    <cellStyle name="SAPBEXHLevel0X 2 4 2" xfId="23551"/>
    <cellStyle name="SAPBEXHLevel0X 2 4 2 2" xfId="44423"/>
    <cellStyle name="SAPBEXHLevel0X 2 4 3" xfId="23892"/>
    <cellStyle name="SAPBEXHLevel0X 2 4 3 2" xfId="44764"/>
    <cellStyle name="SAPBEXHLevel0X 2 4 4" xfId="21136"/>
    <cellStyle name="SAPBEXHLevel0X 2 4 4 2" xfId="42011"/>
    <cellStyle name="SAPBEXHLevel0X 2 4 5" xfId="19037"/>
    <cellStyle name="SAPBEXHLevel0X 2 4 5 2" xfId="39913"/>
    <cellStyle name="SAPBEXHLevel0X 2 4 6" xfId="31177"/>
    <cellStyle name="SAPBEXHLevel0X 2 5" xfId="20915"/>
    <cellStyle name="SAPBEXHLevel0X 2 5 2" xfId="41790"/>
    <cellStyle name="SAPBEXHLevel0X 2 6" xfId="21304"/>
    <cellStyle name="SAPBEXHLevel0X 2 6 2" xfId="42179"/>
    <cellStyle name="SAPBEXHLevel0X 2 7" xfId="21670"/>
    <cellStyle name="SAPBEXHLevel0X 2 7 2" xfId="42545"/>
    <cellStyle name="SAPBEXHLevel0X 2 8" xfId="12150"/>
    <cellStyle name="SAPBEXHLevel0X 2 8 2" xfId="33050"/>
    <cellStyle name="SAPBEXHLevel0X 2 9" xfId="24203"/>
    <cellStyle name="SAPBEXHLevel0X 2 9 2" xfId="45071"/>
    <cellStyle name="SAPBEXHLevel0X 3" xfId="2785"/>
    <cellStyle name="SAPBEXHLevel0X 3 2" xfId="4408"/>
    <cellStyle name="SAPBEXHLevel0X 3 2 2" xfId="6256"/>
    <cellStyle name="SAPBEXHLevel0X 3 2 2 2" xfId="22561"/>
    <cellStyle name="SAPBEXHLevel0X 3 2 2 2 2" xfId="43436"/>
    <cellStyle name="SAPBEXHLevel0X 3 2 2 3" xfId="23304"/>
    <cellStyle name="SAPBEXHLevel0X 3 2 2 3 2" xfId="44176"/>
    <cellStyle name="SAPBEXHLevel0X 3 2 2 4" xfId="24046"/>
    <cellStyle name="SAPBEXHLevel0X 3 2 2 4 2" xfId="44918"/>
    <cellStyle name="SAPBEXHLevel0X 3 2 2 5" xfId="15265"/>
    <cellStyle name="SAPBEXHLevel0X 3 2 2 5 2" xfId="36141"/>
    <cellStyle name="SAPBEXHLevel0X 3 2 2 6" xfId="27403"/>
    <cellStyle name="SAPBEXHLevel0X 3 2 3" xfId="22020"/>
    <cellStyle name="SAPBEXHLevel0X 3 2 3 2" xfId="42895"/>
    <cellStyle name="SAPBEXHLevel0X 3 2 4" xfId="22188"/>
    <cellStyle name="SAPBEXHLevel0X 3 2 4 2" xfId="43063"/>
    <cellStyle name="SAPBEXHLevel0X 3 2 5" xfId="23219"/>
    <cellStyle name="SAPBEXHLevel0X 3 2 5 2" xfId="44092"/>
    <cellStyle name="SAPBEXHLevel0X 3 2 6" xfId="13447"/>
    <cellStyle name="SAPBEXHLevel0X 3 2 6 2" xfId="34323"/>
    <cellStyle name="SAPBEXHLevel0X 3 2 7" xfId="25585"/>
    <cellStyle name="SAPBEXHLevel0X 3 3" xfId="8381"/>
    <cellStyle name="SAPBEXHLevel0X 3 3 2" xfId="23070"/>
    <cellStyle name="SAPBEXHLevel0X 3 3 2 2" xfId="43943"/>
    <cellStyle name="SAPBEXHLevel0X 3 3 3" xfId="20980"/>
    <cellStyle name="SAPBEXHLevel0X 3 3 3 2" xfId="41855"/>
    <cellStyle name="SAPBEXHLevel0X 3 3 4" xfId="21346"/>
    <cellStyle name="SAPBEXHLevel0X 3 3 4 2" xfId="42221"/>
    <cellStyle name="SAPBEXHLevel0X 3 3 5" xfId="17386"/>
    <cellStyle name="SAPBEXHLevel0X 3 3 5 2" xfId="38262"/>
    <cellStyle name="SAPBEXHLevel0X 3 3 6" xfId="29524"/>
    <cellStyle name="SAPBEXHLevel0X 3 4" xfId="10267"/>
    <cellStyle name="SAPBEXHLevel0X 3 4 2" xfId="23552"/>
    <cellStyle name="SAPBEXHLevel0X 3 4 2 2" xfId="44424"/>
    <cellStyle name="SAPBEXHLevel0X 3 4 3" xfId="22127"/>
    <cellStyle name="SAPBEXHLevel0X 3 4 3 2" xfId="43002"/>
    <cellStyle name="SAPBEXHLevel0X 3 4 4" xfId="22819"/>
    <cellStyle name="SAPBEXHLevel0X 3 4 4 2" xfId="43694"/>
    <cellStyle name="SAPBEXHLevel0X 3 4 5" xfId="19038"/>
    <cellStyle name="SAPBEXHLevel0X 3 4 5 2" xfId="39914"/>
    <cellStyle name="SAPBEXHLevel0X 3 4 6" xfId="31178"/>
    <cellStyle name="SAPBEXHLevel0X 3 5" xfId="21527"/>
    <cellStyle name="SAPBEXHLevel0X 3 5 2" xfId="42402"/>
    <cellStyle name="SAPBEXHLevel0X 3 6" xfId="21895"/>
    <cellStyle name="SAPBEXHLevel0X 3 6 2" xfId="42770"/>
    <cellStyle name="SAPBEXHLevel0X 3 7" xfId="22809"/>
    <cellStyle name="SAPBEXHLevel0X 3 7 2" xfId="43684"/>
    <cellStyle name="SAPBEXHLevel0X 3 8" xfId="12290"/>
    <cellStyle name="SAPBEXHLevel0X 3 8 2" xfId="33179"/>
    <cellStyle name="SAPBEXHLevel0X 3 9" xfId="24414"/>
    <cellStyle name="SAPBEXHLevel0X 4" xfId="2786"/>
    <cellStyle name="SAPBEXHLevel0X 4 2" xfId="4409"/>
    <cellStyle name="SAPBEXHLevel0X 4 2 2" xfId="6257"/>
    <cellStyle name="SAPBEXHLevel0X 4 2 2 2" xfId="22562"/>
    <cellStyle name="SAPBEXHLevel0X 4 2 2 2 2" xfId="43437"/>
    <cellStyle name="SAPBEXHLevel0X 4 2 2 3" xfId="22804"/>
    <cellStyle name="SAPBEXHLevel0X 4 2 2 3 2" xfId="43679"/>
    <cellStyle name="SAPBEXHLevel0X 4 2 2 4" xfId="22446"/>
    <cellStyle name="SAPBEXHLevel0X 4 2 2 4 2" xfId="43321"/>
    <cellStyle name="SAPBEXHLevel0X 4 2 2 5" xfId="15266"/>
    <cellStyle name="SAPBEXHLevel0X 4 2 2 5 2" xfId="36142"/>
    <cellStyle name="SAPBEXHLevel0X 4 2 2 6" xfId="27404"/>
    <cellStyle name="SAPBEXHLevel0X 4 2 3" xfId="22021"/>
    <cellStyle name="SAPBEXHLevel0X 4 2 3 2" xfId="42896"/>
    <cellStyle name="SAPBEXHLevel0X 4 2 4" xfId="23858"/>
    <cellStyle name="SAPBEXHLevel0X 4 2 4 2" xfId="44730"/>
    <cellStyle name="SAPBEXHLevel0X 4 2 5" xfId="21193"/>
    <cellStyle name="SAPBEXHLevel0X 4 2 5 2" xfId="42068"/>
    <cellStyle name="SAPBEXHLevel0X 4 2 6" xfId="13448"/>
    <cellStyle name="SAPBEXHLevel0X 4 2 6 2" xfId="34324"/>
    <cellStyle name="SAPBEXHLevel0X 4 2 7" xfId="25586"/>
    <cellStyle name="SAPBEXHLevel0X 4 3" xfId="8382"/>
    <cellStyle name="SAPBEXHLevel0X 4 3 2" xfId="23071"/>
    <cellStyle name="SAPBEXHLevel0X 4 3 2 2" xfId="43944"/>
    <cellStyle name="SAPBEXHLevel0X 4 3 3" xfId="22219"/>
    <cellStyle name="SAPBEXHLevel0X 4 3 3 2" xfId="43094"/>
    <cellStyle name="SAPBEXHLevel0X 4 3 4" xfId="23697"/>
    <cellStyle name="SAPBEXHLevel0X 4 3 4 2" xfId="44569"/>
    <cellStyle name="SAPBEXHLevel0X 4 3 5" xfId="17387"/>
    <cellStyle name="SAPBEXHLevel0X 4 3 5 2" xfId="38263"/>
    <cellStyle name="SAPBEXHLevel0X 4 3 6" xfId="29525"/>
    <cellStyle name="SAPBEXHLevel0X 4 4" xfId="10268"/>
    <cellStyle name="SAPBEXHLevel0X 4 4 2" xfId="23553"/>
    <cellStyle name="SAPBEXHLevel0X 4 4 2 2" xfId="44425"/>
    <cellStyle name="SAPBEXHLevel0X 4 4 3" xfId="23685"/>
    <cellStyle name="SAPBEXHLevel0X 4 4 3 2" xfId="44557"/>
    <cellStyle name="SAPBEXHLevel0X 4 4 4" xfId="21251"/>
    <cellStyle name="SAPBEXHLevel0X 4 4 4 2" xfId="42126"/>
    <cellStyle name="SAPBEXHLevel0X 4 4 5" xfId="19039"/>
    <cellStyle name="SAPBEXHLevel0X 4 4 5 2" xfId="39915"/>
    <cellStyle name="SAPBEXHLevel0X 4 4 6" xfId="31179"/>
    <cellStyle name="SAPBEXHLevel0X 4 5" xfId="21528"/>
    <cellStyle name="SAPBEXHLevel0X 4 5 2" xfId="42403"/>
    <cellStyle name="SAPBEXHLevel0X 4 6" xfId="21863"/>
    <cellStyle name="SAPBEXHLevel0X 4 6 2" xfId="42738"/>
    <cellStyle name="SAPBEXHLevel0X 4 7" xfId="21385"/>
    <cellStyle name="SAPBEXHLevel0X 4 7 2" xfId="42260"/>
    <cellStyle name="SAPBEXHLevel0X 4 8" xfId="12291"/>
    <cellStyle name="SAPBEXHLevel0X 4 8 2" xfId="33180"/>
    <cellStyle name="SAPBEXHLevel0X 4 9" xfId="24415"/>
    <cellStyle name="SAPBEXHLevel0X 5" xfId="2787"/>
    <cellStyle name="SAPBEXHLevel0X 5 2" xfId="4410"/>
    <cellStyle name="SAPBEXHLevel0X 5 2 2" xfId="6258"/>
    <cellStyle name="SAPBEXHLevel0X 5 2 2 2" xfId="22563"/>
    <cellStyle name="SAPBEXHLevel0X 5 2 2 2 2" xfId="43438"/>
    <cellStyle name="SAPBEXHLevel0X 5 2 2 3" xfId="22732"/>
    <cellStyle name="SAPBEXHLevel0X 5 2 2 3 2" xfId="43607"/>
    <cellStyle name="SAPBEXHLevel0X 5 2 2 4" xfId="21876"/>
    <cellStyle name="SAPBEXHLevel0X 5 2 2 4 2" xfId="42751"/>
    <cellStyle name="SAPBEXHLevel0X 5 2 2 5" xfId="15267"/>
    <cellStyle name="SAPBEXHLevel0X 5 2 2 5 2" xfId="36143"/>
    <cellStyle name="SAPBEXHLevel0X 5 2 2 6" xfId="27405"/>
    <cellStyle name="SAPBEXHLevel0X 5 2 3" xfId="22022"/>
    <cellStyle name="SAPBEXHLevel0X 5 2 3 2" xfId="42897"/>
    <cellStyle name="SAPBEXHLevel0X 5 2 4" xfId="23286"/>
    <cellStyle name="SAPBEXHLevel0X 5 2 4 2" xfId="44159"/>
    <cellStyle name="SAPBEXHLevel0X 5 2 5" xfId="21253"/>
    <cellStyle name="SAPBEXHLevel0X 5 2 5 2" xfId="42128"/>
    <cellStyle name="SAPBEXHLevel0X 5 2 6" xfId="13449"/>
    <cellStyle name="SAPBEXHLevel0X 5 2 6 2" xfId="34325"/>
    <cellStyle name="SAPBEXHLevel0X 5 2 7" xfId="25587"/>
    <cellStyle name="SAPBEXHLevel0X 5 3" xfId="8383"/>
    <cellStyle name="SAPBEXHLevel0X 5 3 2" xfId="23072"/>
    <cellStyle name="SAPBEXHLevel0X 5 3 2 2" xfId="43945"/>
    <cellStyle name="SAPBEXHLevel0X 5 3 3" xfId="22184"/>
    <cellStyle name="SAPBEXHLevel0X 5 3 3 2" xfId="43059"/>
    <cellStyle name="SAPBEXHLevel0X 5 3 4" xfId="21331"/>
    <cellStyle name="SAPBEXHLevel0X 5 3 4 2" xfId="42206"/>
    <cellStyle name="SAPBEXHLevel0X 5 3 5" xfId="17388"/>
    <cellStyle name="SAPBEXHLevel0X 5 3 5 2" xfId="38264"/>
    <cellStyle name="SAPBEXHLevel0X 5 3 6" xfId="29526"/>
    <cellStyle name="SAPBEXHLevel0X 5 4" xfId="10269"/>
    <cellStyle name="SAPBEXHLevel0X 5 4 2" xfId="23554"/>
    <cellStyle name="SAPBEXHLevel0X 5 4 2 2" xfId="44426"/>
    <cellStyle name="SAPBEXHLevel0X 5 4 3" xfId="21708"/>
    <cellStyle name="SAPBEXHLevel0X 5 4 3 2" xfId="42583"/>
    <cellStyle name="SAPBEXHLevel0X 5 4 4" xfId="21198"/>
    <cellStyle name="SAPBEXHLevel0X 5 4 4 2" xfId="42073"/>
    <cellStyle name="SAPBEXHLevel0X 5 4 5" xfId="19040"/>
    <cellStyle name="SAPBEXHLevel0X 5 4 5 2" xfId="39916"/>
    <cellStyle name="SAPBEXHLevel0X 5 4 6" xfId="31180"/>
    <cellStyle name="SAPBEXHLevel0X 5 5" xfId="21529"/>
    <cellStyle name="SAPBEXHLevel0X 5 5 2" xfId="42404"/>
    <cellStyle name="SAPBEXHLevel0X 5 6" xfId="23155"/>
    <cellStyle name="SAPBEXHLevel0X 5 6 2" xfId="44028"/>
    <cellStyle name="SAPBEXHLevel0X 5 7" xfId="21291"/>
    <cellStyle name="SAPBEXHLevel0X 5 7 2" xfId="42166"/>
    <cellStyle name="SAPBEXHLevel0X 5 8" xfId="12292"/>
    <cellStyle name="SAPBEXHLevel0X 5 8 2" xfId="33181"/>
    <cellStyle name="SAPBEXHLevel0X 5 9" xfId="24416"/>
    <cellStyle name="SAPBEXHLevel0X 6" xfId="3827"/>
    <cellStyle name="SAPBEXHLevel0X 6 2" xfId="6056"/>
    <cellStyle name="SAPBEXHLevel0X 6 2 2" xfId="22415"/>
    <cellStyle name="SAPBEXHLevel0X 6 2 2 2" xfId="43290"/>
    <cellStyle name="SAPBEXHLevel0X 6 2 3" xfId="22253"/>
    <cellStyle name="SAPBEXHLevel0X 6 2 3 2" xfId="43128"/>
    <cellStyle name="SAPBEXHLevel0X 6 2 4" xfId="23303"/>
    <cellStyle name="SAPBEXHLevel0X 6 2 4 2" xfId="44175"/>
    <cellStyle name="SAPBEXHLevel0X 6 2 5" xfId="15065"/>
    <cellStyle name="SAPBEXHLevel0X 6 2 5 2" xfId="35941"/>
    <cellStyle name="SAPBEXHLevel0X 6 2 6" xfId="27203"/>
    <cellStyle name="SAPBEXHLevel0X 6 3" xfId="21801"/>
    <cellStyle name="SAPBEXHLevel0X 6 3 2" xfId="42676"/>
    <cellStyle name="SAPBEXHLevel0X 6 4" xfId="21065"/>
    <cellStyle name="SAPBEXHLevel0X 6 4 2" xfId="41940"/>
    <cellStyle name="SAPBEXHLevel0X 6 5" xfId="21130"/>
    <cellStyle name="SAPBEXHLevel0X 6 5 2" xfId="42005"/>
    <cellStyle name="SAPBEXHLevel0X 6 6" xfId="13247"/>
    <cellStyle name="SAPBEXHLevel0X 6 6 2" xfId="34123"/>
    <cellStyle name="SAPBEXHLevel0X 6 7" xfId="25385"/>
    <cellStyle name="SAPBEXHLevel0X 7" xfId="8379"/>
    <cellStyle name="SAPBEXHLevel0X 7 2" xfId="23068"/>
    <cellStyle name="SAPBEXHLevel0X 7 2 2" xfId="43941"/>
    <cellStyle name="SAPBEXHLevel0X 7 3" xfId="22149"/>
    <cellStyle name="SAPBEXHLevel0X 7 3 2" xfId="43024"/>
    <cellStyle name="SAPBEXHLevel0X 7 4" xfId="21120"/>
    <cellStyle name="SAPBEXHLevel0X 7 4 2" xfId="41995"/>
    <cellStyle name="SAPBEXHLevel0X 7 5" xfId="17384"/>
    <cellStyle name="SAPBEXHLevel0X 7 5 2" xfId="38260"/>
    <cellStyle name="SAPBEXHLevel0X 7 6" xfId="29522"/>
    <cellStyle name="SAPBEXHLevel0X 8" xfId="10265"/>
    <cellStyle name="SAPBEXHLevel0X 8 2" xfId="23550"/>
    <cellStyle name="SAPBEXHLevel0X 8 2 2" xfId="44422"/>
    <cellStyle name="SAPBEXHLevel0X 8 3" xfId="23732"/>
    <cellStyle name="SAPBEXHLevel0X 8 3 2" xfId="44604"/>
    <cellStyle name="SAPBEXHLevel0X 8 4" xfId="22794"/>
    <cellStyle name="SAPBEXHLevel0X 8 4 2" xfId="43669"/>
    <cellStyle name="SAPBEXHLevel0X 8 5" xfId="19036"/>
    <cellStyle name="SAPBEXHLevel0X 8 5 2" xfId="39912"/>
    <cellStyle name="SAPBEXHLevel0X 8 6" xfId="31176"/>
    <cellStyle name="SAPBEXHLevel0X 9" xfId="20914"/>
    <cellStyle name="SAPBEXHLevel0X 9 2" xfId="41789"/>
    <cellStyle name="SAPBEXHLevel1" xfId="1163"/>
    <cellStyle name="SAPBEXHLevel1 10" xfId="22442"/>
    <cellStyle name="SAPBEXHLevel1 10 2" xfId="43317"/>
    <cellStyle name="SAPBEXHLevel1 11" xfId="23216"/>
    <cellStyle name="SAPBEXHLevel1 11 2" xfId="44089"/>
    <cellStyle name="SAPBEXHLevel1 12" xfId="12151"/>
    <cellStyle name="SAPBEXHLevel1 12 2" xfId="33051"/>
    <cellStyle name="SAPBEXHLevel1 13" xfId="24148"/>
    <cellStyle name="SAPBEXHLevel1 13 2" xfId="45018"/>
    <cellStyle name="SAPBEXHLevel1 14" xfId="24269"/>
    <cellStyle name="SAPBEXHLevel1 14 2" xfId="45130"/>
    <cellStyle name="SAPBEXHLevel1 2" xfId="2788"/>
    <cellStyle name="SAPBEXHLevel1 2 10" xfId="24417"/>
    <cellStyle name="SAPBEXHLevel1 2 2" xfId="4412"/>
    <cellStyle name="SAPBEXHLevel1 2 2 2" xfId="6259"/>
    <cellStyle name="SAPBEXHLevel1 2 2 2 2" xfId="22564"/>
    <cellStyle name="SAPBEXHLevel1 2 2 2 2 2" xfId="43439"/>
    <cellStyle name="SAPBEXHLevel1 2 2 2 3" xfId="21821"/>
    <cellStyle name="SAPBEXHLevel1 2 2 2 3 2" xfId="42696"/>
    <cellStyle name="SAPBEXHLevel1 2 2 2 4" xfId="23164"/>
    <cellStyle name="SAPBEXHLevel1 2 2 2 4 2" xfId="44037"/>
    <cellStyle name="SAPBEXHLevel1 2 2 2 5" xfId="15268"/>
    <cellStyle name="SAPBEXHLevel1 2 2 2 5 2" xfId="36144"/>
    <cellStyle name="SAPBEXHLevel1 2 2 2 6" xfId="27406"/>
    <cellStyle name="SAPBEXHLevel1 2 2 3" xfId="22023"/>
    <cellStyle name="SAPBEXHLevel1 2 2 3 2" xfId="42898"/>
    <cellStyle name="SAPBEXHLevel1 2 2 4" xfId="21185"/>
    <cellStyle name="SAPBEXHLevel1 2 2 4 2" xfId="42060"/>
    <cellStyle name="SAPBEXHLevel1 2 2 5" xfId="23921"/>
    <cellStyle name="SAPBEXHLevel1 2 2 5 2" xfId="44793"/>
    <cellStyle name="SAPBEXHLevel1 2 2 6" xfId="13450"/>
    <cellStyle name="SAPBEXHLevel1 2 2 6 2" xfId="34326"/>
    <cellStyle name="SAPBEXHLevel1 2 2 7" xfId="25588"/>
    <cellStyle name="SAPBEXHLevel1 2 3" xfId="8385"/>
    <cellStyle name="SAPBEXHLevel1 2 3 2" xfId="23074"/>
    <cellStyle name="SAPBEXHLevel1 2 3 2 2" xfId="43947"/>
    <cellStyle name="SAPBEXHLevel1 2 3 3" xfId="21749"/>
    <cellStyle name="SAPBEXHLevel1 2 3 3 2" xfId="42624"/>
    <cellStyle name="SAPBEXHLevel1 2 3 4" xfId="22277"/>
    <cellStyle name="SAPBEXHLevel1 2 3 4 2" xfId="43152"/>
    <cellStyle name="SAPBEXHLevel1 2 3 5" xfId="17390"/>
    <cellStyle name="SAPBEXHLevel1 2 3 5 2" xfId="38266"/>
    <cellStyle name="SAPBEXHLevel1 2 3 6" xfId="29528"/>
    <cellStyle name="SAPBEXHLevel1 2 4" xfId="10271"/>
    <cellStyle name="SAPBEXHLevel1 2 4 2" xfId="23556"/>
    <cellStyle name="SAPBEXHLevel1 2 4 2 2" xfId="44428"/>
    <cellStyle name="SAPBEXHLevel1 2 4 3" xfId="22720"/>
    <cellStyle name="SAPBEXHLevel1 2 4 3 2" xfId="43595"/>
    <cellStyle name="SAPBEXHLevel1 2 4 4" xfId="22374"/>
    <cellStyle name="SAPBEXHLevel1 2 4 4 2" xfId="43249"/>
    <cellStyle name="SAPBEXHLevel1 2 4 5" xfId="19042"/>
    <cellStyle name="SAPBEXHLevel1 2 4 5 2" xfId="39918"/>
    <cellStyle name="SAPBEXHLevel1 2 4 6" xfId="31182"/>
    <cellStyle name="SAPBEXHLevel1 2 5" xfId="20917"/>
    <cellStyle name="SAPBEXHLevel1 2 5 2" xfId="41792"/>
    <cellStyle name="SAPBEXHLevel1 2 6" xfId="22245"/>
    <cellStyle name="SAPBEXHLevel1 2 6 2" xfId="43120"/>
    <cellStyle name="SAPBEXHLevel1 2 7" xfId="23332"/>
    <cellStyle name="SAPBEXHLevel1 2 7 2" xfId="44204"/>
    <cellStyle name="SAPBEXHLevel1 2 8" xfId="12152"/>
    <cellStyle name="SAPBEXHLevel1 2 8 2" xfId="33052"/>
    <cellStyle name="SAPBEXHLevel1 2 9" xfId="24204"/>
    <cellStyle name="SAPBEXHLevel1 2 9 2" xfId="45072"/>
    <cellStyle name="SAPBEXHLevel1 3" xfId="2789"/>
    <cellStyle name="SAPBEXHLevel1 3 2" xfId="4413"/>
    <cellStyle name="SAPBEXHLevel1 3 2 2" xfId="6260"/>
    <cellStyle name="SAPBEXHLevel1 3 2 2 2" xfId="22565"/>
    <cellStyle name="SAPBEXHLevel1 3 2 2 2 2" xfId="43440"/>
    <cellStyle name="SAPBEXHLevel1 3 2 2 3" xfId="23649"/>
    <cellStyle name="SAPBEXHLevel1 3 2 2 3 2" xfId="44521"/>
    <cellStyle name="SAPBEXHLevel1 3 2 2 4" xfId="22741"/>
    <cellStyle name="SAPBEXHLevel1 3 2 2 4 2" xfId="43616"/>
    <cellStyle name="SAPBEXHLevel1 3 2 2 5" xfId="15269"/>
    <cellStyle name="SAPBEXHLevel1 3 2 2 5 2" xfId="36145"/>
    <cellStyle name="SAPBEXHLevel1 3 2 2 6" xfId="27407"/>
    <cellStyle name="SAPBEXHLevel1 3 2 3" xfId="22024"/>
    <cellStyle name="SAPBEXHLevel1 3 2 3 2" xfId="42899"/>
    <cellStyle name="SAPBEXHLevel1 3 2 4" xfId="21311"/>
    <cellStyle name="SAPBEXHLevel1 3 2 4 2" xfId="42186"/>
    <cellStyle name="SAPBEXHLevel1 3 2 5" xfId="21705"/>
    <cellStyle name="SAPBEXHLevel1 3 2 5 2" xfId="42580"/>
    <cellStyle name="SAPBEXHLevel1 3 2 6" xfId="13451"/>
    <cellStyle name="SAPBEXHLevel1 3 2 6 2" xfId="34327"/>
    <cellStyle name="SAPBEXHLevel1 3 2 7" xfId="25589"/>
    <cellStyle name="SAPBEXHLevel1 3 3" xfId="8386"/>
    <cellStyle name="SAPBEXHLevel1 3 3 2" xfId="23075"/>
    <cellStyle name="SAPBEXHLevel1 3 3 2 2" xfId="43948"/>
    <cellStyle name="SAPBEXHLevel1 3 3 3" xfId="20981"/>
    <cellStyle name="SAPBEXHLevel1 3 3 3 2" xfId="41856"/>
    <cellStyle name="SAPBEXHLevel1 3 3 4" xfId="23833"/>
    <cellStyle name="SAPBEXHLevel1 3 3 4 2" xfId="44705"/>
    <cellStyle name="SAPBEXHLevel1 3 3 5" xfId="17391"/>
    <cellStyle name="SAPBEXHLevel1 3 3 5 2" xfId="38267"/>
    <cellStyle name="SAPBEXHLevel1 3 3 6" xfId="29529"/>
    <cellStyle name="SAPBEXHLevel1 3 4" xfId="10272"/>
    <cellStyle name="SAPBEXHLevel1 3 4 2" xfId="23557"/>
    <cellStyle name="SAPBEXHLevel1 3 4 2 2" xfId="44429"/>
    <cellStyle name="SAPBEXHLevel1 3 4 3" xfId="22346"/>
    <cellStyle name="SAPBEXHLevel1 3 4 3 2" xfId="43221"/>
    <cellStyle name="SAPBEXHLevel1 3 4 4" xfId="24039"/>
    <cellStyle name="SAPBEXHLevel1 3 4 4 2" xfId="44911"/>
    <cellStyle name="SAPBEXHLevel1 3 4 5" xfId="19043"/>
    <cellStyle name="SAPBEXHLevel1 3 4 5 2" xfId="39919"/>
    <cellStyle name="SAPBEXHLevel1 3 4 6" xfId="31183"/>
    <cellStyle name="SAPBEXHLevel1 3 5" xfId="21530"/>
    <cellStyle name="SAPBEXHLevel1 3 5 2" xfId="42405"/>
    <cellStyle name="SAPBEXHLevel1 3 6" xfId="22733"/>
    <cellStyle name="SAPBEXHLevel1 3 6 2" xfId="43608"/>
    <cellStyle name="SAPBEXHLevel1 3 7" xfId="21170"/>
    <cellStyle name="SAPBEXHLevel1 3 7 2" xfId="42045"/>
    <cellStyle name="SAPBEXHLevel1 3 8" xfId="12293"/>
    <cellStyle name="SAPBEXHLevel1 3 8 2" xfId="33182"/>
    <cellStyle name="SAPBEXHLevel1 3 9" xfId="24418"/>
    <cellStyle name="SAPBEXHLevel1 4" xfId="2790"/>
    <cellStyle name="SAPBEXHLevel1 4 2" xfId="4414"/>
    <cellStyle name="SAPBEXHLevel1 4 2 2" xfId="6261"/>
    <cellStyle name="SAPBEXHLevel1 4 2 2 2" xfId="22566"/>
    <cellStyle name="SAPBEXHLevel1 4 2 2 2 2" xfId="43441"/>
    <cellStyle name="SAPBEXHLevel1 4 2 2 3" xfId="20953"/>
    <cellStyle name="SAPBEXHLevel1 4 2 2 3 2" xfId="41828"/>
    <cellStyle name="SAPBEXHLevel1 4 2 2 4" xfId="22907"/>
    <cellStyle name="SAPBEXHLevel1 4 2 2 4 2" xfId="43781"/>
    <cellStyle name="SAPBEXHLevel1 4 2 2 5" xfId="15270"/>
    <cellStyle name="SAPBEXHLevel1 4 2 2 5 2" xfId="36146"/>
    <cellStyle name="SAPBEXHLevel1 4 2 2 6" xfId="27408"/>
    <cellStyle name="SAPBEXHLevel1 4 2 3" xfId="22025"/>
    <cellStyle name="SAPBEXHLevel1 4 2 3 2" xfId="42900"/>
    <cellStyle name="SAPBEXHLevel1 4 2 4" xfId="21398"/>
    <cellStyle name="SAPBEXHLevel1 4 2 4 2" xfId="42273"/>
    <cellStyle name="SAPBEXHLevel1 4 2 5" xfId="21125"/>
    <cellStyle name="SAPBEXHLevel1 4 2 5 2" xfId="42000"/>
    <cellStyle name="SAPBEXHLevel1 4 2 6" xfId="13452"/>
    <cellStyle name="SAPBEXHLevel1 4 2 6 2" xfId="34328"/>
    <cellStyle name="SAPBEXHLevel1 4 2 7" xfId="25590"/>
    <cellStyle name="SAPBEXHLevel1 4 3" xfId="8387"/>
    <cellStyle name="SAPBEXHLevel1 4 3 2" xfId="23076"/>
    <cellStyle name="SAPBEXHLevel1 4 3 2 2" xfId="43949"/>
    <cellStyle name="SAPBEXHLevel1 4 3 3" xfId="21769"/>
    <cellStyle name="SAPBEXHLevel1 4 3 3 2" xfId="42644"/>
    <cellStyle name="SAPBEXHLevel1 4 3 4" xfId="21052"/>
    <cellStyle name="SAPBEXHLevel1 4 3 4 2" xfId="41927"/>
    <cellStyle name="SAPBEXHLevel1 4 3 5" xfId="17392"/>
    <cellStyle name="SAPBEXHLevel1 4 3 5 2" xfId="38268"/>
    <cellStyle name="SAPBEXHLevel1 4 3 6" xfId="29530"/>
    <cellStyle name="SAPBEXHLevel1 4 4" xfId="10273"/>
    <cellStyle name="SAPBEXHLevel1 4 4 2" xfId="23558"/>
    <cellStyle name="SAPBEXHLevel1 4 4 2 2" xfId="44430"/>
    <cellStyle name="SAPBEXHLevel1 4 4 3" xfId="22826"/>
    <cellStyle name="SAPBEXHLevel1 4 4 3 2" xfId="43701"/>
    <cellStyle name="SAPBEXHLevel1 4 4 4" xfId="22776"/>
    <cellStyle name="SAPBEXHLevel1 4 4 4 2" xfId="43651"/>
    <cellStyle name="SAPBEXHLevel1 4 4 5" xfId="19044"/>
    <cellStyle name="SAPBEXHLevel1 4 4 5 2" xfId="39920"/>
    <cellStyle name="SAPBEXHLevel1 4 4 6" xfId="31184"/>
    <cellStyle name="SAPBEXHLevel1 4 5" xfId="21531"/>
    <cellStyle name="SAPBEXHLevel1 4 5 2" xfId="42406"/>
    <cellStyle name="SAPBEXHLevel1 4 6" xfId="22886"/>
    <cellStyle name="SAPBEXHLevel1 4 6 2" xfId="43760"/>
    <cellStyle name="SAPBEXHLevel1 4 7" xfId="21214"/>
    <cellStyle name="SAPBEXHLevel1 4 7 2" xfId="42089"/>
    <cellStyle name="SAPBEXHLevel1 4 8" xfId="12294"/>
    <cellStyle name="SAPBEXHLevel1 4 8 2" xfId="33183"/>
    <cellStyle name="SAPBEXHLevel1 4 9" xfId="24419"/>
    <cellStyle name="SAPBEXHLevel1 5" xfId="2791"/>
    <cellStyle name="SAPBEXHLevel1 5 2" xfId="4415"/>
    <cellStyle name="SAPBEXHLevel1 5 2 2" xfId="6262"/>
    <cellStyle name="SAPBEXHLevel1 5 2 2 2" xfId="22567"/>
    <cellStyle name="SAPBEXHLevel1 5 2 2 2 2" xfId="43442"/>
    <cellStyle name="SAPBEXHLevel1 5 2 2 3" xfId="21027"/>
    <cellStyle name="SAPBEXHLevel1 5 2 2 3 2" xfId="41902"/>
    <cellStyle name="SAPBEXHLevel1 5 2 2 4" xfId="22936"/>
    <cellStyle name="SAPBEXHLevel1 5 2 2 4 2" xfId="43810"/>
    <cellStyle name="SAPBEXHLevel1 5 2 2 5" xfId="15271"/>
    <cellStyle name="SAPBEXHLevel1 5 2 2 5 2" xfId="36147"/>
    <cellStyle name="SAPBEXHLevel1 5 2 2 6" xfId="27409"/>
    <cellStyle name="SAPBEXHLevel1 5 2 3" xfId="22026"/>
    <cellStyle name="SAPBEXHLevel1 5 2 3 2" xfId="42901"/>
    <cellStyle name="SAPBEXHLevel1 5 2 4" xfId="21857"/>
    <cellStyle name="SAPBEXHLevel1 5 2 4 2" xfId="42732"/>
    <cellStyle name="SAPBEXHLevel1 5 2 5" xfId="22198"/>
    <cellStyle name="SAPBEXHLevel1 5 2 5 2" xfId="43073"/>
    <cellStyle name="SAPBEXHLevel1 5 2 6" xfId="13453"/>
    <cellStyle name="SAPBEXHLevel1 5 2 6 2" xfId="34329"/>
    <cellStyle name="SAPBEXHLevel1 5 2 7" xfId="25591"/>
    <cellStyle name="SAPBEXHLevel1 5 3" xfId="8388"/>
    <cellStyle name="SAPBEXHLevel1 5 3 2" xfId="23077"/>
    <cellStyle name="SAPBEXHLevel1 5 3 2 2" xfId="43950"/>
    <cellStyle name="SAPBEXHLevel1 5 3 3" xfId="22702"/>
    <cellStyle name="SAPBEXHLevel1 5 3 3 2" xfId="43577"/>
    <cellStyle name="SAPBEXHLevel1 5 3 4" xfId="22701"/>
    <cellStyle name="SAPBEXHLevel1 5 3 4 2" xfId="43576"/>
    <cellStyle name="SAPBEXHLevel1 5 3 5" xfId="17393"/>
    <cellStyle name="SAPBEXHLevel1 5 3 5 2" xfId="38269"/>
    <cellStyle name="SAPBEXHLevel1 5 3 6" xfId="29531"/>
    <cellStyle name="SAPBEXHLevel1 5 4" xfId="10274"/>
    <cellStyle name="SAPBEXHLevel1 5 4 2" xfId="23559"/>
    <cellStyle name="SAPBEXHLevel1 5 4 2 2" xfId="44431"/>
    <cellStyle name="SAPBEXHLevel1 5 4 3" xfId="22940"/>
    <cellStyle name="SAPBEXHLevel1 5 4 3 2" xfId="43814"/>
    <cellStyle name="SAPBEXHLevel1 5 4 4" xfId="22101"/>
    <cellStyle name="SAPBEXHLevel1 5 4 4 2" xfId="42976"/>
    <cellStyle name="SAPBEXHLevel1 5 4 5" xfId="19045"/>
    <cellStyle name="SAPBEXHLevel1 5 4 5 2" xfId="39921"/>
    <cellStyle name="SAPBEXHLevel1 5 4 6" xfId="31185"/>
    <cellStyle name="SAPBEXHLevel1 5 5" xfId="21532"/>
    <cellStyle name="SAPBEXHLevel1 5 5 2" xfId="42407"/>
    <cellStyle name="SAPBEXHLevel1 5 6" xfId="21646"/>
    <cellStyle name="SAPBEXHLevel1 5 6 2" xfId="42521"/>
    <cellStyle name="SAPBEXHLevel1 5 7" xfId="23821"/>
    <cellStyle name="SAPBEXHLevel1 5 7 2" xfId="44693"/>
    <cellStyle name="SAPBEXHLevel1 5 8" xfId="12295"/>
    <cellStyle name="SAPBEXHLevel1 5 8 2" xfId="33184"/>
    <cellStyle name="SAPBEXHLevel1 5 9" xfId="24420"/>
    <cellStyle name="SAPBEXHLevel1 6" xfId="3828"/>
    <cellStyle name="SAPBEXHLevel1 6 2" xfId="6057"/>
    <cellStyle name="SAPBEXHLevel1 6 2 2" xfId="22416"/>
    <cellStyle name="SAPBEXHLevel1 6 2 2 2" xfId="43291"/>
    <cellStyle name="SAPBEXHLevel1 6 2 3" xfId="21189"/>
    <cellStyle name="SAPBEXHLevel1 6 2 3 2" xfId="42064"/>
    <cellStyle name="SAPBEXHLevel1 6 2 4" xfId="22216"/>
    <cellStyle name="SAPBEXHLevel1 6 2 4 2" xfId="43091"/>
    <cellStyle name="SAPBEXHLevel1 6 2 5" xfId="15066"/>
    <cellStyle name="SAPBEXHLevel1 6 2 5 2" xfId="35942"/>
    <cellStyle name="SAPBEXHLevel1 6 2 6" xfId="27204"/>
    <cellStyle name="SAPBEXHLevel1 6 3" xfId="21802"/>
    <cellStyle name="SAPBEXHLevel1 6 3 2" xfId="42677"/>
    <cellStyle name="SAPBEXHLevel1 6 4" xfId="21119"/>
    <cellStyle name="SAPBEXHLevel1 6 4 2" xfId="41994"/>
    <cellStyle name="SAPBEXHLevel1 6 5" xfId="23230"/>
    <cellStyle name="SAPBEXHLevel1 6 5 2" xfId="44103"/>
    <cellStyle name="SAPBEXHLevel1 6 6" xfId="13248"/>
    <cellStyle name="SAPBEXHLevel1 6 6 2" xfId="34124"/>
    <cellStyle name="SAPBEXHLevel1 6 7" xfId="25386"/>
    <cellStyle name="SAPBEXHLevel1 7" xfId="8384"/>
    <cellStyle name="SAPBEXHLevel1 7 2" xfId="23073"/>
    <cellStyle name="SAPBEXHLevel1 7 2 2" xfId="43946"/>
    <cellStyle name="SAPBEXHLevel1 7 3" xfId="22681"/>
    <cellStyle name="SAPBEXHLevel1 7 3 2" xfId="43556"/>
    <cellStyle name="SAPBEXHLevel1 7 4" xfId="23877"/>
    <cellStyle name="SAPBEXHLevel1 7 4 2" xfId="44749"/>
    <cellStyle name="SAPBEXHLevel1 7 5" xfId="17389"/>
    <cellStyle name="SAPBEXHLevel1 7 5 2" xfId="38265"/>
    <cellStyle name="SAPBEXHLevel1 7 6" xfId="29527"/>
    <cellStyle name="SAPBEXHLevel1 8" xfId="10270"/>
    <cellStyle name="SAPBEXHLevel1 8 2" xfId="23555"/>
    <cellStyle name="SAPBEXHLevel1 8 2 2" xfId="44427"/>
    <cellStyle name="SAPBEXHLevel1 8 3" xfId="22207"/>
    <cellStyle name="SAPBEXHLevel1 8 3 2" xfId="43082"/>
    <cellStyle name="SAPBEXHLevel1 8 4" xfId="24004"/>
    <cellStyle name="SAPBEXHLevel1 8 4 2" xfId="44876"/>
    <cellStyle name="SAPBEXHLevel1 8 5" xfId="19041"/>
    <cellStyle name="SAPBEXHLevel1 8 5 2" xfId="39917"/>
    <cellStyle name="SAPBEXHLevel1 8 6" xfId="31181"/>
    <cellStyle name="SAPBEXHLevel1 9" xfId="20916"/>
    <cellStyle name="SAPBEXHLevel1 9 2" xfId="41791"/>
    <cellStyle name="SAPBEXHLevel1X" xfId="1164"/>
    <cellStyle name="SAPBEXHLevel1X 10" xfId="24122"/>
    <cellStyle name="SAPBEXHLevel1X 10 2" xfId="44993"/>
    <cellStyle name="SAPBEXHLevel1X 11" xfId="23441"/>
    <cellStyle name="SAPBEXHLevel1X 11 2" xfId="44313"/>
    <cellStyle name="SAPBEXHLevel1X 12" xfId="12153"/>
    <cellStyle name="SAPBEXHLevel1X 12 2" xfId="33053"/>
    <cellStyle name="SAPBEXHLevel1X 13" xfId="24147"/>
    <cellStyle name="SAPBEXHLevel1X 13 2" xfId="45017"/>
    <cellStyle name="SAPBEXHLevel1X 14" xfId="24270"/>
    <cellStyle name="SAPBEXHLevel1X 14 2" xfId="45131"/>
    <cellStyle name="SAPBEXHLevel1X 2" xfId="2792"/>
    <cellStyle name="SAPBEXHLevel1X 2 10" xfId="24421"/>
    <cellStyle name="SAPBEXHLevel1X 2 2" xfId="4417"/>
    <cellStyle name="SAPBEXHLevel1X 2 2 2" xfId="6263"/>
    <cellStyle name="SAPBEXHLevel1X 2 2 2 2" xfId="22568"/>
    <cellStyle name="SAPBEXHLevel1X 2 2 2 2 2" xfId="43443"/>
    <cellStyle name="SAPBEXHLevel1X 2 2 2 3" xfId="21093"/>
    <cellStyle name="SAPBEXHLevel1X 2 2 2 3 2" xfId="41968"/>
    <cellStyle name="SAPBEXHLevel1X 2 2 2 4" xfId="21243"/>
    <cellStyle name="SAPBEXHLevel1X 2 2 2 4 2" xfId="42118"/>
    <cellStyle name="SAPBEXHLevel1X 2 2 2 5" xfId="15272"/>
    <cellStyle name="SAPBEXHLevel1X 2 2 2 5 2" xfId="36148"/>
    <cellStyle name="SAPBEXHLevel1X 2 2 2 6" xfId="27410"/>
    <cellStyle name="SAPBEXHLevel1X 2 2 3" xfId="22027"/>
    <cellStyle name="SAPBEXHLevel1X 2 2 3 2" xfId="42902"/>
    <cellStyle name="SAPBEXHLevel1X 2 2 4" xfId="21733"/>
    <cellStyle name="SAPBEXHLevel1X 2 2 4 2" xfId="42608"/>
    <cellStyle name="SAPBEXHLevel1X 2 2 5" xfId="21355"/>
    <cellStyle name="SAPBEXHLevel1X 2 2 5 2" xfId="42230"/>
    <cellStyle name="SAPBEXHLevel1X 2 2 6" xfId="13454"/>
    <cellStyle name="SAPBEXHLevel1X 2 2 6 2" xfId="34330"/>
    <cellStyle name="SAPBEXHLevel1X 2 2 7" xfId="25592"/>
    <cellStyle name="SAPBEXHLevel1X 2 3" xfId="8390"/>
    <cellStyle name="SAPBEXHLevel1X 2 3 2" xfId="23079"/>
    <cellStyle name="SAPBEXHLevel1X 2 3 2 2" xfId="43952"/>
    <cellStyle name="SAPBEXHLevel1X 2 3 3" xfId="22378"/>
    <cellStyle name="SAPBEXHLevel1X 2 3 3 2" xfId="43253"/>
    <cellStyle name="SAPBEXHLevel1X 2 3 4" xfId="21256"/>
    <cellStyle name="SAPBEXHLevel1X 2 3 4 2" xfId="42131"/>
    <cellStyle name="SAPBEXHLevel1X 2 3 5" xfId="17395"/>
    <cellStyle name="SAPBEXHLevel1X 2 3 5 2" xfId="38271"/>
    <cellStyle name="SAPBEXHLevel1X 2 3 6" xfId="29533"/>
    <cellStyle name="SAPBEXHLevel1X 2 4" xfId="10276"/>
    <cellStyle name="SAPBEXHLevel1X 2 4 2" xfId="23561"/>
    <cellStyle name="SAPBEXHLevel1X 2 4 2 2" xfId="44433"/>
    <cellStyle name="SAPBEXHLevel1X 2 4 3" xfId="23392"/>
    <cellStyle name="SAPBEXHLevel1X 2 4 3 2" xfId="44264"/>
    <cellStyle name="SAPBEXHLevel1X 2 4 4" xfId="23241"/>
    <cellStyle name="SAPBEXHLevel1X 2 4 4 2" xfId="44114"/>
    <cellStyle name="SAPBEXHLevel1X 2 4 5" xfId="19047"/>
    <cellStyle name="SAPBEXHLevel1X 2 4 5 2" xfId="39923"/>
    <cellStyle name="SAPBEXHLevel1X 2 4 6" xfId="31187"/>
    <cellStyle name="SAPBEXHLevel1X 2 5" xfId="20919"/>
    <cellStyle name="SAPBEXHLevel1X 2 5 2" xfId="41794"/>
    <cellStyle name="SAPBEXHLevel1X 2 6" xfId="22200"/>
    <cellStyle name="SAPBEXHLevel1X 2 6 2" xfId="43075"/>
    <cellStyle name="SAPBEXHLevel1X 2 7" xfId="23373"/>
    <cellStyle name="SAPBEXHLevel1X 2 7 2" xfId="44245"/>
    <cellStyle name="SAPBEXHLevel1X 2 8" xfId="12154"/>
    <cellStyle name="SAPBEXHLevel1X 2 8 2" xfId="33054"/>
    <cellStyle name="SAPBEXHLevel1X 2 9" xfId="24205"/>
    <cellStyle name="SAPBEXHLevel1X 2 9 2" xfId="45073"/>
    <cellStyle name="SAPBEXHLevel1X 3" xfId="2793"/>
    <cellStyle name="SAPBEXHLevel1X 3 2" xfId="4418"/>
    <cellStyle name="SAPBEXHLevel1X 3 2 2" xfId="6264"/>
    <cellStyle name="SAPBEXHLevel1X 3 2 2 2" xfId="22569"/>
    <cellStyle name="SAPBEXHLevel1X 3 2 2 2 2" xfId="43444"/>
    <cellStyle name="SAPBEXHLevel1X 3 2 2 3" xfId="21761"/>
    <cellStyle name="SAPBEXHLevel1X 3 2 2 3 2" xfId="42636"/>
    <cellStyle name="SAPBEXHLevel1X 3 2 2 4" xfId="23385"/>
    <cellStyle name="SAPBEXHLevel1X 3 2 2 4 2" xfId="44257"/>
    <cellStyle name="SAPBEXHLevel1X 3 2 2 5" xfId="15273"/>
    <cellStyle name="SAPBEXHLevel1X 3 2 2 5 2" xfId="36149"/>
    <cellStyle name="SAPBEXHLevel1X 3 2 2 6" xfId="27411"/>
    <cellStyle name="SAPBEXHLevel1X 3 2 3" xfId="22028"/>
    <cellStyle name="SAPBEXHLevel1X 3 2 3 2" xfId="42903"/>
    <cellStyle name="SAPBEXHLevel1X 3 2 4" xfId="23778"/>
    <cellStyle name="SAPBEXHLevel1X 3 2 4 2" xfId="44650"/>
    <cellStyle name="SAPBEXHLevel1X 3 2 5" xfId="23865"/>
    <cellStyle name="SAPBEXHLevel1X 3 2 5 2" xfId="44737"/>
    <cellStyle name="SAPBEXHLevel1X 3 2 6" xfId="13455"/>
    <cellStyle name="SAPBEXHLevel1X 3 2 6 2" xfId="34331"/>
    <cellStyle name="SAPBEXHLevel1X 3 2 7" xfId="25593"/>
    <cellStyle name="SAPBEXHLevel1X 3 3" xfId="8391"/>
    <cellStyle name="SAPBEXHLevel1X 3 3 2" xfId="23080"/>
    <cellStyle name="SAPBEXHLevel1X 3 3 2 2" xfId="43953"/>
    <cellStyle name="SAPBEXHLevel1X 3 3 3" xfId="20982"/>
    <cellStyle name="SAPBEXHLevel1X 3 3 3 2" xfId="41857"/>
    <cellStyle name="SAPBEXHLevel1X 3 3 4" xfId="23430"/>
    <cellStyle name="SAPBEXHLevel1X 3 3 4 2" xfId="44302"/>
    <cellStyle name="SAPBEXHLevel1X 3 3 5" xfId="17396"/>
    <cellStyle name="SAPBEXHLevel1X 3 3 5 2" xfId="38272"/>
    <cellStyle name="SAPBEXHLevel1X 3 3 6" xfId="29534"/>
    <cellStyle name="SAPBEXHLevel1X 3 4" xfId="10277"/>
    <cellStyle name="SAPBEXHLevel1X 3 4 2" xfId="23562"/>
    <cellStyle name="SAPBEXHLevel1X 3 4 2 2" xfId="44434"/>
    <cellStyle name="SAPBEXHLevel1X 3 4 3" xfId="23727"/>
    <cellStyle name="SAPBEXHLevel1X 3 4 3 2" xfId="44599"/>
    <cellStyle name="SAPBEXHLevel1X 3 4 4" xfId="22918"/>
    <cellStyle name="SAPBEXHLevel1X 3 4 4 2" xfId="43792"/>
    <cellStyle name="SAPBEXHLevel1X 3 4 5" xfId="19048"/>
    <cellStyle name="SAPBEXHLevel1X 3 4 5 2" xfId="39924"/>
    <cellStyle name="SAPBEXHLevel1X 3 4 6" xfId="31188"/>
    <cellStyle name="SAPBEXHLevel1X 3 5" xfId="21533"/>
    <cellStyle name="SAPBEXHLevel1X 3 5 2" xfId="42408"/>
    <cellStyle name="SAPBEXHLevel1X 3 6" xfId="24031"/>
    <cellStyle name="SAPBEXHLevel1X 3 6 2" xfId="44903"/>
    <cellStyle name="SAPBEXHLevel1X 3 7" xfId="23328"/>
    <cellStyle name="SAPBEXHLevel1X 3 7 2" xfId="44200"/>
    <cellStyle name="SAPBEXHLevel1X 3 8" xfId="12296"/>
    <cellStyle name="SAPBEXHLevel1X 3 8 2" xfId="33185"/>
    <cellStyle name="SAPBEXHLevel1X 3 9" xfId="24422"/>
    <cellStyle name="SAPBEXHLevel1X 4" xfId="2794"/>
    <cellStyle name="SAPBEXHLevel1X 4 2" xfId="4419"/>
    <cellStyle name="SAPBEXHLevel1X 4 2 2" xfId="6265"/>
    <cellStyle name="SAPBEXHLevel1X 4 2 2 2" xfId="22570"/>
    <cellStyle name="SAPBEXHLevel1X 4 2 2 2 2" xfId="43445"/>
    <cellStyle name="SAPBEXHLevel1X 4 2 2 3" xfId="22872"/>
    <cellStyle name="SAPBEXHLevel1X 4 2 2 3 2" xfId="43746"/>
    <cellStyle name="SAPBEXHLevel1X 4 2 2 4" xfId="20972"/>
    <cellStyle name="SAPBEXHLevel1X 4 2 2 4 2" xfId="41847"/>
    <cellStyle name="SAPBEXHLevel1X 4 2 2 5" xfId="15274"/>
    <cellStyle name="SAPBEXHLevel1X 4 2 2 5 2" xfId="36150"/>
    <cellStyle name="SAPBEXHLevel1X 4 2 2 6" xfId="27412"/>
    <cellStyle name="SAPBEXHLevel1X 4 2 3" xfId="22029"/>
    <cellStyle name="SAPBEXHLevel1X 4 2 3 2" xfId="42904"/>
    <cellStyle name="SAPBEXHLevel1X 4 2 4" xfId="22331"/>
    <cellStyle name="SAPBEXHLevel1X 4 2 4 2" xfId="43206"/>
    <cellStyle name="SAPBEXHLevel1X 4 2 5" xfId="23337"/>
    <cellStyle name="SAPBEXHLevel1X 4 2 5 2" xfId="44209"/>
    <cellStyle name="SAPBEXHLevel1X 4 2 6" xfId="13456"/>
    <cellStyle name="SAPBEXHLevel1X 4 2 6 2" xfId="34332"/>
    <cellStyle name="SAPBEXHLevel1X 4 2 7" xfId="25594"/>
    <cellStyle name="SAPBEXHLevel1X 4 3" xfId="8392"/>
    <cellStyle name="SAPBEXHLevel1X 4 3 2" xfId="23081"/>
    <cellStyle name="SAPBEXHLevel1X 4 3 2 2" xfId="43954"/>
    <cellStyle name="SAPBEXHLevel1X 4 3 3" xfId="21886"/>
    <cellStyle name="SAPBEXHLevel1X 4 3 3 2" xfId="42761"/>
    <cellStyle name="SAPBEXHLevel1X 4 3 4" xfId="21276"/>
    <cellStyle name="SAPBEXHLevel1X 4 3 4 2" xfId="42151"/>
    <cellStyle name="SAPBEXHLevel1X 4 3 5" xfId="17397"/>
    <cellStyle name="SAPBEXHLevel1X 4 3 5 2" xfId="38273"/>
    <cellStyle name="SAPBEXHLevel1X 4 3 6" xfId="29535"/>
    <cellStyle name="SAPBEXHLevel1X 4 4" xfId="10278"/>
    <cellStyle name="SAPBEXHLevel1X 4 4 2" xfId="23563"/>
    <cellStyle name="SAPBEXHLevel1X 4 4 2 2" xfId="44435"/>
    <cellStyle name="SAPBEXHLevel1X 4 4 3" xfId="23885"/>
    <cellStyle name="SAPBEXHLevel1X 4 4 3 2" xfId="44757"/>
    <cellStyle name="SAPBEXHLevel1X 4 4 4" xfId="22634"/>
    <cellStyle name="SAPBEXHLevel1X 4 4 4 2" xfId="43509"/>
    <cellStyle name="SAPBEXHLevel1X 4 4 5" xfId="19049"/>
    <cellStyle name="SAPBEXHLevel1X 4 4 5 2" xfId="39925"/>
    <cellStyle name="SAPBEXHLevel1X 4 4 6" xfId="31189"/>
    <cellStyle name="SAPBEXHLevel1X 4 5" xfId="21534"/>
    <cellStyle name="SAPBEXHLevel1X 4 5 2" xfId="42409"/>
    <cellStyle name="SAPBEXHLevel1X 4 6" xfId="22816"/>
    <cellStyle name="SAPBEXHLevel1X 4 6 2" xfId="43691"/>
    <cellStyle name="SAPBEXHLevel1X 4 7" xfId="22276"/>
    <cellStyle name="SAPBEXHLevel1X 4 7 2" xfId="43151"/>
    <cellStyle name="SAPBEXHLevel1X 4 8" xfId="12297"/>
    <cellStyle name="SAPBEXHLevel1X 4 8 2" xfId="33186"/>
    <cellStyle name="SAPBEXHLevel1X 4 9" xfId="24423"/>
    <cellStyle name="SAPBEXHLevel1X 5" xfId="2795"/>
    <cellStyle name="SAPBEXHLevel1X 5 2" xfId="4420"/>
    <cellStyle name="SAPBEXHLevel1X 5 2 2" xfId="6266"/>
    <cellStyle name="SAPBEXHLevel1X 5 2 2 2" xfId="22571"/>
    <cellStyle name="SAPBEXHLevel1X 5 2 2 2 2" xfId="43446"/>
    <cellStyle name="SAPBEXHLevel1X 5 2 2 3" xfId="21846"/>
    <cellStyle name="SAPBEXHLevel1X 5 2 2 3 2" xfId="42721"/>
    <cellStyle name="SAPBEXHLevel1X 5 2 2 4" xfId="21349"/>
    <cellStyle name="SAPBEXHLevel1X 5 2 2 4 2" xfId="42224"/>
    <cellStyle name="SAPBEXHLevel1X 5 2 2 5" xfId="15275"/>
    <cellStyle name="SAPBEXHLevel1X 5 2 2 5 2" xfId="36151"/>
    <cellStyle name="SAPBEXHLevel1X 5 2 2 6" xfId="27413"/>
    <cellStyle name="SAPBEXHLevel1X 5 2 3" xfId="22030"/>
    <cellStyle name="SAPBEXHLevel1X 5 2 3 2" xfId="42905"/>
    <cellStyle name="SAPBEXHLevel1X 5 2 4" xfId="22144"/>
    <cellStyle name="SAPBEXHLevel1X 5 2 4 2" xfId="43019"/>
    <cellStyle name="SAPBEXHLevel1X 5 2 5" xfId="22697"/>
    <cellStyle name="SAPBEXHLevel1X 5 2 5 2" xfId="43572"/>
    <cellStyle name="SAPBEXHLevel1X 5 2 6" xfId="13457"/>
    <cellStyle name="SAPBEXHLevel1X 5 2 6 2" xfId="34333"/>
    <cellStyle name="SAPBEXHLevel1X 5 2 7" xfId="25595"/>
    <cellStyle name="SAPBEXHLevel1X 5 3" xfId="8393"/>
    <cellStyle name="SAPBEXHLevel1X 5 3 2" xfId="23082"/>
    <cellStyle name="SAPBEXHLevel1X 5 3 2 2" xfId="43955"/>
    <cellStyle name="SAPBEXHLevel1X 5 3 3" xfId="22320"/>
    <cellStyle name="SAPBEXHLevel1X 5 3 3 2" xfId="43195"/>
    <cellStyle name="SAPBEXHLevel1X 5 3 4" xfId="22883"/>
    <cellStyle name="SAPBEXHLevel1X 5 3 4 2" xfId="43757"/>
    <cellStyle name="SAPBEXHLevel1X 5 3 5" xfId="17398"/>
    <cellStyle name="SAPBEXHLevel1X 5 3 5 2" xfId="38274"/>
    <cellStyle name="SAPBEXHLevel1X 5 3 6" xfId="29536"/>
    <cellStyle name="SAPBEXHLevel1X 5 4" xfId="10279"/>
    <cellStyle name="SAPBEXHLevel1X 5 4 2" xfId="23564"/>
    <cellStyle name="SAPBEXHLevel1X 5 4 2 2" xfId="44436"/>
    <cellStyle name="SAPBEXHLevel1X 5 4 3" xfId="22119"/>
    <cellStyle name="SAPBEXHLevel1X 5 4 3 2" xfId="42994"/>
    <cellStyle name="SAPBEXHLevel1X 5 4 4" xfId="21868"/>
    <cellStyle name="SAPBEXHLevel1X 5 4 4 2" xfId="42743"/>
    <cellStyle name="SAPBEXHLevel1X 5 4 5" xfId="19050"/>
    <cellStyle name="SAPBEXHLevel1X 5 4 5 2" xfId="39926"/>
    <cellStyle name="SAPBEXHLevel1X 5 4 6" xfId="31190"/>
    <cellStyle name="SAPBEXHLevel1X 5 5" xfId="21535"/>
    <cellStyle name="SAPBEXHLevel1X 5 5 2" xfId="42410"/>
    <cellStyle name="SAPBEXHLevel1X 5 6" xfId="21329"/>
    <cellStyle name="SAPBEXHLevel1X 5 6 2" xfId="42204"/>
    <cellStyle name="SAPBEXHLevel1X 5 7" xfId="22823"/>
    <cellStyle name="SAPBEXHLevel1X 5 7 2" xfId="43698"/>
    <cellStyle name="SAPBEXHLevel1X 5 8" xfId="12298"/>
    <cellStyle name="SAPBEXHLevel1X 5 8 2" xfId="33187"/>
    <cellStyle name="SAPBEXHLevel1X 5 9" xfId="24424"/>
    <cellStyle name="SAPBEXHLevel1X 6" xfId="3829"/>
    <cellStyle name="SAPBEXHLevel1X 6 2" xfId="6058"/>
    <cellStyle name="SAPBEXHLevel1X 6 2 2" xfId="22417"/>
    <cellStyle name="SAPBEXHLevel1X 6 2 2 2" xfId="43292"/>
    <cellStyle name="SAPBEXHLevel1X 6 2 3" xfId="21024"/>
    <cellStyle name="SAPBEXHLevel1X 6 2 3 2" xfId="41899"/>
    <cellStyle name="SAPBEXHLevel1X 6 2 4" xfId="22115"/>
    <cellStyle name="SAPBEXHLevel1X 6 2 4 2" xfId="42990"/>
    <cellStyle name="SAPBEXHLevel1X 6 2 5" xfId="15067"/>
    <cellStyle name="SAPBEXHLevel1X 6 2 5 2" xfId="35943"/>
    <cellStyle name="SAPBEXHLevel1X 6 2 6" xfId="27205"/>
    <cellStyle name="SAPBEXHLevel1X 6 3" xfId="21803"/>
    <cellStyle name="SAPBEXHLevel1X 6 3 2" xfId="42678"/>
    <cellStyle name="SAPBEXHLevel1X 6 4" xfId="23331"/>
    <cellStyle name="SAPBEXHLevel1X 6 4 2" xfId="44203"/>
    <cellStyle name="SAPBEXHLevel1X 6 5" xfId="23965"/>
    <cellStyle name="SAPBEXHLevel1X 6 5 2" xfId="44837"/>
    <cellStyle name="SAPBEXHLevel1X 6 6" xfId="13249"/>
    <cellStyle name="SAPBEXHLevel1X 6 6 2" xfId="34125"/>
    <cellStyle name="SAPBEXHLevel1X 6 7" xfId="25387"/>
    <cellStyle name="SAPBEXHLevel1X 7" xfId="8389"/>
    <cellStyle name="SAPBEXHLevel1X 7 2" xfId="23078"/>
    <cellStyle name="SAPBEXHLevel1X 7 2 2" xfId="43951"/>
    <cellStyle name="SAPBEXHLevel1X 7 3" xfId="22283"/>
    <cellStyle name="SAPBEXHLevel1X 7 3 2" xfId="43158"/>
    <cellStyle name="SAPBEXHLevel1X 7 4" xfId="22244"/>
    <cellStyle name="SAPBEXHLevel1X 7 4 2" xfId="43119"/>
    <cellStyle name="SAPBEXHLevel1X 7 5" xfId="17394"/>
    <cellStyle name="SAPBEXHLevel1X 7 5 2" xfId="38270"/>
    <cellStyle name="SAPBEXHLevel1X 7 6" xfId="29532"/>
    <cellStyle name="SAPBEXHLevel1X 8" xfId="10275"/>
    <cellStyle name="SAPBEXHLevel1X 8 2" xfId="23560"/>
    <cellStyle name="SAPBEXHLevel1X 8 2 2" xfId="44432"/>
    <cellStyle name="SAPBEXHLevel1X 8 3" xfId="23262"/>
    <cellStyle name="SAPBEXHLevel1X 8 3 2" xfId="44135"/>
    <cellStyle name="SAPBEXHLevel1X 8 4" xfId="23646"/>
    <cellStyle name="SAPBEXHLevel1X 8 4 2" xfId="44518"/>
    <cellStyle name="SAPBEXHLevel1X 8 5" xfId="19046"/>
    <cellStyle name="SAPBEXHLevel1X 8 5 2" xfId="39922"/>
    <cellStyle name="SAPBEXHLevel1X 8 6" xfId="31186"/>
    <cellStyle name="SAPBEXHLevel1X 9" xfId="20918"/>
    <cellStyle name="SAPBEXHLevel1X 9 2" xfId="41793"/>
    <cellStyle name="SAPBEXHLevel2" xfId="1165"/>
    <cellStyle name="SAPBEXHLevel2 10" xfId="23958"/>
    <cellStyle name="SAPBEXHLevel2 10 2" xfId="44830"/>
    <cellStyle name="SAPBEXHLevel2 11" xfId="21668"/>
    <cellStyle name="SAPBEXHLevel2 11 2" xfId="42543"/>
    <cellStyle name="SAPBEXHLevel2 12" xfId="12155"/>
    <cellStyle name="SAPBEXHLevel2 12 2" xfId="33055"/>
    <cellStyle name="SAPBEXHLevel2 13" xfId="24146"/>
    <cellStyle name="SAPBEXHLevel2 13 2" xfId="45016"/>
    <cellStyle name="SAPBEXHLevel2 14" xfId="24271"/>
    <cellStyle name="SAPBEXHLevel2 14 2" xfId="45132"/>
    <cellStyle name="SAPBEXHLevel2 2" xfId="2796"/>
    <cellStyle name="SAPBEXHLevel2 2 10" xfId="24425"/>
    <cellStyle name="SAPBEXHLevel2 2 2" xfId="4422"/>
    <cellStyle name="SAPBEXHLevel2 2 2 2" xfId="6267"/>
    <cellStyle name="SAPBEXHLevel2 2 2 2 2" xfId="22572"/>
    <cellStyle name="SAPBEXHLevel2 2 2 2 2 2" xfId="43447"/>
    <cellStyle name="SAPBEXHLevel2 2 2 2 3" xfId="22673"/>
    <cellStyle name="SAPBEXHLevel2 2 2 2 3 2" xfId="43548"/>
    <cellStyle name="SAPBEXHLevel2 2 2 2 4" xfId="21427"/>
    <cellStyle name="SAPBEXHLevel2 2 2 2 4 2" xfId="42302"/>
    <cellStyle name="SAPBEXHLevel2 2 2 2 5" xfId="15276"/>
    <cellStyle name="SAPBEXHLevel2 2 2 2 5 2" xfId="36152"/>
    <cellStyle name="SAPBEXHLevel2 2 2 2 6" xfId="27414"/>
    <cellStyle name="SAPBEXHLevel2 2 2 3" xfId="22031"/>
    <cellStyle name="SAPBEXHLevel2 2 2 3 2" xfId="42906"/>
    <cellStyle name="SAPBEXHLevel2 2 2 4" xfId="24022"/>
    <cellStyle name="SAPBEXHLevel2 2 2 4 2" xfId="44894"/>
    <cellStyle name="SAPBEXHLevel2 2 2 5" xfId="23888"/>
    <cellStyle name="SAPBEXHLevel2 2 2 5 2" xfId="44760"/>
    <cellStyle name="SAPBEXHLevel2 2 2 6" xfId="13458"/>
    <cellStyle name="SAPBEXHLevel2 2 2 6 2" xfId="34334"/>
    <cellStyle name="SAPBEXHLevel2 2 2 7" xfId="25596"/>
    <cellStyle name="SAPBEXHLevel2 2 3" xfId="8395"/>
    <cellStyle name="SAPBEXHLevel2 2 3 2" xfId="23084"/>
    <cellStyle name="SAPBEXHLevel2 2 3 2 2" xfId="43957"/>
    <cellStyle name="SAPBEXHLevel2 2 3 3" xfId="22159"/>
    <cellStyle name="SAPBEXHLevel2 2 3 3 2" xfId="43034"/>
    <cellStyle name="SAPBEXHLevel2 2 3 4" xfId="23864"/>
    <cellStyle name="SAPBEXHLevel2 2 3 4 2" xfId="44736"/>
    <cellStyle name="SAPBEXHLevel2 2 3 5" xfId="17400"/>
    <cellStyle name="SAPBEXHLevel2 2 3 5 2" xfId="38276"/>
    <cellStyle name="SAPBEXHLevel2 2 3 6" xfId="29538"/>
    <cellStyle name="SAPBEXHLevel2 2 4" xfId="10281"/>
    <cellStyle name="SAPBEXHLevel2 2 4 2" xfId="23566"/>
    <cellStyle name="SAPBEXHLevel2 2 4 2 2" xfId="44438"/>
    <cellStyle name="SAPBEXHLevel2 2 4 3" xfId="23760"/>
    <cellStyle name="SAPBEXHLevel2 2 4 3 2" xfId="44632"/>
    <cellStyle name="SAPBEXHLevel2 2 4 4" xfId="21057"/>
    <cellStyle name="SAPBEXHLevel2 2 4 4 2" xfId="41932"/>
    <cellStyle name="SAPBEXHLevel2 2 4 5" xfId="19052"/>
    <cellStyle name="SAPBEXHLevel2 2 4 5 2" xfId="39928"/>
    <cellStyle name="SAPBEXHLevel2 2 4 6" xfId="31192"/>
    <cellStyle name="SAPBEXHLevel2 2 5" xfId="20921"/>
    <cellStyle name="SAPBEXHLevel2 2 5 2" xfId="41796"/>
    <cellStyle name="SAPBEXHLevel2 2 6" xfId="21103"/>
    <cellStyle name="SAPBEXHLevel2 2 6 2" xfId="41978"/>
    <cellStyle name="SAPBEXHLevel2 2 7" xfId="23706"/>
    <cellStyle name="SAPBEXHLevel2 2 7 2" xfId="44578"/>
    <cellStyle name="SAPBEXHLevel2 2 8" xfId="12156"/>
    <cellStyle name="SAPBEXHLevel2 2 8 2" xfId="33056"/>
    <cellStyle name="SAPBEXHLevel2 2 9" xfId="24206"/>
    <cellStyle name="SAPBEXHLevel2 2 9 2" xfId="45074"/>
    <cellStyle name="SAPBEXHLevel2 3" xfId="2797"/>
    <cellStyle name="SAPBEXHLevel2 3 2" xfId="4423"/>
    <cellStyle name="SAPBEXHLevel2 3 2 2" xfId="6268"/>
    <cellStyle name="SAPBEXHLevel2 3 2 2 2" xfId="22573"/>
    <cellStyle name="SAPBEXHLevel2 3 2 2 2 2" xfId="43448"/>
    <cellStyle name="SAPBEXHLevel2 3 2 2 3" xfId="23873"/>
    <cellStyle name="SAPBEXHLevel2 3 2 2 3 2" xfId="44745"/>
    <cellStyle name="SAPBEXHLevel2 3 2 2 4" xfId="21187"/>
    <cellStyle name="SAPBEXHLevel2 3 2 2 4 2" xfId="42062"/>
    <cellStyle name="SAPBEXHLevel2 3 2 2 5" xfId="15277"/>
    <cellStyle name="SAPBEXHLevel2 3 2 2 5 2" xfId="36153"/>
    <cellStyle name="SAPBEXHLevel2 3 2 2 6" xfId="27415"/>
    <cellStyle name="SAPBEXHLevel2 3 2 3" xfId="22032"/>
    <cellStyle name="SAPBEXHLevel2 3 2 3 2" xfId="42907"/>
    <cellStyle name="SAPBEXHLevel2 3 2 4" xfId="23720"/>
    <cellStyle name="SAPBEXHLevel2 3 2 4 2" xfId="44592"/>
    <cellStyle name="SAPBEXHLevel2 3 2 5" xfId="21018"/>
    <cellStyle name="SAPBEXHLevel2 3 2 5 2" xfId="41893"/>
    <cellStyle name="SAPBEXHLevel2 3 2 6" xfId="13459"/>
    <cellStyle name="SAPBEXHLevel2 3 2 6 2" xfId="34335"/>
    <cellStyle name="SAPBEXHLevel2 3 2 7" xfId="25597"/>
    <cellStyle name="SAPBEXHLevel2 3 3" xfId="8396"/>
    <cellStyle name="SAPBEXHLevel2 3 3 2" xfId="23085"/>
    <cellStyle name="SAPBEXHLevel2 3 3 2 2" xfId="43958"/>
    <cellStyle name="SAPBEXHLevel2 3 3 3" xfId="23288"/>
    <cellStyle name="SAPBEXHLevel2 3 3 3 2" xfId="44161"/>
    <cellStyle name="SAPBEXHLevel2 3 3 4" xfId="21353"/>
    <cellStyle name="SAPBEXHLevel2 3 3 4 2" xfId="42228"/>
    <cellStyle name="SAPBEXHLevel2 3 3 5" xfId="17401"/>
    <cellStyle name="SAPBEXHLevel2 3 3 5 2" xfId="38277"/>
    <cellStyle name="SAPBEXHLevel2 3 3 6" xfId="29539"/>
    <cellStyle name="SAPBEXHLevel2 3 4" xfId="10282"/>
    <cellStyle name="SAPBEXHLevel2 3 4 2" xfId="23567"/>
    <cellStyle name="SAPBEXHLevel2 3 4 2 2" xfId="44439"/>
    <cellStyle name="SAPBEXHLevel2 3 4 3" xfId="22666"/>
    <cellStyle name="SAPBEXHLevel2 3 4 3 2" xfId="43541"/>
    <cellStyle name="SAPBEXHLevel2 3 4 4" xfId="21264"/>
    <cellStyle name="SAPBEXHLevel2 3 4 4 2" xfId="42139"/>
    <cellStyle name="SAPBEXHLevel2 3 4 5" xfId="19053"/>
    <cellStyle name="SAPBEXHLevel2 3 4 5 2" xfId="39929"/>
    <cellStyle name="SAPBEXHLevel2 3 4 6" xfId="31193"/>
    <cellStyle name="SAPBEXHLevel2 3 5" xfId="21536"/>
    <cellStyle name="SAPBEXHLevel2 3 5 2" xfId="42411"/>
    <cellStyle name="SAPBEXHLevel2 3 6" xfId="22668"/>
    <cellStyle name="SAPBEXHLevel2 3 6 2" xfId="43543"/>
    <cellStyle name="SAPBEXHLevel2 3 7" xfId="21430"/>
    <cellStyle name="SAPBEXHLevel2 3 7 2" xfId="42305"/>
    <cellStyle name="SAPBEXHLevel2 3 8" xfId="12299"/>
    <cellStyle name="SAPBEXHLevel2 3 8 2" xfId="33188"/>
    <cellStyle name="SAPBEXHLevel2 3 9" xfId="24426"/>
    <cellStyle name="SAPBEXHLevel2 4" xfId="2798"/>
    <cellStyle name="SAPBEXHLevel2 4 2" xfId="4424"/>
    <cellStyle name="SAPBEXHLevel2 4 2 2" xfId="6269"/>
    <cellStyle name="SAPBEXHLevel2 4 2 2 2" xfId="22574"/>
    <cellStyle name="SAPBEXHLevel2 4 2 2 2 2" xfId="43449"/>
    <cellStyle name="SAPBEXHLevel2 4 2 2 3" xfId="23344"/>
    <cellStyle name="SAPBEXHLevel2 4 2 2 3 2" xfId="44216"/>
    <cellStyle name="SAPBEXHLevel2 4 2 2 4" xfId="22716"/>
    <cellStyle name="SAPBEXHLevel2 4 2 2 4 2" xfId="43591"/>
    <cellStyle name="SAPBEXHLevel2 4 2 2 5" xfId="15278"/>
    <cellStyle name="SAPBEXHLevel2 4 2 2 5 2" xfId="36154"/>
    <cellStyle name="SAPBEXHLevel2 4 2 2 6" xfId="27416"/>
    <cellStyle name="SAPBEXHLevel2 4 2 3" xfId="22033"/>
    <cellStyle name="SAPBEXHLevel2 4 2 3 2" xfId="42908"/>
    <cellStyle name="SAPBEXHLevel2 4 2 4" xfId="23986"/>
    <cellStyle name="SAPBEXHLevel2 4 2 4 2" xfId="44858"/>
    <cellStyle name="SAPBEXHLevel2 4 2 5" xfId="22831"/>
    <cellStyle name="SAPBEXHLevel2 4 2 5 2" xfId="43706"/>
    <cellStyle name="SAPBEXHLevel2 4 2 6" xfId="13460"/>
    <cellStyle name="SAPBEXHLevel2 4 2 6 2" xfId="34336"/>
    <cellStyle name="SAPBEXHLevel2 4 2 7" xfId="25598"/>
    <cellStyle name="SAPBEXHLevel2 4 3" xfId="8397"/>
    <cellStyle name="SAPBEXHLevel2 4 3 2" xfId="23086"/>
    <cellStyle name="SAPBEXHLevel2 4 3 2 2" xfId="43959"/>
    <cellStyle name="SAPBEXHLevel2 4 3 3" xfId="21923"/>
    <cellStyle name="SAPBEXHLevel2 4 3 3 2" xfId="42798"/>
    <cellStyle name="SAPBEXHLevel2 4 3 4" xfId="20950"/>
    <cellStyle name="SAPBEXHLevel2 4 3 4 2" xfId="41825"/>
    <cellStyle name="SAPBEXHLevel2 4 3 5" xfId="17402"/>
    <cellStyle name="SAPBEXHLevel2 4 3 5 2" xfId="38278"/>
    <cellStyle name="SAPBEXHLevel2 4 3 6" xfId="29540"/>
    <cellStyle name="SAPBEXHLevel2 4 4" xfId="10283"/>
    <cellStyle name="SAPBEXHLevel2 4 4 2" xfId="23568"/>
    <cellStyle name="SAPBEXHLevel2 4 4 2 2" xfId="44440"/>
    <cellStyle name="SAPBEXHLevel2 4 4 3" xfId="23766"/>
    <cellStyle name="SAPBEXHLevel2 4 4 3 2" xfId="44638"/>
    <cellStyle name="SAPBEXHLevel2 4 4 4" xfId="21151"/>
    <cellStyle name="SAPBEXHLevel2 4 4 4 2" xfId="42026"/>
    <cellStyle name="SAPBEXHLevel2 4 4 5" xfId="19054"/>
    <cellStyle name="SAPBEXHLevel2 4 4 5 2" xfId="39930"/>
    <cellStyle name="SAPBEXHLevel2 4 4 6" xfId="31194"/>
    <cellStyle name="SAPBEXHLevel2 4 5" xfId="21537"/>
    <cellStyle name="SAPBEXHLevel2 4 5 2" xfId="42412"/>
    <cellStyle name="SAPBEXHLevel2 4 6" xfId="23637"/>
    <cellStyle name="SAPBEXHLevel2 4 6 2" xfId="44509"/>
    <cellStyle name="SAPBEXHLevel2 4 7" xfId="21290"/>
    <cellStyle name="SAPBEXHLevel2 4 7 2" xfId="42165"/>
    <cellStyle name="SAPBEXHLevel2 4 8" xfId="12300"/>
    <cellStyle name="SAPBEXHLevel2 4 8 2" xfId="33189"/>
    <cellStyle name="SAPBEXHLevel2 4 9" xfId="24427"/>
    <cellStyle name="SAPBEXHLevel2 5" xfId="2799"/>
    <cellStyle name="SAPBEXHLevel2 5 2" xfId="4425"/>
    <cellStyle name="SAPBEXHLevel2 5 2 2" xfId="6270"/>
    <cellStyle name="SAPBEXHLevel2 5 2 2 2" xfId="22575"/>
    <cellStyle name="SAPBEXHLevel2 5 2 2 2 2" xfId="43450"/>
    <cellStyle name="SAPBEXHLevel2 5 2 2 3" xfId="22252"/>
    <cellStyle name="SAPBEXHLevel2 5 2 2 3 2" xfId="43127"/>
    <cellStyle name="SAPBEXHLevel2 5 2 2 4" xfId="22356"/>
    <cellStyle name="SAPBEXHLevel2 5 2 2 4 2" xfId="43231"/>
    <cellStyle name="SAPBEXHLevel2 5 2 2 5" xfId="15279"/>
    <cellStyle name="SAPBEXHLevel2 5 2 2 5 2" xfId="36155"/>
    <cellStyle name="SAPBEXHLevel2 5 2 2 6" xfId="27417"/>
    <cellStyle name="SAPBEXHLevel2 5 2 3" xfId="22034"/>
    <cellStyle name="SAPBEXHLevel2 5 2 3 2" xfId="42909"/>
    <cellStyle name="SAPBEXHLevel2 5 2 4" xfId="21211"/>
    <cellStyle name="SAPBEXHLevel2 5 2 4 2" xfId="42086"/>
    <cellStyle name="SAPBEXHLevel2 5 2 5" xfId="22903"/>
    <cellStyle name="SAPBEXHLevel2 5 2 5 2" xfId="43777"/>
    <cellStyle name="SAPBEXHLevel2 5 2 6" xfId="13461"/>
    <cellStyle name="SAPBEXHLevel2 5 2 6 2" xfId="34337"/>
    <cellStyle name="SAPBEXHLevel2 5 2 7" xfId="25599"/>
    <cellStyle name="SAPBEXHLevel2 5 3" xfId="8398"/>
    <cellStyle name="SAPBEXHLevel2 5 3 2" xfId="23087"/>
    <cellStyle name="SAPBEXHLevel2 5 3 2 2" xfId="43960"/>
    <cellStyle name="SAPBEXHLevel2 5 3 3" xfId="21884"/>
    <cellStyle name="SAPBEXHLevel2 5 3 3 2" xfId="42759"/>
    <cellStyle name="SAPBEXHLevel2 5 3 4" xfId="23740"/>
    <cellStyle name="SAPBEXHLevel2 5 3 4 2" xfId="44612"/>
    <cellStyle name="SAPBEXHLevel2 5 3 5" xfId="17403"/>
    <cellStyle name="SAPBEXHLevel2 5 3 5 2" xfId="38279"/>
    <cellStyle name="SAPBEXHLevel2 5 3 6" xfId="29541"/>
    <cellStyle name="SAPBEXHLevel2 5 4" xfId="10284"/>
    <cellStyle name="SAPBEXHLevel2 5 4 2" xfId="23569"/>
    <cellStyle name="SAPBEXHLevel2 5 4 2 2" xfId="44441"/>
    <cellStyle name="SAPBEXHLevel2 5 4 3" xfId="23927"/>
    <cellStyle name="SAPBEXHLevel2 5 4 3 2" xfId="44799"/>
    <cellStyle name="SAPBEXHLevel2 5 4 4" xfId="24088"/>
    <cellStyle name="SAPBEXHLevel2 5 4 4 2" xfId="44960"/>
    <cellStyle name="SAPBEXHLevel2 5 4 5" xfId="19055"/>
    <cellStyle name="SAPBEXHLevel2 5 4 5 2" xfId="39931"/>
    <cellStyle name="SAPBEXHLevel2 5 4 6" xfId="31195"/>
    <cellStyle name="SAPBEXHLevel2 5 5" xfId="21538"/>
    <cellStyle name="SAPBEXHLevel2 5 5 2" xfId="42413"/>
    <cellStyle name="SAPBEXHLevel2 5 6" xfId="23419"/>
    <cellStyle name="SAPBEXHLevel2 5 6 2" xfId="44291"/>
    <cellStyle name="SAPBEXHLevel2 5 7" xfId="20998"/>
    <cellStyle name="SAPBEXHLevel2 5 7 2" xfId="41873"/>
    <cellStyle name="SAPBEXHLevel2 5 8" xfId="12301"/>
    <cellStyle name="SAPBEXHLevel2 5 8 2" xfId="33190"/>
    <cellStyle name="SAPBEXHLevel2 5 9" xfId="24428"/>
    <cellStyle name="SAPBEXHLevel2 6" xfId="3830"/>
    <cellStyle name="SAPBEXHLevel2 6 2" xfId="6059"/>
    <cellStyle name="SAPBEXHLevel2 6 2 2" xfId="22418"/>
    <cellStyle name="SAPBEXHLevel2 6 2 2 2" xfId="43293"/>
    <cellStyle name="SAPBEXHLevel2 6 2 3" xfId="21090"/>
    <cellStyle name="SAPBEXHLevel2 6 2 3 2" xfId="41965"/>
    <cellStyle name="SAPBEXHLevel2 6 2 4" xfId="21730"/>
    <cellStyle name="SAPBEXHLevel2 6 2 4 2" xfId="42605"/>
    <cellStyle name="SAPBEXHLevel2 6 2 5" xfId="15068"/>
    <cellStyle name="SAPBEXHLevel2 6 2 5 2" xfId="35944"/>
    <cellStyle name="SAPBEXHLevel2 6 2 6" xfId="27206"/>
    <cellStyle name="SAPBEXHLevel2 6 3" xfId="21804"/>
    <cellStyle name="SAPBEXHLevel2 6 3 2" xfId="42679"/>
    <cellStyle name="SAPBEXHLevel2 6 4" xfId="22740"/>
    <cellStyle name="SAPBEXHLevel2 6 4 2" xfId="43615"/>
    <cellStyle name="SAPBEXHLevel2 6 5" xfId="21163"/>
    <cellStyle name="SAPBEXHLevel2 6 5 2" xfId="42038"/>
    <cellStyle name="SAPBEXHLevel2 6 6" xfId="13250"/>
    <cellStyle name="SAPBEXHLevel2 6 6 2" xfId="34126"/>
    <cellStyle name="SAPBEXHLevel2 6 7" xfId="25388"/>
    <cellStyle name="SAPBEXHLevel2 7" xfId="8394"/>
    <cellStyle name="SAPBEXHLevel2 7 2" xfId="23083"/>
    <cellStyle name="SAPBEXHLevel2 7 2 2" xfId="43956"/>
    <cellStyle name="SAPBEXHLevel2 7 3" xfId="22775"/>
    <cellStyle name="SAPBEXHLevel2 7 3 2" xfId="43650"/>
    <cellStyle name="SAPBEXHLevel2 7 4" xfId="23380"/>
    <cellStyle name="SAPBEXHLevel2 7 4 2" xfId="44252"/>
    <cellStyle name="SAPBEXHLevel2 7 5" xfId="17399"/>
    <cellStyle name="SAPBEXHLevel2 7 5 2" xfId="38275"/>
    <cellStyle name="SAPBEXHLevel2 7 6" xfId="29537"/>
    <cellStyle name="SAPBEXHLevel2 8" xfId="10280"/>
    <cellStyle name="SAPBEXHLevel2 8 2" xfId="23565"/>
    <cellStyle name="SAPBEXHLevel2 8 2 2" xfId="44437"/>
    <cellStyle name="SAPBEXHLevel2 8 3" xfId="22660"/>
    <cellStyle name="SAPBEXHLevel2 8 3 2" xfId="43535"/>
    <cellStyle name="SAPBEXHLevel2 8 4" xfId="21389"/>
    <cellStyle name="SAPBEXHLevel2 8 4 2" xfId="42264"/>
    <cellStyle name="SAPBEXHLevel2 8 5" xfId="19051"/>
    <cellStyle name="SAPBEXHLevel2 8 5 2" xfId="39927"/>
    <cellStyle name="SAPBEXHLevel2 8 6" xfId="31191"/>
    <cellStyle name="SAPBEXHLevel2 9" xfId="20920"/>
    <cellStyle name="SAPBEXHLevel2 9 2" xfId="41795"/>
    <cellStyle name="SAPBEXHLevel2X" xfId="1166"/>
    <cellStyle name="SAPBEXHLevel2X 10" xfId="23243"/>
    <cellStyle name="SAPBEXHLevel2X 10 2" xfId="44116"/>
    <cellStyle name="SAPBEXHLevel2X 11" xfId="21764"/>
    <cellStyle name="SAPBEXHLevel2X 11 2" xfId="42639"/>
    <cellStyle name="SAPBEXHLevel2X 12" xfId="12157"/>
    <cellStyle name="SAPBEXHLevel2X 12 2" xfId="33057"/>
    <cellStyle name="SAPBEXHLevel2X 13" xfId="24145"/>
    <cellStyle name="SAPBEXHLevel2X 13 2" xfId="45015"/>
    <cellStyle name="SAPBEXHLevel2X 14" xfId="24272"/>
    <cellStyle name="SAPBEXHLevel2X 14 2" xfId="45133"/>
    <cellStyle name="SAPBEXHLevel2X 2" xfId="2800"/>
    <cellStyle name="SAPBEXHLevel2X 2 10" xfId="24429"/>
    <cellStyle name="SAPBEXHLevel2X 2 2" xfId="4427"/>
    <cellStyle name="SAPBEXHLevel2X 2 2 2" xfId="6271"/>
    <cellStyle name="SAPBEXHLevel2X 2 2 2 2" xfId="22576"/>
    <cellStyle name="SAPBEXHLevel2X 2 2 2 2 2" xfId="43451"/>
    <cellStyle name="SAPBEXHLevel2X 2 2 2 3" xfId="24015"/>
    <cellStyle name="SAPBEXHLevel2X 2 2 2 3 2" xfId="44887"/>
    <cellStyle name="SAPBEXHLevel2X 2 2 2 4" xfId="22908"/>
    <cellStyle name="SAPBEXHLevel2X 2 2 2 4 2" xfId="43782"/>
    <cellStyle name="SAPBEXHLevel2X 2 2 2 5" xfId="15280"/>
    <cellStyle name="SAPBEXHLevel2X 2 2 2 5 2" xfId="36156"/>
    <cellStyle name="SAPBEXHLevel2X 2 2 2 6" xfId="27418"/>
    <cellStyle name="SAPBEXHLevel2X 2 2 3" xfId="22035"/>
    <cellStyle name="SAPBEXHLevel2X 2 2 3 2" xfId="42910"/>
    <cellStyle name="SAPBEXHLevel2X 2 2 4" xfId="23985"/>
    <cellStyle name="SAPBEXHLevel2X 2 2 4 2" xfId="44857"/>
    <cellStyle name="SAPBEXHLevel2X 2 2 5" xfId="23323"/>
    <cellStyle name="SAPBEXHLevel2X 2 2 5 2" xfId="44195"/>
    <cellStyle name="SAPBEXHLevel2X 2 2 6" xfId="13462"/>
    <cellStyle name="SAPBEXHLevel2X 2 2 6 2" xfId="34338"/>
    <cellStyle name="SAPBEXHLevel2X 2 2 7" xfId="25600"/>
    <cellStyle name="SAPBEXHLevel2X 2 3" xfId="8400"/>
    <cellStyle name="SAPBEXHLevel2X 2 3 2" xfId="23089"/>
    <cellStyle name="SAPBEXHLevel2X 2 3 2 2" xfId="43962"/>
    <cellStyle name="SAPBEXHLevel2X 2 3 3" xfId="23379"/>
    <cellStyle name="SAPBEXHLevel2X 2 3 3 2" xfId="44251"/>
    <cellStyle name="SAPBEXHLevel2X 2 3 4" xfId="21022"/>
    <cellStyle name="SAPBEXHLevel2X 2 3 4 2" xfId="41897"/>
    <cellStyle name="SAPBEXHLevel2X 2 3 5" xfId="17405"/>
    <cellStyle name="SAPBEXHLevel2X 2 3 5 2" xfId="38281"/>
    <cellStyle name="SAPBEXHLevel2X 2 3 6" xfId="29543"/>
    <cellStyle name="SAPBEXHLevel2X 2 4" xfId="10286"/>
    <cellStyle name="SAPBEXHLevel2X 2 4 2" xfId="23571"/>
    <cellStyle name="SAPBEXHLevel2X 2 4 2 2" xfId="44443"/>
    <cellStyle name="SAPBEXHLevel2X 2 4 3" xfId="22758"/>
    <cellStyle name="SAPBEXHLevel2X 2 4 3 2" xfId="43633"/>
    <cellStyle name="SAPBEXHLevel2X 2 4 4" xfId="22841"/>
    <cellStyle name="SAPBEXHLevel2X 2 4 4 2" xfId="43716"/>
    <cellStyle name="SAPBEXHLevel2X 2 4 5" xfId="19057"/>
    <cellStyle name="SAPBEXHLevel2X 2 4 5 2" xfId="39933"/>
    <cellStyle name="SAPBEXHLevel2X 2 4 6" xfId="31197"/>
    <cellStyle name="SAPBEXHLevel2X 2 5" xfId="20923"/>
    <cellStyle name="SAPBEXHLevel2X 2 5 2" xfId="41798"/>
    <cellStyle name="SAPBEXHLevel2X 2 6" xfId="24112"/>
    <cellStyle name="SAPBEXHLevel2X 2 6 2" xfId="44983"/>
    <cellStyle name="SAPBEXHLevel2X 2 7" xfId="21755"/>
    <cellStyle name="SAPBEXHLevel2X 2 7 2" xfId="42630"/>
    <cellStyle name="SAPBEXHLevel2X 2 8" xfId="12158"/>
    <cellStyle name="SAPBEXHLevel2X 2 8 2" xfId="33058"/>
    <cellStyle name="SAPBEXHLevel2X 2 9" xfId="24207"/>
    <cellStyle name="SAPBEXHLevel2X 2 9 2" xfId="45075"/>
    <cellStyle name="SAPBEXHLevel2X 3" xfId="2801"/>
    <cellStyle name="SAPBEXHLevel2X 3 2" xfId="4428"/>
    <cellStyle name="SAPBEXHLevel2X 3 2 2" xfId="6272"/>
    <cellStyle name="SAPBEXHLevel2X 3 2 2 2" xfId="22577"/>
    <cellStyle name="SAPBEXHLevel2X 3 2 2 2 2" xfId="43452"/>
    <cellStyle name="SAPBEXHLevel2X 3 2 2 3" xfId="22255"/>
    <cellStyle name="SAPBEXHLevel2X 3 2 2 3 2" xfId="43130"/>
    <cellStyle name="SAPBEXHLevel2X 3 2 2 4" xfId="23896"/>
    <cellStyle name="SAPBEXHLevel2X 3 2 2 4 2" xfId="44768"/>
    <cellStyle name="SAPBEXHLevel2X 3 2 2 5" xfId="15281"/>
    <cellStyle name="SAPBEXHLevel2X 3 2 2 5 2" xfId="36157"/>
    <cellStyle name="SAPBEXHLevel2X 3 2 2 6" xfId="27419"/>
    <cellStyle name="SAPBEXHLevel2X 3 2 3" xfId="22036"/>
    <cellStyle name="SAPBEXHLevel2X 3 2 3 2" xfId="42911"/>
    <cellStyle name="SAPBEXHLevel2X 3 2 4" xfId="21212"/>
    <cellStyle name="SAPBEXHLevel2X 3 2 4 2" xfId="42087"/>
    <cellStyle name="SAPBEXHLevel2X 3 2 5" xfId="22785"/>
    <cellStyle name="SAPBEXHLevel2X 3 2 5 2" xfId="43660"/>
    <cellStyle name="SAPBEXHLevel2X 3 2 6" xfId="13463"/>
    <cellStyle name="SAPBEXHLevel2X 3 2 6 2" xfId="34339"/>
    <cellStyle name="SAPBEXHLevel2X 3 2 7" xfId="25601"/>
    <cellStyle name="SAPBEXHLevel2X 3 3" xfId="8401"/>
    <cellStyle name="SAPBEXHLevel2X 3 3 2" xfId="23090"/>
    <cellStyle name="SAPBEXHLevel2X 3 3 2 2" xfId="43963"/>
    <cellStyle name="SAPBEXHLevel2X 3 3 3" xfId="20984"/>
    <cellStyle name="SAPBEXHLevel2X 3 3 3 2" xfId="41859"/>
    <cellStyle name="SAPBEXHLevel2X 3 3 4" xfId="23256"/>
    <cellStyle name="SAPBEXHLevel2X 3 3 4 2" xfId="44129"/>
    <cellStyle name="SAPBEXHLevel2X 3 3 5" xfId="17406"/>
    <cellStyle name="SAPBEXHLevel2X 3 3 5 2" xfId="38282"/>
    <cellStyle name="SAPBEXHLevel2X 3 3 6" xfId="29544"/>
    <cellStyle name="SAPBEXHLevel2X 3 4" xfId="10287"/>
    <cellStyle name="SAPBEXHLevel2X 3 4 2" xfId="23572"/>
    <cellStyle name="SAPBEXHLevel2X 3 4 2 2" xfId="44444"/>
    <cellStyle name="SAPBEXHLevel2X 3 4 3" xfId="22868"/>
    <cellStyle name="SAPBEXHLevel2X 3 4 3 2" xfId="43742"/>
    <cellStyle name="SAPBEXHLevel2X 3 4 4" xfId="23963"/>
    <cellStyle name="SAPBEXHLevel2X 3 4 4 2" xfId="44835"/>
    <cellStyle name="SAPBEXHLevel2X 3 4 5" xfId="19058"/>
    <cellStyle name="SAPBEXHLevel2X 3 4 5 2" xfId="39934"/>
    <cellStyle name="SAPBEXHLevel2X 3 4 6" xfId="31198"/>
    <cellStyle name="SAPBEXHLevel2X 3 5" xfId="21540"/>
    <cellStyle name="SAPBEXHLevel2X 3 5 2" xfId="42415"/>
    <cellStyle name="SAPBEXHLevel2X 3 6" xfId="23948"/>
    <cellStyle name="SAPBEXHLevel2X 3 6 2" xfId="44820"/>
    <cellStyle name="SAPBEXHLevel2X 3 7" xfId="22864"/>
    <cellStyle name="SAPBEXHLevel2X 3 7 2" xfId="43738"/>
    <cellStyle name="SAPBEXHLevel2X 3 8" xfId="12302"/>
    <cellStyle name="SAPBEXHLevel2X 3 8 2" xfId="33191"/>
    <cellStyle name="SAPBEXHLevel2X 3 9" xfId="24430"/>
    <cellStyle name="SAPBEXHLevel2X 4" xfId="2802"/>
    <cellStyle name="SAPBEXHLevel2X 4 2" xfId="4429"/>
    <cellStyle name="SAPBEXHLevel2X 4 2 2" xfId="6273"/>
    <cellStyle name="SAPBEXHLevel2X 4 2 2 2" xfId="22578"/>
    <cellStyle name="SAPBEXHLevel2X 4 2 2 2 2" xfId="43453"/>
    <cellStyle name="SAPBEXHLevel2X 4 2 2 3" xfId="23973"/>
    <cellStyle name="SAPBEXHLevel2X 4 2 2 3 2" xfId="44845"/>
    <cellStyle name="SAPBEXHLevel2X 4 2 2 4" xfId="23359"/>
    <cellStyle name="SAPBEXHLevel2X 4 2 2 4 2" xfId="44231"/>
    <cellStyle name="SAPBEXHLevel2X 4 2 2 5" xfId="15282"/>
    <cellStyle name="SAPBEXHLevel2X 4 2 2 5 2" xfId="36158"/>
    <cellStyle name="SAPBEXHLevel2X 4 2 2 6" xfId="27420"/>
    <cellStyle name="SAPBEXHLevel2X 4 2 3" xfId="22037"/>
    <cellStyle name="SAPBEXHLevel2X 4 2 3 2" xfId="42912"/>
    <cellStyle name="SAPBEXHLevel2X 4 2 4" xfId="21337"/>
    <cellStyle name="SAPBEXHLevel2X 4 2 4 2" xfId="42212"/>
    <cellStyle name="SAPBEXHLevel2X 4 2 5" xfId="22844"/>
    <cellStyle name="SAPBEXHLevel2X 4 2 5 2" xfId="43719"/>
    <cellStyle name="SAPBEXHLevel2X 4 2 6" xfId="13464"/>
    <cellStyle name="SAPBEXHLevel2X 4 2 6 2" xfId="34340"/>
    <cellStyle name="SAPBEXHLevel2X 4 2 7" xfId="25602"/>
    <cellStyle name="SAPBEXHLevel2X 4 3" xfId="8402"/>
    <cellStyle name="SAPBEXHLevel2X 4 3 2" xfId="23091"/>
    <cellStyle name="SAPBEXHLevel2X 4 3 2 2" xfId="43964"/>
    <cellStyle name="SAPBEXHLevel2X 4 3 3" xfId="21772"/>
    <cellStyle name="SAPBEXHLevel2X 4 3 3 2" xfId="42647"/>
    <cellStyle name="SAPBEXHLevel2X 4 3 4" xfId="23205"/>
    <cellStyle name="SAPBEXHLevel2X 4 3 4 2" xfId="44078"/>
    <cellStyle name="SAPBEXHLevel2X 4 3 5" xfId="17407"/>
    <cellStyle name="SAPBEXHLevel2X 4 3 5 2" xfId="38283"/>
    <cellStyle name="SAPBEXHLevel2X 4 3 6" xfId="29545"/>
    <cellStyle name="SAPBEXHLevel2X 4 4" xfId="10288"/>
    <cellStyle name="SAPBEXHLevel2X 4 4 2" xfId="23573"/>
    <cellStyle name="SAPBEXHLevel2X 4 4 2 2" xfId="44445"/>
    <cellStyle name="SAPBEXHLevel2X 4 4 3" xfId="23187"/>
    <cellStyle name="SAPBEXHLevel2X 4 4 3 2" xfId="44060"/>
    <cellStyle name="SAPBEXHLevel2X 4 4 4" xfId="24127"/>
    <cellStyle name="SAPBEXHLevel2X 4 4 4 2" xfId="44998"/>
    <cellStyle name="SAPBEXHLevel2X 4 4 5" xfId="19059"/>
    <cellStyle name="SAPBEXHLevel2X 4 4 5 2" xfId="39935"/>
    <cellStyle name="SAPBEXHLevel2X 4 4 6" xfId="31199"/>
    <cellStyle name="SAPBEXHLevel2X 4 5" xfId="21541"/>
    <cellStyle name="SAPBEXHLevel2X 4 5 2" xfId="42416"/>
    <cellStyle name="SAPBEXHLevel2X 4 6" xfId="22237"/>
    <cellStyle name="SAPBEXHLevel2X 4 6 2" xfId="43112"/>
    <cellStyle name="SAPBEXHLevel2X 4 7" xfId="22357"/>
    <cellStyle name="SAPBEXHLevel2X 4 7 2" xfId="43232"/>
    <cellStyle name="SAPBEXHLevel2X 4 8" xfId="12303"/>
    <cellStyle name="SAPBEXHLevel2X 4 8 2" xfId="33192"/>
    <cellStyle name="SAPBEXHLevel2X 4 9" xfId="24431"/>
    <cellStyle name="SAPBEXHLevel2X 5" xfId="2803"/>
    <cellStyle name="SAPBEXHLevel2X 5 2" xfId="4430"/>
    <cellStyle name="SAPBEXHLevel2X 5 2 2" xfId="6274"/>
    <cellStyle name="SAPBEXHLevel2X 5 2 2 2" xfId="22579"/>
    <cellStyle name="SAPBEXHLevel2X 5 2 2 2 2" xfId="43454"/>
    <cellStyle name="SAPBEXHLevel2X 5 2 2 3" xfId="20967"/>
    <cellStyle name="SAPBEXHLevel2X 5 2 2 3 2" xfId="41842"/>
    <cellStyle name="SAPBEXHLevel2X 5 2 2 4" xfId="21636"/>
    <cellStyle name="SAPBEXHLevel2X 5 2 2 4 2" xfId="42511"/>
    <cellStyle name="SAPBEXHLevel2X 5 2 2 5" xfId="15283"/>
    <cellStyle name="SAPBEXHLevel2X 5 2 2 5 2" xfId="36159"/>
    <cellStyle name="SAPBEXHLevel2X 5 2 2 6" xfId="27421"/>
    <cellStyle name="SAPBEXHLevel2X 5 2 3" xfId="22038"/>
    <cellStyle name="SAPBEXHLevel2X 5 2 3 2" xfId="42913"/>
    <cellStyle name="SAPBEXHLevel2X 5 2 4" xfId="21422"/>
    <cellStyle name="SAPBEXHLevel2X 5 2 4 2" xfId="42297"/>
    <cellStyle name="SAPBEXHLevel2X 5 2 5" xfId="21241"/>
    <cellStyle name="SAPBEXHLevel2X 5 2 5 2" xfId="42116"/>
    <cellStyle name="SAPBEXHLevel2X 5 2 6" xfId="13465"/>
    <cellStyle name="SAPBEXHLevel2X 5 2 6 2" xfId="34341"/>
    <cellStyle name="SAPBEXHLevel2X 5 2 7" xfId="25603"/>
    <cellStyle name="SAPBEXHLevel2X 5 3" xfId="8403"/>
    <cellStyle name="SAPBEXHLevel2X 5 3 2" xfId="23092"/>
    <cellStyle name="SAPBEXHLevel2X 5 3 2 2" xfId="43965"/>
    <cellStyle name="SAPBEXHLevel2X 5 3 3" xfId="22803"/>
    <cellStyle name="SAPBEXHLevel2X 5 3 3 2" xfId="43678"/>
    <cellStyle name="SAPBEXHLevel2X 5 3 4" xfId="21394"/>
    <cellStyle name="SAPBEXHLevel2X 5 3 4 2" xfId="42269"/>
    <cellStyle name="SAPBEXHLevel2X 5 3 5" xfId="17408"/>
    <cellStyle name="SAPBEXHLevel2X 5 3 5 2" xfId="38284"/>
    <cellStyle name="SAPBEXHLevel2X 5 3 6" xfId="29546"/>
    <cellStyle name="SAPBEXHLevel2X 5 4" xfId="10289"/>
    <cellStyle name="SAPBEXHLevel2X 5 4 2" xfId="23574"/>
    <cellStyle name="SAPBEXHLevel2X 5 4 2 2" xfId="44446"/>
    <cellStyle name="SAPBEXHLevel2X 5 4 3" xfId="23291"/>
    <cellStyle name="SAPBEXHLevel2X 5 4 3 2" xfId="44163"/>
    <cellStyle name="SAPBEXHLevel2X 5 4 4" xfId="22444"/>
    <cellStyle name="SAPBEXHLevel2X 5 4 4 2" xfId="43319"/>
    <cellStyle name="SAPBEXHLevel2X 5 4 5" xfId="19060"/>
    <cellStyle name="SAPBEXHLevel2X 5 4 5 2" xfId="39936"/>
    <cellStyle name="SAPBEXHLevel2X 5 4 6" xfId="31200"/>
    <cellStyle name="SAPBEXHLevel2X 5 5" xfId="21542"/>
    <cellStyle name="SAPBEXHLevel2X 5 5 2" xfId="42417"/>
    <cellStyle name="SAPBEXHLevel2X 5 6" xfId="23348"/>
    <cellStyle name="SAPBEXHLevel2X 5 6 2" xfId="44220"/>
    <cellStyle name="SAPBEXHLevel2X 5 7" xfId="22254"/>
    <cellStyle name="SAPBEXHLevel2X 5 7 2" xfId="43129"/>
    <cellStyle name="SAPBEXHLevel2X 5 8" xfId="12304"/>
    <cellStyle name="SAPBEXHLevel2X 5 8 2" xfId="33193"/>
    <cellStyle name="SAPBEXHLevel2X 5 9" xfId="24432"/>
    <cellStyle name="SAPBEXHLevel2X 6" xfId="3831"/>
    <cellStyle name="SAPBEXHLevel2X 6 2" xfId="6060"/>
    <cellStyle name="SAPBEXHLevel2X 6 2 2" xfId="22419"/>
    <cellStyle name="SAPBEXHLevel2X 6 2 2 2" xfId="43294"/>
    <cellStyle name="SAPBEXHLevel2X 6 2 3" xfId="21851"/>
    <cellStyle name="SAPBEXHLevel2X 6 2 3 2" xfId="42726"/>
    <cellStyle name="SAPBEXHLevel2X 6 2 4" xfId="23846"/>
    <cellStyle name="SAPBEXHLevel2X 6 2 4 2" xfId="44718"/>
    <cellStyle name="SAPBEXHLevel2X 6 2 5" xfId="15069"/>
    <cellStyle name="SAPBEXHLevel2X 6 2 5 2" xfId="35945"/>
    <cellStyle name="SAPBEXHLevel2X 6 2 6" xfId="27207"/>
    <cellStyle name="SAPBEXHLevel2X 6 3" xfId="21805"/>
    <cellStyle name="SAPBEXHLevel2X 6 3 2" xfId="42680"/>
    <cellStyle name="SAPBEXHLevel2X 6 4" xfId="22138"/>
    <cellStyle name="SAPBEXHLevel2X 6 4 2" xfId="43013"/>
    <cellStyle name="SAPBEXHLevel2X 6 5" xfId="22871"/>
    <cellStyle name="SAPBEXHLevel2X 6 5 2" xfId="43745"/>
    <cellStyle name="SAPBEXHLevel2X 6 6" xfId="13251"/>
    <cellStyle name="SAPBEXHLevel2X 6 6 2" xfId="34127"/>
    <cellStyle name="SAPBEXHLevel2X 6 7" xfId="25389"/>
    <cellStyle name="SAPBEXHLevel2X 7" xfId="8399"/>
    <cellStyle name="SAPBEXHLevel2X 7 2" xfId="23088"/>
    <cellStyle name="SAPBEXHLevel2X 7 2 2" xfId="43961"/>
    <cellStyle name="SAPBEXHLevel2X 7 3" xfId="22186"/>
    <cellStyle name="SAPBEXHLevel2X 7 3 2" xfId="43061"/>
    <cellStyle name="SAPBEXHLevel2X 7 4" xfId="20994"/>
    <cellStyle name="SAPBEXHLevel2X 7 4 2" xfId="41869"/>
    <cellStyle name="SAPBEXHLevel2X 7 5" xfId="17404"/>
    <cellStyle name="SAPBEXHLevel2X 7 5 2" xfId="38280"/>
    <cellStyle name="SAPBEXHLevel2X 7 6" xfId="29542"/>
    <cellStyle name="SAPBEXHLevel2X 8" xfId="10285"/>
    <cellStyle name="SAPBEXHLevel2X 8 2" xfId="23570"/>
    <cellStyle name="SAPBEXHLevel2X 8 2 2" xfId="44442"/>
    <cellStyle name="SAPBEXHLevel2X 8 3" xfId="22266"/>
    <cellStyle name="SAPBEXHLevel2X 8 3 2" xfId="43141"/>
    <cellStyle name="SAPBEXHLevel2X 8 4" xfId="21697"/>
    <cellStyle name="SAPBEXHLevel2X 8 4 2" xfId="42572"/>
    <cellStyle name="SAPBEXHLevel2X 8 5" xfId="19056"/>
    <cellStyle name="SAPBEXHLevel2X 8 5 2" xfId="39932"/>
    <cellStyle name="SAPBEXHLevel2X 8 6" xfId="31196"/>
    <cellStyle name="SAPBEXHLevel2X 9" xfId="20922"/>
    <cellStyle name="SAPBEXHLevel2X 9 2" xfId="41797"/>
    <cellStyle name="SAPBEXHLevel3" xfId="1167"/>
    <cellStyle name="SAPBEXHLevel3 10" xfId="22677"/>
    <cellStyle name="SAPBEXHLevel3 10 2" xfId="43552"/>
    <cellStyle name="SAPBEXHLevel3 11" xfId="22231"/>
    <cellStyle name="SAPBEXHLevel3 11 2" xfId="43106"/>
    <cellStyle name="SAPBEXHLevel3 12" xfId="12159"/>
    <cellStyle name="SAPBEXHLevel3 12 2" xfId="33059"/>
    <cellStyle name="SAPBEXHLevel3 13" xfId="24144"/>
    <cellStyle name="SAPBEXHLevel3 13 2" xfId="45014"/>
    <cellStyle name="SAPBEXHLevel3 14" xfId="24273"/>
    <cellStyle name="SAPBEXHLevel3 14 2" xfId="45134"/>
    <cellStyle name="SAPBEXHLevel3 2" xfId="2804"/>
    <cellStyle name="SAPBEXHLevel3 2 10" xfId="24433"/>
    <cellStyle name="SAPBEXHLevel3 2 2" xfId="4431"/>
    <cellStyle name="SAPBEXHLevel3 2 2 2" xfId="6275"/>
    <cellStyle name="SAPBEXHLevel3 2 2 2 2" xfId="22580"/>
    <cellStyle name="SAPBEXHLevel3 2 2 2 2 2" xfId="43455"/>
    <cellStyle name="SAPBEXHLevel3 2 2 2 3" xfId="22291"/>
    <cellStyle name="SAPBEXHLevel3 2 2 2 3 2" xfId="43166"/>
    <cellStyle name="SAPBEXHLevel3 2 2 2 4" xfId="21035"/>
    <cellStyle name="SAPBEXHLevel3 2 2 2 4 2" xfId="41910"/>
    <cellStyle name="SAPBEXHLevel3 2 2 2 5" xfId="15284"/>
    <cellStyle name="SAPBEXHLevel3 2 2 2 5 2" xfId="36160"/>
    <cellStyle name="SAPBEXHLevel3 2 2 2 6" xfId="27422"/>
    <cellStyle name="SAPBEXHLevel3 2 2 3" xfId="22039"/>
    <cellStyle name="SAPBEXHLevel3 2 2 3 2" xfId="42914"/>
    <cellStyle name="SAPBEXHLevel3 2 2 4" xfId="23365"/>
    <cellStyle name="SAPBEXHLevel3 2 2 4 2" xfId="44237"/>
    <cellStyle name="SAPBEXHLevel3 2 2 5" xfId="21405"/>
    <cellStyle name="SAPBEXHLevel3 2 2 5 2" xfId="42280"/>
    <cellStyle name="SAPBEXHLevel3 2 2 6" xfId="13466"/>
    <cellStyle name="SAPBEXHLevel3 2 2 6 2" xfId="34342"/>
    <cellStyle name="SAPBEXHLevel3 2 2 7" xfId="25604"/>
    <cellStyle name="SAPBEXHLevel3 2 3" xfId="8405"/>
    <cellStyle name="SAPBEXHLevel3 2 3 2" xfId="23094"/>
    <cellStyle name="SAPBEXHLevel3 2 3 2 2" xfId="43967"/>
    <cellStyle name="SAPBEXHLevel3 2 3 3" xfId="22687"/>
    <cellStyle name="SAPBEXHLevel3 2 3 3 2" xfId="43562"/>
    <cellStyle name="SAPBEXHLevel3 2 3 4" xfId="24008"/>
    <cellStyle name="SAPBEXHLevel3 2 3 4 2" xfId="44880"/>
    <cellStyle name="SAPBEXHLevel3 2 3 5" xfId="17410"/>
    <cellStyle name="SAPBEXHLevel3 2 3 5 2" xfId="38286"/>
    <cellStyle name="SAPBEXHLevel3 2 3 6" xfId="29548"/>
    <cellStyle name="SAPBEXHLevel3 2 4" xfId="10291"/>
    <cellStyle name="SAPBEXHLevel3 2 4 2" xfId="23576"/>
    <cellStyle name="SAPBEXHLevel3 2 4 2 2" xfId="44448"/>
    <cellStyle name="SAPBEXHLevel3 2 4 3" xfId="23920"/>
    <cellStyle name="SAPBEXHLevel3 2 4 3 2" xfId="44792"/>
    <cellStyle name="SAPBEXHLevel3 2 4 4" xfId="23636"/>
    <cellStyle name="SAPBEXHLevel3 2 4 4 2" xfId="44508"/>
    <cellStyle name="SAPBEXHLevel3 2 4 5" xfId="19062"/>
    <cellStyle name="SAPBEXHLevel3 2 4 5 2" xfId="39938"/>
    <cellStyle name="SAPBEXHLevel3 2 4 6" xfId="31202"/>
    <cellStyle name="SAPBEXHLevel3 2 5" xfId="20925"/>
    <cellStyle name="SAPBEXHLevel3 2 5 2" xfId="41800"/>
    <cellStyle name="SAPBEXHLevel3 2 6" xfId="24076"/>
    <cellStyle name="SAPBEXHLevel3 2 6 2" xfId="44948"/>
    <cellStyle name="SAPBEXHLevel3 2 7" xfId="22165"/>
    <cellStyle name="SAPBEXHLevel3 2 7 2" xfId="43040"/>
    <cellStyle name="SAPBEXHLevel3 2 8" xfId="12160"/>
    <cellStyle name="SAPBEXHLevel3 2 8 2" xfId="33060"/>
    <cellStyle name="SAPBEXHLevel3 2 9" xfId="24208"/>
    <cellStyle name="SAPBEXHLevel3 2 9 2" xfId="45076"/>
    <cellStyle name="SAPBEXHLevel3 3" xfId="2805"/>
    <cellStyle name="SAPBEXHLevel3 3 2" xfId="4432"/>
    <cellStyle name="SAPBEXHLevel3 3 2 2" xfId="6276"/>
    <cellStyle name="SAPBEXHLevel3 3 2 2 2" xfId="22581"/>
    <cellStyle name="SAPBEXHLevel3 3 2 2 2 2" xfId="43456"/>
    <cellStyle name="SAPBEXHLevel3 3 2 2 3" xfId="21043"/>
    <cellStyle name="SAPBEXHLevel3 3 2 2 3 2" xfId="41918"/>
    <cellStyle name="SAPBEXHLevel3 3 2 2 4" xfId="23730"/>
    <cellStyle name="SAPBEXHLevel3 3 2 2 4 2" xfId="44602"/>
    <cellStyle name="SAPBEXHLevel3 3 2 2 5" xfId="15285"/>
    <cellStyle name="SAPBEXHLevel3 3 2 2 5 2" xfId="36161"/>
    <cellStyle name="SAPBEXHLevel3 3 2 2 6" xfId="27423"/>
    <cellStyle name="SAPBEXHLevel3 3 2 3" xfId="22040"/>
    <cellStyle name="SAPBEXHLevel3 3 2 3 2" xfId="42915"/>
    <cellStyle name="SAPBEXHLevel3 3 2 4" xfId="23196"/>
    <cellStyle name="SAPBEXHLevel3 3 2 4 2" xfId="44069"/>
    <cellStyle name="SAPBEXHLevel3 3 2 5" xfId="23967"/>
    <cellStyle name="SAPBEXHLevel3 3 2 5 2" xfId="44839"/>
    <cellStyle name="SAPBEXHLevel3 3 2 6" xfId="13467"/>
    <cellStyle name="SAPBEXHLevel3 3 2 6 2" xfId="34343"/>
    <cellStyle name="SAPBEXHLevel3 3 2 7" xfId="25605"/>
    <cellStyle name="SAPBEXHLevel3 3 3" xfId="8406"/>
    <cellStyle name="SAPBEXHLevel3 3 3 2" xfId="23095"/>
    <cellStyle name="SAPBEXHLevel3 3 3 2 2" xfId="43968"/>
    <cellStyle name="SAPBEXHLevel3 3 3 3" xfId="20985"/>
    <cellStyle name="SAPBEXHLevel3 3 3 3 2" xfId="41860"/>
    <cellStyle name="SAPBEXHLevel3 3 3 4" xfId="21175"/>
    <cellStyle name="SAPBEXHLevel3 3 3 4 2" xfId="42050"/>
    <cellStyle name="SAPBEXHLevel3 3 3 5" xfId="17411"/>
    <cellStyle name="SAPBEXHLevel3 3 3 5 2" xfId="38287"/>
    <cellStyle name="SAPBEXHLevel3 3 3 6" xfId="29549"/>
    <cellStyle name="SAPBEXHLevel3 3 4" xfId="10292"/>
    <cellStyle name="SAPBEXHLevel3 3 4 2" xfId="23577"/>
    <cellStyle name="SAPBEXHLevel3 3 4 2 2" xfId="44449"/>
    <cellStyle name="SAPBEXHLevel3 3 4 3" xfId="23327"/>
    <cellStyle name="SAPBEXHLevel3 3 4 3 2" xfId="44199"/>
    <cellStyle name="SAPBEXHLevel3 3 4 4" xfId="21996"/>
    <cellStyle name="SAPBEXHLevel3 3 4 4 2" xfId="42871"/>
    <cellStyle name="SAPBEXHLevel3 3 4 5" xfId="19063"/>
    <cellStyle name="SAPBEXHLevel3 3 4 5 2" xfId="39939"/>
    <cellStyle name="SAPBEXHLevel3 3 4 6" xfId="31203"/>
    <cellStyle name="SAPBEXHLevel3 3 5" xfId="21543"/>
    <cellStyle name="SAPBEXHLevel3 3 5 2" xfId="42418"/>
    <cellStyle name="SAPBEXHLevel3 3 6" xfId="21157"/>
    <cellStyle name="SAPBEXHLevel3 3 6 2" xfId="42032"/>
    <cellStyle name="SAPBEXHLevel3 3 7" xfId="23844"/>
    <cellStyle name="SAPBEXHLevel3 3 7 2" xfId="44716"/>
    <cellStyle name="SAPBEXHLevel3 3 8" xfId="12305"/>
    <cellStyle name="SAPBEXHLevel3 3 8 2" xfId="33194"/>
    <cellStyle name="SAPBEXHLevel3 3 9" xfId="24434"/>
    <cellStyle name="SAPBEXHLevel3 4" xfId="2806"/>
    <cellStyle name="SAPBEXHLevel3 4 2" xfId="4433"/>
    <cellStyle name="SAPBEXHLevel3 4 2 2" xfId="6277"/>
    <cellStyle name="SAPBEXHLevel3 4 2 2 2" xfId="22582"/>
    <cellStyle name="SAPBEXHLevel3 4 2 2 2 2" xfId="43457"/>
    <cellStyle name="SAPBEXHLevel3 4 2 2 3" xfId="21110"/>
    <cellStyle name="SAPBEXHLevel3 4 2 2 3 2" xfId="41985"/>
    <cellStyle name="SAPBEXHLevel3 4 2 2 4" xfId="21239"/>
    <cellStyle name="SAPBEXHLevel3 4 2 2 4 2" xfId="42114"/>
    <cellStyle name="SAPBEXHLevel3 4 2 2 5" xfId="15286"/>
    <cellStyle name="SAPBEXHLevel3 4 2 2 5 2" xfId="36162"/>
    <cellStyle name="SAPBEXHLevel3 4 2 2 6" xfId="27424"/>
    <cellStyle name="SAPBEXHLevel3 4 2 3" xfId="22041"/>
    <cellStyle name="SAPBEXHLevel3 4 2 3 2" xfId="42916"/>
    <cellStyle name="SAPBEXHLevel3 4 2 4" xfId="23423"/>
    <cellStyle name="SAPBEXHLevel3 4 2 4 2" xfId="44295"/>
    <cellStyle name="SAPBEXHLevel3 4 2 5" xfId="21740"/>
    <cellStyle name="SAPBEXHLevel3 4 2 5 2" xfId="42615"/>
    <cellStyle name="SAPBEXHLevel3 4 2 6" xfId="13468"/>
    <cellStyle name="SAPBEXHLevel3 4 2 6 2" xfId="34344"/>
    <cellStyle name="SAPBEXHLevel3 4 2 7" xfId="25606"/>
    <cellStyle name="SAPBEXHLevel3 4 3" xfId="8407"/>
    <cellStyle name="SAPBEXHLevel3 4 3 2" xfId="23096"/>
    <cellStyle name="SAPBEXHLevel3 4 3 2 2" xfId="43969"/>
    <cellStyle name="SAPBEXHLevel3 4 3 3" xfId="21885"/>
    <cellStyle name="SAPBEXHLevel3 4 3 3 2" xfId="42760"/>
    <cellStyle name="SAPBEXHLevel3 4 3 4" xfId="21748"/>
    <cellStyle name="SAPBEXHLevel3 4 3 4 2" xfId="42623"/>
    <cellStyle name="SAPBEXHLevel3 4 3 5" xfId="17412"/>
    <cellStyle name="SAPBEXHLevel3 4 3 5 2" xfId="38288"/>
    <cellStyle name="SAPBEXHLevel3 4 3 6" xfId="29550"/>
    <cellStyle name="SAPBEXHLevel3 4 4" xfId="10293"/>
    <cellStyle name="SAPBEXHLevel3 4 4 2" xfId="23578"/>
    <cellStyle name="SAPBEXHLevel3 4 4 2 2" xfId="44450"/>
    <cellStyle name="SAPBEXHLevel3 4 4 3" xfId="22259"/>
    <cellStyle name="SAPBEXHLevel3 4 4 3 2" xfId="43134"/>
    <cellStyle name="SAPBEXHLevel3 4 4 4" xfId="22201"/>
    <cellStyle name="SAPBEXHLevel3 4 4 4 2" xfId="43076"/>
    <cellStyle name="SAPBEXHLevel3 4 4 5" xfId="19064"/>
    <cellStyle name="SAPBEXHLevel3 4 4 5 2" xfId="39940"/>
    <cellStyle name="SAPBEXHLevel3 4 4 6" xfId="31204"/>
    <cellStyle name="SAPBEXHLevel3 4 5" xfId="21544"/>
    <cellStyle name="SAPBEXHLevel3 4 5 2" xfId="42419"/>
    <cellStyle name="SAPBEXHLevel3 4 6" xfId="21273"/>
    <cellStyle name="SAPBEXHLevel3 4 6 2" xfId="42148"/>
    <cellStyle name="SAPBEXHLevel3 4 7" xfId="22938"/>
    <cellStyle name="SAPBEXHLevel3 4 7 2" xfId="43812"/>
    <cellStyle name="SAPBEXHLevel3 4 8" xfId="12306"/>
    <cellStyle name="SAPBEXHLevel3 4 8 2" xfId="33195"/>
    <cellStyle name="SAPBEXHLevel3 4 9" xfId="24435"/>
    <cellStyle name="SAPBEXHLevel3 5" xfId="2807"/>
    <cellStyle name="SAPBEXHLevel3 5 2" xfId="4434"/>
    <cellStyle name="SAPBEXHLevel3 5 2 2" xfId="6278"/>
    <cellStyle name="SAPBEXHLevel3 5 2 2 2" xfId="22583"/>
    <cellStyle name="SAPBEXHLevel3 5 2 2 2 2" xfId="43458"/>
    <cellStyle name="SAPBEXHLevel3 5 2 2 3" xfId="23895"/>
    <cellStyle name="SAPBEXHLevel3 5 2 2 3 2" xfId="44767"/>
    <cellStyle name="SAPBEXHLevel3 5 2 2 4" xfId="22646"/>
    <cellStyle name="SAPBEXHLevel3 5 2 2 4 2" xfId="43521"/>
    <cellStyle name="SAPBEXHLevel3 5 2 2 5" xfId="15287"/>
    <cellStyle name="SAPBEXHLevel3 5 2 2 5 2" xfId="36163"/>
    <cellStyle name="SAPBEXHLevel3 5 2 2 6" xfId="27425"/>
    <cellStyle name="SAPBEXHLevel3 5 2 3" xfId="22042"/>
    <cellStyle name="SAPBEXHLevel3 5 2 3 2" xfId="42917"/>
    <cellStyle name="SAPBEXHLevel3 5 2 4" xfId="24103"/>
    <cellStyle name="SAPBEXHLevel3 5 2 4 2" xfId="44974"/>
    <cellStyle name="SAPBEXHLevel3 5 2 5" xfId="22392"/>
    <cellStyle name="SAPBEXHLevel3 5 2 5 2" xfId="43267"/>
    <cellStyle name="SAPBEXHLevel3 5 2 6" xfId="13469"/>
    <cellStyle name="SAPBEXHLevel3 5 2 6 2" xfId="34345"/>
    <cellStyle name="SAPBEXHLevel3 5 2 7" xfId="25607"/>
    <cellStyle name="SAPBEXHLevel3 5 3" xfId="8408"/>
    <cellStyle name="SAPBEXHLevel3 5 3 2" xfId="23097"/>
    <cellStyle name="SAPBEXHLevel3 5 3 2 2" xfId="43970"/>
    <cellStyle name="SAPBEXHLevel3 5 3 3" xfId="22914"/>
    <cellStyle name="SAPBEXHLevel3 5 3 3 2" xfId="43788"/>
    <cellStyle name="SAPBEXHLevel3 5 3 4" xfId="23680"/>
    <cellStyle name="SAPBEXHLevel3 5 3 4 2" xfId="44552"/>
    <cellStyle name="SAPBEXHLevel3 5 3 5" xfId="17413"/>
    <cellStyle name="SAPBEXHLevel3 5 3 5 2" xfId="38289"/>
    <cellStyle name="SAPBEXHLevel3 5 3 6" xfId="29551"/>
    <cellStyle name="SAPBEXHLevel3 5 4" xfId="10294"/>
    <cellStyle name="SAPBEXHLevel3 5 4 2" xfId="23579"/>
    <cellStyle name="SAPBEXHLevel3 5 4 2 2" xfId="44451"/>
    <cellStyle name="SAPBEXHLevel3 5 4 3" xfId="22752"/>
    <cellStyle name="SAPBEXHLevel3 5 4 3 2" xfId="43627"/>
    <cellStyle name="SAPBEXHLevel3 5 4 4" xfId="21829"/>
    <cellStyle name="SAPBEXHLevel3 5 4 4 2" xfId="42704"/>
    <cellStyle name="SAPBEXHLevel3 5 4 5" xfId="19065"/>
    <cellStyle name="SAPBEXHLevel3 5 4 5 2" xfId="39941"/>
    <cellStyle name="SAPBEXHLevel3 5 4 6" xfId="31205"/>
    <cellStyle name="SAPBEXHLevel3 5 5" xfId="21545"/>
    <cellStyle name="SAPBEXHLevel3 5 5 2" xfId="42420"/>
    <cellStyle name="SAPBEXHLevel3 5 6" xfId="21062"/>
    <cellStyle name="SAPBEXHLevel3 5 6 2" xfId="41937"/>
    <cellStyle name="SAPBEXHLevel3 5 7" xfId="21445"/>
    <cellStyle name="SAPBEXHLevel3 5 7 2" xfId="42320"/>
    <cellStyle name="SAPBEXHLevel3 5 8" xfId="12307"/>
    <cellStyle name="SAPBEXHLevel3 5 8 2" xfId="33196"/>
    <cellStyle name="SAPBEXHLevel3 5 9" xfId="24436"/>
    <cellStyle name="SAPBEXHLevel3 6" xfId="3832"/>
    <cellStyle name="SAPBEXHLevel3 6 2" xfId="6061"/>
    <cellStyle name="SAPBEXHLevel3 6 2 2" xfId="22420"/>
    <cellStyle name="SAPBEXHLevel3 6 2 2 2" xfId="43295"/>
    <cellStyle name="SAPBEXHLevel3 6 2 3" xfId="21726"/>
    <cellStyle name="SAPBEXHLevel3 6 2 3 2" xfId="42601"/>
    <cellStyle name="SAPBEXHLevel3 6 2 4" xfId="23427"/>
    <cellStyle name="SAPBEXHLevel3 6 2 4 2" xfId="44299"/>
    <cellStyle name="SAPBEXHLevel3 6 2 5" xfId="15070"/>
    <cellStyle name="SAPBEXHLevel3 6 2 5 2" xfId="35946"/>
    <cellStyle name="SAPBEXHLevel3 6 2 6" xfId="27208"/>
    <cellStyle name="SAPBEXHLevel3 6 3" xfId="21806"/>
    <cellStyle name="SAPBEXHLevel3 6 3 2" xfId="42681"/>
    <cellStyle name="SAPBEXHLevel3 6 4" xfId="23298"/>
    <cellStyle name="SAPBEXHLevel3 6 4 2" xfId="44170"/>
    <cellStyle name="SAPBEXHLevel3 6 5" xfId="21049"/>
    <cellStyle name="SAPBEXHLevel3 6 5 2" xfId="41924"/>
    <cellStyle name="SAPBEXHLevel3 6 6" xfId="13252"/>
    <cellStyle name="SAPBEXHLevel3 6 6 2" xfId="34128"/>
    <cellStyle name="SAPBEXHLevel3 6 7" xfId="25390"/>
    <cellStyle name="SAPBEXHLevel3 7" xfId="8404"/>
    <cellStyle name="SAPBEXHLevel3 7 2" xfId="23093"/>
    <cellStyle name="SAPBEXHLevel3 7 2 2" xfId="43966"/>
    <cellStyle name="SAPBEXHLevel3 7 3" xfId="23214"/>
    <cellStyle name="SAPBEXHLevel3 7 3 2" xfId="44087"/>
    <cellStyle name="SAPBEXHLevel3 7 4" xfId="24029"/>
    <cellStyle name="SAPBEXHLevel3 7 4 2" xfId="44901"/>
    <cellStyle name="SAPBEXHLevel3 7 5" xfId="17409"/>
    <cellStyle name="SAPBEXHLevel3 7 5 2" xfId="38285"/>
    <cellStyle name="SAPBEXHLevel3 7 6" xfId="29547"/>
    <cellStyle name="SAPBEXHLevel3 8" xfId="10290"/>
    <cellStyle name="SAPBEXHLevel3 8 2" xfId="23575"/>
    <cellStyle name="SAPBEXHLevel3 8 2 2" xfId="44447"/>
    <cellStyle name="SAPBEXHLevel3 8 3" xfId="21635"/>
    <cellStyle name="SAPBEXHLevel3 8 3 2" xfId="42510"/>
    <cellStyle name="SAPBEXHLevel3 8 4" xfId="21296"/>
    <cellStyle name="SAPBEXHLevel3 8 4 2" xfId="42171"/>
    <cellStyle name="SAPBEXHLevel3 8 5" xfId="19061"/>
    <cellStyle name="SAPBEXHLevel3 8 5 2" xfId="39937"/>
    <cellStyle name="SAPBEXHLevel3 8 6" xfId="31201"/>
    <cellStyle name="SAPBEXHLevel3 9" xfId="20924"/>
    <cellStyle name="SAPBEXHLevel3 9 2" xfId="41799"/>
    <cellStyle name="SAPBEXHLevel3X" xfId="1168"/>
    <cellStyle name="SAPBEXHLevel3X 10" xfId="24083"/>
    <cellStyle name="SAPBEXHLevel3X 10 2" xfId="44955"/>
    <cellStyle name="SAPBEXHLevel3X 11" xfId="23228"/>
    <cellStyle name="SAPBEXHLevel3X 11 2" xfId="44101"/>
    <cellStyle name="SAPBEXHLevel3X 12" xfId="12161"/>
    <cellStyle name="SAPBEXHLevel3X 12 2" xfId="33061"/>
    <cellStyle name="SAPBEXHLevel3X 13" xfId="24143"/>
    <cellStyle name="SAPBEXHLevel3X 13 2" xfId="45013"/>
    <cellStyle name="SAPBEXHLevel3X 14" xfId="24274"/>
    <cellStyle name="SAPBEXHLevel3X 14 2" xfId="45135"/>
    <cellStyle name="SAPBEXHLevel3X 2" xfId="2808"/>
    <cellStyle name="SAPBEXHLevel3X 2 10" xfId="24437"/>
    <cellStyle name="SAPBEXHLevel3X 2 2" xfId="4435"/>
    <cellStyle name="SAPBEXHLevel3X 2 2 2" xfId="6279"/>
    <cellStyle name="SAPBEXHLevel3X 2 2 2 2" xfId="22584"/>
    <cellStyle name="SAPBEXHLevel3X 2 2 2 2 2" xfId="43459"/>
    <cellStyle name="SAPBEXHLevel3X 2 2 2 3" xfId="22317"/>
    <cellStyle name="SAPBEXHLevel3X 2 2 2 3 2" xfId="43192"/>
    <cellStyle name="SAPBEXHLevel3X 2 2 2 4" xfId="22735"/>
    <cellStyle name="SAPBEXHLevel3X 2 2 2 4 2" xfId="43610"/>
    <cellStyle name="SAPBEXHLevel3X 2 2 2 5" xfId="15288"/>
    <cellStyle name="SAPBEXHLevel3X 2 2 2 5 2" xfId="36164"/>
    <cellStyle name="SAPBEXHLevel3X 2 2 2 6" xfId="27426"/>
    <cellStyle name="SAPBEXHLevel3X 2 2 3" xfId="22043"/>
    <cellStyle name="SAPBEXHLevel3X 2 2 3 2" xfId="42918"/>
    <cellStyle name="SAPBEXHLevel3X 2 2 4" xfId="23939"/>
    <cellStyle name="SAPBEXHLevel3X 2 2 4 2" xfId="44811"/>
    <cellStyle name="SAPBEXHLevel3X 2 2 5" xfId="22169"/>
    <cellStyle name="SAPBEXHLevel3X 2 2 5 2" xfId="43044"/>
    <cellStyle name="SAPBEXHLevel3X 2 2 6" xfId="13470"/>
    <cellStyle name="SAPBEXHLevel3X 2 2 6 2" xfId="34346"/>
    <cellStyle name="SAPBEXHLevel3X 2 2 7" xfId="25608"/>
    <cellStyle name="SAPBEXHLevel3X 2 3" xfId="8410"/>
    <cellStyle name="SAPBEXHLevel3X 2 3 2" xfId="23099"/>
    <cellStyle name="SAPBEXHLevel3X 2 3 2 2" xfId="43972"/>
    <cellStyle name="SAPBEXHLevel3X 2 3 3" xfId="22292"/>
    <cellStyle name="SAPBEXHLevel3X 2 3 3 2" xfId="43167"/>
    <cellStyle name="SAPBEXHLevel3X 2 3 4" xfId="20988"/>
    <cellStyle name="SAPBEXHLevel3X 2 3 4 2" xfId="41863"/>
    <cellStyle name="SAPBEXHLevel3X 2 3 5" xfId="17415"/>
    <cellStyle name="SAPBEXHLevel3X 2 3 5 2" xfId="38291"/>
    <cellStyle name="SAPBEXHLevel3X 2 3 6" xfId="29553"/>
    <cellStyle name="SAPBEXHLevel3X 2 4" xfId="10296"/>
    <cellStyle name="SAPBEXHLevel3X 2 4 2" xfId="23581"/>
    <cellStyle name="SAPBEXHLevel3X 2 4 2 2" xfId="44453"/>
    <cellStyle name="SAPBEXHLevel3X 2 4 3" xfId="23182"/>
    <cellStyle name="SAPBEXHLevel3X 2 4 3 2" xfId="44055"/>
    <cellStyle name="SAPBEXHLevel3X 2 4 4" xfId="21606"/>
    <cellStyle name="SAPBEXHLevel3X 2 4 4 2" xfId="42481"/>
    <cellStyle name="SAPBEXHLevel3X 2 4 5" xfId="19067"/>
    <cellStyle name="SAPBEXHLevel3X 2 4 5 2" xfId="39943"/>
    <cellStyle name="SAPBEXHLevel3X 2 4 6" xfId="31207"/>
    <cellStyle name="SAPBEXHLevel3X 2 5" xfId="20927"/>
    <cellStyle name="SAPBEXHLevel3X 2 5 2" xfId="41802"/>
    <cellStyle name="SAPBEXHLevel3X 2 6" xfId="21145"/>
    <cellStyle name="SAPBEXHLevel3X 2 6 2" xfId="42020"/>
    <cellStyle name="SAPBEXHLevel3X 2 7" xfId="23343"/>
    <cellStyle name="SAPBEXHLevel3X 2 7 2" xfId="44215"/>
    <cellStyle name="SAPBEXHLevel3X 2 8" xfId="12162"/>
    <cellStyle name="SAPBEXHLevel3X 2 8 2" xfId="33062"/>
    <cellStyle name="SAPBEXHLevel3X 2 9" xfId="24209"/>
    <cellStyle name="SAPBEXHLevel3X 2 9 2" xfId="45077"/>
    <cellStyle name="SAPBEXHLevel3X 3" xfId="2809"/>
    <cellStyle name="SAPBEXHLevel3X 3 2" xfId="4436"/>
    <cellStyle name="SAPBEXHLevel3X 3 2 2" xfId="6280"/>
    <cellStyle name="SAPBEXHLevel3X 3 2 2 2" xfId="22585"/>
    <cellStyle name="SAPBEXHLevel3X 3 2 2 2 2" xfId="43460"/>
    <cellStyle name="SAPBEXHLevel3X 3 2 2 3" xfId="23297"/>
    <cellStyle name="SAPBEXHLevel3X 3 2 2 3 2" xfId="44169"/>
    <cellStyle name="SAPBEXHLevel3X 3 2 2 4" xfId="21348"/>
    <cellStyle name="SAPBEXHLevel3X 3 2 2 4 2" xfId="42223"/>
    <cellStyle name="SAPBEXHLevel3X 3 2 2 5" xfId="15289"/>
    <cellStyle name="SAPBEXHLevel3X 3 2 2 5 2" xfId="36165"/>
    <cellStyle name="SAPBEXHLevel3X 3 2 2 6" xfId="27427"/>
    <cellStyle name="SAPBEXHLevel3X 3 2 3" xfId="22044"/>
    <cellStyle name="SAPBEXHLevel3X 3 2 3 2" xfId="42919"/>
    <cellStyle name="SAPBEXHLevel3X 3 2 4" xfId="23199"/>
    <cellStyle name="SAPBEXHLevel3X 3 2 4 2" xfId="44072"/>
    <cellStyle name="SAPBEXHLevel3X 3 2 5" xfId="20970"/>
    <cellStyle name="SAPBEXHLevel3X 3 2 5 2" xfId="41845"/>
    <cellStyle name="SAPBEXHLevel3X 3 2 6" xfId="13471"/>
    <cellStyle name="SAPBEXHLevel3X 3 2 6 2" xfId="34347"/>
    <cellStyle name="SAPBEXHLevel3X 3 2 7" xfId="25609"/>
    <cellStyle name="SAPBEXHLevel3X 3 3" xfId="8411"/>
    <cellStyle name="SAPBEXHLevel3X 3 3 2" xfId="23100"/>
    <cellStyle name="SAPBEXHLevel3X 3 3 2 2" xfId="43973"/>
    <cellStyle name="SAPBEXHLevel3X 3 3 3" xfId="20986"/>
    <cellStyle name="SAPBEXHLevel3X 3 3 3 2" xfId="41861"/>
    <cellStyle name="SAPBEXHLevel3X 3 3 4" xfId="21197"/>
    <cellStyle name="SAPBEXHLevel3X 3 3 4 2" xfId="42072"/>
    <cellStyle name="SAPBEXHLevel3X 3 3 5" xfId="17416"/>
    <cellStyle name="SAPBEXHLevel3X 3 3 5 2" xfId="38292"/>
    <cellStyle name="SAPBEXHLevel3X 3 3 6" xfId="29554"/>
    <cellStyle name="SAPBEXHLevel3X 3 4" xfId="10297"/>
    <cellStyle name="SAPBEXHLevel3X 3 4 2" xfId="23582"/>
    <cellStyle name="SAPBEXHLevel3X 3 4 2 2" xfId="44454"/>
    <cellStyle name="SAPBEXHLevel3X 3 4 3" xfId="23320"/>
    <cellStyle name="SAPBEXHLevel3X 3 4 3 2" xfId="44192"/>
    <cellStyle name="SAPBEXHLevel3X 3 4 4" xfId="22174"/>
    <cellStyle name="SAPBEXHLevel3X 3 4 4 2" xfId="43049"/>
    <cellStyle name="SAPBEXHLevel3X 3 4 5" xfId="19068"/>
    <cellStyle name="SAPBEXHLevel3X 3 4 5 2" xfId="39944"/>
    <cellStyle name="SAPBEXHLevel3X 3 4 6" xfId="31208"/>
    <cellStyle name="SAPBEXHLevel3X 3 5" xfId="21546"/>
    <cellStyle name="SAPBEXHLevel3X 3 5 2" xfId="42421"/>
    <cellStyle name="SAPBEXHLevel3X 3 6" xfId="22316"/>
    <cellStyle name="SAPBEXHLevel3X 3 6 2" xfId="43191"/>
    <cellStyle name="SAPBEXHLevel3X 3 7" xfId="23747"/>
    <cellStyle name="SAPBEXHLevel3X 3 7 2" xfId="44619"/>
    <cellStyle name="SAPBEXHLevel3X 3 8" xfId="12308"/>
    <cellStyle name="SAPBEXHLevel3X 3 8 2" xfId="33197"/>
    <cellStyle name="SAPBEXHLevel3X 3 9" xfId="24438"/>
    <cellStyle name="SAPBEXHLevel3X 4" xfId="2810"/>
    <cellStyle name="SAPBEXHLevel3X 4 2" xfId="4437"/>
    <cellStyle name="SAPBEXHLevel3X 4 2 2" xfId="6281"/>
    <cellStyle name="SAPBEXHLevel3X 4 2 2 2" xfId="22586"/>
    <cellStyle name="SAPBEXHLevel3X 4 2 2 2 2" xfId="43461"/>
    <cellStyle name="SAPBEXHLevel3X 4 2 2 3" xfId="24094"/>
    <cellStyle name="SAPBEXHLevel3X 4 2 2 3 2" xfId="44965"/>
    <cellStyle name="SAPBEXHLevel3X 4 2 2 4" xfId="23361"/>
    <cellStyle name="SAPBEXHLevel3X 4 2 2 4 2" xfId="44233"/>
    <cellStyle name="SAPBEXHLevel3X 4 2 2 5" xfId="15290"/>
    <cellStyle name="SAPBEXHLevel3X 4 2 2 5 2" xfId="36166"/>
    <cellStyle name="SAPBEXHLevel3X 4 2 2 6" xfId="27428"/>
    <cellStyle name="SAPBEXHLevel3X 4 2 3" xfId="22045"/>
    <cellStyle name="SAPBEXHLevel3X 4 2 3 2" xfId="42920"/>
    <cellStyle name="SAPBEXHLevel3X 4 2 4" xfId="23748"/>
    <cellStyle name="SAPBEXHLevel3X 4 2 4 2" xfId="44620"/>
    <cellStyle name="SAPBEXHLevel3X 4 2 5" xfId="22234"/>
    <cellStyle name="SAPBEXHLevel3X 4 2 5 2" xfId="43109"/>
    <cellStyle name="SAPBEXHLevel3X 4 2 6" xfId="13472"/>
    <cellStyle name="SAPBEXHLevel3X 4 2 6 2" xfId="34348"/>
    <cellStyle name="SAPBEXHLevel3X 4 2 7" xfId="25610"/>
    <cellStyle name="SAPBEXHLevel3X 4 3" xfId="8412"/>
    <cellStyle name="SAPBEXHLevel3X 4 3 2" xfId="23101"/>
    <cellStyle name="SAPBEXHLevel3X 4 3 2 2" xfId="43974"/>
    <cellStyle name="SAPBEXHLevel3X 4 3 3" xfId="22223"/>
    <cellStyle name="SAPBEXHLevel3X 4 3 3 2" xfId="43098"/>
    <cellStyle name="SAPBEXHLevel3X 4 3 4" xfId="23694"/>
    <cellStyle name="SAPBEXHLevel3X 4 3 4 2" xfId="44566"/>
    <cellStyle name="SAPBEXHLevel3X 4 3 5" xfId="17417"/>
    <cellStyle name="SAPBEXHLevel3X 4 3 5 2" xfId="38293"/>
    <cellStyle name="SAPBEXHLevel3X 4 3 6" xfId="29555"/>
    <cellStyle name="SAPBEXHLevel3X 4 4" xfId="10298"/>
    <cellStyle name="SAPBEXHLevel3X 4 4 2" xfId="23583"/>
    <cellStyle name="SAPBEXHLevel3X 4 4 2 2" xfId="44455"/>
    <cellStyle name="SAPBEXHLevel3X 4 4 3" xfId="21629"/>
    <cellStyle name="SAPBEXHLevel3X 4 4 3 2" xfId="42504"/>
    <cellStyle name="SAPBEXHLevel3X 4 4 4" xfId="21140"/>
    <cellStyle name="SAPBEXHLevel3X 4 4 4 2" xfId="42015"/>
    <cellStyle name="SAPBEXHLevel3X 4 4 5" xfId="19069"/>
    <cellStyle name="SAPBEXHLevel3X 4 4 5 2" xfId="39945"/>
    <cellStyle name="SAPBEXHLevel3X 4 4 6" xfId="31209"/>
    <cellStyle name="SAPBEXHLevel3X 4 5" xfId="21547"/>
    <cellStyle name="SAPBEXHLevel3X 4 5 2" xfId="42422"/>
    <cellStyle name="SAPBEXHLevel3X 4 6" xfId="21607"/>
    <cellStyle name="SAPBEXHLevel3X 4 6 2" xfId="42482"/>
    <cellStyle name="SAPBEXHLevel3X 4 7" xfId="24056"/>
    <cellStyle name="SAPBEXHLevel3X 4 7 2" xfId="44928"/>
    <cellStyle name="SAPBEXHLevel3X 4 8" xfId="12309"/>
    <cellStyle name="SAPBEXHLevel3X 4 8 2" xfId="33198"/>
    <cellStyle name="SAPBEXHLevel3X 4 9" xfId="24439"/>
    <cellStyle name="SAPBEXHLevel3X 5" xfId="2811"/>
    <cellStyle name="SAPBEXHLevel3X 5 2" xfId="4438"/>
    <cellStyle name="SAPBEXHLevel3X 5 2 2" xfId="6282"/>
    <cellStyle name="SAPBEXHLevel3X 5 2 2 2" xfId="22587"/>
    <cellStyle name="SAPBEXHLevel3X 5 2 2 2 2" xfId="43462"/>
    <cellStyle name="SAPBEXHLevel3X 5 2 2 3" xfId="20861"/>
    <cellStyle name="SAPBEXHLevel3X 5 2 2 3 2" xfId="41737"/>
    <cellStyle name="SAPBEXHLevel3X 5 2 2 4" xfId="21667"/>
    <cellStyle name="SAPBEXHLevel3X 5 2 2 4 2" xfId="42542"/>
    <cellStyle name="SAPBEXHLevel3X 5 2 2 5" xfId="15291"/>
    <cellStyle name="SAPBEXHLevel3X 5 2 2 5 2" xfId="36167"/>
    <cellStyle name="SAPBEXHLevel3X 5 2 2 6" xfId="27429"/>
    <cellStyle name="SAPBEXHLevel3X 5 2 3" xfId="22046"/>
    <cellStyle name="SAPBEXHLevel3X 5 2 3 2" xfId="42921"/>
    <cellStyle name="SAPBEXHLevel3X 5 2 4" xfId="23836"/>
    <cellStyle name="SAPBEXHLevel3X 5 2 4 2" xfId="44708"/>
    <cellStyle name="SAPBEXHLevel3X 5 2 5" xfId="24110"/>
    <cellStyle name="SAPBEXHLevel3X 5 2 5 2" xfId="44981"/>
    <cellStyle name="SAPBEXHLevel3X 5 2 6" xfId="13473"/>
    <cellStyle name="SAPBEXHLevel3X 5 2 6 2" xfId="34349"/>
    <cellStyle name="SAPBEXHLevel3X 5 2 7" xfId="25611"/>
    <cellStyle name="SAPBEXHLevel3X 5 3" xfId="8413"/>
    <cellStyle name="SAPBEXHLevel3X 5 3 2" xfId="23102"/>
    <cellStyle name="SAPBEXHLevel3X 5 3 2 2" xfId="43975"/>
    <cellStyle name="SAPBEXHLevel3X 5 3 3" xfId="23244"/>
    <cellStyle name="SAPBEXHLevel3X 5 3 3 2" xfId="44117"/>
    <cellStyle name="SAPBEXHLevel3X 5 3 4" xfId="23346"/>
    <cellStyle name="SAPBEXHLevel3X 5 3 4 2" xfId="44218"/>
    <cellStyle name="SAPBEXHLevel3X 5 3 5" xfId="17418"/>
    <cellStyle name="SAPBEXHLevel3X 5 3 5 2" xfId="38294"/>
    <cellStyle name="SAPBEXHLevel3X 5 3 6" xfId="29556"/>
    <cellStyle name="SAPBEXHLevel3X 5 4" xfId="10299"/>
    <cellStyle name="SAPBEXHLevel3X 5 4 2" xfId="23584"/>
    <cellStyle name="SAPBEXHLevel3X 5 4 2 2" xfId="44456"/>
    <cellStyle name="SAPBEXHLevel3X 5 4 3" xfId="23658"/>
    <cellStyle name="SAPBEXHLevel3X 5 4 3 2" xfId="44530"/>
    <cellStyle name="SAPBEXHLevel3X 5 4 4" xfId="21362"/>
    <cellStyle name="SAPBEXHLevel3X 5 4 4 2" xfId="42237"/>
    <cellStyle name="SAPBEXHLevel3X 5 4 5" xfId="19070"/>
    <cellStyle name="SAPBEXHLevel3X 5 4 5 2" xfId="39946"/>
    <cellStyle name="SAPBEXHLevel3X 5 4 6" xfId="31210"/>
    <cellStyle name="SAPBEXHLevel3X 5 5" xfId="21548"/>
    <cellStyle name="SAPBEXHLevel3X 5 5 2" xfId="42423"/>
    <cellStyle name="SAPBEXHLevel3X 5 6" xfId="21687"/>
    <cellStyle name="SAPBEXHLevel3X 5 6 2" xfId="42562"/>
    <cellStyle name="SAPBEXHLevel3X 5 7" xfId="21216"/>
    <cellStyle name="SAPBEXHLevel3X 5 7 2" xfId="42091"/>
    <cellStyle name="SAPBEXHLevel3X 5 8" xfId="12310"/>
    <cellStyle name="SAPBEXHLevel3X 5 8 2" xfId="33199"/>
    <cellStyle name="SAPBEXHLevel3X 5 9" xfId="24440"/>
    <cellStyle name="SAPBEXHLevel3X 6" xfId="3833"/>
    <cellStyle name="SAPBEXHLevel3X 6 2" xfId="6062"/>
    <cellStyle name="SAPBEXHLevel3X 6 2 2" xfId="22421"/>
    <cellStyle name="SAPBEXHLevel3X 6 2 2 2" xfId="43296"/>
    <cellStyle name="SAPBEXHLevel3X 6 2 3" xfId="22445"/>
    <cellStyle name="SAPBEXHLevel3X 6 2 3 2" xfId="43320"/>
    <cellStyle name="SAPBEXHLevel3X 6 2 4" xfId="21350"/>
    <cellStyle name="SAPBEXHLevel3X 6 2 4 2" xfId="42225"/>
    <cellStyle name="SAPBEXHLevel3X 6 2 5" xfId="15071"/>
    <cellStyle name="SAPBEXHLevel3X 6 2 5 2" xfId="35947"/>
    <cellStyle name="SAPBEXHLevel3X 6 2 6" xfId="27209"/>
    <cellStyle name="SAPBEXHLevel3X 6 3" xfId="21807"/>
    <cellStyle name="SAPBEXHLevel3X 6 3 2" xfId="42682"/>
    <cellStyle name="SAPBEXHLevel3X 6 4" xfId="23218"/>
    <cellStyle name="SAPBEXHLevel3X 6 4 2" xfId="44091"/>
    <cellStyle name="SAPBEXHLevel3X 6 5" xfId="23993"/>
    <cellStyle name="SAPBEXHLevel3X 6 5 2" xfId="44865"/>
    <cellStyle name="SAPBEXHLevel3X 6 6" xfId="13253"/>
    <cellStyle name="SAPBEXHLevel3X 6 6 2" xfId="34129"/>
    <cellStyle name="SAPBEXHLevel3X 6 7" xfId="25391"/>
    <cellStyle name="SAPBEXHLevel3X 7" xfId="8409"/>
    <cellStyle name="SAPBEXHLevel3X 7 2" xfId="23098"/>
    <cellStyle name="SAPBEXHLevel3X 7 2 2" xfId="43971"/>
    <cellStyle name="SAPBEXHLevel3X 7 3" xfId="23350"/>
    <cellStyle name="SAPBEXHLevel3X 7 3 2" xfId="44222"/>
    <cellStyle name="SAPBEXHLevel3X 7 4" xfId="21031"/>
    <cellStyle name="SAPBEXHLevel3X 7 4 2" xfId="41906"/>
    <cellStyle name="SAPBEXHLevel3X 7 5" xfId="17414"/>
    <cellStyle name="SAPBEXHLevel3X 7 5 2" xfId="38290"/>
    <cellStyle name="SAPBEXHLevel3X 7 6" xfId="29552"/>
    <cellStyle name="SAPBEXHLevel3X 8" xfId="10295"/>
    <cellStyle name="SAPBEXHLevel3X 8 2" xfId="23580"/>
    <cellStyle name="SAPBEXHLevel3X 8 2 2" xfId="44452"/>
    <cellStyle name="SAPBEXHLevel3X 8 3" xfId="22862"/>
    <cellStyle name="SAPBEXHLevel3X 8 3 2" xfId="43736"/>
    <cellStyle name="SAPBEXHLevel3X 8 4" xfId="22272"/>
    <cellStyle name="SAPBEXHLevel3X 8 4 2" xfId="43147"/>
    <cellStyle name="SAPBEXHLevel3X 8 5" xfId="19066"/>
    <cellStyle name="SAPBEXHLevel3X 8 5 2" xfId="39942"/>
    <cellStyle name="SAPBEXHLevel3X 8 6" xfId="31206"/>
    <cellStyle name="SAPBEXHLevel3X 9" xfId="20926"/>
    <cellStyle name="SAPBEXHLevel3X 9 2" xfId="41801"/>
    <cellStyle name="SAPBEXinputData" xfId="2812"/>
    <cellStyle name="SAPBEXItemHeader" xfId="2813"/>
    <cellStyle name="SAPBEXItemHeader 10" xfId="22814"/>
    <cellStyle name="SAPBEXItemHeader 10 2" xfId="43689"/>
    <cellStyle name="SAPBEXItemHeader 11" xfId="22185"/>
    <cellStyle name="SAPBEXItemHeader 11 2" xfId="43060"/>
    <cellStyle name="SAPBEXItemHeader 12" xfId="12311"/>
    <cellStyle name="SAPBEXItemHeader 12 2" xfId="33200"/>
    <cellStyle name="SAPBEXItemHeader 13" xfId="24441"/>
    <cellStyle name="SAPBEXItemHeader 2" xfId="2814"/>
    <cellStyle name="SAPBEXItemHeader 2 2" xfId="4440"/>
    <cellStyle name="SAPBEXItemHeader 2 2 2" xfId="6284"/>
    <cellStyle name="SAPBEXItemHeader 2 2 2 2" xfId="22589"/>
    <cellStyle name="SAPBEXItemHeader 2 2 2 2 2" xfId="43464"/>
    <cellStyle name="SAPBEXItemHeader 2 2 2 3" xfId="23312"/>
    <cellStyle name="SAPBEXItemHeader 2 2 2 3 2" xfId="44184"/>
    <cellStyle name="SAPBEXItemHeader 2 2 2 4" xfId="21161"/>
    <cellStyle name="SAPBEXItemHeader 2 2 2 4 2" xfId="42036"/>
    <cellStyle name="SAPBEXItemHeader 2 2 2 5" xfId="15293"/>
    <cellStyle name="SAPBEXItemHeader 2 2 2 5 2" xfId="36169"/>
    <cellStyle name="SAPBEXItemHeader 2 2 2 6" xfId="27431"/>
    <cellStyle name="SAPBEXItemHeader 2 2 3" xfId="22048"/>
    <cellStyle name="SAPBEXItemHeader 2 2 3 2" xfId="42923"/>
    <cellStyle name="SAPBEXItemHeader 2 2 4" xfId="21162"/>
    <cellStyle name="SAPBEXItemHeader 2 2 4 2" xfId="42037"/>
    <cellStyle name="SAPBEXItemHeader 2 2 5" xfId="22904"/>
    <cellStyle name="SAPBEXItemHeader 2 2 5 2" xfId="43778"/>
    <cellStyle name="SAPBEXItemHeader 2 2 6" xfId="13475"/>
    <cellStyle name="SAPBEXItemHeader 2 2 6 2" xfId="34351"/>
    <cellStyle name="SAPBEXItemHeader 2 2 7" xfId="25613"/>
    <cellStyle name="SAPBEXItemHeader 2 3" xfId="8415"/>
    <cellStyle name="SAPBEXItemHeader 2 3 2" xfId="23104"/>
    <cellStyle name="SAPBEXItemHeader 2 3 2 2" xfId="43977"/>
    <cellStyle name="SAPBEXItemHeader 2 3 3" xfId="22781"/>
    <cellStyle name="SAPBEXItemHeader 2 3 3 2" xfId="43656"/>
    <cellStyle name="SAPBEXItemHeader 2 3 4" xfId="22243"/>
    <cellStyle name="SAPBEXItemHeader 2 3 4 2" xfId="43118"/>
    <cellStyle name="SAPBEXItemHeader 2 3 5" xfId="17420"/>
    <cellStyle name="SAPBEXItemHeader 2 3 5 2" xfId="38296"/>
    <cellStyle name="SAPBEXItemHeader 2 3 6" xfId="29558"/>
    <cellStyle name="SAPBEXItemHeader 2 4" xfId="21550"/>
    <cellStyle name="SAPBEXItemHeader 2 4 2" xfId="42425"/>
    <cellStyle name="SAPBEXItemHeader 2 5" xfId="21179"/>
    <cellStyle name="SAPBEXItemHeader 2 5 2" xfId="42054"/>
    <cellStyle name="SAPBEXItemHeader 2 6" xfId="22209"/>
    <cellStyle name="SAPBEXItemHeader 2 6 2" xfId="43084"/>
    <cellStyle name="SAPBEXItemHeader 2 7" xfId="12312"/>
    <cellStyle name="SAPBEXItemHeader 2 7 2" xfId="33201"/>
    <cellStyle name="SAPBEXItemHeader 2 8" xfId="24442"/>
    <cellStyle name="SAPBEXItemHeader 3" xfId="2815"/>
    <cellStyle name="SAPBEXItemHeader 3 2" xfId="4441"/>
    <cellStyle name="SAPBEXItemHeader 3 2 2" xfId="6285"/>
    <cellStyle name="SAPBEXItemHeader 3 2 2 2" xfId="22590"/>
    <cellStyle name="SAPBEXItemHeader 3 2 2 2 2" xfId="43465"/>
    <cellStyle name="SAPBEXItemHeader 3 2 2 3" xfId="24051"/>
    <cellStyle name="SAPBEXItemHeader 3 2 2 3 2" xfId="44923"/>
    <cellStyle name="SAPBEXItemHeader 3 2 2 4" xfId="22829"/>
    <cellStyle name="SAPBEXItemHeader 3 2 2 4 2" xfId="43704"/>
    <cellStyle name="SAPBEXItemHeader 3 2 2 5" xfId="15294"/>
    <cellStyle name="SAPBEXItemHeader 3 2 2 5 2" xfId="36170"/>
    <cellStyle name="SAPBEXItemHeader 3 2 2 6" xfId="27432"/>
    <cellStyle name="SAPBEXItemHeader 3 2 3" xfId="22049"/>
    <cellStyle name="SAPBEXItemHeader 3 2 3 2" xfId="42924"/>
    <cellStyle name="SAPBEXItemHeader 3 2 4" xfId="21280"/>
    <cellStyle name="SAPBEXItemHeader 3 2 4 2" xfId="42155"/>
    <cellStyle name="SAPBEXItemHeader 3 2 5" xfId="22116"/>
    <cellStyle name="SAPBEXItemHeader 3 2 5 2" xfId="42991"/>
    <cellStyle name="SAPBEXItemHeader 3 2 6" xfId="13476"/>
    <cellStyle name="SAPBEXItemHeader 3 2 6 2" xfId="34352"/>
    <cellStyle name="SAPBEXItemHeader 3 2 7" xfId="25614"/>
    <cellStyle name="SAPBEXItemHeader 3 3" xfId="8416"/>
    <cellStyle name="SAPBEXItemHeader 3 3 2" xfId="23105"/>
    <cellStyle name="SAPBEXItemHeader 3 3 2 2" xfId="43978"/>
    <cellStyle name="SAPBEXItemHeader 3 3 3" xfId="21924"/>
    <cellStyle name="SAPBEXItemHeader 3 3 3 2" xfId="42799"/>
    <cellStyle name="SAPBEXItemHeader 3 3 4" xfId="23330"/>
    <cellStyle name="SAPBEXItemHeader 3 3 4 2" xfId="44202"/>
    <cellStyle name="SAPBEXItemHeader 3 3 5" xfId="17421"/>
    <cellStyle name="SAPBEXItemHeader 3 3 5 2" xfId="38297"/>
    <cellStyle name="SAPBEXItemHeader 3 3 6" xfId="29559"/>
    <cellStyle name="SAPBEXItemHeader 3 4" xfId="21551"/>
    <cellStyle name="SAPBEXItemHeader 3 4 2" xfId="42426"/>
    <cellStyle name="SAPBEXItemHeader 3 5" xfId="21302"/>
    <cellStyle name="SAPBEXItemHeader 3 5 2" xfId="42177"/>
    <cellStyle name="SAPBEXItemHeader 3 6" xfId="23800"/>
    <cellStyle name="SAPBEXItemHeader 3 6 2" xfId="44672"/>
    <cellStyle name="SAPBEXItemHeader 3 7" xfId="12313"/>
    <cellStyle name="SAPBEXItemHeader 3 7 2" xfId="33202"/>
    <cellStyle name="SAPBEXItemHeader 3 8" xfId="24443"/>
    <cellStyle name="SAPBEXItemHeader 4" xfId="2816"/>
    <cellStyle name="SAPBEXItemHeader 4 2" xfId="4442"/>
    <cellStyle name="SAPBEXItemHeader 4 2 2" xfId="6286"/>
    <cellStyle name="SAPBEXItemHeader 4 2 2 2" xfId="22591"/>
    <cellStyle name="SAPBEXItemHeader 4 2 2 2 2" xfId="43466"/>
    <cellStyle name="SAPBEXItemHeader 4 2 2 3" xfId="21168"/>
    <cellStyle name="SAPBEXItemHeader 4 2 2 3 2" xfId="42043"/>
    <cellStyle name="SAPBEXItemHeader 4 2 2 4" xfId="22353"/>
    <cellStyle name="SAPBEXItemHeader 4 2 2 4 2" xfId="43228"/>
    <cellStyle name="SAPBEXItemHeader 4 2 2 5" xfId="15295"/>
    <cellStyle name="SAPBEXItemHeader 4 2 2 5 2" xfId="36171"/>
    <cellStyle name="SAPBEXItemHeader 4 2 2 6" xfId="27433"/>
    <cellStyle name="SAPBEXItemHeader 4 2 3" xfId="22050"/>
    <cellStyle name="SAPBEXItemHeader 4 2 3 2" xfId="42925"/>
    <cellStyle name="SAPBEXItemHeader 4 2 4" xfId="21376"/>
    <cellStyle name="SAPBEXItemHeader 4 2 4 2" xfId="42251"/>
    <cellStyle name="SAPBEXItemHeader 4 2 5" xfId="21128"/>
    <cellStyle name="SAPBEXItemHeader 4 2 5 2" xfId="42003"/>
    <cellStyle name="SAPBEXItemHeader 4 2 6" xfId="13477"/>
    <cellStyle name="SAPBEXItemHeader 4 2 6 2" xfId="34353"/>
    <cellStyle name="SAPBEXItemHeader 4 2 7" xfId="25615"/>
    <cellStyle name="SAPBEXItemHeader 4 3" xfId="8417"/>
    <cellStyle name="SAPBEXItemHeader 4 3 2" xfId="23106"/>
    <cellStyle name="SAPBEXItemHeader 4 3 2 2" xfId="43979"/>
    <cellStyle name="SAPBEXItemHeader 4 3 3" xfId="21774"/>
    <cellStyle name="SAPBEXItemHeader 4 3 3 2" xfId="42649"/>
    <cellStyle name="SAPBEXItemHeader 4 3 4" xfId="21141"/>
    <cellStyle name="SAPBEXItemHeader 4 3 4 2" xfId="42016"/>
    <cellStyle name="SAPBEXItemHeader 4 3 5" xfId="17422"/>
    <cellStyle name="SAPBEXItemHeader 4 3 5 2" xfId="38298"/>
    <cellStyle name="SAPBEXItemHeader 4 3 6" xfId="29560"/>
    <cellStyle name="SAPBEXItemHeader 4 4" xfId="21552"/>
    <cellStyle name="SAPBEXItemHeader 4 4 2" xfId="42427"/>
    <cellStyle name="SAPBEXItemHeader 4 5" xfId="21084"/>
    <cellStyle name="SAPBEXItemHeader 4 5 2" xfId="41959"/>
    <cellStyle name="SAPBEXItemHeader 4 6" xfId="23831"/>
    <cellStyle name="SAPBEXItemHeader 4 6 2" xfId="44703"/>
    <cellStyle name="SAPBEXItemHeader 4 7" xfId="12314"/>
    <cellStyle name="SAPBEXItemHeader 4 7 2" xfId="33203"/>
    <cellStyle name="SAPBEXItemHeader 4 8" xfId="24444"/>
    <cellStyle name="SAPBEXItemHeader 5" xfId="2817"/>
    <cellStyle name="SAPBEXItemHeader 5 2" xfId="4443"/>
    <cellStyle name="SAPBEXItemHeader 5 2 2" xfId="6287"/>
    <cellStyle name="SAPBEXItemHeader 5 2 2 2" xfId="22592"/>
    <cellStyle name="SAPBEXItemHeader 5 2 2 2 2" xfId="43467"/>
    <cellStyle name="SAPBEXItemHeader 5 2 2 3" xfId="21010"/>
    <cellStyle name="SAPBEXItemHeader 5 2 2 3 2" xfId="41885"/>
    <cellStyle name="SAPBEXItemHeader 5 2 2 4" xfId="23801"/>
    <cellStyle name="SAPBEXItemHeader 5 2 2 4 2" xfId="44673"/>
    <cellStyle name="SAPBEXItemHeader 5 2 2 5" xfId="15296"/>
    <cellStyle name="SAPBEXItemHeader 5 2 2 5 2" xfId="36172"/>
    <cellStyle name="SAPBEXItemHeader 5 2 2 6" xfId="27434"/>
    <cellStyle name="SAPBEXItemHeader 5 2 3" xfId="22051"/>
    <cellStyle name="SAPBEXItemHeader 5 2 3 2" xfId="42926"/>
    <cellStyle name="SAPBEXItemHeader 5 2 4" xfId="23408"/>
    <cellStyle name="SAPBEXItemHeader 5 2 4 2" xfId="44280"/>
    <cellStyle name="SAPBEXItemHeader 5 2 5" xfId="23253"/>
    <cellStyle name="SAPBEXItemHeader 5 2 5 2" xfId="44126"/>
    <cellStyle name="SAPBEXItemHeader 5 2 6" xfId="13478"/>
    <cellStyle name="SAPBEXItemHeader 5 2 6 2" xfId="34354"/>
    <cellStyle name="SAPBEXItemHeader 5 2 7" xfId="25616"/>
    <cellStyle name="SAPBEXItemHeader 5 3" xfId="8418"/>
    <cellStyle name="SAPBEXItemHeader 5 3 2" xfId="23107"/>
    <cellStyle name="SAPBEXItemHeader 5 3 2 2" xfId="43980"/>
    <cellStyle name="SAPBEXItemHeader 5 3 3" xfId="23372"/>
    <cellStyle name="SAPBEXItemHeader 5 3 3 2" xfId="44244"/>
    <cellStyle name="SAPBEXItemHeader 5 3 4" xfId="21364"/>
    <cellStyle name="SAPBEXItemHeader 5 3 4 2" xfId="42239"/>
    <cellStyle name="SAPBEXItemHeader 5 3 5" xfId="17423"/>
    <cellStyle name="SAPBEXItemHeader 5 3 5 2" xfId="38299"/>
    <cellStyle name="SAPBEXItemHeader 5 3 6" xfId="29561"/>
    <cellStyle name="SAPBEXItemHeader 5 4" xfId="21553"/>
    <cellStyle name="SAPBEXItemHeader 5 4 2" xfId="42428"/>
    <cellStyle name="SAPBEXItemHeader 5 5" xfId="21864"/>
    <cellStyle name="SAPBEXItemHeader 5 5 2" xfId="42739"/>
    <cellStyle name="SAPBEXItemHeader 5 6" xfId="22813"/>
    <cellStyle name="SAPBEXItemHeader 5 6 2" xfId="43688"/>
    <cellStyle name="SAPBEXItemHeader 5 7" xfId="12315"/>
    <cellStyle name="SAPBEXItemHeader 5 7 2" xfId="33204"/>
    <cellStyle name="SAPBEXItemHeader 5 8" xfId="24445"/>
    <cellStyle name="SAPBEXItemHeader 6" xfId="2818"/>
    <cellStyle name="SAPBEXItemHeader 6 2" xfId="4444"/>
    <cellStyle name="SAPBEXItemHeader 6 2 2" xfId="6288"/>
    <cellStyle name="SAPBEXItemHeader 6 2 2 2" xfId="22593"/>
    <cellStyle name="SAPBEXItemHeader 6 2 2 2 2" xfId="43468"/>
    <cellStyle name="SAPBEXItemHeader 6 2 2 3" xfId="21072"/>
    <cellStyle name="SAPBEXItemHeader 6 2 2 3 2" xfId="41947"/>
    <cellStyle name="SAPBEXItemHeader 6 2 2 4" xfId="22285"/>
    <cellStyle name="SAPBEXItemHeader 6 2 2 4 2" xfId="43160"/>
    <cellStyle name="SAPBEXItemHeader 6 2 2 5" xfId="15297"/>
    <cellStyle name="SAPBEXItemHeader 6 2 2 5 2" xfId="36173"/>
    <cellStyle name="SAPBEXItemHeader 6 2 2 6" xfId="27435"/>
    <cellStyle name="SAPBEXItemHeader 6 2 3" xfId="22052"/>
    <cellStyle name="SAPBEXItemHeader 6 2 3 2" xfId="42927"/>
    <cellStyle name="SAPBEXItemHeader 6 2 4" xfId="21639"/>
    <cellStyle name="SAPBEXItemHeader 6 2 4 2" xfId="42514"/>
    <cellStyle name="SAPBEXItemHeader 6 2 5" xfId="21150"/>
    <cellStyle name="SAPBEXItemHeader 6 2 5 2" xfId="42025"/>
    <cellStyle name="SAPBEXItemHeader 6 2 6" xfId="13479"/>
    <cellStyle name="SAPBEXItemHeader 6 2 6 2" xfId="34355"/>
    <cellStyle name="SAPBEXItemHeader 6 2 7" xfId="25617"/>
    <cellStyle name="SAPBEXItemHeader 6 3" xfId="8419"/>
    <cellStyle name="SAPBEXItemHeader 6 3 2" xfId="23108"/>
    <cellStyle name="SAPBEXItemHeader 6 3 2 2" xfId="43981"/>
    <cellStyle name="SAPBEXItemHeader 6 3 3" xfId="21698"/>
    <cellStyle name="SAPBEXItemHeader 6 3 3 2" xfId="42573"/>
    <cellStyle name="SAPBEXItemHeader 6 3 4" xfId="21269"/>
    <cellStyle name="SAPBEXItemHeader 6 3 4 2" xfId="42144"/>
    <cellStyle name="SAPBEXItemHeader 6 3 5" xfId="17424"/>
    <cellStyle name="SAPBEXItemHeader 6 3 5 2" xfId="38300"/>
    <cellStyle name="SAPBEXItemHeader 6 3 6" xfId="29562"/>
    <cellStyle name="SAPBEXItemHeader 6 4" xfId="21554"/>
    <cellStyle name="SAPBEXItemHeader 6 4 2" xfId="42429"/>
    <cellStyle name="SAPBEXItemHeader 6 5" xfId="22635"/>
    <cellStyle name="SAPBEXItemHeader 6 5 2" xfId="43510"/>
    <cellStyle name="SAPBEXItemHeader 6 6" xfId="23438"/>
    <cellStyle name="SAPBEXItemHeader 6 6 2" xfId="44310"/>
    <cellStyle name="SAPBEXItemHeader 6 7" xfId="12316"/>
    <cellStyle name="SAPBEXItemHeader 6 7 2" xfId="33205"/>
    <cellStyle name="SAPBEXItemHeader 6 8" xfId="24446"/>
    <cellStyle name="SAPBEXItemHeader 7" xfId="4439"/>
    <cellStyle name="SAPBEXItemHeader 7 2" xfId="6283"/>
    <cellStyle name="SAPBEXItemHeader 7 2 2" xfId="22588"/>
    <cellStyle name="SAPBEXItemHeader 7 2 2 2" xfId="43463"/>
    <cellStyle name="SAPBEXItemHeader 7 2 3" xfId="23669"/>
    <cellStyle name="SAPBEXItemHeader 7 2 3 2" xfId="44541"/>
    <cellStyle name="SAPBEXItemHeader 7 2 4" xfId="24013"/>
    <cellStyle name="SAPBEXItemHeader 7 2 4 2" xfId="44885"/>
    <cellStyle name="SAPBEXItemHeader 7 2 5" xfId="15292"/>
    <cellStyle name="SAPBEXItemHeader 7 2 5 2" xfId="36168"/>
    <cellStyle name="SAPBEXItemHeader 7 2 6" xfId="27430"/>
    <cellStyle name="SAPBEXItemHeader 7 3" xfId="22047"/>
    <cellStyle name="SAPBEXItemHeader 7 3 2" xfId="42922"/>
    <cellStyle name="SAPBEXItemHeader 7 4" xfId="24060"/>
    <cellStyle name="SAPBEXItemHeader 7 4 2" xfId="44932"/>
    <cellStyle name="SAPBEXItemHeader 7 5" xfId="22786"/>
    <cellStyle name="SAPBEXItemHeader 7 5 2" xfId="43661"/>
    <cellStyle name="SAPBEXItemHeader 7 6" xfId="13474"/>
    <cellStyle name="SAPBEXItemHeader 7 6 2" xfId="34350"/>
    <cellStyle name="SAPBEXItemHeader 7 7" xfId="25612"/>
    <cellStyle name="SAPBEXItemHeader 8" xfId="8414"/>
    <cellStyle name="SAPBEXItemHeader 8 2" xfId="23103"/>
    <cellStyle name="SAPBEXItemHeader 8 2 2" xfId="43976"/>
    <cellStyle name="SAPBEXItemHeader 8 3" xfId="23678"/>
    <cellStyle name="SAPBEXItemHeader 8 3 2" xfId="44550"/>
    <cellStyle name="SAPBEXItemHeader 8 4" xfId="22763"/>
    <cellStyle name="SAPBEXItemHeader 8 4 2" xfId="43638"/>
    <cellStyle name="SAPBEXItemHeader 8 5" xfId="17419"/>
    <cellStyle name="SAPBEXItemHeader 8 5 2" xfId="38295"/>
    <cellStyle name="SAPBEXItemHeader 8 6" xfId="29557"/>
    <cellStyle name="SAPBEXItemHeader 9" xfId="21549"/>
    <cellStyle name="SAPBEXItemHeader 9 2" xfId="42424"/>
    <cellStyle name="SAPBEXresData" xfId="1169"/>
    <cellStyle name="SAPBEXresData 10" xfId="21156"/>
    <cellStyle name="SAPBEXresData 10 2" xfId="42031"/>
    <cellStyle name="SAPBEXresData 11" xfId="23322"/>
    <cellStyle name="SAPBEXresData 11 2" xfId="44194"/>
    <cellStyle name="SAPBEXresData 12" xfId="12163"/>
    <cellStyle name="SAPBEXresData 12 2" xfId="33063"/>
    <cellStyle name="SAPBEXresData 13" xfId="24142"/>
    <cellStyle name="SAPBEXresData 13 2" xfId="45012"/>
    <cellStyle name="SAPBEXresData 14" xfId="24275"/>
    <cellStyle name="SAPBEXresData 14 2" xfId="45136"/>
    <cellStyle name="SAPBEXresData 2" xfId="2819"/>
    <cellStyle name="SAPBEXresData 2 10" xfId="24447"/>
    <cellStyle name="SAPBEXresData 2 2" xfId="4445"/>
    <cellStyle name="SAPBEXresData 2 2 2" xfId="6289"/>
    <cellStyle name="SAPBEXresData 2 2 2 2" xfId="22594"/>
    <cellStyle name="SAPBEXresData 2 2 2 2 2" xfId="43469"/>
    <cellStyle name="SAPBEXresData 2 2 2 3" xfId="23409"/>
    <cellStyle name="SAPBEXresData 2 2 2 3 2" xfId="44281"/>
    <cellStyle name="SAPBEXresData 2 2 2 4" xfId="21051"/>
    <cellStyle name="SAPBEXresData 2 2 2 4 2" xfId="41926"/>
    <cellStyle name="SAPBEXresData 2 2 2 5" xfId="15298"/>
    <cellStyle name="SAPBEXresData 2 2 2 5 2" xfId="36174"/>
    <cellStyle name="SAPBEXresData 2 2 2 6" xfId="27436"/>
    <cellStyle name="SAPBEXresData 2 2 3" xfId="22053"/>
    <cellStyle name="SAPBEXresData 2 2 3 2" xfId="42928"/>
    <cellStyle name="SAPBEXresData 2 2 4" xfId="23868"/>
    <cellStyle name="SAPBEXresData 2 2 4 2" xfId="44740"/>
    <cellStyle name="SAPBEXresData 2 2 5" xfId="21852"/>
    <cellStyle name="SAPBEXresData 2 2 5 2" xfId="42727"/>
    <cellStyle name="SAPBEXresData 2 2 6" xfId="13480"/>
    <cellStyle name="SAPBEXresData 2 2 6 2" xfId="34356"/>
    <cellStyle name="SAPBEXresData 2 2 7" xfId="25618"/>
    <cellStyle name="SAPBEXresData 2 3" xfId="8421"/>
    <cellStyle name="SAPBEXresData 2 3 2" xfId="23110"/>
    <cellStyle name="SAPBEXresData 2 3 2 2" xfId="43983"/>
    <cellStyle name="SAPBEXresData 2 3 3" xfId="21632"/>
    <cellStyle name="SAPBEXresData 2 3 3 2" xfId="42507"/>
    <cellStyle name="SAPBEXresData 2 3 4" xfId="24080"/>
    <cellStyle name="SAPBEXresData 2 3 4 2" xfId="44952"/>
    <cellStyle name="SAPBEXresData 2 3 5" xfId="17426"/>
    <cellStyle name="SAPBEXresData 2 3 5 2" xfId="38302"/>
    <cellStyle name="SAPBEXresData 2 3 6" xfId="29564"/>
    <cellStyle name="SAPBEXresData 2 4" xfId="10301"/>
    <cellStyle name="SAPBEXresData 2 4 2" xfId="23586"/>
    <cellStyle name="SAPBEXresData 2 4 2 2" xfId="44458"/>
    <cellStyle name="SAPBEXresData 2 4 3" xfId="21664"/>
    <cellStyle name="SAPBEXresData 2 4 3 2" xfId="42539"/>
    <cellStyle name="SAPBEXresData 2 4 4" xfId="20858"/>
    <cellStyle name="SAPBEXresData 2 4 4 2" xfId="41734"/>
    <cellStyle name="SAPBEXresData 2 4 5" xfId="19072"/>
    <cellStyle name="SAPBEXresData 2 4 5 2" xfId="39948"/>
    <cellStyle name="SAPBEXresData 2 4 6" xfId="31212"/>
    <cellStyle name="SAPBEXresData 2 5" xfId="20929"/>
    <cellStyle name="SAPBEXresData 2 5 2" xfId="41804"/>
    <cellStyle name="SAPBEXresData 2 6" xfId="23711"/>
    <cellStyle name="SAPBEXresData 2 6 2" xfId="44583"/>
    <cellStyle name="SAPBEXresData 2 7" xfId="21023"/>
    <cellStyle name="SAPBEXresData 2 7 2" xfId="41898"/>
    <cellStyle name="SAPBEXresData 2 8" xfId="12164"/>
    <cellStyle name="SAPBEXresData 2 8 2" xfId="33064"/>
    <cellStyle name="SAPBEXresData 2 9" xfId="24210"/>
    <cellStyle name="SAPBEXresData 2 9 2" xfId="45078"/>
    <cellStyle name="SAPBEXresData 3" xfId="2820"/>
    <cellStyle name="SAPBEXresData 3 2" xfId="4446"/>
    <cellStyle name="SAPBEXresData 3 2 2" xfId="6290"/>
    <cellStyle name="SAPBEXresData 3 2 2 2" xfId="22595"/>
    <cellStyle name="SAPBEXresData 3 2 2 2 2" xfId="43470"/>
    <cellStyle name="SAPBEXresData 3 2 2 3" xfId="23633"/>
    <cellStyle name="SAPBEXresData 3 2 2 3 2" xfId="44505"/>
    <cellStyle name="SAPBEXresData 3 2 2 4" xfId="23313"/>
    <cellStyle name="SAPBEXresData 3 2 2 4 2" xfId="44185"/>
    <cellStyle name="SAPBEXresData 3 2 2 5" xfId="15299"/>
    <cellStyle name="SAPBEXresData 3 2 2 5 2" xfId="36175"/>
    <cellStyle name="SAPBEXresData 3 2 2 6" xfId="27437"/>
    <cellStyle name="SAPBEXresData 3 2 3" xfId="22054"/>
    <cellStyle name="SAPBEXresData 3 2 3 2" xfId="42929"/>
    <cellStyle name="SAPBEXresData 3 2 4" xfId="23158"/>
    <cellStyle name="SAPBEXresData 3 2 4 2" xfId="44031"/>
    <cellStyle name="SAPBEXresData 3 2 5" xfId="21287"/>
    <cellStyle name="SAPBEXresData 3 2 5 2" xfId="42162"/>
    <cellStyle name="SAPBEXresData 3 2 6" xfId="13481"/>
    <cellStyle name="SAPBEXresData 3 2 6 2" xfId="34357"/>
    <cellStyle name="SAPBEXresData 3 2 7" xfId="25619"/>
    <cellStyle name="SAPBEXresData 3 3" xfId="8422"/>
    <cellStyle name="SAPBEXresData 3 3 2" xfId="23111"/>
    <cellStyle name="SAPBEXresData 3 3 2 2" xfId="43984"/>
    <cellStyle name="SAPBEXresData 3 3 3" xfId="21234"/>
    <cellStyle name="SAPBEXresData 3 3 3 2" xfId="42109"/>
    <cellStyle name="SAPBEXresData 3 3 4" xfId="22679"/>
    <cellStyle name="SAPBEXresData 3 3 4 2" xfId="43554"/>
    <cellStyle name="SAPBEXresData 3 3 5" xfId="17427"/>
    <cellStyle name="SAPBEXresData 3 3 5 2" xfId="38303"/>
    <cellStyle name="SAPBEXresData 3 3 6" xfId="29565"/>
    <cellStyle name="SAPBEXresData 3 4" xfId="10302"/>
    <cellStyle name="SAPBEXresData 3 4 2" xfId="23587"/>
    <cellStyle name="SAPBEXresData 3 4 2 2" xfId="44459"/>
    <cellStyle name="SAPBEXresData 3 4 3" xfId="23843"/>
    <cellStyle name="SAPBEXresData 3 4 3 2" xfId="44715"/>
    <cellStyle name="SAPBEXresData 3 4 4" xfId="24082"/>
    <cellStyle name="SAPBEXresData 3 4 4 2" xfId="44954"/>
    <cellStyle name="SAPBEXresData 3 4 5" xfId="19073"/>
    <cellStyle name="SAPBEXresData 3 4 5 2" xfId="39949"/>
    <cellStyle name="SAPBEXresData 3 4 6" xfId="31213"/>
    <cellStyle name="SAPBEXresData 3 5" xfId="21555"/>
    <cellStyle name="SAPBEXresData 3 5 2" xfId="42430"/>
    <cellStyle name="SAPBEXresData 3 6" xfId="23860"/>
    <cellStyle name="SAPBEXresData 3 6 2" xfId="44732"/>
    <cellStyle name="SAPBEXresData 3 7" xfId="21690"/>
    <cellStyle name="SAPBEXresData 3 7 2" xfId="42565"/>
    <cellStyle name="SAPBEXresData 3 8" xfId="12317"/>
    <cellStyle name="SAPBEXresData 3 8 2" xfId="33206"/>
    <cellStyle name="SAPBEXresData 3 9" xfId="24448"/>
    <cellStyle name="SAPBEXresData 4" xfId="2821"/>
    <cellStyle name="SAPBEXresData 4 2" xfId="4447"/>
    <cellStyle name="SAPBEXresData 4 2 2" xfId="6291"/>
    <cellStyle name="SAPBEXresData 4 2 2 2" xfId="22596"/>
    <cellStyle name="SAPBEXresData 4 2 2 2 2" xfId="43471"/>
    <cellStyle name="SAPBEXresData 4 2 2 3" xfId="22916"/>
    <cellStyle name="SAPBEXresData 4 2 2 3 2" xfId="43790"/>
    <cellStyle name="SAPBEXresData 4 2 2 4" xfId="23739"/>
    <cellStyle name="SAPBEXresData 4 2 2 4 2" xfId="44611"/>
    <cellStyle name="SAPBEXresData 4 2 2 5" xfId="15300"/>
    <cellStyle name="SAPBEXresData 4 2 2 5 2" xfId="36176"/>
    <cellStyle name="SAPBEXresData 4 2 2 6" xfId="27438"/>
    <cellStyle name="SAPBEXresData 4 2 3" xfId="22055"/>
    <cellStyle name="SAPBEXresData 4 2 3 2" xfId="42930"/>
    <cellStyle name="SAPBEXresData 4 2 4" xfId="23433"/>
    <cellStyle name="SAPBEXresData 4 2 4 2" xfId="44305"/>
    <cellStyle name="SAPBEXresData 4 2 5" xfId="21345"/>
    <cellStyle name="SAPBEXresData 4 2 5 2" xfId="42220"/>
    <cellStyle name="SAPBEXresData 4 2 6" xfId="13482"/>
    <cellStyle name="SAPBEXresData 4 2 6 2" xfId="34358"/>
    <cellStyle name="SAPBEXresData 4 2 7" xfId="25620"/>
    <cellStyle name="SAPBEXresData 4 3" xfId="8423"/>
    <cellStyle name="SAPBEXresData 4 3 2" xfId="23112"/>
    <cellStyle name="SAPBEXresData 4 3 2 2" xfId="43985"/>
    <cellStyle name="SAPBEXresData 4 3 3" xfId="21778"/>
    <cellStyle name="SAPBEXresData 4 3 3 2" xfId="42653"/>
    <cellStyle name="SAPBEXresData 4 3 4" xfId="23863"/>
    <cellStyle name="SAPBEXresData 4 3 4 2" xfId="44735"/>
    <cellStyle name="SAPBEXresData 4 3 5" xfId="17428"/>
    <cellStyle name="SAPBEXresData 4 3 5 2" xfId="38304"/>
    <cellStyle name="SAPBEXresData 4 3 6" xfId="29566"/>
    <cellStyle name="SAPBEXresData 4 4" xfId="10303"/>
    <cellStyle name="SAPBEXresData 4 4 2" xfId="23588"/>
    <cellStyle name="SAPBEXresData 4 4 2 2" xfId="44460"/>
    <cellStyle name="SAPBEXresData 4 4 3" xfId="21753"/>
    <cellStyle name="SAPBEXresData 4 4 3 2" xfId="42628"/>
    <cellStyle name="SAPBEXresData 4 4 4" xfId="22192"/>
    <cellStyle name="SAPBEXresData 4 4 4 2" xfId="43067"/>
    <cellStyle name="SAPBEXresData 4 4 5" xfId="19074"/>
    <cellStyle name="SAPBEXresData 4 4 5 2" xfId="39950"/>
    <cellStyle name="SAPBEXresData 4 4 6" xfId="31214"/>
    <cellStyle name="SAPBEXresData 4 5" xfId="21556"/>
    <cellStyle name="SAPBEXresData 4 5 2" xfId="42431"/>
    <cellStyle name="SAPBEXresData 4 6" xfId="21737"/>
    <cellStyle name="SAPBEXresData 4 6 2" xfId="42612"/>
    <cellStyle name="SAPBEXresData 4 7" xfId="23418"/>
    <cellStyle name="SAPBEXresData 4 7 2" xfId="44290"/>
    <cellStyle name="SAPBEXresData 4 8" xfId="12318"/>
    <cellStyle name="SAPBEXresData 4 8 2" xfId="33207"/>
    <cellStyle name="SAPBEXresData 4 9" xfId="24449"/>
    <cellStyle name="SAPBEXresData 5" xfId="2822"/>
    <cellStyle name="SAPBEXresData 5 2" xfId="4448"/>
    <cellStyle name="SAPBEXresData 5 2 2" xfId="6292"/>
    <cellStyle name="SAPBEXresData 5 2 2 2" xfId="22597"/>
    <cellStyle name="SAPBEXresData 5 2 2 2 2" xfId="43472"/>
    <cellStyle name="SAPBEXresData 5 2 2 3" xfId="22840"/>
    <cellStyle name="SAPBEXresData 5 2 2 3 2" xfId="43715"/>
    <cellStyle name="SAPBEXresData 5 2 2 4" xfId="21381"/>
    <cellStyle name="SAPBEXresData 5 2 2 4 2" xfId="42256"/>
    <cellStyle name="SAPBEXresData 5 2 2 5" xfId="15301"/>
    <cellStyle name="SAPBEXresData 5 2 2 5 2" xfId="36177"/>
    <cellStyle name="SAPBEXresData 5 2 2 6" xfId="27439"/>
    <cellStyle name="SAPBEXresData 5 2 3" xfId="22056"/>
    <cellStyle name="SAPBEXresData 5 2 3 2" xfId="42931"/>
    <cellStyle name="SAPBEXresData 5 2 4" xfId="21655"/>
    <cellStyle name="SAPBEXresData 5 2 4 2" xfId="42530"/>
    <cellStyle name="SAPBEXresData 5 2 5" xfId="23945"/>
    <cellStyle name="SAPBEXresData 5 2 5 2" xfId="44817"/>
    <cellStyle name="SAPBEXresData 5 2 6" xfId="13483"/>
    <cellStyle name="SAPBEXresData 5 2 6 2" xfId="34359"/>
    <cellStyle name="SAPBEXresData 5 2 7" xfId="25621"/>
    <cellStyle name="SAPBEXresData 5 3" xfId="8424"/>
    <cellStyle name="SAPBEXresData 5 3 2" xfId="23113"/>
    <cellStyle name="SAPBEXresData 5 3 2 2" xfId="43986"/>
    <cellStyle name="SAPBEXresData 5 3 3" xfId="22703"/>
    <cellStyle name="SAPBEXresData 5 3 3 2" xfId="43578"/>
    <cellStyle name="SAPBEXresData 5 3 4" xfId="23953"/>
    <cellStyle name="SAPBEXresData 5 3 4 2" xfId="44825"/>
    <cellStyle name="SAPBEXresData 5 3 5" xfId="17429"/>
    <cellStyle name="SAPBEXresData 5 3 5 2" xfId="38305"/>
    <cellStyle name="SAPBEXresData 5 3 6" xfId="29567"/>
    <cellStyle name="SAPBEXresData 5 4" xfId="10304"/>
    <cellStyle name="SAPBEXresData 5 4 2" xfId="23589"/>
    <cellStyle name="SAPBEXresData 5 4 2 2" xfId="44461"/>
    <cellStyle name="SAPBEXresData 5 4 3" xfId="22382"/>
    <cellStyle name="SAPBEXresData 5 4 3 2" xfId="43257"/>
    <cellStyle name="SAPBEXresData 5 4 4" xfId="22236"/>
    <cellStyle name="SAPBEXresData 5 4 4 2" xfId="43111"/>
    <cellStyle name="SAPBEXresData 5 4 5" xfId="19075"/>
    <cellStyle name="SAPBEXresData 5 4 5 2" xfId="39951"/>
    <cellStyle name="SAPBEXresData 5 4 6" xfId="31215"/>
    <cellStyle name="SAPBEXresData 5 5" xfId="21557"/>
    <cellStyle name="SAPBEXresData 5 5 2" xfId="42432"/>
    <cellStyle name="SAPBEXresData 5 6" xfId="23905"/>
    <cellStyle name="SAPBEXresData 5 6 2" xfId="44777"/>
    <cellStyle name="SAPBEXresData 5 7" xfId="21069"/>
    <cellStyle name="SAPBEXresData 5 7 2" xfId="41944"/>
    <cellStyle name="SAPBEXresData 5 8" xfId="12319"/>
    <cellStyle name="SAPBEXresData 5 8 2" xfId="33208"/>
    <cellStyle name="SAPBEXresData 5 9" xfId="24450"/>
    <cellStyle name="SAPBEXresData 6" xfId="3834"/>
    <cellStyle name="SAPBEXresData 6 2" xfId="6063"/>
    <cellStyle name="SAPBEXresData 6 2 2" xfId="22422"/>
    <cellStyle name="SAPBEXresData 6 2 2 2" xfId="43297"/>
    <cellStyle name="SAPBEXresData 6 2 3" xfId="23779"/>
    <cellStyle name="SAPBEXresData 6 2 3 2" xfId="44651"/>
    <cellStyle name="SAPBEXresData 6 2 4" xfId="23704"/>
    <cellStyle name="SAPBEXresData 6 2 4 2" xfId="44576"/>
    <cellStyle name="SAPBEXresData 6 2 5" xfId="15072"/>
    <cellStyle name="SAPBEXresData 6 2 5 2" xfId="35948"/>
    <cellStyle name="SAPBEXresData 6 2 6" xfId="27210"/>
    <cellStyle name="SAPBEXresData 6 3" xfId="21808"/>
    <cellStyle name="SAPBEXresData 6 3 2" xfId="42683"/>
    <cellStyle name="SAPBEXresData 6 4" xfId="21182"/>
    <cellStyle name="SAPBEXresData 6 4 2" xfId="42057"/>
    <cellStyle name="SAPBEXresData 6 5" xfId="21756"/>
    <cellStyle name="SAPBEXresData 6 5 2" xfId="42631"/>
    <cellStyle name="SAPBEXresData 6 6" xfId="13254"/>
    <cellStyle name="SAPBEXresData 6 6 2" xfId="34130"/>
    <cellStyle name="SAPBEXresData 6 7" xfId="25392"/>
    <cellStyle name="SAPBEXresData 7" xfId="8420"/>
    <cellStyle name="SAPBEXresData 7 2" xfId="23109"/>
    <cellStyle name="SAPBEXresData 7 2 2" xfId="43982"/>
    <cellStyle name="SAPBEXresData 7 3" xfId="22899"/>
    <cellStyle name="SAPBEXresData 7 3 2" xfId="43773"/>
    <cellStyle name="SAPBEXresData 7 4" xfId="20856"/>
    <cellStyle name="SAPBEXresData 7 4 2" xfId="41732"/>
    <cellStyle name="SAPBEXresData 7 5" xfId="17425"/>
    <cellStyle name="SAPBEXresData 7 5 2" xfId="38301"/>
    <cellStyle name="SAPBEXresData 7 6" xfId="29563"/>
    <cellStyle name="SAPBEXresData 8" xfId="10300"/>
    <cellStyle name="SAPBEXresData 8 2" xfId="23585"/>
    <cellStyle name="SAPBEXresData 8 2 2" xfId="44457"/>
    <cellStyle name="SAPBEXresData 8 3" xfId="23805"/>
    <cellStyle name="SAPBEXresData 8 3 2" xfId="44677"/>
    <cellStyle name="SAPBEXresData 8 4" xfId="21001"/>
    <cellStyle name="SAPBEXresData 8 4 2" xfId="41876"/>
    <cellStyle name="SAPBEXresData 8 5" xfId="19071"/>
    <cellStyle name="SAPBEXresData 8 5 2" xfId="39947"/>
    <cellStyle name="SAPBEXresData 8 6" xfId="31211"/>
    <cellStyle name="SAPBEXresData 9" xfId="20928"/>
    <cellStyle name="SAPBEXresData 9 2" xfId="41803"/>
    <cellStyle name="SAPBEXresDataEmph" xfId="1170"/>
    <cellStyle name="SAPBEXresDataEmph 10" xfId="21268"/>
    <cellStyle name="SAPBEXresDataEmph 10 2" xfId="42143"/>
    <cellStyle name="SAPBEXresDataEmph 11" xfId="21706"/>
    <cellStyle name="SAPBEXresDataEmph 11 2" xfId="42581"/>
    <cellStyle name="SAPBEXresDataEmph 12" xfId="12165"/>
    <cellStyle name="SAPBEXresDataEmph 12 2" xfId="33065"/>
    <cellStyle name="SAPBEXresDataEmph 13" xfId="24141"/>
    <cellStyle name="SAPBEXresDataEmph 13 2" xfId="45011"/>
    <cellStyle name="SAPBEXresDataEmph 14" xfId="24276"/>
    <cellStyle name="SAPBEXresDataEmph 14 2" xfId="45137"/>
    <cellStyle name="SAPBEXresDataEmph 2" xfId="2823"/>
    <cellStyle name="SAPBEXresDataEmph 2 10" xfId="24451"/>
    <cellStyle name="SAPBEXresDataEmph 2 2" xfId="4450"/>
    <cellStyle name="SAPBEXresDataEmph 2 2 2" xfId="6293"/>
    <cellStyle name="SAPBEXresDataEmph 2 2 2 2" xfId="22598"/>
    <cellStyle name="SAPBEXresDataEmph 2 2 2 2 2" xfId="43473"/>
    <cellStyle name="SAPBEXresDataEmph 2 2 2 3" xfId="22433"/>
    <cellStyle name="SAPBEXresDataEmph 2 2 2 3 2" xfId="43308"/>
    <cellStyle name="SAPBEXresDataEmph 2 2 2 4" xfId="20992"/>
    <cellStyle name="SAPBEXresDataEmph 2 2 2 4 2" xfId="41867"/>
    <cellStyle name="SAPBEXresDataEmph 2 2 2 5" xfId="15302"/>
    <cellStyle name="SAPBEXresDataEmph 2 2 2 5 2" xfId="36178"/>
    <cellStyle name="SAPBEXresDataEmph 2 2 2 6" xfId="27440"/>
    <cellStyle name="SAPBEXresDataEmph 2 2 3" xfId="22057"/>
    <cellStyle name="SAPBEXresDataEmph 2 2 3 2" xfId="42932"/>
    <cellStyle name="SAPBEXresDataEmph 2 2 4" xfId="21313"/>
    <cellStyle name="SAPBEXresDataEmph 2 2 4 2" xfId="42188"/>
    <cellStyle name="SAPBEXresDataEmph 2 2 5" xfId="22160"/>
    <cellStyle name="SAPBEXresDataEmph 2 2 5 2" xfId="43035"/>
    <cellStyle name="SAPBEXresDataEmph 2 2 6" xfId="13484"/>
    <cellStyle name="SAPBEXresDataEmph 2 2 6 2" xfId="34360"/>
    <cellStyle name="SAPBEXresDataEmph 2 2 7" xfId="25622"/>
    <cellStyle name="SAPBEXresDataEmph 2 3" xfId="8426"/>
    <cellStyle name="SAPBEXresDataEmph 2 3 2" xfId="23115"/>
    <cellStyle name="SAPBEXresDataEmph 2 3 2 2" xfId="43988"/>
    <cellStyle name="SAPBEXresDataEmph 2 3 3" xfId="21922"/>
    <cellStyle name="SAPBEXresDataEmph 2 3 3 2" xfId="42797"/>
    <cellStyle name="SAPBEXresDataEmph 2 3 4" xfId="21841"/>
    <cellStyle name="SAPBEXresDataEmph 2 3 4 2" xfId="42716"/>
    <cellStyle name="SAPBEXresDataEmph 2 3 5" xfId="17431"/>
    <cellStyle name="SAPBEXresDataEmph 2 3 5 2" xfId="38307"/>
    <cellStyle name="SAPBEXresDataEmph 2 3 6" xfId="29569"/>
    <cellStyle name="SAPBEXresDataEmph 2 4" xfId="10306"/>
    <cellStyle name="SAPBEXresDataEmph 2 4 2" xfId="23591"/>
    <cellStyle name="SAPBEXresDataEmph 2 4 2 2" xfId="44463"/>
    <cellStyle name="SAPBEXresDataEmph 2 4 3" xfId="22690"/>
    <cellStyle name="SAPBEXresDataEmph 2 4 3 2" xfId="43565"/>
    <cellStyle name="SAPBEXresDataEmph 2 4 4" xfId="22171"/>
    <cellStyle name="SAPBEXresDataEmph 2 4 4 2" xfId="43046"/>
    <cellStyle name="SAPBEXresDataEmph 2 4 5" xfId="19077"/>
    <cellStyle name="SAPBEXresDataEmph 2 4 5 2" xfId="39953"/>
    <cellStyle name="SAPBEXresDataEmph 2 4 6" xfId="31217"/>
    <cellStyle name="SAPBEXresDataEmph 2 5" xfId="20931"/>
    <cellStyle name="SAPBEXresDataEmph 2 5 2" xfId="41806"/>
    <cellStyle name="SAPBEXresDataEmph 2 6" xfId="22777"/>
    <cellStyle name="SAPBEXresDataEmph 2 6 2" xfId="43652"/>
    <cellStyle name="SAPBEXresDataEmph 2 7" xfId="22340"/>
    <cellStyle name="SAPBEXresDataEmph 2 7 2" xfId="43215"/>
    <cellStyle name="SAPBEXresDataEmph 2 8" xfId="12166"/>
    <cellStyle name="SAPBEXresDataEmph 2 8 2" xfId="33066"/>
    <cellStyle name="SAPBEXresDataEmph 2 9" xfId="24211"/>
    <cellStyle name="SAPBEXresDataEmph 2 9 2" xfId="45079"/>
    <cellStyle name="SAPBEXresDataEmph 3" xfId="2824"/>
    <cellStyle name="SAPBEXresDataEmph 3 2" xfId="4451"/>
    <cellStyle name="SAPBEXresDataEmph 3 2 2" xfId="6294"/>
    <cellStyle name="SAPBEXresDataEmph 3 2 2 2" xfId="22599"/>
    <cellStyle name="SAPBEXresDataEmph 3 2 2 2 2" xfId="43474"/>
    <cellStyle name="SAPBEXresDataEmph 3 2 2 3" xfId="23794"/>
    <cellStyle name="SAPBEXresDataEmph 3 2 2 3 2" xfId="44666"/>
    <cellStyle name="SAPBEXresDataEmph 3 2 2 4" xfId="23201"/>
    <cellStyle name="SAPBEXresDataEmph 3 2 2 4 2" xfId="44074"/>
    <cellStyle name="SAPBEXresDataEmph 3 2 2 5" xfId="15303"/>
    <cellStyle name="SAPBEXresDataEmph 3 2 2 5 2" xfId="36179"/>
    <cellStyle name="SAPBEXresDataEmph 3 2 2 6" xfId="27441"/>
    <cellStyle name="SAPBEXresDataEmph 3 2 3" xfId="22058"/>
    <cellStyle name="SAPBEXresDataEmph 3 2 3 2" xfId="42933"/>
    <cellStyle name="SAPBEXresDataEmph 3 2 4" xfId="21088"/>
    <cellStyle name="SAPBEXresDataEmph 3 2 4 2" xfId="41963"/>
    <cellStyle name="SAPBEXresDataEmph 3 2 5" xfId="22284"/>
    <cellStyle name="SAPBEXresDataEmph 3 2 5 2" xfId="43159"/>
    <cellStyle name="SAPBEXresDataEmph 3 2 6" xfId="13485"/>
    <cellStyle name="SAPBEXresDataEmph 3 2 6 2" xfId="34361"/>
    <cellStyle name="SAPBEXresDataEmph 3 2 7" xfId="25623"/>
    <cellStyle name="SAPBEXresDataEmph 3 3" xfId="8427"/>
    <cellStyle name="SAPBEXresDataEmph 3 3 2" xfId="23116"/>
    <cellStyle name="SAPBEXresDataEmph 3 3 2 2" xfId="43989"/>
    <cellStyle name="SAPBEXresDataEmph 3 3 3" xfId="22225"/>
    <cellStyle name="SAPBEXresDataEmph 3 3 3 2" xfId="43100"/>
    <cellStyle name="SAPBEXresDataEmph 3 3 4" xfId="23156"/>
    <cellStyle name="SAPBEXresDataEmph 3 3 4 2" xfId="44029"/>
    <cellStyle name="SAPBEXresDataEmph 3 3 5" xfId="17432"/>
    <cellStyle name="SAPBEXresDataEmph 3 3 5 2" xfId="38308"/>
    <cellStyle name="SAPBEXresDataEmph 3 3 6" xfId="29570"/>
    <cellStyle name="SAPBEXresDataEmph 3 4" xfId="10307"/>
    <cellStyle name="SAPBEXresDataEmph 3 4 2" xfId="23592"/>
    <cellStyle name="SAPBEXresDataEmph 3 4 2 2" xfId="44464"/>
    <cellStyle name="SAPBEXresDataEmph 3 4 3" xfId="23444"/>
    <cellStyle name="SAPBEXresDataEmph 3 4 3 2" xfId="44316"/>
    <cellStyle name="SAPBEXresDataEmph 3 4 4" xfId="21406"/>
    <cellStyle name="SAPBEXresDataEmph 3 4 4 2" xfId="42281"/>
    <cellStyle name="SAPBEXresDataEmph 3 4 5" xfId="19078"/>
    <cellStyle name="SAPBEXresDataEmph 3 4 5 2" xfId="39954"/>
    <cellStyle name="SAPBEXresDataEmph 3 4 6" xfId="31218"/>
    <cellStyle name="SAPBEXresDataEmph 3 5" xfId="21558"/>
    <cellStyle name="SAPBEXresDataEmph 3 5 2" xfId="42433"/>
    <cellStyle name="SAPBEXresDataEmph 3 6" xfId="24032"/>
    <cellStyle name="SAPBEXresDataEmph 3 6 2" xfId="44904"/>
    <cellStyle name="SAPBEXresDataEmph 3 7" xfId="23360"/>
    <cellStyle name="SAPBEXresDataEmph 3 7 2" xfId="44232"/>
    <cellStyle name="SAPBEXresDataEmph 3 8" xfId="12320"/>
    <cellStyle name="SAPBEXresDataEmph 3 8 2" xfId="33209"/>
    <cellStyle name="SAPBEXresDataEmph 3 9" xfId="24452"/>
    <cellStyle name="SAPBEXresDataEmph 4" xfId="2825"/>
    <cellStyle name="SAPBEXresDataEmph 4 2" xfId="4452"/>
    <cellStyle name="SAPBEXresDataEmph 4 2 2" xfId="6295"/>
    <cellStyle name="SAPBEXresDataEmph 4 2 2 2" xfId="22600"/>
    <cellStyle name="SAPBEXresDataEmph 4 2 2 2 2" xfId="43475"/>
    <cellStyle name="SAPBEXresDataEmph 4 2 2 3" xfId="20954"/>
    <cellStyle name="SAPBEXresDataEmph 4 2 2 3 2" xfId="41829"/>
    <cellStyle name="SAPBEXresDataEmph 4 2 2 4" xfId="22790"/>
    <cellStyle name="SAPBEXresDataEmph 4 2 2 4 2" xfId="43665"/>
    <cellStyle name="SAPBEXresDataEmph 4 2 2 5" xfId="15304"/>
    <cellStyle name="SAPBEXresDataEmph 4 2 2 5 2" xfId="36180"/>
    <cellStyle name="SAPBEXresDataEmph 4 2 2 6" xfId="27442"/>
    <cellStyle name="SAPBEXresDataEmph 4 2 3" xfId="22059"/>
    <cellStyle name="SAPBEXresDataEmph 4 2 3 2" xfId="42934"/>
    <cellStyle name="SAPBEXresDataEmph 4 2 4" xfId="23411"/>
    <cellStyle name="SAPBEXresDataEmph 4 2 4 2" xfId="44283"/>
    <cellStyle name="SAPBEXresDataEmph 4 2 5" xfId="21357"/>
    <cellStyle name="SAPBEXresDataEmph 4 2 5 2" xfId="42232"/>
    <cellStyle name="SAPBEXresDataEmph 4 2 6" xfId="13486"/>
    <cellStyle name="SAPBEXresDataEmph 4 2 6 2" xfId="34362"/>
    <cellStyle name="SAPBEXresDataEmph 4 2 7" xfId="25624"/>
    <cellStyle name="SAPBEXresDataEmph 4 3" xfId="8428"/>
    <cellStyle name="SAPBEXresDataEmph 4 3 2" xfId="23117"/>
    <cellStyle name="SAPBEXresDataEmph 4 3 2 2" xfId="43990"/>
    <cellStyle name="SAPBEXresDataEmph 4 3 3" xfId="23705"/>
    <cellStyle name="SAPBEXresDataEmph 4 3 3 2" xfId="44577"/>
    <cellStyle name="SAPBEXresDataEmph 4 3 4" xfId="22246"/>
    <cellStyle name="SAPBEXresDataEmph 4 3 4 2" xfId="43121"/>
    <cellStyle name="SAPBEXresDataEmph 4 3 5" xfId="17433"/>
    <cellStyle name="SAPBEXresDataEmph 4 3 5 2" xfId="38309"/>
    <cellStyle name="SAPBEXresDataEmph 4 3 6" xfId="29571"/>
    <cellStyle name="SAPBEXresDataEmph 4 4" xfId="10308"/>
    <cellStyle name="SAPBEXresDataEmph 4 4 2" xfId="23593"/>
    <cellStyle name="SAPBEXresDataEmph 4 4 2 2" xfId="44465"/>
    <cellStyle name="SAPBEXresDataEmph 4 4 3" xfId="23662"/>
    <cellStyle name="SAPBEXresDataEmph 4 4 3 2" xfId="44534"/>
    <cellStyle name="SAPBEXresDataEmph 4 4 4" xfId="21030"/>
    <cellStyle name="SAPBEXresDataEmph 4 4 4 2" xfId="41905"/>
    <cellStyle name="SAPBEXresDataEmph 4 4 5" xfId="19079"/>
    <cellStyle name="SAPBEXresDataEmph 4 4 5 2" xfId="39955"/>
    <cellStyle name="SAPBEXresDataEmph 4 4 6" xfId="31219"/>
    <cellStyle name="SAPBEXresDataEmph 4 5" xfId="21559"/>
    <cellStyle name="SAPBEXresDataEmph 4 5 2" xfId="42434"/>
    <cellStyle name="SAPBEXresDataEmph 4 6" xfId="23352"/>
    <cellStyle name="SAPBEXresDataEmph 4 6 2" xfId="44224"/>
    <cellStyle name="SAPBEXresDataEmph 4 7" xfId="21746"/>
    <cellStyle name="SAPBEXresDataEmph 4 7 2" xfId="42621"/>
    <cellStyle name="SAPBEXresDataEmph 4 8" xfId="12321"/>
    <cellStyle name="SAPBEXresDataEmph 4 8 2" xfId="33210"/>
    <cellStyle name="SAPBEXresDataEmph 4 9" xfId="24453"/>
    <cellStyle name="SAPBEXresDataEmph 5" xfId="2826"/>
    <cellStyle name="SAPBEXresDataEmph 5 2" xfId="4453"/>
    <cellStyle name="SAPBEXresDataEmph 5 2 2" xfId="6296"/>
    <cellStyle name="SAPBEXresDataEmph 5 2 2 2" xfId="22601"/>
    <cellStyle name="SAPBEXresDataEmph 5 2 2 2 2" xfId="43476"/>
    <cellStyle name="SAPBEXresDataEmph 5 2 2 3" xfId="21028"/>
    <cellStyle name="SAPBEXresDataEmph 5 2 2 3 2" xfId="41903"/>
    <cellStyle name="SAPBEXresDataEmph 5 2 2 4" xfId="22692"/>
    <cellStyle name="SAPBEXresDataEmph 5 2 2 4 2" xfId="43567"/>
    <cellStyle name="SAPBEXresDataEmph 5 2 2 5" xfId="15305"/>
    <cellStyle name="SAPBEXresDataEmph 5 2 2 5 2" xfId="36181"/>
    <cellStyle name="SAPBEXresDataEmph 5 2 2 6" xfId="27443"/>
    <cellStyle name="SAPBEXresDataEmph 5 2 3" xfId="22060"/>
    <cellStyle name="SAPBEXresDataEmph 5 2 3 2" xfId="42935"/>
    <cellStyle name="SAPBEXresDataEmph 5 2 4" xfId="23333"/>
    <cellStyle name="SAPBEXresDataEmph 5 2 4 2" xfId="44205"/>
    <cellStyle name="SAPBEXresDataEmph 5 2 5" xfId="23880"/>
    <cellStyle name="SAPBEXresDataEmph 5 2 5 2" xfId="44752"/>
    <cellStyle name="SAPBEXresDataEmph 5 2 6" xfId="13487"/>
    <cellStyle name="SAPBEXresDataEmph 5 2 6 2" xfId="34363"/>
    <cellStyle name="SAPBEXresDataEmph 5 2 7" xfId="25625"/>
    <cellStyle name="SAPBEXresDataEmph 5 3" xfId="8429"/>
    <cellStyle name="SAPBEXresDataEmph 5 3 2" xfId="23118"/>
    <cellStyle name="SAPBEXresDataEmph 5 3 2 2" xfId="43991"/>
    <cellStyle name="SAPBEXresDataEmph 5 3 3" xfId="22709"/>
    <cellStyle name="SAPBEXresDataEmph 5 3 3 2" xfId="43584"/>
    <cellStyle name="SAPBEXresDataEmph 5 3 4" xfId="23161"/>
    <cellStyle name="SAPBEXresDataEmph 5 3 4 2" xfId="44034"/>
    <cellStyle name="SAPBEXresDataEmph 5 3 5" xfId="17434"/>
    <cellStyle name="SAPBEXresDataEmph 5 3 5 2" xfId="38310"/>
    <cellStyle name="SAPBEXresDataEmph 5 3 6" xfId="29572"/>
    <cellStyle name="SAPBEXresDataEmph 5 4" xfId="10309"/>
    <cellStyle name="SAPBEXresDataEmph 5 4 2" xfId="23594"/>
    <cellStyle name="SAPBEXresDataEmph 5 4 2 2" xfId="44466"/>
    <cellStyle name="SAPBEXresDataEmph 5 4 3" xfId="23811"/>
    <cellStyle name="SAPBEXresDataEmph 5 4 3 2" xfId="44683"/>
    <cellStyle name="SAPBEXresDataEmph 5 4 4" xfId="22779"/>
    <cellStyle name="SAPBEXresDataEmph 5 4 4 2" xfId="43654"/>
    <cellStyle name="SAPBEXresDataEmph 5 4 5" xfId="19080"/>
    <cellStyle name="SAPBEXresDataEmph 5 4 5 2" xfId="39956"/>
    <cellStyle name="SAPBEXresDataEmph 5 4 6" xfId="31220"/>
    <cellStyle name="SAPBEXresDataEmph 5 5" xfId="21560"/>
    <cellStyle name="SAPBEXresDataEmph 5 5 2" xfId="42435"/>
    <cellStyle name="SAPBEXresDataEmph 5 6" xfId="23994"/>
    <cellStyle name="SAPBEXresDataEmph 5 6 2" xfId="44866"/>
    <cellStyle name="SAPBEXresDataEmph 5 7" xfId="22128"/>
    <cellStyle name="SAPBEXresDataEmph 5 7 2" xfId="43003"/>
    <cellStyle name="SAPBEXresDataEmph 5 8" xfId="12322"/>
    <cellStyle name="SAPBEXresDataEmph 5 8 2" xfId="33211"/>
    <cellStyle name="SAPBEXresDataEmph 5 9" xfId="24454"/>
    <cellStyle name="SAPBEXresDataEmph 6" xfId="3835"/>
    <cellStyle name="SAPBEXresDataEmph 6 2" xfId="6064"/>
    <cellStyle name="SAPBEXresDataEmph 6 2 2" xfId="22423"/>
    <cellStyle name="SAPBEXresDataEmph 6 2 2 2" xfId="43298"/>
    <cellStyle name="SAPBEXresDataEmph 6 2 3" xfId="22332"/>
    <cellStyle name="SAPBEXresDataEmph 6 2 3 2" xfId="43207"/>
    <cellStyle name="SAPBEXresDataEmph 6 2 4" xfId="23200"/>
    <cellStyle name="SAPBEXresDataEmph 6 2 4 2" xfId="44073"/>
    <cellStyle name="SAPBEXresDataEmph 6 2 5" xfId="15073"/>
    <cellStyle name="SAPBEXresDataEmph 6 2 5 2" xfId="35949"/>
    <cellStyle name="SAPBEXresDataEmph 6 2 6" xfId="27211"/>
    <cellStyle name="SAPBEXresDataEmph 6 3" xfId="21809"/>
    <cellStyle name="SAPBEXresDataEmph 6 3 2" xfId="42684"/>
    <cellStyle name="SAPBEXresDataEmph 6 4" xfId="21306"/>
    <cellStyle name="SAPBEXresDataEmph 6 4 2" xfId="42181"/>
    <cellStyle name="SAPBEXresDataEmph 6 5" xfId="22937"/>
    <cellStyle name="SAPBEXresDataEmph 6 5 2" xfId="43811"/>
    <cellStyle name="SAPBEXresDataEmph 6 6" xfId="13255"/>
    <cellStyle name="SAPBEXresDataEmph 6 6 2" xfId="34131"/>
    <cellStyle name="SAPBEXresDataEmph 6 7" xfId="25393"/>
    <cellStyle name="SAPBEXresDataEmph 7" xfId="8425"/>
    <cellStyle name="SAPBEXresDataEmph 7 2" xfId="23114"/>
    <cellStyle name="SAPBEXresDataEmph 7 2 2" xfId="43987"/>
    <cellStyle name="SAPBEXresDataEmph 7 3" xfId="23716"/>
    <cellStyle name="SAPBEXresDataEmph 7 3 2" xfId="44588"/>
    <cellStyle name="SAPBEXresDataEmph 7 4" xfId="24117"/>
    <cellStyle name="SAPBEXresDataEmph 7 4 2" xfId="44988"/>
    <cellStyle name="SAPBEXresDataEmph 7 5" xfId="17430"/>
    <cellStyle name="SAPBEXresDataEmph 7 5 2" xfId="38306"/>
    <cellStyle name="SAPBEXresDataEmph 7 6" xfId="29568"/>
    <cellStyle name="SAPBEXresDataEmph 8" xfId="10305"/>
    <cellStyle name="SAPBEXresDataEmph 8 2" xfId="23590"/>
    <cellStyle name="SAPBEXresDataEmph 8 2 2" xfId="44462"/>
    <cellStyle name="SAPBEXresDataEmph 8 3" xfId="22163"/>
    <cellStyle name="SAPBEXresDataEmph 8 3 2" xfId="43038"/>
    <cellStyle name="SAPBEXresDataEmph 8 4" xfId="23957"/>
    <cellStyle name="SAPBEXresDataEmph 8 4 2" xfId="44829"/>
    <cellStyle name="SAPBEXresDataEmph 8 5" xfId="19076"/>
    <cellStyle name="SAPBEXresDataEmph 8 5 2" xfId="39952"/>
    <cellStyle name="SAPBEXresDataEmph 8 6" xfId="31216"/>
    <cellStyle name="SAPBEXresDataEmph 9" xfId="20930"/>
    <cellStyle name="SAPBEXresDataEmph 9 2" xfId="41805"/>
    <cellStyle name="SAPBEXresItem" xfId="1171"/>
    <cellStyle name="SAPBEXresItem 10" xfId="21059"/>
    <cellStyle name="SAPBEXresItem 10 2" xfId="41934"/>
    <cellStyle name="SAPBEXresItem 11" xfId="21114"/>
    <cellStyle name="SAPBEXresItem 11 2" xfId="41989"/>
    <cellStyle name="SAPBEXresItem 12" xfId="12167"/>
    <cellStyle name="SAPBEXresItem 12 2" xfId="33067"/>
    <cellStyle name="SAPBEXresItem 13" xfId="24140"/>
    <cellStyle name="SAPBEXresItem 13 2" xfId="45010"/>
    <cellStyle name="SAPBEXresItem 14" xfId="24277"/>
    <cellStyle name="SAPBEXresItem 14 2" xfId="45138"/>
    <cellStyle name="SAPBEXresItem 2" xfId="2827"/>
    <cellStyle name="SAPBEXresItem 2 10" xfId="24455"/>
    <cellStyle name="SAPBEXresItem 2 2" xfId="4455"/>
    <cellStyle name="SAPBEXresItem 2 2 2" xfId="6297"/>
    <cellStyle name="SAPBEXresItem 2 2 2 2" xfId="22602"/>
    <cellStyle name="SAPBEXresItem 2 2 2 2 2" xfId="43477"/>
    <cellStyle name="SAPBEXresItem 2 2 2 3" xfId="21401"/>
    <cellStyle name="SAPBEXresItem 2 2 2 3 2" xfId="42276"/>
    <cellStyle name="SAPBEXresItem 2 2 2 4" xfId="22691"/>
    <cellStyle name="SAPBEXresItem 2 2 2 4 2" xfId="43566"/>
    <cellStyle name="SAPBEXresItem 2 2 2 5" xfId="15306"/>
    <cellStyle name="SAPBEXresItem 2 2 2 5 2" xfId="36182"/>
    <cellStyle name="SAPBEXresItem 2 2 2 6" xfId="27444"/>
    <cellStyle name="SAPBEXresItem 2 2 3" xfId="22061"/>
    <cellStyle name="SAPBEXresItem 2 2 3 2" xfId="42936"/>
    <cellStyle name="SAPBEXresItem 2 2 4" xfId="22767"/>
    <cellStyle name="SAPBEXresItem 2 2 4 2" xfId="43642"/>
    <cellStyle name="SAPBEXresItem 2 2 5" xfId="22821"/>
    <cellStyle name="SAPBEXresItem 2 2 5 2" xfId="43696"/>
    <cellStyle name="SAPBEXresItem 2 2 6" xfId="13488"/>
    <cellStyle name="SAPBEXresItem 2 2 6 2" xfId="34364"/>
    <cellStyle name="SAPBEXresItem 2 2 7" xfId="25626"/>
    <cellStyle name="SAPBEXresItem 2 3" xfId="8431"/>
    <cellStyle name="SAPBEXresItem 2 3 2" xfId="23120"/>
    <cellStyle name="SAPBEXresItem 2 3 2 2" xfId="43993"/>
    <cellStyle name="SAPBEXresItem 2 3 3" xfId="21921"/>
    <cellStyle name="SAPBEXresItem 2 3 3 2" xfId="42796"/>
    <cellStyle name="SAPBEXresItem 2 3 4" xfId="21605"/>
    <cellStyle name="SAPBEXresItem 2 3 4 2" xfId="42480"/>
    <cellStyle name="SAPBEXresItem 2 3 5" xfId="17436"/>
    <cellStyle name="SAPBEXresItem 2 3 5 2" xfId="38312"/>
    <cellStyle name="SAPBEXresItem 2 3 6" xfId="29574"/>
    <cellStyle name="SAPBEXresItem 2 4" xfId="10311"/>
    <cellStyle name="SAPBEXresItem 2 4 2" xfId="23596"/>
    <cellStyle name="SAPBEXresItem 2 4 2 2" xfId="44468"/>
    <cellStyle name="SAPBEXresItem 2 4 3" xfId="23691"/>
    <cellStyle name="SAPBEXresItem 2 4 3 2" xfId="44563"/>
    <cellStyle name="SAPBEXresItem 2 4 4" xfId="22894"/>
    <cellStyle name="SAPBEXresItem 2 4 4 2" xfId="43768"/>
    <cellStyle name="SAPBEXresItem 2 4 5" xfId="19082"/>
    <cellStyle name="SAPBEXresItem 2 4 5 2" xfId="39958"/>
    <cellStyle name="SAPBEXresItem 2 4 6" xfId="31222"/>
    <cellStyle name="SAPBEXresItem 2 5" xfId="20933"/>
    <cellStyle name="SAPBEXresItem 2 5 2" xfId="41808"/>
    <cellStyle name="SAPBEXresItem 2 6" xfId="21207"/>
    <cellStyle name="SAPBEXresItem 2 6 2" xfId="42082"/>
    <cellStyle name="SAPBEXresItem 2 7" xfId="23321"/>
    <cellStyle name="SAPBEXresItem 2 7 2" xfId="44193"/>
    <cellStyle name="SAPBEXresItem 2 8" xfId="12168"/>
    <cellStyle name="SAPBEXresItem 2 8 2" xfId="33068"/>
    <cellStyle name="SAPBEXresItem 2 9" xfId="24212"/>
    <cellStyle name="SAPBEXresItem 2 9 2" xfId="45080"/>
    <cellStyle name="SAPBEXresItem 3" xfId="2828"/>
    <cellStyle name="SAPBEXresItem 3 2" xfId="4456"/>
    <cellStyle name="SAPBEXresItem 3 2 2" xfId="6298"/>
    <cellStyle name="SAPBEXresItem 3 2 2 2" xfId="22603"/>
    <cellStyle name="SAPBEXresItem 3 2 2 2 2" xfId="43478"/>
    <cellStyle name="SAPBEXresItem 3 2 2 3" xfId="21762"/>
    <cellStyle name="SAPBEXresItem 3 2 2 3 2" xfId="42637"/>
    <cellStyle name="SAPBEXresItem 3 2 2 4" xfId="22889"/>
    <cellStyle name="SAPBEXresItem 3 2 2 4 2" xfId="43763"/>
    <cellStyle name="SAPBEXresItem 3 2 2 5" xfId="15307"/>
    <cellStyle name="SAPBEXresItem 3 2 2 5 2" xfId="36183"/>
    <cellStyle name="SAPBEXresItem 3 2 2 6" xfId="27445"/>
    <cellStyle name="SAPBEXresItem 3 2 3" xfId="22062"/>
    <cellStyle name="SAPBEXresItem 3 2 3 2" xfId="42937"/>
    <cellStyle name="SAPBEXresItem 3 2 4" xfId="22647"/>
    <cellStyle name="SAPBEXresItem 3 2 4 2" xfId="43522"/>
    <cellStyle name="SAPBEXresItem 3 2 5" xfId="22434"/>
    <cellStyle name="SAPBEXresItem 3 2 5 2" xfId="43309"/>
    <cellStyle name="SAPBEXresItem 3 2 6" xfId="13489"/>
    <cellStyle name="SAPBEXresItem 3 2 6 2" xfId="34365"/>
    <cellStyle name="SAPBEXresItem 3 2 7" xfId="25627"/>
    <cellStyle name="SAPBEXresItem 3 3" xfId="8432"/>
    <cellStyle name="SAPBEXresItem 3 3 2" xfId="23121"/>
    <cellStyle name="SAPBEXresItem 3 3 2 2" xfId="43994"/>
    <cellStyle name="SAPBEXresItem 3 3 3" xfId="21776"/>
    <cellStyle name="SAPBEXresItem 3 3 3 2" xfId="42651"/>
    <cellStyle name="SAPBEXresItem 3 3 4" xfId="23793"/>
    <cellStyle name="SAPBEXresItem 3 3 4 2" xfId="44665"/>
    <cellStyle name="SAPBEXresItem 3 3 5" xfId="17437"/>
    <cellStyle name="SAPBEXresItem 3 3 5 2" xfId="38313"/>
    <cellStyle name="SAPBEXresItem 3 3 6" xfId="29575"/>
    <cellStyle name="SAPBEXresItem 3 4" xfId="10312"/>
    <cellStyle name="SAPBEXresItem 3 4 2" xfId="23597"/>
    <cellStyle name="SAPBEXresItem 3 4 2 2" xfId="44469"/>
    <cellStyle name="SAPBEXresItem 3 4 3" xfId="23851"/>
    <cellStyle name="SAPBEXresItem 3 4 3 2" xfId="44723"/>
    <cellStyle name="SAPBEXresItem 3 4 4" xfId="22239"/>
    <cellStyle name="SAPBEXresItem 3 4 4 2" xfId="43114"/>
    <cellStyle name="SAPBEXresItem 3 4 5" xfId="19083"/>
    <cellStyle name="SAPBEXresItem 3 4 5 2" xfId="39959"/>
    <cellStyle name="SAPBEXresItem 3 4 6" xfId="31223"/>
    <cellStyle name="SAPBEXresItem 3 5" xfId="21561"/>
    <cellStyle name="SAPBEXresItem 3 5 2" xfId="42436"/>
    <cellStyle name="SAPBEXresItem 3 6" xfId="23881"/>
    <cellStyle name="SAPBEXresItem 3 6 2" xfId="44753"/>
    <cellStyle name="SAPBEXresItem 3 7" xfId="23742"/>
    <cellStyle name="SAPBEXresItem 3 7 2" xfId="44614"/>
    <cellStyle name="SAPBEXresItem 3 8" xfId="12323"/>
    <cellStyle name="SAPBEXresItem 3 8 2" xfId="33212"/>
    <cellStyle name="SAPBEXresItem 3 9" xfId="24456"/>
    <cellStyle name="SAPBEXresItem 4" xfId="2829"/>
    <cellStyle name="SAPBEXresItem 4 2" xfId="4457"/>
    <cellStyle name="SAPBEXresItem 4 2 2" xfId="6299"/>
    <cellStyle name="SAPBEXresItem 4 2 2 2" xfId="22604"/>
    <cellStyle name="SAPBEXresItem 4 2 2 2 2" xfId="43479"/>
    <cellStyle name="SAPBEXresItem 4 2 2 3" xfId="23194"/>
    <cellStyle name="SAPBEXresItem 4 2 2 3 2" xfId="44067"/>
    <cellStyle name="SAPBEXresItem 4 2 2 4" xfId="23966"/>
    <cellStyle name="SAPBEXresItem 4 2 2 4 2" xfId="44838"/>
    <cellStyle name="SAPBEXresItem 4 2 2 5" xfId="15308"/>
    <cellStyle name="SAPBEXresItem 4 2 2 5 2" xfId="36184"/>
    <cellStyle name="SAPBEXresItem 4 2 2 6" xfId="27446"/>
    <cellStyle name="SAPBEXresItem 4 2 3" xfId="22063"/>
    <cellStyle name="SAPBEXresItem 4 2 3 2" xfId="42938"/>
    <cellStyle name="SAPBEXresItem 4 2 4" xfId="21696"/>
    <cellStyle name="SAPBEXresItem 4 2 4 2" xfId="42571"/>
    <cellStyle name="SAPBEXresItem 4 2 5" xfId="22336"/>
    <cellStyle name="SAPBEXresItem 4 2 5 2" xfId="43211"/>
    <cellStyle name="SAPBEXresItem 4 2 6" xfId="13490"/>
    <cellStyle name="SAPBEXresItem 4 2 6 2" xfId="34366"/>
    <cellStyle name="SAPBEXresItem 4 2 7" xfId="25628"/>
    <cellStyle name="SAPBEXresItem 4 3" xfId="8433"/>
    <cellStyle name="SAPBEXresItem 4 3 2" xfId="23122"/>
    <cellStyle name="SAPBEXresItem 4 3 2 2" xfId="43995"/>
    <cellStyle name="SAPBEXresItem 4 3 3" xfId="23866"/>
    <cellStyle name="SAPBEXresItem 4 3 3 2" xfId="44738"/>
    <cellStyle name="SAPBEXresItem 4 3 4" xfId="21831"/>
    <cellStyle name="SAPBEXresItem 4 3 4 2" xfId="42706"/>
    <cellStyle name="SAPBEXresItem 4 3 5" xfId="17438"/>
    <cellStyle name="SAPBEXresItem 4 3 5 2" xfId="38314"/>
    <cellStyle name="SAPBEXresItem 4 3 6" xfId="29576"/>
    <cellStyle name="SAPBEXresItem 4 4" xfId="10313"/>
    <cellStyle name="SAPBEXresItem 4 4 2" xfId="23598"/>
    <cellStyle name="SAPBEXresItem 4 4 2 2" xfId="44470"/>
    <cellStyle name="SAPBEXresItem 4 4 3" xfId="21759"/>
    <cellStyle name="SAPBEXresItem 4 4 3 2" xfId="42634"/>
    <cellStyle name="SAPBEXresItem 4 4 4" xfId="21818"/>
    <cellStyle name="SAPBEXresItem 4 4 4 2" xfId="42693"/>
    <cellStyle name="SAPBEXresItem 4 4 5" xfId="19084"/>
    <cellStyle name="SAPBEXresItem 4 4 5 2" xfId="39960"/>
    <cellStyle name="SAPBEXresItem 4 4 6" xfId="31224"/>
    <cellStyle name="SAPBEXresItem 4 5" xfId="21562"/>
    <cellStyle name="SAPBEXresItem 4 5 2" xfId="42437"/>
    <cellStyle name="SAPBEXresItem 4 6" xfId="21330"/>
    <cellStyle name="SAPBEXresItem 4 6 2" xfId="42205"/>
    <cellStyle name="SAPBEXresItem 4 7" xfId="22344"/>
    <cellStyle name="SAPBEXresItem 4 7 2" xfId="43219"/>
    <cellStyle name="SAPBEXresItem 4 8" xfId="12324"/>
    <cellStyle name="SAPBEXresItem 4 8 2" xfId="33213"/>
    <cellStyle name="SAPBEXresItem 4 9" xfId="24457"/>
    <cellStyle name="SAPBEXresItem 5" xfId="2830"/>
    <cellStyle name="SAPBEXresItem 5 2" xfId="4458"/>
    <cellStyle name="SAPBEXresItem 5 2 2" xfId="6300"/>
    <cellStyle name="SAPBEXresItem 5 2 2 2" xfId="22605"/>
    <cellStyle name="SAPBEXresItem 5 2 2 2 2" xfId="43480"/>
    <cellStyle name="SAPBEXresItem 5 2 2 3" xfId="23293"/>
    <cellStyle name="SAPBEXresItem 5 2 2 3 2" xfId="44165"/>
    <cellStyle name="SAPBEXresItem 5 2 2 4" xfId="21259"/>
    <cellStyle name="SAPBEXresItem 5 2 2 4 2" xfId="42134"/>
    <cellStyle name="SAPBEXresItem 5 2 2 5" xfId="15309"/>
    <cellStyle name="SAPBEXresItem 5 2 2 5 2" xfId="36185"/>
    <cellStyle name="SAPBEXresItem 5 2 2 6" xfId="27447"/>
    <cellStyle name="SAPBEXresItem 5 2 3" xfId="22064"/>
    <cellStyle name="SAPBEXresItem 5 2 3 2" xfId="42939"/>
    <cellStyle name="SAPBEXresItem 5 2 4" xfId="22851"/>
    <cellStyle name="SAPBEXresItem 5 2 4 2" xfId="43726"/>
    <cellStyle name="SAPBEXresItem 5 2 5" xfId="21369"/>
    <cellStyle name="SAPBEXresItem 5 2 5 2" xfId="42244"/>
    <cellStyle name="SAPBEXresItem 5 2 6" xfId="13491"/>
    <cellStyle name="SAPBEXresItem 5 2 6 2" xfId="34367"/>
    <cellStyle name="SAPBEXresItem 5 2 7" xfId="25629"/>
    <cellStyle name="SAPBEXresItem 5 3" xfId="8434"/>
    <cellStyle name="SAPBEXresItem 5 3 2" xfId="23123"/>
    <cellStyle name="SAPBEXresItem 5 3 2 2" xfId="43996"/>
    <cellStyle name="SAPBEXresItem 5 3 3" xfId="22334"/>
    <cellStyle name="SAPBEXresItem 5 3 3 2" xfId="43209"/>
    <cellStyle name="SAPBEXresItem 5 3 4" xfId="22095"/>
    <cellStyle name="SAPBEXresItem 5 3 4 2" xfId="42970"/>
    <cellStyle name="SAPBEXresItem 5 3 5" xfId="17439"/>
    <cellStyle name="SAPBEXresItem 5 3 5 2" xfId="38315"/>
    <cellStyle name="SAPBEXresItem 5 3 6" xfId="29577"/>
    <cellStyle name="SAPBEXresItem 5 4" xfId="10314"/>
    <cellStyle name="SAPBEXresItem 5 4 2" xfId="23599"/>
    <cellStyle name="SAPBEXresItem 5 4 2 2" xfId="44471"/>
    <cellStyle name="SAPBEXresItem 5 4 3" xfId="22388"/>
    <cellStyle name="SAPBEXresItem 5 4 3 2" xfId="43263"/>
    <cellStyle name="SAPBEXresItem 5 4 4" xfId="22096"/>
    <cellStyle name="SAPBEXresItem 5 4 4 2" xfId="42971"/>
    <cellStyle name="SAPBEXresItem 5 4 5" xfId="19085"/>
    <cellStyle name="SAPBEXresItem 5 4 5 2" xfId="39961"/>
    <cellStyle name="SAPBEXresItem 5 4 6" xfId="31225"/>
    <cellStyle name="SAPBEXresItem 5 5" xfId="21563"/>
    <cellStyle name="SAPBEXresItem 5 5 2" xfId="42438"/>
    <cellStyle name="SAPBEXresItem 5 6" xfId="21104"/>
    <cellStyle name="SAPBEXresItem 5 6 2" xfId="41979"/>
    <cellStyle name="SAPBEXresItem 5 7" xfId="21435"/>
    <cellStyle name="SAPBEXresItem 5 7 2" xfId="42310"/>
    <cellStyle name="SAPBEXresItem 5 8" xfId="12325"/>
    <cellStyle name="SAPBEXresItem 5 8 2" xfId="33214"/>
    <cellStyle name="SAPBEXresItem 5 9" xfId="24458"/>
    <cellStyle name="SAPBEXresItem 6" xfId="3836"/>
    <cellStyle name="SAPBEXresItem 6 2" xfId="6065"/>
    <cellStyle name="SAPBEXresItem 6 2 2" xfId="22424"/>
    <cellStyle name="SAPBEXresItem 6 2 2 2" xfId="43299"/>
    <cellStyle name="SAPBEXresItem 6 2 3" xfId="22145"/>
    <cellStyle name="SAPBEXresItem 6 2 3 2" xfId="43020"/>
    <cellStyle name="SAPBEXresItem 6 2 4" xfId="22173"/>
    <cellStyle name="SAPBEXresItem 6 2 4 2" xfId="43048"/>
    <cellStyle name="SAPBEXresItem 6 2 5" xfId="15074"/>
    <cellStyle name="SAPBEXresItem 6 2 5 2" xfId="35950"/>
    <cellStyle name="SAPBEXresItem 6 2 6" xfId="27212"/>
    <cellStyle name="SAPBEXresItem 6 3" xfId="21810"/>
    <cellStyle name="SAPBEXresItem 6 3 2" xfId="42685"/>
    <cellStyle name="SAPBEXresItem 6 4" xfId="21086"/>
    <cellStyle name="SAPBEXresItem 6 4 2" xfId="41961"/>
    <cellStyle name="SAPBEXresItem 6 5" xfId="22376"/>
    <cellStyle name="SAPBEXresItem 6 5 2" xfId="43251"/>
    <cellStyle name="SAPBEXresItem 6 6" xfId="13256"/>
    <cellStyle name="SAPBEXresItem 6 6 2" xfId="34132"/>
    <cellStyle name="SAPBEXresItem 6 7" xfId="25394"/>
    <cellStyle name="SAPBEXresItem 7" xfId="8430"/>
    <cellStyle name="SAPBEXresItem 7 2" xfId="23119"/>
    <cellStyle name="SAPBEXresItem 7 2 2" xfId="43992"/>
    <cellStyle name="SAPBEXresItem 7 3" xfId="23221"/>
    <cellStyle name="SAPBEXresItem 7 3 2" xfId="44094"/>
    <cellStyle name="SAPBEXresItem 7 4" xfId="22887"/>
    <cellStyle name="SAPBEXresItem 7 4 2" xfId="43761"/>
    <cellStyle name="SAPBEXresItem 7 5" xfId="17435"/>
    <cellStyle name="SAPBEXresItem 7 5 2" xfId="38311"/>
    <cellStyle name="SAPBEXresItem 7 6" xfId="29573"/>
    <cellStyle name="SAPBEXresItem 8" xfId="10310"/>
    <cellStyle name="SAPBEXresItem 8 2" xfId="23595"/>
    <cellStyle name="SAPBEXresItem 8 2 2" xfId="44467"/>
    <cellStyle name="SAPBEXresItem 8 3" xfId="21672"/>
    <cellStyle name="SAPBEXresItem 8 3 2" xfId="42547"/>
    <cellStyle name="SAPBEXresItem 8 4" xfId="24045"/>
    <cellStyle name="SAPBEXresItem 8 4 2" xfId="44917"/>
    <cellStyle name="SAPBEXresItem 8 5" xfId="19081"/>
    <cellStyle name="SAPBEXresItem 8 5 2" xfId="39957"/>
    <cellStyle name="SAPBEXresItem 8 6" xfId="31221"/>
    <cellStyle name="SAPBEXresItem 9" xfId="20932"/>
    <cellStyle name="SAPBEXresItem 9 2" xfId="41807"/>
    <cellStyle name="SAPBEXresItemX" xfId="1172"/>
    <cellStyle name="SAPBEXresItemX 10" xfId="21139"/>
    <cellStyle name="SAPBEXresItemX 10 2" xfId="42014"/>
    <cellStyle name="SAPBEXresItemX 11" xfId="21000"/>
    <cellStyle name="SAPBEXresItemX 11 2" xfId="41875"/>
    <cellStyle name="SAPBEXresItemX 12" xfId="12169"/>
    <cellStyle name="SAPBEXresItemX 12 2" xfId="33069"/>
    <cellStyle name="SAPBEXresItemX 13" xfId="24139"/>
    <cellStyle name="SAPBEXresItemX 13 2" xfId="45009"/>
    <cellStyle name="SAPBEXresItemX 14" xfId="24278"/>
    <cellStyle name="SAPBEXresItemX 14 2" xfId="45139"/>
    <cellStyle name="SAPBEXresItemX 2" xfId="2831"/>
    <cellStyle name="SAPBEXresItemX 2 10" xfId="24459"/>
    <cellStyle name="SAPBEXresItemX 2 2" xfId="4460"/>
    <cellStyle name="SAPBEXresItemX 2 2 2" xfId="6301"/>
    <cellStyle name="SAPBEXresItemX 2 2 2 2" xfId="22606"/>
    <cellStyle name="SAPBEXresItemX 2 2 2 2 2" xfId="43481"/>
    <cellStyle name="SAPBEXresItemX 2 2 2 3" xfId="22274"/>
    <cellStyle name="SAPBEXresItemX 2 2 2 3 2" xfId="43149"/>
    <cellStyle name="SAPBEXresItemX 2 2 2 4" xfId="21341"/>
    <cellStyle name="SAPBEXresItemX 2 2 2 4 2" xfId="42216"/>
    <cellStyle name="SAPBEXresItemX 2 2 2 5" xfId="15310"/>
    <cellStyle name="SAPBEXresItemX 2 2 2 5 2" xfId="36186"/>
    <cellStyle name="SAPBEXresItemX 2 2 2 6" xfId="27448"/>
    <cellStyle name="SAPBEXresItemX 2 2 3" xfId="22065"/>
    <cellStyle name="SAPBEXresItemX 2 2 3 2" xfId="42940"/>
    <cellStyle name="SAPBEXresItemX 2 2 4" xfId="22856"/>
    <cellStyle name="SAPBEXresItemX 2 2 4 2" xfId="43731"/>
    <cellStyle name="SAPBEXresItemX 2 2 5" xfId="21897"/>
    <cellStyle name="SAPBEXresItemX 2 2 5 2" xfId="42772"/>
    <cellStyle name="SAPBEXresItemX 2 2 6" xfId="13492"/>
    <cellStyle name="SAPBEXresItemX 2 2 6 2" xfId="34368"/>
    <cellStyle name="SAPBEXresItemX 2 2 7" xfId="25630"/>
    <cellStyle name="SAPBEXresItemX 2 3" xfId="8436"/>
    <cellStyle name="SAPBEXresItemX 2 3 2" xfId="23125"/>
    <cellStyle name="SAPBEXresItemX 2 3 2 2" xfId="43998"/>
    <cellStyle name="SAPBEXresItemX 2 3 3" xfId="21920"/>
    <cellStyle name="SAPBEXresItemX 2 3 3 2" xfId="42795"/>
    <cellStyle name="SAPBEXresItemX 2 3 4" xfId="23772"/>
    <cellStyle name="SAPBEXresItemX 2 3 4 2" xfId="44644"/>
    <cellStyle name="SAPBEXresItemX 2 3 5" xfId="17441"/>
    <cellStyle name="SAPBEXresItemX 2 3 5 2" xfId="38317"/>
    <cellStyle name="SAPBEXresItemX 2 3 6" xfId="29579"/>
    <cellStyle name="SAPBEXresItemX 2 4" xfId="10316"/>
    <cellStyle name="SAPBEXresItemX 2 4 2" xfId="23601"/>
    <cellStyle name="SAPBEXresItemX 2 4 2 2" xfId="44473"/>
    <cellStyle name="SAPBEXresItemX 2 4 3" xfId="22297"/>
    <cellStyle name="SAPBEXresItemX 2 4 3 2" xfId="43172"/>
    <cellStyle name="SAPBEXresItemX 2 4 4" xfId="23870"/>
    <cellStyle name="SAPBEXresItemX 2 4 4 2" xfId="44742"/>
    <cellStyle name="SAPBEXresItemX 2 4 5" xfId="19087"/>
    <cellStyle name="SAPBEXresItemX 2 4 5 2" xfId="39963"/>
    <cellStyle name="SAPBEXresItemX 2 4 6" xfId="31227"/>
    <cellStyle name="SAPBEXresItemX 2 5" xfId="20935"/>
    <cellStyle name="SAPBEXresItemX 2 5 2" xfId="41810"/>
    <cellStyle name="SAPBEXresItemX 2 6" xfId="22270"/>
    <cellStyle name="SAPBEXresItemX 2 6 2" xfId="43145"/>
    <cellStyle name="SAPBEXresItemX 2 7" xfId="21356"/>
    <cellStyle name="SAPBEXresItemX 2 7 2" xfId="42231"/>
    <cellStyle name="SAPBEXresItemX 2 8" xfId="12170"/>
    <cellStyle name="SAPBEXresItemX 2 8 2" xfId="33070"/>
    <cellStyle name="SAPBEXresItemX 2 9" xfId="24213"/>
    <cellStyle name="SAPBEXresItemX 2 9 2" xfId="45081"/>
    <cellStyle name="SAPBEXresItemX 3" xfId="2832"/>
    <cellStyle name="SAPBEXresItemX 3 2" xfId="4461"/>
    <cellStyle name="SAPBEXresItemX 3 2 2" xfId="6302"/>
    <cellStyle name="SAPBEXresItemX 3 2 2 2" xfId="22607"/>
    <cellStyle name="SAPBEXresItemX 3 2 2 2 2" xfId="43482"/>
    <cellStyle name="SAPBEXresItemX 3 2 2 3" xfId="22105"/>
    <cellStyle name="SAPBEXresItemX 3 2 2 3 2" xfId="42980"/>
    <cellStyle name="SAPBEXresItemX 3 2 2 4" xfId="21744"/>
    <cellStyle name="SAPBEXresItemX 3 2 2 4 2" xfId="42619"/>
    <cellStyle name="SAPBEXresItemX 3 2 2 5" xfId="15311"/>
    <cellStyle name="SAPBEXresItemX 3 2 2 5 2" xfId="36187"/>
    <cellStyle name="SAPBEXresItemX 3 2 2 6" xfId="27449"/>
    <cellStyle name="SAPBEXresItemX 3 2 3" xfId="22066"/>
    <cellStyle name="SAPBEXresItemX 3 2 3 2" xfId="42941"/>
    <cellStyle name="SAPBEXresItemX 3 2 4" xfId="21338"/>
    <cellStyle name="SAPBEXresItemX 3 2 4 2" xfId="42213"/>
    <cellStyle name="SAPBEXresItemX 3 2 5" xfId="21466"/>
    <cellStyle name="SAPBEXresItemX 3 2 5 2" xfId="42341"/>
    <cellStyle name="SAPBEXresItemX 3 2 6" xfId="13493"/>
    <cellStyle name="SAPBEXresItemX 3 2 6 2" xfId="34369"/>
    <cellStyle name="SAPBEXresItemX 3 2 7" xfId="25631"/>
    <cellStyle name="SAPBEXresItemX 3 3" xfId="8437"/>
    <cellStyle name="SAPBEXresItemX 3 3 2" xfId="23126"/>
    <cellStyle name="SAPBEXresItemX 3 3 2 2" xfId="43999"/>
    <cellStyle name="SAPBEXresItemX 3 3 3" xfId="21883"/>
    <cellStyle name="SAPBEXresItemX 3 3 3 2" xfId="42758"/>
    <cellStyle name="SAPBEXresItemX 3 3 4" xfId="21138"/>
    <cellStyle name="SAPBEXresItemX 3 3 4 2" xfId="42013"/>
    <cellStyle name="SAPBEXresItemX 3 3 5" xfId="17442"/>
    <cellStyle name="SAPBEXresItemX 3 3 5 2" xfId="38318"/>
    <cellStyle name="SAPBEXresItemX 3 3 6" xfId="29580"/>
    <cellStyle name="SAPBEXresItemX 3 4" xfId="10317"/>
    <cellStyle name="SAPBEXresItemX 3 4 2" xfId="23602"/>
    <cellStyle name="SAPBEXresItemX 3 4 2 2" xfId="44474"/>
    <cellStyle name="SAPBEXresItemX 3 4 3" xfId="22694"/>
    <cellStyle name="SAPBEXresItemX 3 4 3 2" xfId="43569"/>
    <cellStyle name="SAPBEXresItemX 3 4 4" xfId="21844"/>
    <cellStyle name="SAPBEXresItemX 3 4 4 2" xfId="42719"/>
    <cellStyle name="SAPBEXresItemX 3 4 5" xfId="19088"/>
    <cellStyle name="SAPBEXresItemX 3 4 5 2" xfId="39964"/>
    <cellStyle name="SAPBEXresItemX 3 4 6" xfId="31228"/>
    <cellStyle name="SAPBEXresItemX 3 5" xfId="21564"/>
    <cellStyle name="SAPBEXresItemX 3 5 2" xfId="42439"/>
    <cellStyle name="SAPBEXresItemX 3 6" xfId="23774"/>
    <cellStyle name="SAPBEXresItemX 3 6 2" xfId="44646"/>
    <cellStyle name="SAPBEXresItemX 3 7" xfId="21171"/>
    <cellStyle name="SAPBEXresItemX 3 7 2" xfId="42046"/>
    <cellStyle name="SAPBEXresItemX 3 8" xfId="12326"/>
    <cellStyle name="SAPBEXresItemX 3 8 2" xfId="33215"/>
    <cellStyle name="SAPBEXresItemX 3 9" xfId="24460"/>
    <cellStyle name="SAPBEXresItemX 4" xfId="2833"/>
    <cellStyle name="SAPBEXresItemX 4 2" xfId="4462"/>
    <cellStyle name="SAPBEXresItemX 4 2 2" xfId="6303"/>
    <cellStyle name="SAPBEXresItemX 4 2 2 2" xfId="22608"/>
    <cellStyle name="SAPBEXresItemX 4 2 2 2 2" xfId="43483"/>
    <cellStyle name="SAPBEXresItemX 4 2 2 3" xfId="23674"/>
    <cellStyle name="SAPBEXresItemX 4 2 2 3 2" xfId="44546"/>
    <cellStyle name="SAPBEXresItemX 4 2 2 4" xfId="24019"/>
    <cellStyle name="SAPBEXresItemX 4 2 2 4 2" xfId="44891"/>
    <cellStyle name="SAPBEXresItemX 4 2 2 5" xfId="15312"/>
    <cellStyle name="SAPBEXresItemX 4 2 2 5 2" xfId="36188"/>
    <cellStyle name="SAPBEXresItemX 4 2 2 6" xfId="27450"/>
    <cellStyle name="SAPBEXresItemX 4 2 3" xfId="22067"/>
    <cellStyle name="SAPBEXresItemX 4 2 3 2" xfId="42942"/>
    <cellStyle name="SAPBEXresItemX 4 2 4" xfId="21423"/>
    <cellStyle name="SAPBEXresItemX 4 2 4 2" xfId="42298"/>
    <cellStyle name="SAPBEXresItemX 4 2 5" xfId="23751"/>
    <cellStyle name="SAPBEXresItemX 4 2 5 2" xfId="44623"/>
    <cellStyle name="SAPBEXresItemX 4 2 6" xfId="13494"/>
    <cellStyle name="SAPBEXresItemX 4 2 6 2" xfId="34370"/>
    <cellStyle name="SAPBEXresItemX 4 2 7" xfId="25632"/>
    <cellStyle name="SAPBEXresItemX 4 3" xfId="8438"/>
    <cellStyle name="SAPBEXresItemX 4 3 2" xfId="23127"/>
    <cellStyle name="SAPBEXresItemX 4 3 2 2" xfId="44000"/>
    <cellStyle name="SAPBEXresItemX 4 3 3" xfId="22100"/>
    <cellStyle name="SAPBEXresItemX 4 3 3 2" xfId="42975"/>
    <cellStyle name="SAPBEXresItemX 4 3 4" xfId="21360"/>
    <cellStyle name="SAPBEXresItemX 4 3 4 2" xfId="42235"/>
    <cellStyle name="SAPBEXresItemX 4 3 5" xfId="17443"/>
    <cellStyle name="SAPBEXresItemX 4 3 5 2" xfId="38319"/>
    <cellStyle name="SAPBEXresItemX 4 3 6" xfId="29581"/>
    <cellStyle name="SAPBEXresItemX 4 4" xfId="10318"/>
    <cellStyle name="SAPBEXresItemX 4 4 2" xfId="23603"/>
    <cellStyle name="SAPBEXresItemX 4 4 2 2" xfId="44475"/>
    <cellStyle name="SAPBEXresItemX 4 4 3" xfId="22784"/>
    <cellStyle name="SAPBEXresItemX 4 4 3 2" xfId="43659"/>
    <cellStyle name="SAPBEXresItemX 4 4 4" xfId="23305"/>
    <cellStyle name="SAPBEXresItemX 4 4 4 2" xfId="44177"/>
    <cellStyle name="SAPBEXresItemX 4 4 5" xfId="19089"/>
    <cellStyle name="SAPBEXresItemX 4 4 5 2" xfId="39965"/>
    <cellStyle name="SAPBEXresItemX 4 4 6" xfId="31229"/>
    <cellStyle name="SAPBEXresItemX 4 5" xfId="21565"/>
    <cellStyle name="SAPBEXresItemX 4 5 2" xfId="42440"/>
    <cellStyle name="SAPBEXresItemX 4 6" xfId="21840"/>
    <cellStyle name="SAPBEXresItemX 4 6 2" xfId="42715"/>
    <cellStyle name="SAPBEXresItemX 4 7" xfId="21354"/>
    <cellStyle name="SAPBEXresItemX 4 7 2" xfId="42229"/>
    <cellStyle name="SAPBEXresItemX 4 8" xfId="12327"/>
    <cellStyle name="SAPBEXresItemX 4 8 2" xfId="33216"/>
    <cellStyle name="SAPBEXresItemX 4 9" xfId="24461"/>
    <cellStyle name="SAPBEXresItemX 5" xfId="2834"/>
    <cellStyle name="SAPBEXresItemX 5 2" xfId="4463"/>
    <cellStyle name="SAPBEXresItemX 5 2 2" xfId="6304"/>
    <cellStyle name="SAPBEXresItemX 5 2 2 2" xfId="22609"/>
    <cellStyle name="SAPBEXresItemX 5 2 2 2 2" xfId="43484"/>
    <cellStyle name="SAPBEXresItemX 5 2 2 3" xfId="22745"/>
    <cellStyle name="SAPBEXresItemX 5 2 2 3 2" xfId="43620"/>
    <cellStyle name="SAPBEXresItemX 5 2 2 4" xfId="21879"/>
    <cellStyle name="SAPBEXresItemX 5 2 2 4 2" xfId="42754"/>
    <cellStyle name="SAPBEXresItemX 5 2 2 5" xfId="15313"/>
    <cellStyle name="SAPBEXresItemX 5 2 2 5 2" xfId="36189"/>
    <cellStyle name="SAPBEXresItemX 5 2 2 6" xfId="27451"/>
    <cellStyle name="SAPBEXresItemX 5 2 3" xfId="22068"/>
    <cellStyle name="SAPBEXresItemX 5 2 3 2" xfId="42943"/>
    <cellStyle name="SAPBEXresItemX 5 2 4" xfId="23695"/>
    <cellStyle name="SAPBEXresItemX 5 2 4 2" xfId="44567"/>
    <cellStyle name="SAPBEXresItemX 5 2 5" xfId="21318"/>
    <cellStyle name="SAPBEXresItemX 5 2 5 2" xfId="42193"/>
    <cellStyle name="SAPBEXresItemX 5 2 6" xfId="13495"/>
    <cellStyle name="SAPBEXresItemX 5 2 6 2" xfId="34371"/>
    <cellStyle name="SAPBEXresItemX 5 2 7" xfId="25633"/>
    <cellStyle name="SAPBEXresItemX 5 3" xfId="8439"/>
    <cellStyle name="SAPBEXresItemX 5 3 2" xfId="23128"/>
    <cellStyle name="SAPBEXresItemX 5 3 2 2" xfId="44001"/>
    <cellStyle name="SAPBEXresItemX 5 3 3" xfId="22808"/>
    <cellStyle name="SAPBEXresItemX 5 3 3 2" xfId="43683"/>
    <cellStyle name="SAPBEXresItemX 5 3 4" xfId="21265"/>
    <cellStyle name="SAPBEXresItemX 5 3 4 2" xfId="42140"/>
    <cellStyle name="SAPBEXresItemX 5 3 5" xfId="17444"/>
    <cellStyle name="SAPBEXresItemX 5 3 5 2" xfId="38320"/>
    <cellStyle name="SAPBEXresItemX 5 3 6" xfId="29582"/>
    <cellStyle name="SAPBEXresItemX 5 4" xfId="10319"/>
    <cellStyle name="SAPBEXresItemX 5 4 2" xfId="23604"/>
    <cellStyle name="SAPBEXresItemX 5 4 2 2" xfId="44476"/>
    <cellStyle name="SAPBEXresItemX 5 4 3" xfId="22902"/>
    <cellStyle name="SAPBEXresItemX 5 4 3 2" xfId="43776"/>
    <cellStyle name="SAPBEXresItemX 5 4 4" xfId="22870"/>
    <cellStyle name="SAPBEXresItemX 5 4 4 2" xfId="43744"/>
    <cellStyle name="SAPBEXresItemX 5 4 5" xfId="19090"/>
    <cellStyle name="SAPBEXresItemX 5 4 5 2" xfId="39966"/>
    <cellStyle name="SAPBEXresItemX 5 4 6" xfId="31230"/>
    <cellStyle name="SAPBEXresItemX 5 5" xfId="21566"/>
    <cellStyle name="SAPBEXresItemX 5 5 2" xfId="42441"/>
    <cellStyle name="SAPBEXresItemX 5 6" xfId="24111"/>
    <cellStyle name="SAPBEXresItemX 5 6 2" xfId="44982"/>
    <cellStyle name="SAPBEXresItemX 5 7" xfId="23847"/>
    <cellStyle name="SAPBEXresItemX 5 7 2" xfId="44719"/>
    <cellStyle name="SAPBEXresItemX 5 8" xfId="12328"/>
    <cellStyle name="SAPBEXresItemX 5 8 2" xfId="33217"/>
    <cellStyle name="SAPBEXresItemX 5 9" xfId="24462"/>
    <cellStyle name="SAPBEXresItemX 6" xfId="3837"/>
    <cellStyle name="SAPBEXresItemX 6 2" xfId="6066"/>
    <cellStyle name="SAPBEXresItemX 6 2 2" xfId="22425"/>
    <cellStyle name="SAPBEXresItemX 6 2 2 2" xfId="43300"/>
    <cellStyle name="SAPBEXresItemX 6 2 3" xfId="23719"/>
    <cellStyle name="SAPBEXresItemX 6 2 3 2" xfId="44591"/>
    <cellStyle name="SAPBEXresItemX 6 2 4" xfId="21305"/>
    <cellStyle name="SAPBEXresItemX 6 2 4 2" xfId="42180"/>
    <cellStyle name="SAPBEXresItemX 6 2 5" xfId="15075"/>
    <cellStyle name="SAPBEXresItemX 6 2 5 2" xfId="35951"/>
    <cellStyle name="SAPBEXresItemX 6 2 6" xfId="27213"/>
    <cellStyle name="SAPBEXresItemX 6 3" xfId="21811"/>
    <cellStyle name="SAPBEXresItemX 6 3 2" xfId="42686"/>
    <cellStyle name="SAPBEXresItemX 6 4" xfId="23190"/>
    <cellStyle name="SAPBEXresItemX 6 4 2" xfId="44063"/>
    <cellStyle name="SAPBEXresItemX 6 5" xfId="22151"/>
    <cellStyle name="SAPBEXresItemX 6 5 2" xfId="43026"/>
    <cellStyle name="SAPBEXresItemX 6 6" xfId="13257"/>
    <cellStyle name="SAPBEXresItemX 6 6 2" xfId="34133"/>
    <cellStyle name="SAPBEXresItemX 6 7" xfId="25395"/>
    <cellStyle name="SAPBEXresItemX 7" xfId="8435"/>
    <cellStyle name="SAPBEXresItemX 7 2" xfId="23124"/>
    <cellStyle name="SAPBEXresItemX 7 2 2" xfId="43997"/>
    <cellStyle name="SAPBEXresItemX 7 3" xfId="23353"/>
    <cellStyle name="SAPBEXresItemX 7 3 2" xfId="44225"/>
    <cellStyle name="SAPBEXresItemX 7 4" xfId="22915"/>
    <cellStyle name="SAPBEXresItemX 7 4 2" xfId="43789"/>
    <cellStyle name="SAPBEXresItemX 7 5" xfId="17440"/>
    <cellStyle name="SAPBEXresItemX 7 5 2" xfId="38316"/>
    <cellStyle name="SAPBEXresItemX 7 6" xfId="29578"/>
    <cellStyle name="SAPBEXresItemX 8" xfId="10315"/>
    <cellStyle name="SAPBEXresItemX 8 2" xfId="23600"/>
    <cellStyle name="SAPBEXresItemX 8 2 2" xfId="44472"/>
    <cellStyle name="SAPBEXresItemX 8 3" xfId="22168"/>
    <cellStyle name="SAPBEXresItemX 8 3 2" xfId="43043"/>
    <cellStyle name="SAPBEXresItemX 8 4" xfId="24121"/>
    <cellStyle name="SAPBEXresItemX 8 4 2" xfId="44992"/>
    <cellStyle name="SAPBEXresItemX 8 5" xfId="19086"/>
    <cellStyle name="SAPBEXresItemX 8 5 2" xfId="39962"/>
    <cellStyle name="SAPBEXresItemX 8 6" xfId="31226"/>
    <cellStyle name="SAPBEXresItemX 9" xfId="20934"/>
    <cellStyle name="SAPBEXresItemX 9 2" xfId="41809"/>
    <cellStyle name="SAPBEXstdData" xfId="1173"/>
    <cellStyle name="SAPBEXstdData 10" xfId="23817"/>
    <cellStyle name="SAPBEXstdData 10 2" xfId="44689"/>
    <cellStyle name="SAPBEXstdData 11" xfId="24090"/>
    <cellStyle name="SAPBEXstdData 11 2" xfId="44962"/>
    <cellStyle name="SAPBEXstdData 12" xfId="12171"/>
    <cellStyle name="SAPBEXstdData 12 2" xfId="33071"/>
    <cellStyle name="SAPBEXstdData 13" xfId="24138"/>
    <cellStyle name="SAPBEXstdData 13 2" xfId="45008"/>
    <cellStyle name="SAPBEXstdData 14" xfId="24279"/>
    <cellStyle name="SAPBEXstdData 14 2" xfId="45140"/>
    <cellStyle name="SAPBEXstdData 2" xfId="2835"/>
    <cellStyle name="SAPBEXstdData 2 10" xfId="24463"/>
    <cellStyle name="SAPBEXstdData 2 2" xfId="4465"/>
    <cellStyle name="SAPBEXstdData 2 2 2" xfId="6305"/>
    <cellStyle name="SAPBEXstdData 2 2 2 2" xfId="22610"/>
    <cellStyle name="SAPBEXstdData 2 2 2 2 2" xfId="43485"/>
    <cellStyle name="SAPBEXstdData 2 2 2 3" xfId="24014"/>
    <cellStyle name="SAPBEXstdData 2 2 2 3 2" xfId="44886"/>
    <cellStyle name="SAPBEXstdData 2 2 2 4" xfId="22791"/>
    <cellStyle name="SAPBEXstdData 2 2 2 4 2" xfId="43666"/>
    <cellStyle name="SAPBEXstdData 2 2 2 5" xfId="15314"/>
    <cellStyle name="SAPBEXstdData 2 2 2 5 2" xfId="36190"/>
    <cellStyle name="SAPBEXstdData 2 2 2 6" xfId="27452"/>
    <cellStyle name="SAPBEXstdData 2 2 3" xfId="22069"/>
    <cellStyle name="SAPBEXstdData 2 2 3 2" xfId="42944"/>
    <cellStyle name="SAPBEXstdData 2 2 4" xfId="23278"/>
    <cellStyle name="SAPBEXstdData 2 2 4 2" xfId="44151"/>
    <cellStyle name="SAPBEXstdData 2 2 5" xfId="21604"/>
    <cellStyle name="SAPBEXstdData 2 2 5 2" xfId="42479"/>
    <cellStyle name="SAPBEXstdData 2 2 6" xfId="13496"/>
    <cellStyle name="SAPBEXstdData 2 2 6 2" xfId="34372"/>
    <cellStyle name="SAPBEXstdData 2 2 7" xfId="25634"/>
    <cellStyle name="SAPBEXstdData 2 3" xfId="8441"/>
    <cellStyle name="SAPBEXstdData 2 3 2" xfId="23130"/>
    <cellStyle name="SAPBEXstdData 2 3 2 2" xfId="44003"/>
    <cellStyle name="SAPBEXstdData 2 3 3" xfId="21233"/>
    <cellStyle name="SAPBEXstdData 2 3 3 2" xfId="42108"/>
    <cellStyle name="SAPBEXstdData 2 3 4" xfId="22731"/>
    <cellStyle name="SAPBEXstdData 2 3 4 2" xfId="43606"/>
    <cellStyle name="SAPBEXstdData 2 3 5" xfId="17446"/>
    <cellStyle name="SAPBEXstdData 2 3 5 2" xfId="38322"/>
    <cellStyle name="SAPBEXstdData 2 3 6" xfId="29584"/>
    <cellStyle name="SAPBEXstdData 2 4" xfId="10321"/>
    <cellStyle name="SAPBEXstdData 2 4 2" xfId="23606"/>
    <cellStyle name="SAPBEXstdData 2 4 2 2" xfId="44478"/>
    <cellStyle name="SAPBEXstdData 2 4 3" xfId="23357"/>
    <cellStyle name="SAPBEXstdData 2 4 3 2" xfId="44229"/>
    <cellStyle name="SAPBEXstdData 2 4 4" xfId="21320"/>
    <cellStyle name="SAPBEXstdData 2 4 4 2" xfId="42195"/>
    <cellStyle name="SAPBEXstdData 2 4 5" xfId="19092"/>
    <cellStyle name="SAPBEXstdData 2 4 5 2" xfId="39968"/>
    <cellStyle name="SAPBEXstdData 2 4 6" xfId="31232"/>
    <cellStyle name="SAPBEXstdData 2 5" xfId="20937"/>
    <cellStyle name="SAPBEXstdData 2 5 2" xfId="41812"/>
    <cellStyle name="SAPBEXstdData 2 6" xfId="23947"/>
    <cellStyle name="SAPBEXstdData 2 6 2" xfId="44819"/>
    <cellStyle name="SAPBEXstdData 2 7" xfId="22754"/>
    <cellStyle name="SAPBEXstdData 2 7 2" xfId="43629"/>
    <cellStyle name="SAPBEXstdData 2 8" xfId="12172"/>
    <cellStyle name="SAPBEXstdData 2 8 2" xfId="33072"/>
    <cellStyle name="SAPBEXstdData 2 9" xfId="24214"/>
    <cellStyle name="SAPBEXstdData 2 9 2" xfId="45082"/>
    <cellStyle name="SAPBEXstdData 3" xfId="2836"/>
    <cellStyle name="SAPBEXstdData 3 2" xfId="4466"/>
    <cellStyle name="SAPBEXstdData 3 2 2" xfId="6306"/>
    <cellStyle name="SAPBEXstdData 3 2 2 2" xfId="22611"/>
    <cellStyle name="SAPBEXstdData 3 2 2 2 2" xfId="43486"/>
    <cellStyle name="SAPBEXstdData 3 2 2 3" xfId="22746"/>
    <cellStyle name="SAPBEXstdData 3 2 2 3 2" xfId="43621"/>
    <cellStyle name="SAPBEXstdData 3 2 2 4" xfId="21880"/>
    <cellStyle name="SAPBEXstdData 3 2 2 4 2" xfId="42755"/>
    <cellStyle name="SAPBEXstdData 3 2 2 5" xfId="15315"/>
    <cellStyle name="SAPBEXstdData 3 2 2 5 2" xfId="36191"/>
    <cellStyle name="SAPBEXstdData 3 2 2 6" xfId="27453"/>
    <cellStyle name="SAPBEXstdData 3 2 3" xfId="22070"/>
    <cellStyle name="SAPBEXstdData 3 2 3 2" xfId="42945"/>
    <cellStyle name="SAPBEXstdData 3 2 4" xfId="24102"/>
    <cellStyle name="SAPBEXstdData 3 2 4 2" xfId="44973"/>
    <cellStyle name="SAPBEXstdData 3 2 5" xfId="21760"/>
    <cellStyle name="SAPBEXstdData 3 2 5 2" xfId="42635"/>
    <cellStyle name="SAPBEXstdData 3 2 6" xfId="13497"/>
    <cellStyle name="SAPBEXstdData 3 2 6 2" xfId="34373"/>
    <cellStyle name="SAPBEXstdData 3 2 7" xfId="25635"/>
    <cellStyle name="SAPBEXstdData 3 3" xfId="8442"/>
    <cellStyle name="SAPBEXstdData 3 3 2" xfId="23131"/>
    <cellStyle name="SAPBEXstdData 3 3 2 2" xfId="44004"/>
    <cellStyle name="SAPBEXstdData 3 3 3" xfId="22227"/>
    <cellStyle name="SAPBEXstdData 3 3 3 2" xfId="43102"/>
    <cellStyle name="SAPBEXstdData 3 3 4" xfId="23665"/>
    <cellStyle name="SAPBEXstdData 3 3 4 2" xfId="44537"/>
    <cellStyle name="SAPBEXstdData 3 3 5" xfId="17447"/>
    <cellStyle name="SAPBEXstdData 3 3 5 2" xfId="38323"/>
    <cellStyle name="SAPBEXstdData 3 3 6" xfId="29585"/>
    <cellStyle name="SAPBEXstdData 3 4" xfId="10322"/>
    <cellStyle name="SAPBEXstdData 3 4 2" xfId="23607"/>
    <cellStyle name="SAPBEXstdData 3 4 2 2" xfId="44479"/>
    <cellStyle name="SAPBEXstdData 3 4 3" xfId="23686"/>
    <cellStyle name="SAPBEXstdData 3 4 3 2" xfId="44558"/>
    <cellStyle name="SAPBEXstdData 3 4 4" xfId="22341"/>
    <cellStyle name="SAPBEXstdData 3 4 4 2" xfId="43216"/>
    <cellStyle name="SAPBEXstdData 3 4 5" xfId="19093"/>
    <cellStyle name="SAPBEXstdData 3 4 5 2" xfId="39969"/>
    <cellStyle name="SAPBEXstdData 3 4 6" xfId="31233"/>
    <cellStyle name="SAPBEXstdData 3 5" xfId="21567"/>
    <cellStyle name="SAPBEXstdData 3 5 2" xfId="42442"/>
    <cellStyle name="SAPBEXstdData 3 6" xfId="22737"/>
    <cellStyle name="SAPBEXstdData 3 6 2" xfId="43612"/>
    <cellStyle name="SAPBEXstdData 3 7" xfId="21589"/>
    <cellStyle name="SAPBEXstdData 3 7 2" xfId="42464"/>
    <cellStyle name="SAPBEXstdData 3 8" xfId="12329"/>
    <cellStyle name="SAPBEXstdData 3 8 2" xfId="33218"/>
    <cellStyle name="SAPBEXstdData 3 9" xfId="24464"/>
    <cellStyle name="SAPBEXstdData 4" xfId="2837"/>
    <cellStyle name="SAPBEXstdData 4 2" xfId="4467"/>
    <cellStyle name="SAPBEXstdData 4 2 2" xfId="6307"/>
    <cellStyle name="SAPBEXstdData 4 2 2 2" xfId="22612"/>
    <cellStyle name="SAPBEXstdData 4 2 2 2 2" xfId="43487"/>
    <cellStyle name="SAPBEXstdData 4 2 2 3" xfId="23972"/>
    <cellStyle name="SAPBEXstdData 4 2 2 3 2" xfId="44844"/>
    <cellStyle name="SAPBEXstdData 4 2 2 4" xfId="23227"/>
    <cellStyle name="SAPBEXstdData 4 2 2 4 2" xfId="44100"/>
    <cellStyle name="SAPBEXstdData 4 2 2 5" xfId="15316"/>
    <cellStyle name="SAPBEXstdData 4 2 2 5 2" xfId="36192"/>
    <cellStyle name="SAPBEXstdData 4 2 2 6" xfId="27454"/>
    <cellStyle name="SAPBEXstdData 4 2 3" xfId="22071"/>
    <cellStyle name="SAPBEXstdData 4 2 3 2" xfId="42946"/>
    <cellStyle name="SAPBEXstdData 4 2 4" xfId="23938"/>
    <cellStyle name="SAPBEXstdData 4 2 4 2" xfId="44810"/>
    <cellStyle name="SAPBEXstdData 4 2 5" xfId="22390"/>
    <cellStyle name="SAPBEXstdData 4 2 5 2" xfId="43265"/>
    <cellStyle name="SAPBEXstdData 4 2 6" xfId="13498"/>
    <cellStyle name="SAPBEXstdData 4 2 6 2" xfId="34374"/>
    <cellStyle name="SAPBEXstdData 4 2 7" xfId="25636"/>
    <cellStyle name="SAPBEXstdData 4 3" xfId="8443"/>
    <cellStyle name="SAPBEXstdData 4 3 2" xfId="23132"/>
    <cellStyle name="SAPBEXstdData 4 3 2 2" xfId="44005"/>
    <cellStyle name="SAPBEXstdData 4 3 3" xfId="22639"/>
    <cellStyle name="SAPBEXstdData 4 3 3 2" xfId="43514"/>
    <cellStyle name="SAPBEXstdData 4 3 4" xfId="21411"/>
    <cellStyle name="SAPBEXstdData 4 3 4 2" xfId="42286"/>
    <cellStyle name="SAPBEXstdData 4 3 5" xfId="17448"/>
    <cellStyle name="SAPBEXstdData 4 3 5 2" xfId="38324"/>
    <cellStyle name="SAPBEXstdData 4 3 6" xfId="29586"/>
    <cellStyle name="SAPBEXstdData 4 4" xfId="10323"/>
    <cellStyle name="SAPBEXstdData 4 4 2" xfId="23608"/>
    <cellStyle name="SAPBEXstdData 4 4 2 2" xfId="44480"/>
    <cellStyle name="SAPBEXstdData 4 4 3" xfId="21709"/>
    <cellStyle name="SAPBEXstdData 4 4 3 2" xfId="42584"/>
    <cellStyle name="SAPBEXstdData 4 4 4" xfId="20959"/>
    <cellStyle name="SAPBEXstdData 4 4 4 2" xfId="41834"/>
    <cellStyle name="SAPBEXstdData 4 4 5" xfId="19094"/>
    <cellStyle name="SAPBEXstdData 4 4 5 2" xfId="39970"/>
    <cellStyle name="SAPBEXstdData 4 4 6" xfId="31234"/>
    <cellStyle name="SAPBEXstdData 4 5" xfId="21568"/>
    <cellStyle name="SAPBEXstdData 4 5 2" xfId="42443"/>
    <cellStyle name="SAPBEXstdData 4 6" xfId="23676"/>
    <cellStyle name="SAPBEXstdData 4 6 2" xfId="44548"/>
    <cellStyle name="SAPBEXstdData 4 7" xfId="24021"/>
    <cellStyle name="SAPBEXstdData 4 7 2" xfId="44893"/>
    <cellStyle name="SAPBEXstdData 4 8" xfId="12330"/>
    <cellStyle name="SAPBEXstdData 4 8 2" xfId="33219"/>
    <cellStyle name="SAPBEXstdData 4 9" xfId="24465"/>
    <cellStyle name="SAPBEXstdData 5" xfId="2838"/>
    <cellStyle name="SAPBEXstdData 5 2" xfId="4468"/>
    <cellStyle name="SAPBEXstdData 5 2 2" xfId="6308"/>
    <cellStyle name="SAPBEXstdData 5 2 2 2" xfId="22613"/>
    <cellStyle name="SAPBEXstdData 5 2 2 2 2" xfId="43488"/>
    <cellStyle name="SAPBEXstdData 5 2 2 3" xfId="20968"/>
    <cellStyle name="SAPBEXstdData 5 2 2 3 2" xfId="41843"/>
    <cellStyle name="SAPBEXstdData 5 2 2 4" xfId="23292"/>
    <cellStyle name="SAPBEXstdData 5 2 2 4 2" xfId="44164"/>
    <cellStyle name="SAPBEXstdData 5 2 2 5" xfId="15317"/>
    <cellStyle name="SAPBEXstdData 5 2 2 5 2" xfId="36193"/>
    <cellStyle name="SAPBEXstdData 5 2 2 6" xfId="27455"/>
    <cellStyle name="SAPBEXstdData 5 2 3" xfId="22072"/>
    <cellStyle name="SAPBEXstdData 5 2 3 2" xfId="42947"/>
    <cellStyle name="SAPBEXstdData 5 2 4" xfId="23336"/>
    <cellStyle name="SAPBEXstdData 5 2 4 2" xfId="44208"/>
    <cellStyle name="SAPBEXstdData 5 2 5" xfId="23970"/>
    <cellStyle name="SAPBEXstdData 5 2 5 2" xfId="44842"/>
    <cellStyle name="SAPBEXstdData 5 2 6" xfId="13499"/>
    <cellStyle name="SAPBEXstdData 5 2 6 2" xfId="34375"/>
    <cellStyle name="SAPBEXstdData 5 2 7" xfId="25637"/>
    <cellStyle name="SAPBEXstdData 5 3" xfId="8444"/>
    <cellStyle name="SAPBEXstdData 5 3 2" xfId="23133"/>
    <cellStyle name="SAPBEXstdData 5 3 2 2" xfId="44006"/>
    <cellStyle name="SAPBEXstdData 5 3 3" xfId="22923"/>
    <cellStyle name="SAPBEXstdData 5 3 3 2" xfId="43797"/>
    <cellStyle name="SAPBEXstdData 5 3 4" xfId="21324"/>
    <cellStyle name="SAPBEXstdData 5 3 4 2" xfId="42199"/>
    <cellStyle name="SAPBEXstdData 5 3 5" xfId="17449"/>
    <cellStyle name="SAPBEXstdData 5 3 5 2" xfId="38325"/>
    <cellStyle name="SAPBEXstdData 5 3 6" xfId="29587"/>
    <cellStyle name="SAPBEXstdData 5 4" xfId="10324"/>
    <cellStyle name="SAPBEXstdData 5 4 2" xfId="23609"/>
    <cellStyle name="SAPBEXstdData 5 4 2 2" xfId="44481"/>
    <cellStyle name="SAPBEXstdData 5 4 3" xfId="22208"/>
    <cellStyle name="SAPBEXstdData 5 4 3 2" xfId="43083"/>
    <cellStyle name="SAPBEXstdData 5 4 4" xfId="24005"/>
    <cellStyle name="SAPBEXstdData 5 4 4 2" xfId="44877"/>
    <cellStyle name="SAPBEXstdData 5 4 5" xfId="19095"/>
    <cellStyle name="SAPBEXstdData 5 4 5 2" xfId="39971"/>
    <cellStyle name="SAPBEXstdData 5 4 6" xfId="31235"/>
    <cellStyle name="SAPBEXstdData 5 5" xfId="21569"/>
    <cellStyle name="SAPBEXstdData 5 5 2" xfId="42444"/>
    <cellStyle name="SAPBEXstdData 5 6" xfId="24075"/>
    <cellStyle name="SAPBEXstdData 5 6 2" xfId="44947"/>
    <cellStyle name="SAPBEXstdData 5 7" xfId="23889"/>
    <cellStyle name="SAPBEXstdData 5 7 2" xfId="44761"/>
    <cellStyle name="SAPBEXstdData 5 8" xfId="12331"/>
    <cellStyle name="SAPBEXstdData 5 8 2" xfId="33220"/>
    <cellStyle name="SAPBEXstdData 5 9" xfId="24466"/>
    <cellStyle name="SAPBEXstdData 6" xfId="3838"/>
    <cellStyle name="SAPBEXstdData 6 2" xfId="6067"/>
    <cellStyle name="SAPBEXstdData 6 2 2" xfId="22426"/>
    <cellStyle name="SAPBEXstdData 6 2 2 2" xfId="43301"/>
    <cellStyle name="SAPBEXstdData 6 2 3" xfId="24018"/>
    <cellStyle name="SAPBEXstdData 6 2 3 2" xfId="44890"/>
    <cellStyle name="SAPBEXstdData 6 2 4" xfId="23808"/>
    <cellStyle name="SAPBEXstdData 6 2 4 2" xfId="44680"/>
    <cellStyle name="SAPBEXstdData 6 2 5" xfId="15076"/>
    <cellStyle name="SAPBEXstdData 6 2 5 2" xfId="35952"/>
    <cellStyle name="SAPBEXstdData 6 2 6" xfId="27214"/>
    <cellStyle name="SAPBEXstdData 6 3" xfId="21812"/>
    <cellStyle name="SAPBEXstdData 6 3 2" xfId="42687"/>
    <cellStyle name="SAPBEXstdData 6 4" xfId="23366"/>
    <cellStyle name="SAPBEXstdData 6 4 2" xfId="44238"/>
    <cellStyle name="SAPBEXstdData 6 5" xfId="21403"/>
    <cellStyle name="SAPBEXstdData 6 5 2" xfId="42278"/>
    <cellStyle name="SAPBEXstdData 6 6" xfId="13258"/>
    <cellStyle name="SAPBEXstdData 6 6 2" xfId="34134"/>
    <cellStyle name="SAPBEXstdData 6 7" xfId="25396"/>
    <cellStyle name="SAPBEXstdData 7" xfId="8440"/>
    <cellStyle name="SAPBEXstdData 7 2" xfId="23129"/>
    <cellStyle name="SAPBEXstdData 7 2 2" xfId="44002"/>
    <cellStyle name="SAPBEXstdData 7 3" xfId="23682"/>
    <cellStyle name="SAPBEXstdData 7 3 2" xfId="44554"/>
    <cellStyle name="SAPBEXstdData 7 4" xfId="21152"/>
    <cellStyle name="SAPBEXstdData 7 4 2" xfId="42027"/>
    <cellStyle name="SAPBEXstdData 7 5" xfId="17445"/>
    <cellStyle name="SAPBEXstdData 7 5 2" xfId="38321"/>
    <cellStyle name="SAPBEXstdData 7 6" xfId="29583"/>
    <cellStyle name="SAPBEXstdData 8" xfId="10320"/>
    <cellStyle name="SAPBEXstdData 8 2" xfId="23605"/>
    <cellStyle name="SAPBEXstdData 8 2 2" xfId="44477"/>
    <cellStyle name="SAPBEXstdData 8 3" xfId="23224"/>
    <cellStyle name="SAPBEXstdData 8 3 2" xfId="44097"/>
    <cellStyle name="SAPBEXstdData 8 4" xfId="21407"/>
    <cellStyle name="SAPBEXstdData 8 4 2" xfId="42282"/>
    <cellStyle name="SAPBEXstdData 8 5" xfId="19091"/>
    <cellStyle name="SAPBEXstdData 8 5 2" xfId="39967"/>
    <cellStyle name="SAPBEXstdData 8 6" xfId="31231"/>
    <cellStyle name="SAPBEXstdData 9" xfId="20936"/>
    <cellStyle name="SAPBEXstdData 9 2" xfId="41811"/>
    <cellStyle name="SAPBEXstdData_원재료입고" xfId="2839"/>
    <cellStyle name="SAPBEXstdDataEmph" xfId="1174"/>
    <cellStyle name="SAPBEXstdDataEmph 10" xfId="22645"/>
    <cellStyle name="SAPBEXstdDataEmph 10 2" xfId="43520"/>
    <cellStyle name="SAPBEXstdDataEmph 11" xfId="23299"/>
    <cellStyle name="SAPBEXstdDataEmph 11 2" xfId="44171"/>
    <cellStyle name="SAPBEXstdDataEmph 12" xfId="12173"/>
    <cellStyle name="SAPBEXstdDataEmph 12 2" xfId="33073"/>
    <cellStyle name="SAPBEXstdDataEmph 13" xfId="24137"/>
    <cellStyle name="SAPBEXstdDataEmph 13 2" xfId="45007"/>
    <cellStyle name="SAPBEXstdDataEmph 14" xfId="24280"/>
    <cellStyle name="SAPBEXstdDataEmph 14 2" xfId="45141"/>
    <cellStyle name="SAPBEXstdDataEmph 2" xfId="2840"/>
    <cellStyle name="SAPBEXstdDataEmph 2 10" xfId="24467"/>
    <cellStyle name="SAPBEXstdDataEmph 2 2" xfId="4470"/>
    <cellStyle name="SAPBEXstdDataEmph 2 2 2" xfId="6309"/>
    <cellStyle name="SAPBEXstdDataEmph 2 2 2 2" xfId="22614"/>
    <cellStyle name="SAPBEXstdDataEmph 2 2 2 2 2" xfId="43489"/>
    <cellStyle name="SAPBEXstdDataEmph 2 2 2 3" xfId="22780"/>
    <cellStyle name="SAPBEXstdDataEmph 2 2 2 3 2" xfId="43655"/>
    <cellStyle name="SAPBEXstdDataEmph 2 2 2 4" xfId="23756"/>
    <cellStyle name="SAPBEXstdDataEmph 2 2 2 4 2" xfId="44628"/>
    <cellStyle name="SAPBEXstdDataEmph 2 2 2 5" xfId="15318"/>
    <cellStyle name="SAPBEXstdDataEmph 2 2 2 5 2" xfId="36194"/>
    <cellStyle name="SAPBEXstdDataEmph 2 2 2 6" xfId="27456"/>
    <cellStyle name="SAPBEXstdDataEmph 2 2 3" xfId="22073"/>
    <cellStyle name="SAPBEXstdDataEmph 2 2 3 2" xfId="42948"/>
    <cellStyle name="SAPBEXstdDataEmph 2 2 4" xfId="24062"/>
    <cellStyle name="SAPBEXstdDataEmph 2 2 4 2" xfId="44934"/>
    <cellStyle name="SAPBEXstdDataEmph 2 2 5" xfId="22212"/>
    <cellStyle name="SAPBEXstdDataEmph 2 2 5 2" xfId="43087"/>
    <cellStyle name="SAPBEXstdDataEmph 2 2 6" xfId="13500"/>
    <cellStyle name="SAPBEXstdDataEmph 2 2 6 2" xfId="34376"/>
    <cellStyle name="SAPBEXstdDataEmph 2 2 7" xfId="25638"/>
    <cellStyle name="SAPBEXstdDataEmph 2 3" xfId="8446"/>
    <cellStyle name="SAPBEXstdDataEmph 2 3 2" xfId="23135"/>
    <cellStyle name="SAPBEXstdDataEmph 2 3 2 2" xfId="44008"/>
    <cellStyle name="SAPBEXstdDataEmph 2 3 3" xfId="23324"/>
    <cellStyle name="SAPBEXstdDataEmph 2 3 3 2" xfId="44196"/>
    <cellStyle name="SAPBEXstdDataEmph 2 3 4" xfId="21201"/>
    <cellStyle name="SAPBEXstdDataEmph 2 3 4 2" xfId="42076"/>
    <cellStyle name="SAPBEXstdDataEmph 2 3 5" xfId="17451"/>
    <cellStyle name="SAPBEXstdDataEmph 2 3 5 2" xfId="38327"/>
    <cellStyle name="SAPBEXstdDataEmph 2 3 6" xfId="29589"/>
    <cellStyle name="SAPBEXstdDataEmph 2 4" xfId="10326"/>
    <cellStyle name="SAPBEXstdDataEmph 2 4 2" xfId="23611"/>
    <cellStyle name="SAPBEXstdDataEmph 2 4 2 2" xfId="44483"/>
    <cellStyle name="SAPBEXstdDataEmph 2 4 3" xfId="22347"/>
    <cellStyle name="SAPBEXstdDataEmph 2 4 3 2" xfId="43222"/>
    <cellStyle name="SAPBEXstdDataEmph 2 4 4" xfId="24040"/>
    <cellStyle name="SAPBEXstdDataEmph 2 4 4 2" xfId="44912"/>
    <cellStyle name="SAPBEXstdDataEmph 2 4 5" xfId="19097"/>
    <cellStyle name="SAPBEXstdDataEmph 2 4 5 2" xfId="39973"/>
    <cellStyle name="SAPBEXstdDataEmph 2 4 6" xfId="31237"/>
    <cellStyle name="SAPBEXstdDataEmph 2 5" xfId="20939"/>
    <cellStyle name="SAPBEXstdDataEmph 2 5 2" xfId="41814"/>
    <cellStyle name="SAPBEXstdDataEmph 2 6" xfId="21274"/>
    <cellStyle name="SAPBEXstdDataEmph 2 6 2" xfId="42149"/>
    <cellStyle name="SAPBEXstdDataEmph 2 7" xfId="22824"/>
    <cellStyle name="SAPBEXstdDataEmph 2 7 2" xfId="43699"/>
    <cellStyle name="SAPBEXstdDataEmph 2 8" xfId="12174"/>
    <cellStyle name="SAPBEXstdDataEmph 2 8 2" xfId="33074"/>
    <cellStyle name="SAPBEXstdDataEmph 2 9" xfId="24215"/>
    <cellStyle name="SAPBEXstdDataEmph 2 9 2" xfId="45083"/>
    <cellStyle name="SAPBEXstdDataEmph 3" xfId="2841"/>
    <cellStyle name="SAPBEXstdDataEmph 3 2" xfId="4471"/>
    <cellStyle name="SAPBEXstdDataEmph 3 2 2" xfId="6310"/>
    <cellStyle name="SAPBEXstdDataEmph 3 2 2 2" xfId="22615"/>
    <cellStyle name="SAPBEXstdDataEmph 3 2 2 2 2" xfId="43490"/>
    <cellStyle name="SAPBEXstdDataEmph 3 2 2 3" xfId="21044"/>
    <cellStyle name="SAPBEXstdDataEmph 3 2 2 3 2" xfId="41919"/>
    <cellStyle name="SAPBEXstdDataEmph 3 2 2 4" xfId="23400"/>
    <cellStyle name="SAPBEXstdDataEmph 3 2 2 4 2" xfId="44272"/>
    <cellStyle name="SAPBEXstdDataEmph 3 2 2 5" xfId="15319"/>
    <cellStyle name="SAPBEXstdDataEmph 3 2 2 5 2" xfId="36195"/>
    <cellStyle name="SAPBEXstdDataEmph 3 2 2 6" xfId="27457"/>
    <cellStyle name="SAPBEXstdDataEmph 3 2 3" xfId="22074"/>
    <cellStyle name="SAPBEXstdDataEmph 3 2 3 2" xfId="42949"/>
    <cellStyle name="SAPBEXstdDataEmph 3 2 4" xfId="20848"/>
    <cellStyle name="SAPBEXstdDataEmph 3 2 4 2" xfId="41724"/>
    <cellStyle name="SAPBEXstdDataEmph 3 2 5" xfId="22722"/>
    <cellStyle name="SAPBEXstdDataEmph 3 2 5 2" xfId="43597"/>
    <cellStyle name="SAPBEXstdDataEmph 3 2 6" xfId="13501"/>
    <cellStyle name="SAPBEXstdDataEmph 3 2 6 2" xfId="34377"/>
    <cellStyle name="SAPBEXstdDataEmph 3 2 7" xfId="25639"/>
    <cellStyle name="SAPBEXstdDataEmph 3 3" xfId="8447"/>
    <cellStyle name="SAPBEXstdDataEmph 3 3 2" xfId="23136"/>
    <cellStyle name="SAPBEXstdDataEmph 3 3 2 2" xfId="44009"/>
    <cellStyle name="SAPBEXstdDataEmph 3 3 3" xfId="21238"/>
    <cellStyle name="SAPBEXstdDataEmph 3 3 3 2" xfId="42113"/>
    <cellStyle name="SAPBEXstdDataEmph 3 3 4" xfId="24000"/>
    <cellStyle name="SAPBEXstdDataEmph 3 3 4 2" xfId="44872"/>
    <cellStyle name="SAPBEXstdDataEmph 3 3 5" xfId="17452"/>
    <cellStyle name="SAPBEXstdDataEmph 3 3 5 2" xfId="38328"/>
    <cellStyle name="SAPBEXstdDataEmph 3 3 6" xfId="29590"/>
    <cellStyle name="SAPBEXstdDataEmph 3 4" xfId="10327"/>
    <cellStyle name="SAPBEXstdDataEmph 3 4 2" xfId="23612"/>
    <cellStyle name="SAPBEXstdDataEmph 3 4 2 2" xfId="44484"/>
    <cellStyle name="SAPBEXstdDataEmph 3 4 3" xfId="22827"/>
    <cellStyle name="SAPBEXstdDataEmph 3 4 3 2" xfId="43702"/>
    <cellStyle name="SAPBEXstdDataEmph 3 4 4" xfId="22286"/>
    <cellStyle name="SAPBEXstdDataEmph 3 4 4 2" xfId="43161"/>
    <cellStyle name="SAPBEXstdDataEmph 3 4 5" xfId="19098"/>
    <cellStyle name="SAPBEXstdDataEmph 3 4 5 2" xfId="39974"/>
    <cellStyle name="SAPBEXstdDataEmph 3 4 6" xfId="31238"/>
    <cellStyle name="SAPBEXstdDataEmph 3 5" xfId="21570"/>
    <cellStyle name="SAPBEXstdDataEmph 3 5 2" xfId="42445"/>
    <cellStyle name="SAPBEXstdDataEmph 3 6" xfId="21063"/>
    <cellStyle name="SAPBEXstdDataEmph 3 6 2" xfId="41938"/>
    <cellStyle name="SAPBEXstdDataEmph 3 7" xfId="21247"/>
    <cellStyle name="SAPBEXstdDataEmph 3 7 2" xfId="42122"/>
    <cellStyle name="SAPBEXstdDataEmph 3 8" xfId="12332"/>
    <cellStyle name="SAPBEXstdDataEmph 3 8 2" xfId="33221"/>
    <cellStyle name="SAPBEXstdDataEmph 3 9" xfId="24468"/>
    <cellStyle name="SAPBEXstdDataEmph 4" xfId="2842"/>
    <cellStyle name="SAPBEXstdDataEmph 4 2" xfId="4472"/>
    <cellStyle name="SAPBEXstdDataEmph 4 2 2" xfId="6311"/>
    <cellStyle name="SAPBEXstdDataEmph 4 2 2 2" xfId="22616"/>
    <cellStyle name="SAPBEXstdDataEmph 4 2 2 2 2" xfId="43491"/>
    <cellStyle name="SAPBEXstdDataEmph 4 2 2 3" xfId="21111"/>
    <cellStyle name="SAPBEXstdDataEmph 4 2 2 3 2" xfId="41986"/>
    <cellStyle name="SAPBEXstdDataEmph 4 2 2 4" xfId="23916"/>
    <cellStyle name="SAPBEXstdDataEmph 4 2 2 4 2" xfId="44788"/>
    <cellStyle name="SAPBEXstdDataEmph 4 2 2 5" xfId="15320"/>
    <cellStyle name="SAPBEXstdDataEmph 4 2 2 5 2" xfId="36196"/>
    <cellStyle name="SAPBEXstdDataEmph 4 2 2 6" xfId="27458"/>
    <cellStyle name="SAPBEXstdDataEmph 4 2 3" xfId="22075"/>
    <cellStyle name="SAPBEXstdDataEmph 4 2 3 2" xfId="42950"/>
    <cellStyle name="SAPBEXstdDataEmph 4 2 4" xfId="21278"/>
    <cellStyle name="SAPBEXstdDataEmph 4 2 4 2" xfId="42153"/>
    <cellStyle name="SAPBEXstdDataEmph 4 2 5" xfId="22756"/>
    <cellStyle name="SAPBEXstdDataEmph 4 2 5 2" xfId="43631"/>
    <cellStyle name="SAPBEXstdDataEmph 4 2 6" xfId="13502"/>
    <cellStyle name="SAPBEXstdDataEmph 4 2 6 2" xfId="34378"/>
    <cellStyle name="SAPBEXstdDataEmph 4 2 7" xfId="25640"/>
    <cellStyle name="SAPBEXstdDataEmph 4 3" xfId="8448"/>
    <cellStyle name="SAPBEXstdDataEmph 4 3 2" xfId="23137"/>
    <cellStyle name="SAPBEXstdDataEmph 4 3 2 2" xfId="44010"/>
    <cellStyle name="SAPBEXstdDataEmph 4 3 3" xfId="21770"/>
    <cellStyle name="SAPBEXstdDataEmph 4 3 3 2" xfId="42645"/>
    <cellStyle name="SAPBEXstdDataEmph 4 3 4" xfId="22153"/>
    <cellStyle name="SAPBEXstdDataEmph 4 3 4 2" xfId="43028"/>
    <cellStyle name="SAPBEXstdDataEmph 4 3 5" xfId="17453"/>
    <cellStyle name="SAPBEXstdDataEmph 4 3 5 2" xfId="38329"/>
    <cellStyle name="SAPBEXstdDataEmph 4 3 6" xfId="29591"/>
    <cellStyle name="SAPBEXstdDataEmph 4 4" xfId="10328"/>
    <cellStyle name="SAPBEXstdDataEmph 4 4 2" xfId="23613"/>
    <cellStyle name="SAPBEXstdDataEmph 4 4 2 2" xfId="44485"/>
    <cellStyle name="SAPBEXstdDataEmph 4 4 3" xfId="22941"/>
    <cellStyle name="SAPBEXstdDataEmph 4 4 3 2" xfId="43815"/>
    <cellStyle name="SAPBEXstdDataEmph 4 4 4" xfId="23867"/>
    <cellStyle name="SAPBEXstdDataEmph 4 4 4 2" xfId="44739"/>
    <cellStyle name="SAPBEXstdDataEmph 4 4 5" xfId="19099"/>
    <cellStyle name="SAPBEXstdDataEmph 4 4 5 2" xfId="39975"/>
    <cellStyle name="SAPBEXstdDataEmph 4 4 6" xfId="31239"/>
    <cellStyle name="SAPBEXstdDataEmph 4 5" xfId="21571"/>
    <cellStyle name="SAPBEXstdDataEmph 4 5 2" xfId="42446"/>
    <cellStyle name="SAPBEXstdDataEmph 4 6" xfId="21146"/>
    <cellStyle name="SAPBEXstdDataEmph 4 6 2" xfId="42021"/>
    <cellStyle name="SAPBEXstdDataEmph 4 7" xfId="21358"/>
    <cellStyle name="SAPBEXstdDataEmph 4 7 2" xfId="42233"/>
    <cellStyle name="SAPBEXstdDataEmph 4 8" xfId="12333"/>
    <cellStyle name="SAPBEXstdDataEmph 4 8 2" xfId="33222"/>
    <cellStyle name="SAPBEXstdDataEmph 4 9" xfId="24469"/>
    <cellStyle name="SAPBEXstdDataEmph 5" xfId="2843"/>
    <cellStyle name="SAPBEXstdDataEmph 5 2" xfId="4473"/>
    <cellStyle name="SAPBEXstdDataEmph 5 2 2" xfId="6312"/>
    <cellStyle name="SAPBEXstdDataEmph 5 2 2 2" xfId="22617"/>
    <cellStyle name="SAPBEXstdDataEmph 5 2 2 2 2" xfId="43492"/>
    <cellStyle name="SAPBEXstdDataEmph 5 2 2 3" xfId="22232"/>
    <cellStyle name="SAPBEXstdDataEmph 5 2 2 3 2" xfId="43107"/>
    <cellStyle name="SAPBEXstdDataEmph 5 2 2 4" xfId="22358"/>
    <cellStyle name="SAPBEXstdDataEmph 5 2 2 4 2" xfId="43233"/>
    <cellStyle name="SAPBEXstdDataEmph 5 2 2 5" xfId="15321"/>
    <cellStyle name="SAPBEXstdDataEmph 5 2 2 5 2" xfId="36197"/>
    <cellStyle name="SAPBEXstdDataEmph 5 2 2 6" xfId="27459"/>
    <cellStyle name="SAPBEXstdDataEmph 5 2 3" xfId="22076"/>
    <cellStyle name="SAPBEXstdDataEmph 5 2 3 2" xfId="42951"/>
    <cellStyle name="SAPBEXstdDataEmph 5 2 4" xfId="21374"/>
    <cellStyle name="SAPBEXstdDataEmph 5 2 4 2" xfId="42249"/>
    <cellStyle name="SAPBEXstdDataEmph 5 2 5" xfId="22882"/>
    <cellStyle name="SAPBEXstdDataEmph 5 2 5 2" xfId="43756"/>
    <cellStyle name="SAPBEXstdDataEmph 5 2 6" xfId="13503"/>
    <cellStyle name="SAPBEXstdDataEmph 5 2 6 2" xfId="34379"/>
    <cellStyle name="SAPBEXstdDataEmph 5 2 7" xfId="25641"/>
    <cellStyle name="SAPBEXstdDataEmph 5 3" xfId="8449"/>
    <cellStyle name="SAPBEXstdDataEmph 5 3 2" xfId="23138"/>
    <cellStyle name="SAPBEXstdDataEmph 5 3 2 2" xfId="44011"/>
    <cellStyle name="SAPBEXstdDataEmph 5 3 3" xfId="22323"/>
    <cellStyle name="SAPBEXstdDataEmph 5 3 3 2" xfId="43198"/>
    <cellStyle name="SAPBEXstdDataEmph 5 3 4" xfId="24037"/>
    <cellStyle name="SAPBEXstdDataEmph 5 3 4 2" xfId="44909"/>
    <cellStyle name="SAPBEXstdDataEmph 5 3 5" xfId="17454"/>
    <cellStyle name="SAPBEXstdDataEmph 5 3 5 2" xfId="38330"/>
    <cellStyle name="SAPBEXstdDataEmph 5 3 6" xfId="29592"/>
    <cellStyle name="SAPBEXstdDataEmph 5 4" xfId="10329"/>
    <cellStyle name="SAPBEXstdDataEmph 5 4 2" xfId="23614"/>
    <cellStyle name="SAPBEXstdDataEmph 5 4 2 2" xfId="44486"/>
    <cellStyle name="SAPBEXstdDataEmph 5 4 3" xfId="23263"/>
    <cellStyle name="SAPBEXstdDataEmph 5 4 3 2" xfId="44136"/>
    <cellStyle name="SAPBEXstdDataEmph 5 4 4" xfId="21611"/>
    <cellStyle name="SAPBEXstdDataEmph 5 4 4 2" xfId="42486"/>
    <cellStyle name="SAPBEXstdDataEmph 5 4 5" xfId="19100"/>
    <cellStyle name="SAPBEXstdDataEmph 5 4 5 2" xfId="39976"/>
    <cellStyle name="SAPBEXstdDataEmph 5 4 6" xfId="31240"/>
    <cellStyle name="SAPBEXstdDataEmph 5 5" xfId="21572"/>
    <cellStyle name="SAPBEXstdDataEmph 5 5 2" xfId="42447"/>
    <cellStyle name="SAPBEXstdDataEmph 5 6" xfId="22796"/>
    <cellStyle name="SAPBEXstdDataEmph 5 6 2" xfId="43671"/>
    <cellStyle name="SAPBEXstdDataEmph 5 7" xfId="22877"/>
    <cellStyle name="SAPBEXstdDataEmph 5 7 2" xfId="43751"/>
    <cellStyle name="SAPBEXstdDataEmph 5 8" xfId="12334"/>
    <cellStyle name="SAPBEXstdDataEmph 5 8 2" xfId="33223"/>
    <cellStyle name="SAPBEXstdDataEmph 5 9" xfId="24470"/>
    <cellStyle name="SAPBEXstdDataEmph 6" xfId="3839"/>
    <cellStyle name="SAPBEXstdDataEmph 6 2" xfId="6068"/>
    <cellStyle name="SAPBEXstdDataEmph 6 2 2" xfId="22427"/>
    <cellStyle name="SAPBEXstdDataEmph 6 2 2 2" xfId="43302"/>
    <cellStyle name="SAPBEXstdDataEmph 6 2 3" xfId="23721"/>
    <cellStyle name="SAPBEXstdDataEmph 6 2 3 2" xfId="44593"/>
    <cellStyle name="SAPBEXstdDataEmph 6 2 4" xfId="21017"/>
    <cellStyle name="SAPBEXstdDataEmph 6 2 4 2" xfId="41892"/>
    <cellStyle name="SAPBEXstdDataEmph 6 2 5" xfId="15077"/>
    <cellStyle name="SAPBEXstdDataEmph 6 2 5 2" xfId="35953"/>
    <cellStyle name="SAPBEXstdDataEmph 6 2 6" xfId="27215"/>
    <cellStyle name="SAPBEXstdDataEmph 6 3" xfId="21813"/>
    <cellStyle name="SAPBEXstdDataEmph 6 3 2" xfId="42688"/>
    <cellStyle name="SAPBEXstdDataEmph 6 4" xfId="22806"/>
    <cellStyle name="SAPBEXstdDataEmph 6 4 2" xfId="43681"/>
    <cellStyle name="SAPBEXstdDataEmph 6 5" xfId="21400"/>
    <cellStyle name="SAPBEXstdDataEmph 6 5 2" xfId="42275"/>
    <cellStyle name="SAPBEXstdDataEmph 6 6" xfId="13259"/>
    <cellStyle name="SAPBEXstdDataEmph 6 6 2" xfId="34135"/>
    <cellStyle name="SAPBEXstdDataEmph 6 7" xfId="25397"/>
    <cellStyle name="SAPBEXstdDataEmph 7" xfId="8445"/>
    <cellStyle name="SAPBEXstdDataEmph 7 2" xfId="23134"/>
    <cellStyle name="SAPBEXstdDataEmph 7 2 2" xfId="44007"/>
    <cellStyle name="SAPBEXstdDataEmph 7 3" xfId="21704"/>
    <cellStyle name="SAPBEXstdDataEmph 7 3 2" xfId="42579"/>
    <cellStyle name="SAPBEXstdDataEmph 7 4" xfId="22342"/>
    <cellStyle name="SAPBEXstdDataEmph 7 4 2" xfId="43217"/>
    <cellStyle name="SAPBEXstdDataEmph 7 5" xfId="17450"/>
    <cellStyle name="SAPBEXstdDataEmph 7 5 2" xfId="38326"/>
    <cellStyle name="SAPBEXstdDataEmph 7 6" xfId="29588"/>
    <cellStyle name="SAPBEXstdDataEmph 8" xfId="10325"/>
    <cellStyle name="SAPBEXstdDataEmph 8 2" xfId="23610"/>
    <cellStyle name="SAPBEXstdDataEmph 8 2 2" xfId="44482"/>
    <cellStyle name="SAPBEXstdDataEmph 8 3" xfId="22721"/>
    <cellStyle name="SAPBEXstdDataEmph 8 3 2" xfId="43596"/>
    <cellStyle name="SAPBEXstdDataEmph 8 4" xfId="21745"/>
    <cellStyle name="SAPBEXstdDataEmph 8 4 2" xfId="42620"/>
    <cellStyle name="SAPBEXstdDataEmph 8 5" xfId="19096"/>
    <cellStyle name="SAPBEXstdDataEmph 8 5 2" xfId="39972"/>
    <cellStyle name="SAPBEXstdDataEmph 8 6" xfId="31236"/>
    <cellStyle name="SAPBEXstdDataEmph 9" xfId="20938"/>
    <cellStyle name="SAPBEXstdDataEmph 9 2" xfId="41813"/>
    <cellStyle name="SAPBEXstdItem" xfId="1175"/>
    <cellStyle name="SAPBEXstdItem 10" xfId="22839"/>
    <cellStyle name="SAPBEXstdItem 10 2" xfId="43714"/>
    <cellStyle name="SAPBEXstdItem 11" xfId="21382"/>
    <cellStyle name="SAPBEXstdItem 11 2" xfId="42257"/>
    <cellStyle name="SAPBEXstdItem 12" xfId="12175"/>
    <cellStyle name="SAPBEXstdItem 12 2" xfId="33075"/>
    <cellStyle name="SAPBEXstdItem 13" xfId="24136"/>
    <cellStyle name="SAPBEXstdItem 13 2" xfId="45006"/>
    <cellStyle name="SAPBEXstdItem 14" xfId="24281"/>
    <cellStyle name="SAPBEXstdItem 14 2" xfId="45142"/>
    <cellStyle name="SAPBEXstdItem 2" xfId="2844"/>
    <cellStyle name="SAPBEXstdItem 2 10" xfId="24471"/>
    <cellStyle name="SAPBEXstdItem 2 2" xfId="4474"/>
    <cellStyle name="SAPBEXstdItem 2 2 2" xfId="6313"/>
    <cellStyle name="SAPBEXstdItem 2 2 2 2" xfId="22618"/>
    <cellStyle name="SAPBEXstdItem 2 2 2 2 2" xfId="43493"/>
    <cellStyle name="SAPBEXstdItem 2 2 2 3" xfId="22799"/>
    <cellStyle name="SAPBEXstdItem 2 2 2 3 2" xfId="43674"/>
    <cellStyle name="SAPBEXstdItem 2 2 2 4" xfId="23415"/>
    <cellStyle name="SAPBEXstdItem 2 2 2 4 2" xfId="44287"/>
    <cellStyle name="SAPBEXstdItem 2 2 2 5" xfId="15322"/>
    <cellStyle name="SAPBEXstdItem 2 2 2 5 2" xfId="36198"/>
    <cellStyle name="SAPBEXstdItem 2 2 2 6" xfId="27460"/>
    <cellStyle name="SAPBEXstdItem 2 2 3" xfId="22077"/>
    <cellStyle name="SAPBEXstdItem 2 2 3 2" xfId="42952"/>
    <cellStyle name="SAPBEXstdItem 2 2 4" xfId="23406"/>
    <cellStyle name="SAPBEXstdItem 2 2 4 2" xfId="44278"/>
    <cellStyle name="SAPBEXstdItem 2 2 5" xfId="23964"/>
    <cellStyle name="SAPBEXstdItem 2 2 5 2" xfId="44836"/>
    <cellStyle name="SAPBEXstdItem 2 2 6" xfId="13504"/>
    <cellStyle name="SAPBEXstdItem 2 2 6 2" xfId="34380"/>
    <cellStyle name="SAPBEXstdItem 2 2 7" xfId="25642"/>
    <cellStyle name="SAPBEXstdItem 2 3" xfId="8451"/>
    <cellStyle name="SAPBEXstdItem 2 3 2" xfId="23140"/>
    <cellStyle name="SAPBEXstdItem 2 3 2 2" xfId="44013"/>
    <cellStyle name="SAPBEXstdItem 2 3 3" xfId="21235"/>
    <cellStyle name="SAPBEXstdItem 2 3 3 2" xfId="42110"/>
    <cellStyle name="SAPBEXstdItem 2 3 4" xfId="23374"/>
    <cellStyle name="SAPBEXstdItem 2 3 4 2" xfId="44246"/>
    <cellStyle name="SAPBEXstdItem 2 3 5" xfId="17456"/>
    <cellStyle name="SAPBEXstdItem 2 3 5 2" xfId="38332"/>
    <cellStyle name="SAPBEXstdItem 2 3 6" xfId="29594"/>
    <cellStyle name="SAPBEXstdItem 2 4" xfId="10331"/>
    <cellStyle name="SAPBEXstdItem 2 4 2" xfId="23616"/>
    <cellStyle name="SAPBEXstdItem 2 4 2 2" xfId="44488"/>
    <cellStyle name="SAPBEXstdItem 2 4 3" xfId="23728"/>
    <cellStyle name="SAPBEXstdItem 2 4 3 2" xfId="44600"/>
    <cellStyle name="SAPBEXstdItem 2 4 4" xfId="22805"/>
    <cellStyle name="SAPBEXstdItem 2 4 4 2" xfId="43680"/>
    <cellStyle name="SAPBEXstdItem 2 4 5" xfId="19102"/>
    <cellStyle name="SAPBEXstdItem 2 4 5 2" xfId="39978"/>
    <cellStyle name="SAPBEXstdItem 2 4 6" xfId="31242"/>
    <cellStyle name="SAPBEXstdItem 2 5" xfId="20941"/>
    <cellStyle name="SAPBEXstdItem 2 5 2" xfId="41816"/>
    <cellStyle name="SAPBEXstdItem 2 6" xfId="23644"/>
    <cellStyle name="SAPBEXstdItem 2 6 2" xfId="44516"/>
    <cellStyle name="SAPBEXstdItem 2 7" xfId="22708"/>
    <cellStyle name="SAPBEXstdItem 2 7 2" xfId="43583"/>
    <cellStyle name="SAPBEXstdItem 2 8" xfId="12176"/>
    <cellStyle name="SAPBEXstdItem 2 8 2" xfId="33076"/>
    <cellStyle name="SAPBEXstdItem 2 9" xfId="24216"/>
    <cellStyle name="SAPBEXstdItem 2 9 2" xfId="45084"/>
    <cellStyle name="SAPBEXstdItem 3" xfId="2845"/>
    <cellStyle name="SAPBEXstdItem 3 2" xfId="4475"/>
    <cellStyle name="SAPBEXstdItem 3 2 2" xfId="6314"/>
    <cellStyle name="SAPBEXstdItem 3 2 2 2" xfId="22619"/>
    <cellStyle name="SAPBEXstdItem 3 2 2 2 2" xfId="43494"/>
    <cellStyle name="SAPBEXstdItem 3 2 2 3" xfId="23425"/>
    <cellStyle name="SAPBEXstdItem 3 2 2 3 2" xfId="44297"/>
    <cellStyle name="SAPBEXstdItem 3 2 2 4" xfId="20997"/>
    <cellStyle name="SAPBEXstdItem 3 2 2 4 2" xfId="41872"/>
    <cellStyle name="SAPBEXstdItem 3 2 2 5" xfId="15323"/>
    <cellStyle name="SAPBEXstdItem 3 2 2 5 2" xfId="36199"/>
    <cellStyle name="SAPBEXstdItem 3 2 2 6" xfId="27461"/>
    <cellStyle name="SAPBEXstdItem 3 2 3" xfId="22078"/>
    <cellStyle name="SAPBEXstdItem 3 2 3 2" xfId="42953"/>
    <cellStyle name="SAPBEXstdItem 3 2 4" xfId="22836"/>
    <cellStyle name="SAPBEXstdItem 3 2 4 2" xfId="43711"/>
    <cellStyle name="SAPBEXstdItem 3 2 5" xfId="21384"/>
    <cellStyle name="SAPBEXstdItem 3 2 5 2" xfId="42259"/>
    <cellStyle name="SAPBEXstdItem 3 2 6" xfId="13505"/>
    <cellStyle name="SAPBEXstdItem 3 2 6 2" xfId="34381"/>
    <cellStyle name="SAPBEXstdItem 3 2 7" xfId="25643"/>
    <cellStyle name="SAPBEXstdItem 3 3" xfId="8452"/>
    <cellStyle name="SAPBEXstdItem 3 3 2" xfId="23141"/>
    <cellStyle name="SAPBEXstdItem 3 3 2 2" xfId="44014"/>
    <cellStyle name="SAPBEXstdItem 3 3 3" xfId="21882"/>
    <cellStyle name="SAPBEXstdItem 3 3 3 2" xfId="42757"/>
    <cellStyle name="SAPBEXstdItem 3 3 4" xfId="23310"/>
    <cellStyle name="SAPBEXstdItem 3 3 4 2" xfId="44182"/>
    <cellStyle name="SAPBEXstdItem 3 3 5" xfId="17457"/>
    <cellStyle name="SAPBEXstdItem 3 3 5 2" xfId="38333"/>
    <cellStyle name="SAPBEXstdItem 3 3 6" xfId="29595"/>
    <cellStyle name="SAPBEXstdItem 3 4" xfId="10332"/>
    <cellStyle name="SAPBEXstdItem 3 4 2" xfId="23617"/>
    <cellStyle name="SAPBEXstdItem 3 4 2 2" xfId="44489"/>
    <cellStyle name="SAPBEXstdItem 3 4 3" xfId="23886"/>
    <cellStyle name="SAPBEXstdItem 3 4 3 2" xfId="44758"/>
    <cellStyle name="SAPBEXstdItem 3 4 4" xfId="23898"/>
    <cellStyle name="SAPBEXstdItem 3 4 4 2" xfId="44770"/>
    <cellStyle name="SAPBEXstdItem 3 4 5" xfId="19103"/>
    <cellStyle name="SAPBEXstdItem 3 4 5 2" xfId="39979"/>
    <cellStyle name="SAPBEXstdItem 3 4 6" xfId="31243"/>
    <cellStyle name="SAPBEXstdItem 3 5" xfId="21573"/>
    <cellStyle name="SAPBEXstdItem 3 5 2" xfId="42448"/>
    <cellStyle name="SAPBEXstdItem 3 6" xfId="22180"/>
    <cellStyle name="SAPBEXstdItem 3 6 2" xfId="43055"/>
    <cellStyle name="SAPBEXstdItem 3 7" xfId="23969"/>
    <cellStyle name="SAPBEXstdItem 3 7 2" xfId="44841"/>
    <cellStyle name="SAPBEXstdItem 3 8" xfId="12335"/>
    <cellStyle name="SAPBEXstdItem 3 8 2" xfId="33224"/>
    <cellStyle name="SAPBEXstdItem 3 9" xfId="24472"/>
    <cellStyle name="SAPBEXstdItem 4" xfId="2846"/>
    <cellStyle name="SAPBEXstdItem 4 2" xfId="4476"/>
    <cellStyle name="SAPBEXstdItem 4 2 2" xfId="6315"/>
    <cellStyle name="SAPBEXstdItem 4 2 2 2" xfId="22620"/>
    <cellStyle name="SAPBEXstdItem 4 2 2 2 2" xfId="43495"/>
    <cellStyle name="SAPBEXstdItem 4 2 2 3" xfId="24093"/>
    <cellStyle name="SAPBEXstdItem 4 2 2 3 2" xfId="44964"/>
    <cellStyle name="SAPBEXstdItem 4 2 2 4" xfId="23229"/>
    <cellStyle name="SAPBEXstdItem 4 2 2 4 2" xfId="44102"/>
    <cellStyle name="SAPBEXstdItem 4 2 2 5" xfId="15324"/>
    <cellStyle name="SAPBEXstdItem 4 2 2 5 2" xfId="36200"/>
    <cellStyle name="SAPBEXstdItem 4 2 2 6" xfId="27462"/>
    <cellStyle name="SAPBEXstdItem 4 2 3" xfId="22079"/>
    <cellStyle name="SAPBEXstdItem 4 2 3 2" xfId="42954"/>
    <cellStyle name="SAPBEXstdItem 4 2 4" xfId="22324"/>
    <cellStyle name="SAPBEXstdItem 4 2 4 2" xfId="43199"/>
    <cellStyle name="SAPBEXstdItem 4 2 5" xfId="23217"/>
    <cellStyle name="SAPBEXstdItem 4 2 5 2" xfId="44090"/>
    <cellStyle name="SAPBEXstdItem 4 2 6" xfId="13506"/>
    <cellStyle name="SAPBEXstdItem 4 2 6 2" xfId="34382"/>
    <cellStyle name="SAPBEXstdItem 4 2 7" xfId="25644"/>
    <cellStyle name="SAPBEXstdItem 4 3" xfId="8453"/>
    <cellStyle name="SAPBEXstdItem 4 3 2" xfId="23142"/>
    <cellStyle name="SAPBEXstdItem 4 3 2 2" xfId="44015"/>
    <cellStyle name="SAPBEXstdItem 4 3 3" xfId="23745"/>
    <cellStyle name="SAPBEXstdItem 4 3 3 2" xfId="44617"/>
    <cellStyle name="SAPBEXstdItem 4 3 4" xfId="22318"/>
    <cellStyle name="SAPBEXstdItem 4 3 4 2" xfId="43193"/>
    <cellStyle name="SAPBEXstdItem 4 3 5" xfId="17458"/>
    <cellStyle name="SAPBEXstdItem 4 3 5 2" xfId="38334"/>
    <cellStyle name="SAPBEXstdItem 4 3 6" xfId="29596"/>
    <cellStyle name="SAPBEXstdItem 4 4" xfId="10333"/>
    <cellStyle name="SAPBEXstdItem 4 4 2" xfId="23618"/>
    <cellStyle name="SAPBEXstdItem 4 4 2 2" xfId="44490"/>
    <cellStyle name="SAPBEXstdItem 4 4 3" xfId="22300"/>
    <cellStyle name="SAPBEXstdItem 4 4 3 2" xfId="43175"/>
    <cellStyle name="SAPBEXstdItem 4 4 4" xfId="21873"/>
    <cellStyle name="SAPBEXstdItem 4 4 4 2" xfId="42748"/>
    <cellStyle name="SAPBEXstdItem 4 4 5" xfId="19104"/>
    <cellStyle name="SAPBEXstdItem 4 4 5 2" xfId="39980"/>
    <cellStyle name="SAPBEXstdItem 4 4 6" xfId="31244"/>
    <cellStyle name="SAPBEXstdItem 4 5" xfId="21574"/>
    <cellStyle name="SAPBEXstdItem 4 5 2" xfId="42449"/>
    <cellStyle name="SAPBEXstdItem 4 6" xfId="21826"/>
    <cellStyle name="SAPBEXstdItem 4 6 2" xfId="42701"/>
    <cellStyle name="SAPBEXstdItem 4 7" xfId="21907"/>
    <cellStyle name="SAPBEXstdItem 4 7 2" xfId="42782"/>
    <cellStyle name="SAPBEXstdItem 4 8" xfId="12336"/>
    <cellStyle name="SAPBEXstdItem 4 8 2" xfId="33225"/>
    <cellStyle name="SAPBEXstdItem 4 9" xfId="24473"/>
    <cellStyle name="SAPBEXstdItem 5" xfId="2847"/>
    <cellStyle name="SAPBEXstdItem 5 2" xfId="4477"/>
    <cellStyle name="SAPBEXstdItem 5 2 2" xfId="6316"/>
    <cellStyle name="SAPBEXstdItem 5 2 2 2" xfId="22621"/>
    <cellStyle name="SAPBEXstdItem 5 2 2 2 2" xfId="43496"/>
    <cellStyle name="SAPBEXstdItem 5 2 2 3" xfId="20860"/>
    <cellStyle name="SAPBEXstdItem 5 2 2 3 2" xfId="41736"/>
    <cellStyle name="SAPBEXstdItem 5 2 2 4" xfId="23922"/>
    <cellStyle name="SAPBEXstdItem 5 2 2 4 2" xfId="44794"/>
    <cellStyle name="SAPBEXstdItem 5 2 2 5" xfId="15325"/>
    <cellStyle name="SAPBEXstdItem 5 2 2 5 2" xfId="36201"/>
    <cellStyle name="SAPBEXstdItem 5 2 2 6" xfId="27463"/>
    <cellStyle name="SAPBEXstdItem 5 2 3" xfId="22080"/>
    <cellStyle name="SAPBEXstdItem 5 2 3 2" xfId="42955"/>
    <cellStyle name="SAPBEXstdItem 5 2 4" xfId="22636"/>
    <cellStyle name="SAPBEXstdItem 5 2 4 2" xfId="43511"/>
    <cellStyle name="SAPBEXstdItem 5 2 5" xfId="23437"/>
    <cellStyle name="SAPBEXstdItem 5 2 5 2" xfId="44309"/>
    <cellStyle name="SAPBEXstdItem 5 2 6" xfId="13507"/>
    <cellStyle name="SAPBEXstdItem 5 2 6 2" xfId="34383"/>
    <cellStyle name="SAPBEXstdItem 5 2 7" xfId="25645"/>
    <cellStyle name="SAPBEXstdItem 5 3" xfId="8454"/>
    <cellStyle name="SAPBEXstdItem 5 3 2" xfId="23143"/>
    <cellStyle name="SAPBEXstdItem 5 3 2 2" xfId="44016"/>
    <cellStyle name="SAPBEXstdItem 5 3 3" xfId="23377"/>
    <cellStyle name="SAPBEXstdItem 5 3 3 2" xfId="44249"/>
    <cellStyle name="SAPBEXstdItem 5 3 4" xfId="22705"/>
    <cellStyle name="SAPBEXstdItem 5 3 4 2" xfId="43580"/>
    <cellStyle name="SAPBEXstdItem 5 3 5" xfId="17459"/>
    <cellStyle name="SAPBEXstdItem 5 3 5 2" xfId="38335"/>
    <cellStyle name="SAPBEXstdItem 5 3 6" xfId="29597"/>
    <cellStyle name="SAPBEXstdItem 5 4" xfId="10334"/>
    <cellStyle name="SAPBEXstdItem 5 4 2" xfId="23619"/>
    <cellStyle name="SAPBEXstdItem 5 4 2 2" xfId="44491"/>
    <cellStyle name="SAPBEXstdItem 5 4 3" xfId="22789"/>
    <cellStyle name="SAPBEXstdItem 5 4 3 2" xfId="43664"/>
    <cellStyle name="SAPBEXstdItem 5 4 4" xfId="21386"/>
    <cellStyle name="SAPBEXstdItem 5 4 4 2" xfId="42261"/>
    <cellStyle name="SAPBEXstdItem 5 4 5" xfId="19105"/>
    <cellStyle name="SAPBEXstdItem 5 4 5 2" xfId="39981"/>
    <cellStyle name="SAPBEXstdItem 5 4 6" xfId="31245"/>
    <cellStyle name="SAPBEXstdItem 5 5" xfId="21575"/>
    <cellStyle name="SAPBEXstdItem 5 5 2" xfId="42450"/>
    <cellStyle name="SAPBEXstdItem 5 6" xfId="22927"/>
    <cellStyle name="SAPBEXstdItem 5 6 2" xfId="43801"/>
    <cellStyle name="SAPBEXstdItem 5 7" xfId="23872"/>
    <cellStyle name="SAPBEXstdItem 5 7 2" xfId="44744"/>
    <cellStyle name="SAPBEXstdItem 5 8" xfId="12337"/>
    <cellStyle name="SAPBEXstdItem 5 8 2" xfId="33226"/>
    <cellStyle name="SAPBEXstdItem 5 9" xfId="24474"/>
    <cellStyle name="SAPBEXstdItem 6" xfId="3840"/>
    <cellStyle name="SAPBEXstdItem 6 2" xfId="6069"/>
    <cellStyle name="SAPBEXstdItem 6 2 2" xfId="22428"/>
    <cellStyle name="SAPBEXstdItem 6 2 2 2" xfId="43303"/>
    <cellStyle name="SAPBEXstdItem 6 2 3" xfId="23977"/>
    <cellStyle name="SAPBEXstdItem 6 2 3 2" xfId="44849"/>
    <cellStyle name="SAPBEXstdItem 6 2 4" xfId="21669"/>
    <cellStyle name="SAPBEXstdItem 6 2 4 2" xfId="42544"/>
    <cellStyle name="SAPBEXstdItem 6 2 5" xfId="15078"/>
    <cellStyle name="SAPBEXstdItem 6 2 5 2" xfId="35954"/>
    <cellStyle name="SAPBEXstdItem 6 2 6" xfId="27216"/>
    <cellStyle name="SAPBEXstdItem 6 3" xfId="21814"/>
    <cellStyle name="SAPBEXstdItem 6 3 2" xfId="42689"/>
    <cellStyle name="SAPBEXstdItem 6 4" xfId="23702"/>
    <cellStyle name="SAPBEXstdItem 6 4 2" xfId="44574"/>
    <cellStyle name="SAPBEXstdItem 6 5" xfId="23275"/>
    <cellStyle name="SAPBEXstdItem 6 5 2" xfId="44148"/>
    <cellStyle name="SAPBEXstdItem 6 6" xfId="13260"/>
    <cellStyle name="SAPBEXstdItem 6 6 2" xfId="34136"/>
    <cellStyle name="SAPBEXstdItem 6 7" xfId="25398"/>
    <cellStyle name="SAPBEXstdItem 7" xfId="8450"/>
    <cellStyle name="SAPBEXstdItem 7 2" xfId="23139"/>
    <cellStyle name="SAPBEXstdItem 7 2 2" xfId="44012"/>
    <cellStyle name="SAPBEXstdItem 7 3" xfId="23878"/>
    <cellStyle name="SAPBEXstdItem 7 3 2" xfId="44750"/>
    <cellStyle name="SAPBEXstdItem 7 4" xfId="23832"/>
    <cellStyle name="SAPBEXstdItem 7 4 2" xfId="44704"/>
    <cellStyle name="SAPBEXstdItem 7 5" xfId="17455"/>
    <cellStyle name="SAPBEXstdItem 7 5 2" xfId="38331"/>
    <cellStyle name="SAPBEXstdItem 7 6" xfId="29593"/>
    <cellStyle name="SAPBEXstdItem 8" xfId="10330"/>
    <cellStyle name="SAPBEXstdItem 8 2" xfId="23615"/>
    <cellStyle name="SAPBEXstdItem 8 2 2" xfId="44487"/>
    <cellStyle name="SAPBEXstdItem 8 3" xfId="23393"/>
    <cellStyle name="SAPBEXstdItem 8 3 2" xfId="44265"/>
    <cellStyle name="SAPBEXstdItem 8 4" xfId="22913"/>
    <cellStyle name="SAPBEXstdItem 8 4 2" xfId="43787"/>
    <cellStyle name="SAPBEXstdItem 8 5" xfId="19101"/>
    <cellStyle name="SAPBEXstdItem 8 5 2" xfId="39977"/>
    <cellStyle name="SAPBEXstdItem 8 6" xfId="31241"/>
    <cellStyle name="SAPBEXstdItem 9" xfId="20940"/>
    <cellStyle name="SAPBEXstdItem 9 2" xfId="41815"/>
    <cellStyle name="SAPBEXstdItemX" xfId="1176"/>
    <cellStyle name="SAPBEXstdItemX 10" xfId="21830"/>
    <cellStyle name="SAPBEXstdItemX 10 2" xfId="42705"/>
    <cellStyle name="SAPBEXstdItemX 11" xfId="21736"/>
    <cellStyle name="SAPBEXstdItemX 11 2" xfId="42611"/>
    <cellStyle name="SAPBEXstdItemX 12" xfId="12177"/>
    <cellStyle name="SAPBEXstdItemX 12 2" xfId="33077"/>
    <cellStyle name="SAPBEXstdItemX 13" xfId="24135"/>
    <cellStyle name="SAPBEXstdItemX 13 2" xfId="45005"/>
    <cellStyle name="SAPBEXstdItemX 14" xfId="24282"/>
    <cellStyle name="SAPBEXstdItemX 14 2" xfId="45143"/>
    <cellStyle name="SAPBEXstdItemX 2" xfId="2848"/>
    <cellStyle name="SAPBEXstdItemX 2 10" xfId="24475"/>
    <cellStyle name="SAPBEXstdItemX 2 2" xfId="4478"/>
    <cellStyle name="SAPBEXstdItemX 2 2 2" xfId="6317"/>
    <cellStyle name="SAPBEXstdItemX 2 2 2 2" xfId="22622"/>
    <cellStyle name="SAPBEXstdItemX 2 2 2 2 2" xfId="43497"/>
    <cellStyle name="SAPBEXstdItemX 2 2 2 3" xfId="21692"/>
    <cellStyle name="SAPBEXstdItemX 2 2 2 3 2" xfId="42567"/>
    <cellStyle name="SAPBEXstdItemX 2 2 2 4" xfId="23171"/>
    <cellStyle name="SAPBEXstdItemX 2 2 2 4 2" xfId="44044"/>
    <cellStyle name="SAPBEXstdItemX 2 2 2 5" xfId="15326"/>
    <cellStyle name="SAPBEXstdItemX 2 2 2 5 2" xfId="36202"/>
    <cellStyle name="SAPBEXstdItemX 2 2 2 6" xfId="27464"/>
    <cellStyle name="SAPBEXstdItemX 2 2 3" xfId="22081"/>
    <cellStyle name="SAPBEXstdItemX 2 2 3 2" xfId="42956"/>
    <cellStyle name="SAPBEXstdItemX 2 2 4" xfId="23431"/>
    <cellStyle name="SAPBEXstdItemX 2 2 4 2" xfId="44303"/>
    <cellStyle name="SAPBEXstdItemX 2 2 5" xfId="21048"/>
    <cellStyle name="SAPBEXstdItemX 2 2 5 2" xfId="41923"/>
    <cellStyle name="SAPBEXstdItemX 2 2 6" xfId="13508"/>
    <cellStyle name="SAPBEXstdItemX 2 2 6 2" xfId="34384"/>
    <cellStyle name="SAPBEXstdItemX 2 2 7" xfId="25646"/>
    <cellStyle name="SAPBEXstdItemX 2 3" xfId="8456"/>
    <cellStyle name="SAPBEXstdItemX 2 3 2" xfId="23145"/>
    <cellStyle name="SAPBEXstdItemX 2 3 2 2" xfId="44018"/>
    <cellStyle name="SAPBEXstdItemX 2 3 3" xfId="21236"/>
    <cellStyle name="SAPBEXstdItemX 2 3 3 2" xfId="42111"/>
    <cellStyle name="SAPBEXstdItemX 2 3 4" xfId="23311"/>
    <cellStyle name="SAPBEXstdItemX 2 3 4 2" xfId="44183"/>
    <cellStyle name="SAPBEXstdItemX 2 3 5" xfId="17461"/>
    <cellStyle name="SAPBEXstdItemX 2 3 5 2" xfId="38337"/>
    <cellStyle name="SAPBEXstdItemX 2 3 6" xfId="29599"/>
    <cellStyle name="SAPBEXstdItemX 2 4" xfId="10336"/>
    <cellStyle name="SAPBEXstdItemX 2 4 2" xfId="23621"/>
    <cellStyle name="SAPBEXstdItemX 2 4 2 2" xfId="44493"/>
    <cellStyle name="SAPBEXstdItemX 2 4 3" xfId="23232"/>
    <cellStyle name="SAPBEXstdItemX 2 4 3 2" xfId="44105"/>
    <cellStyle name="SAPBEXstdItemX 2 4 4" xfId="20843"/>
    <cellStyle name="SAPBEXstdItemX 2 4 4 2" xfId="41719"/>
    <cellStyle name="SAPBEXstdItemX 2 4 5" xfId="19107"/>
    <cellStyle name="SAPBEXstdItemX 2 4 5 2" xfId="39983"/>
    <cellStyle name="SAPBEXstdItemX 2 4 6" xfId="31247"/>
    <cellStyle name="SAPBEXstdItemX 2 5" xfId="20943"/>
    <cellStyle name="SAPBEXstdItemX 2 5 2" xfId="41818"/>
    <cellStyle name="SAPBEXstdItemX 2 6" xfId="21180"/>
    <cellStyle name="SAPBEXstdItemX 2 6 2" xfId="42055"/>
    <cellStyle name="SAPBEXstdItemX 2 7" xfId="21715"/>
    <cellStyle name="SAPBEXstdItemX 2 7 2" xfId="42590"/>
    <cellStyle name="SAPBEXstdItemX 2 8" xfId="12178"/>
    <cellStyle name="SAPBEXstdItemX 2 8 2" xfId="33078"/>
    <cellStyle name="SAPBEXstdItemX 2 9" xfId="24217"/>
    <cellStyle name="SAPBEXstdItemX 2 9 2" xfId="45085"/>
    <cellStyle name="SAPBEXstdItemX 3" xfId="2849"/>
    <cellStyle name="SAPBEXstdItemX 3 2" xfId="4479"/>
    <cellStyle name="SAPBEXstdItemX 3 2 2" xfId="6318"/>
    <cellStyle name="SAPBEXstdItemX 3 2 2 2" xfId="22623"/>
    <cellStyle name="SAPBEXstdItemX 3 2 2 2 2" xfId="43498"/>
    <cellStyle name="SAPBEXstdItemX 3 2 2 3" xfId="21614"/>
    <cellStyle name="SAPBEXstdItemX 3 2 2 3 2" xfId="42489"/>
    <cellStyle name="SAPBEXstdItemX 3 2 2 4" xfId="24061"/>
    <cellStyle name="SAPBEXstdItemX 3 2 2 4 2" xfId="44933"/>
    <cellStyle name="SAPBEXstdItemX 3 2 2 5" xfId="15327"/>
    <cellStyle name="SAPBEXstdItemX 3 2 2 5 2" xfId="36203"/>
    <cellStyle name="SAPBEXstdItemX 3 2 2 6" xfId="27465"/>
    <cellStyle name="SAPBEXstdItemX 3 2 3" xfId="22082"/>
    <cellStyle name="SAPBEXstdItemX 3 2 3 2" xfId="42957"/>
    <cellStyle name="SAPBEXstdItemX 3 2 4" xfId="22853"/>
    <cellStyle name="SAPBEXstdItemX 3 2 4 2" xfId="43728"/>
    <cellStyle name="SAPBEXstdItemX 3 2 5" xfId="21367"/>
    <cellStyle name="SAPBEXstdItemX 3 2 5 2" xfId="42242"/>
    <cellStyle name="SAPBEXstdItemX 3 2 6" xfId="13509"/>
    <cellStyle name="SAPBEXstdItemX 3 2 6 2" xfId="34385"/>
    <cellStyle name="SAPBEXstdItemX 3 2 7" xfId="25647"/>
    <cellStyle name="SAPBEXstdItemX 3 3" xfId="8457"/>
    <cellStyle name="SAPBEXstdItemX 3 3 2" xfId="23146"/>
    <cellStyle name="SAPBEXstdItemX 3 3 2 2" xfId="44019"/>
    <cellStyle name="SAPBEXstdItemX 3 3 3" xfId="22229"/>
    <cellStyle name="SAPBEXstdItemX 3 3 3 2" xfId="43104"/>
    <cellStyle name="SAPBEXstdItemX 3 3 4" xfId="21691"/>
    <cellStyle name="SAPBEXstdItemX 3 3 4 2" xfId="42566"/>
    <cellStyle name="SAPBEXstdItemX 3 3 5" xfId="17462"/>
    <cellStyle name="SAPBEXstdItemX 3 3 5 2" xfId="38338"/>
    <cellStyle name="SAPBEXstdItemX 3 3 6" xfId="29600"/>
    <cellStyle name="SAPBEXstdItemX 3 4" xfId="10337"/>
    <cellStyle name="SAPBEXstdItemX 3 4 2" xfId="23622"/>
    <cellStyle name="SAPBEXstdItemX 3 4 2 2" xfId="44494"/>
    <cellStyle name="SAPBEXstdItemX 3 4 3" xfId="23363"/>
    <cellStyle name="SAPBEXstdItemX 3 4 3 2" xfId="44235"/>
    <cellStyle name="SAPBEXstdItemX 3 4 4" xfId="23879"/>
    <cellStyle name="SAPBEXstdItemX 3 4 4 2" xfId="44751"/>
    <cellStyle name="SAPBEXstdItemX 3 4 5" xfId="19108"/>
    <cellStyle name="SAPBEXstdItemX 3 4 5 2" xfId="39984"/>
    <cellStyle name="SAPBEXstdItemX 3 4 6" xfId="31248"/>
    <cellStyle name="SAPBEXstdItemX 3 5" xfId="21576"/>
    <cellStyle name="SAPBEXstdItemX 3 5 2" xfId="42451"/>
    <cellStyle name="SAPBEXstdItemX 3 6" xfId="21303"/>
    <cellStyle name="SAPBEXstdItemX 3 6 2" xfId="42178"/>
    <cellStyle name="SAPBEXstdItemX 3 7" xfId="23653"/>
    <cellStyle name="SAPBEXstdItemX 3 7 2" xfId="44525"/>
    <cellStyle name="SAPBEXstdItemX 3 8" xfId="12338"/>
    <cellStyle name="SAPBEXstdItemX 3 8 2" xfId="33227"/>
    <cellStyle name="SAPBEXstdItemX 3 9" xfId="24476"/>
    <cellStyle name="SAPBEXstdItemX 4" xfId="2850"/>
    <cellStyle name="SAPBEXstdItemX 4 2" xfId="4480"/>
    <cellStyle name="SAPBEXstdItemX 4 2 2" xfId="6319"/>
    <cellStyle name="SAPBEXstdItemX 4 2 2 2" xfId="22624"/>
    <cellStyle name="SAPBEXstdItemX 4 2 2 2 2" xfId="43499"/>
    <cellStyle name="SAPBEXstdItemX 4 2 2 3" xfId="24050"/>
    <cellStyle name="SAPBEXstdItemX 4 2 2 3 2" xfId="44922"/>
    <cellStyle name="SAPBEXstdItemX 4 2 2 4" xfId="21720"/>
    <cellStyle name="SAPBEXstdItemX 4 2 2 4 2" xfId="42595"/>
    <cellStyle name="SAPBEXstdItemX 4 2 2 5" xfId="15328"/>
    <cellStyle name="SAPBEXstdItemX 4 2 2 5 2" xfId="36204"/>
    <cellStyle name="SAPBEXstdItemX 4 2 2 6" xfId="27466"/>
    <cellStyle name="SAPBEXstdItemX 4 2 3" xfId="22083"/>
    <cellStyle name="SAPBEXstdItemX 4 2 3 2" xfId="42958"/>
    <cellStyle name="SAPBEXstdItemX 4 2 4" xfId="21186"/>
    <cellStyle name="SAPBEXstdItemX 4 2 4 2" xfId="42061"/>
    <cellStyle name="SAPBEXstdItemX 4 2 5" xfId="22661"/>
    <cellStyle name="SAPBEXstdItemX 4 2 5 2" xfId="43536"/>
    <cellStyle name="SAPBEXstdItemX 4 2 6" xfId="13510"/>
    <cellStyle name="SAPBEXstdItemX 4 2 6 2" xfId="34386"/>
    <cellStyle name="SAPBEXstdItemX 4 2 7" xfId="25648"/>
    <cellStyle name="SAPBEXstdItemX 4 3" xfId="8458"/>
    <cellStyle name="SAPBEXstdItemX 4 3 2" xfId="23147"/>
    <cellStyle name="SAPBEXstdItemX 4 3 2 2" xfId="44020"/>
    <cellStyle name="SAPBEXstdItemX 4 3 3" xfId="23903"/>
    <cellStyle name="SAPBEXstdItemX 4 3 3 2" xfId="44775"/>
    <cellStyle name="SAPBEXstdItemX 4 3 4" xfId="23962"/>
    <cellStyle name="SAPBEXstdItemX 4 3 4 2" xfId="44834"/>
    <cellStyle name="SAPBEXstdItemX 4 3 5" xfId="17463"/>
    <cellStyle name="SAPBEXstdItemX 4 3 5 2" xfId="38339"/>
    <cellStyle name="SAPBEXstdItemX 4 3 6" xfId="29601"/>
    <cellStyle name="SAPBEXstdItemX 4 4" xfId="10338"/>
    <cellStyle name="SAPBEXstdItemX 4 4 2" xfId="23623"/>
    <cellStyle name="SAPBEXstdItemX 4 4 2 2" xfId="44495"/>
    <cellStyle name="SAPBEXstdItemX 4 4 3" xfId="23445"/>
    <cellStyle name="SAPBEXstdItemX 4 4 3 2" xfId="44317"/>
    <cellStyle name="SAPBEXstdItemX 4 4 4" xfId="21832"/>
    <cellStyle name="SAPBEXstdItemX 4 4 4 2" xfId="42707"/>
    <cellStyle name="SAPBEXstdItemX 4 4 5" xfId="19109"/>
    <cellStyle name="SAPBEXstdItemX 4 4 5 2" xfId="39985"/>
    <cellStyle name="SAPBEXstdItemX 4 4 6" xfId="31249"/>
    <cellStyle name="SAPBEXstdItemX 4 5" xfId="21577"/>
    <cellStyle name="SAPBEXstdItemX 4 5 2" xfId="42452"/>
    <cellStyle name="SAPBEXstdItemX 4 6" xfId="21085"/>
    <cellStyle name="SAPBEXstdItemX 4 6 2" xfId="41960"/>
    <cellStyle name="SAPBEXstdItemX 4 7" xfId="23165"/>
    <cellStyle name="SAPBEXstdItemX 4 7 2" xfId="44038"/>
    <cellStyle name="SAPBEXstdItemX 4 8" xfId="12339"/>
    <cellStyle name="SAPBEXstdItemX 4 8 2" xfId="33228"/>
    <cellStyle name="SAPBEXstdItemX 4 9" xfId="24477"/>
    <cellStyle name="SAPBEXstdItemX 5" xfId="2851"/>
    <cellStyle name="SAPBEXstdItemX 5 2" xfId="4481"/>
    <cellStyle name="SAPBEXstdItemX 5 2 2" xfId="6320"/>
    <cellStyle name="SAPBEXstdItemX 5 2 2 2" xfId="22625"/>
    <cellStyle name="SAPBEXstdItemX 5 2 2 2 2" xfId="43500"/>
    <cellStyle name="SAPBEXstdItemX 5 2 2 3" xfId="21169"/>
    <cellStyle name="SAPBEXstdItemX 5 2 2 3 2" xfId="42044"/>
    <cellStyle name="SAPBEXstdItemX 5 2 2 4" xfId="23395"/>
    <cellStyle name="SAPBEXstdItemX 5 2 2 4 2" xfId="44267"/>
    <cellStyle name="SAPBEXstdItemX 5 2 2 5" xfId="15329"/>
    <cellStyle name="SAPBEXstdItemX 5 2 2 5 2" xfId="36205"/>
    <cellStyle name="SAPBEXstdItemX 5 2 2 6" xfId="27467"/>
    <cellStyle name="SAPBEXstdItemX 5 2 3" xfId="22084"/>
    <cellStyle name="SAPBEXstdItemX 5 2 3 2" xfId="42959"/>
    <cellStyle name="SAPBEXstdItemX 5 2 4" xfId="21312"/>
    <cellStyle name="SAPBEXstdItemX 5 2 4 2" xfId="42187"/>
    <cellStyle name="SAPBEXstdItemX 5 2 5" xfId="23354"/>
    <cellStyle name="SAPBEXstdItemX 5 2 5 2" xfId="44226"/>
    <cellStyle name="SAPBEXstdItemX 5 2 6" xfId="13511"/>
    <cellStyle name="SAPBEXstdItemX 5 2 6 2" xfId="34387"/>
    <cellStyle name="SAPBEXstdItemX 5 2 7" xfId="25649"/>
    <cellStyle name="SAPBEXstdItemX 5 3" xfId="8459"/>
    <cellStyle name="SAPBEXstdItemX 5 3 2" xfId="23148"/>
    <cellStyle name="SAPBEXstdItemX 5 3 2 2" xfId="44021"/>
    <cellStyle name="SAPBEXstdItemX 5 3 3" xfId="23714"/>
    <cellStyle name="SAPBEXstdItemX 5 3 3 2" xfId="44586"/>
    <cellStyle name="SAPBEXstdItemX 5 3 4" xfId="24126"/>
    <cellStyle name="SAPBEXstdItemX 5 3 4 2" xfId="44997"/>
    <cellStyle name="SAPBEXstdItemX 5 3 5" xfId="17464"/>
    <cellStyle name="SAPBEXstdItemX 5 3 5 2" xfId="38340"/>
    <cellStyle name="SAPBEXstdItemX 5 3 6" xfId="29602"/>
    <cellStyle name="SAPBEXstdItemX 5 4" xfId="10339"/>
    <cellStyle name="SAPBEXstdItemX 5 4 2" xfId="23624"/>
    <cellStyle name="SAPBEXstdItemX 5 4 2 2" xfId="44496"/>
    <cellStyle name="SAPBEXstdItemX 5 4 3" xfId="21717"/>
    <cellStyle name="SAPBEXstdItemX 5 4 3 2" xfId="42592"/>
    <cellStyle name="SAPBEXstdItemX 5 4 4" xfId="23335"/>
    <cellStyle name="SAPBEXstdItemX 5 4 4 2" xfId="44207"/>
    <cellStyle name="SAPBEXstdItemX 5 4 5" xfId="19110"/>
    <cellStyle name="SAPBEXstdItemX 5 4 5 2" xfId="39986"/>
    <cellStyle name="SAPBEXstdItemX 5 4 6" xfId="31250"/>
    <cellStyle name="SAPBEXstdItemX 5 5" xfId="21578"/>
    <cellStyle name="SAPBEXstdItemX 5 5 2" xfId="42453"/>
    <cellStyle name="SAPBEXstdItemX 5 6" xfId="21592"/>
    <cellStyle name="SAPBEXstdItemX 5 6 2" xfId="42467"/>
    <cellStyle name="SAPBEXstdItemX 5 7" xfId="22432"/>
    <cellStyle name="SAPBEXstdItemX 5 7 2" xfId="43307"/>
    <cellStyle name="SAPBEXstdItemX 5 8" xfId="12340"/>
    <cellStyle name="SAPBEXstdItemX 5 8 2" xfId="33229"/>
    <cellStyle name="SAPBEXstdItemX 5 9" xfId="24478"/>
    <cellStyle name="SAPBEXstdItemX 6" xfId="3841"/>
    <cellStyle name="SAPBEXstdItemX 6 2" xfId="6070"/>
    <cellStyle name="SAPBEXstdItemX 6 2 2" xfId="22429"/>
    <cellStyle name="SAPBEXstdItemX 6 2 2 2" xfId="43304"/>
    <cellStyle name="SAPBEXstdItemX 6 2 3" xfId="21925"/>
    <cellStyle name="SAPBEXstdItemX 6 2 3 2" xfId="42800"/>
    <cellStyle name="SAPBEXstdItemX 6 2 4" xfId="23264"/>
    <cellStyle name="SAPBEXstdItemX 6 2 4 2" xfId="44137"/>
    <cellStyle name="SAPBEXstdItemX 6 2 5" xfId="15079"/>
    <cellStyle name="SAPBEXstdItemX 6 2 5 2" xfId="35955"/>
    <cellStyle name="SAPBEXstdItemX 6 2 6" xfId="27217"/>
    <cellStyle name="SAPBEXstdItemX 6 3" xfId="21815"/>
    <cellStyle name="SAPBEXstdItemX 6 3 2" xfId="42690"/>
    <cellStyle name="SAPBEXstdItemX 6 4" xfId="23648"/>
    <cellStyle name="SAPBEXstdItemX 6 4 2" xfId="44520"/>
    <cellStyle name="SAPBEXstdItemX 6 5" xfId="23828"/>
    <cellStyle name="SAPBEXstdItemX 6 5 2" xfId="44700"/>
    <cellStyle name="SAPBEXstdItemX 6 6" xfId="13261"/>
    <cellStyle name="SAPBEXstdItemX 6 6 2" xfId="34137"/>
    <cellStyle name="SAPBEXstdItemX 6 7" xfId="25399"/>
    <cellStyle name="SAPBEXstdItemX 7" xfId="8455"/>
    <cellStyle name="SAPBEXstdItemX 7 2" xfId="23144"/>
    <cellStyle name="SAPBEXstdItemX 7 2 2" xfId="44017"/>
    <cellStyle name="SAPBEXstdItemX 7 3" xfId="22203"/>
    <cellStyle name="SAPBEXstdItemX 7 3 2" xfId="43078"/>
    <cellStyle name="SAPBEXstdItemX 7 4" xfId="24087"/>
    <cellStyle name="SAPBEXstdItemX 7 4 2" xfId="44959"/>
    <cellStyle name="SAPBEXstdItemX 7 5" xfId="17460"/>
    <cellStyle name="SAPBEXstdItemX 7 5 2" xfId="38336"/>
    <cellStyle name="SAPBEXstdItemX 7 6" xfId="29598"/>
    <cellStyle name="SAPBEXstdItemX 8" xfId="10335"/>
    <cellStyle name="SAPBEXstdItemX 8 2" xfId="23620"/>
    <cellStyle name="SAPBEXstdItemX 8 2 2" xfId="44492"/>
    <cellStyle name="SAPBEXstdItemX 8 3" xfId="22906"/>
    <cellStyle name="SAPBEXstdItemX 8 3 2" xfId="43780"/>
    <cellStyle name="SAPBEXstdItemX 8 4" xfId="21013"/>
    <cellStyle name="SAPBEXstdItemX 8 4 2" xfId="41888"/>
    <cellStyle name="SAPBEXstdItemX 8 5" xfId="19106"/>
    <cellStyle name="SAPBEXstdItemX 8 5 2" xfId="39982"/>
    <cellStyle name="SAPBEXstdItemX 8 6" xfId="31246"/>
    <cellStyle name="SAPBEXstdItemX 9" xfId="20942"/>
    <cellStyle name="SAPBEXstdItemX 9 2" xfId="41817"/>
    <cellStyle name="SAPBEXtitle" xfId="1177"/>
    <cellStyle name="SAPBEXunassignedItem" xfId="2852"/>
    <cellStyle name="SAPBEXunassignedItem 2" xfId="2853"/>
    <cellStyle name="SAPBEXunassignedItem 2 2" xfId="3333"/>
    <cellStyle name="SAPBEXunassignedItem 2 2 2" xfId="5606"/>
    <cellStyle name="SAPBEXunassignedItem 2 2 2 2" xfId="22314"/>
    <cellStyle name="SAPBEXunassignedItem 2 2 2 2 2" xfId="43189"/>
    <cellStyle name="SAPBEXunassignedItem 2 2 2 3" xfId="20847"/>
    <cellStyle name="SAPBEXunassignedItem 2 2 2 3 2" xfId="41723"/>
    <cellStyle name="SAPBEXunassignedItem 2 2 2 4" xfId="23893"/>
    <cellStyle name="SAPBEXunassignedItem 2 2 2 4 2" xfId="44765"/>
    <cellStyle name="SAPBEXunassignedItem 2 2 2 5" xfId="14615"/>
    <cellStyle name="SAPBEXunassignedItem 2 2 2 5 2" xfId="35491"/>
    <cellStyle name="SAPBEXunassignedItem 2 2 2 6" xfId="26753"/>
    <cellStyle name="SAPBEXunassignedItem 2 2 3" xfId="21685"/>
    <cellStyle name="SAPBEXunassignedItem 2 2 3 2" xfId="42560"/>
    <cellStyle name="SAPBEXunassignedItem 2 2 4" xfId="22111"/>
    <cellStyle name="SAPBEXunassignedItem 2 2 4 2" xfId="42986"/>
    <cellStyle name="SAPBEXunassignedItem 2 2 5" xfId="22154"/>
    <cellStyle name="SAPBEXunassignedItem 2 2 5 2" xfId="43029"/>
    <cellStyle name="SAPBEXunassignedItem 2 2 6" xfId="12796"/>
    <cellStyle name="SAPBEXunassignedItem 2 2 6 2" xfId="33673"/>
    <cellStyle name="SAPBEXunassignedItem 2 2 7" xfId="24923"/>
    <cellStyle name="SAPBEXunassignedItem 2 3" xfId="9288"/>
    <cellStyle name="SAPBEXunassignedItem 2 3 2" xfId="22664"/>
    <cellStyle name="SAPBEXunassignedItem 2 3 2 2" xfId="43539"/>
    <cellStyle name="SAPBEXunassignedItem 2 3 3" xfId="22182"/>
    <cellStyle name="SAPBEXunassignedItem 2 3 3 2" xfId="43057"/>
    <cellStyle name="SAPBEXunassignedItem 2 3 4" xfId="18287"/>
    <cellStyle name="SAPBEXunassignedItem 2 3 4 2" xfId="39163"/>
    <cellStyle name="SAPBEXunassignedItem 2 3 5" xfId="30425"/>
    <cellStyle name="SAPBEXunassignedItem 2 4" xfId="21580"/>
    <cellStyle name="SAPBEXunassignedItem 2 4 2" xfId="42455"/>
    <cellStyle name="SAPBEXunassignedItem 2 5" xfId="12342"/>
    <cellStyle name="SAPBEXunassignedItem 2 5 2" xfId="33231"/>
    <cellStyle name="SAPBEXunassignedItem 2 6" xfId="24480"/>
    <cellStyle name="SAPBEXunassignedItem 3" xfId="3332"/>
    <cellStyle name="SAPBEXunassignedItem 3 2" xfId="5605"/>
    <cellStyle name="SAPBEXunassignedItem 3 2 2" xfId="22313"/>
    <cellStyle name="SAPBEXunassignedItem 3 2 2 2" xfId="43188"/>
    <cellStyle name="SAPBEXunassignedItem 3 2 3" xfId="24058"/>
    <cellStyle name="SAPBEXunassignedItem 3 2 3 2" xfId="44930"/>
    <cellStyle name="SAPBEXunassignedItem 3 2 4" xfId="23268"/>
    <cellStyle name="SAPBEXunassignedItem 3 2 4 2" xfId="44141"/>
    <cellStyle name="SAPBEXunassignedItem 3 2 5" xfId="14614"/>
    <cellStyle name="SAPBEXunassignedItem 3 2 5 2" xfId="35490"/>
    <cellStyle name="SAPBEXunassignedItem 3 2 6" xfId="26752"/>
    <cellStyle name="SAPBEXunassignedItem 3 3" xfId="21684"/>
    <cellStyle name="SAPBEXunassignedItem 3 3 2" xfId="42559"/>
    <cellStyle name="SAPBEXunassignedItem 3 4" xfId="23204"/>
    <cellStyle name="SAPBEXunassignedItem 3 4 2" xfId="44077"/>
    <cellStyle name="SAPBEXunassignedItem 3 5" xfId="23980"/>
    <cellStyle name="SAPBEXunassignedItem 3 5 2" xfId="44852"/>
    <cellStyle name="SAPBEXunassignedItem 3 6" xfId="12795"/>
    <cellStyle name="SAPBEXunassignedItem 3 6 2" xfId="33672"/>
    <cellStyle name="SAPBEXunassignedItem 3 7" xfId="24922"/>
    <cellStyle name="SAPBEXunassignedItem 4" xfId="9287"/>
    <cellStyle name="SAPBEXunassignedItem 4 2" xfId="22125"/>
    <cellStyle name="SAPBEXunassignedItem 4 2 2" xfId="43000"/>
    <cellStyle name="SAPBEXunassignedItem 4 3" xfId="23281"/>
    <cellStyle name="SAPBEXunassignedItem 4 3 2" xfId="44154"/>
    <cellStyle name="SAPBEXunassignedItem 4 4" xfId="18286"/>
    <cellStyle name="SAPBEXunassignedItem 4 4 2" xfId="39162"/>
    <cellStyle name="SAPBEXunassignedItem 4 5" xfId="30424"/>
    <cellStyle name="SAPBEXunassignedItem 5" xfId="21579"/>
    <cellStyle name="SAPBEXunassignedItem 5 2" xfId="42454"/>
    <cellStyle name="SAPBEXunassignedItem 6" xfId="12341"/>
    <cellStyle name="SAPBEXunassignedItem 6 2" xfId="33230"/>
    <cellStyle name="SAPBEXunassignedItem 7" xfId="24479"/>
    <cellStyle name="SAPBEXundefined" xfId="1178"/>
    <cellStyle name="SAPBEXundefined 10" xfId="20991"/>
    <cellStyle name="SAPBEXundefined 10 2" xfId="41866"/>
    <cellStyle name="SAPBEXundefined 11" xfId="23849"/>
    <cellStyle name="SAPBEXundefined 11 2" xfId="44721"/>
    <cellStyle name="SAPBEXundefined 12" xfId="12179"/>
    <cellStyle name="SAPBEXundefined 12 2" xfId="33079"/>
    <cellStyle name="SAPBEXundefined 13" xfId="24134"/>
    <cellStyle name="SAPBEXundefined 13 2" xfId="45004"/>
    <cellStyle name="SAPBEXundefined 14" xfId="24283"/>
    <cellStyle name="SAPBEXundefined 14 2" xfId="45144"/>
    <cellStyle name="SAPBEXundefined 2" xfId="2854"/>
    <cellStyle name="SAPBEXundefined 2 10" xfId="24481"/>
    <cellStyle name="SAPBEXundefined 2 2" xfId="4482"/>
    <cellStyle name="SAPBEXundefined 2 2 2" xfId="6321"/>
    <cellStyle name="SAPBEXundefined 2 2 2 2" xfId="22626"/>
    <cellStyle name="SAPBEXundefined 2 2 2 2 2" xfId="43501"/>
    <cellStyle name="SAPBEXundefined 2 2 2 3" xfId="21011"/>
    <cellStyle name="SAPBEXundefined 2 2 2 3 2" xfId="41886"/>
    <cellStyle name="SAPBEXundefined 2 2 2 4" xfId="23654"/>
    <cellStyle name="SAPBEXundefined 2 2 2 4 2" xfId="44526"/>
    <cellStyle name="SAPBEXundefined 2 2 2 5" xfId="15330"/>
    <cellStyle name="SAPBEXundefined 2 2 2 5 2" xfId="36206"/>
    <cellStyle name="SAPBEXundefined 2 2 2 6" xfId="27468"/>
    <cellStyle name="SAPBEXundefined 2 2 3" xfId="22085"/>
    <cellStyle name="SAPBEXundefined 2 2 3 2" xfId="42960"/>
    <cellStyle name="SAPBEXundefined 2 2 4" xfId="21399"/>
    <cellStyle name="SAPBEXundefined 2 2 4 2" xfId="42274"/>
    <cellStyle name="SAPBEXundefined 2 2 5" xfId="21657"/>
    <cellStyle name="SAPBEXundefined 2 2 5 2" xfId="42532"/>
    <cellStyle name="SAPBEXundefined 2 2 6" xfId="13512"/>
    <cellStyle name="SAPBEXundefined 2 2 6 2" xfId="34388"/>
    <cellStyle name="SAPBEXundefined 2 2 7" xfId="25650"/>
    <cellStyle name="SAPBEXundefined 2 3" xfId="8461"/>
    <cellStyle name="SAPBEXundefined 2 3 2" xfId="23150"/>
    <cellStyle name="SAPBEXundefined 2 3 2 2" xfId="44023"/>
    <cellStyle name="SAPBEXundefined 2 3 3" xfId="21237"/>
    <cellStyle name="SAPBEXundefined 2 3 3 2" xfId="42112"/>
    <cellStyle name="SAPBEXundefined 2 3 4" xfId="22798"/>
    <cellStyle name="SAPBEXundefined 2 3 4 2" xfId="43673"/>
    <cellStyle name="SAPBEXundefined 2 3 5" xfId="17466"/>
    <cellStyle name="SAPBEXundefined 2 3 5 2" xfId="38342"/>
    <cellStyle name="SAPBEXundefined 2 3 6" xfId="29604"/>
    <cellStyle name="SAPBEXundefined 2 4" xfId="10341"/>
    <cellStyle name="SAPBEXundefined 2 4 2" xfId="23626"/>
    <cellStyle name="SAPBEXundefined 2 4 2 2" xfId="44498"/>
    <cellStyle name="SAPBEXundefined 2 4 3" xfId="22727"/>
    <cellStyle name="SAPBEXundefined 2 4 3 2" xfId="43602"/>
    <cellStyle name="SAPBEXundefined 2 4 4" xfId="22092"/>
    <cellStyle name="SAPBEXundefined 2 4 4 2" xfId="42967"/>
    <cellStyle name="SAPBEXundefined 2 4 5" xfId="19112"/>
    <cellStyle name="SAPBEXundefined 2 4 5 2" xfId="39988"/>
    <cellStyle name="SAPBEXundefined 2 4 6" xfId="31252"/>
    <cellStyle name="SAPBEXundefined 2 5" xfId="20945"/>
    <cellStyle name="SAPBEXundefined 2 5 2" xfId="41820"/>
    <cellStyle name="SAPBEXundefined 2 6" xfId="22097"/>
    <cellStyle name="SAPBEXundefined 2 6 2" xfId="42972"/>
    <cellStyle name="SAPBEXundefined 2 7" xfId="23825"/>
    <cellStyle name="SAPBEXundefined 2 7 2" xfId="44697"/>
    <cellStyle name="SAPBEXundefined 2 8" xfId="12180"/>
    <cellStyle name="SAPBEXundefined 2 8 2" xfId="33080"/>
    <cellStyle name="SAPBEXundefined 2 9" xfId="24218"/>
    <cellStyle name="SAPBEXundefined 2 9 2" xfId="45086"/>
    <cellStyle name="SAPBEXundefined 3" xfId="2855"/>
    <cellStyle name="SAPBEXundefined 3 2" xfId="4483"/>
    <cellStyle name="SAPBEXundefined 3 2 2" xfId="6322"/>
    <cellStyle name="SAPBEXundefined 3 2 2 2" xfId="22627"/>
    <cellStyle name="SAPBEXundefined 3 2 2 2 2" xfId="43502"/>
    <cellStyle name="SAPBEXundefined 3 2 2 3" xfId="21073"/>
    <cellStyle name="SAPBEXundefined 3 2 2 3 2" xfId="41948"/>
    <cellStyle name="SAPBEXundefined 3 2 2 4" xfId="23823"/>
    <cellStyle name="SAPBEXundefined 3 2 2 4 2" xfId="44695"/>
    <cellStyle name="SAPBEXundefined 3 2 2 5" xfId="15331"/>
    <cellStyle name="SAPBEXundefined 3 2 2 5 2" xfId="36207"/>
    <cellStyle name="SAPBEXundefined 3 2 2 6" xfId="27469"/>
    <cellStyle name="SAPBEXundefined 3 2 3" xfId="22086"/>
    <cellStyle name="SAPBEXundefined 3 2 3 2" xfId="42961"/>
    <cellStyle name="SAPBEXundefined 3 2 4" xfId="21856"/>
    <cellStyle name="SAPBEXundefined 3 2 4 2" xfId="42731"/>
    <cellStyle name="SAPBEXundefined 3 2 5" xfId="23781"/>
    <cellStyle name="SAPBEXundefined 3 2 5 2" xfId="44653"/>
    <cellStyle name="SAPBEXundefined 3 2 6" xfId="13513"/>
    <cellStyle name="SAPBEXundefined 3 2 6 2" xfId="34389"/>
    <cellStyle name="SAPBEXundefined 3 2 7" xfId="25651"/>
    <cellStyle name="SAPBEXundefined 3 3" xfId="8462"/>
    <cellStyle name="SAPBEXundefined 3 3 2" xfId="23151"/>
    <cellStyle name="SAPBEXundefined 3 3 2 2" xfId="44024"/>
    <cellStyle name="SAPBEXundefined 3 3 3" xfId="21767"/>
    <cellStyle name="SAPBEXundefined 3 3 3 2" xfId="42642"/>
    <cellStyle name="SAPBEXundefined 3 3 4" xfId="21594"/>
    <cellStyle name="SAPBEXundefined 3 3 4 2" xfId="42469"/>
    <cellStyle name="SAPBEXundefined 3 3 5" xfId="17467"/>
    <cellStyle name="SAPBEXundefined 3 3 5 2" xfId="38343"/>
    <cellStyle name="SAPBEXundefined 3 3 6" xfId="29605"/>
    <cellStyle name="SAPBEXundefined 3 4" xfId="10342"/>
    <cellStyle name="SAPBEXundefined 3 4 2" xfId="23627"/>
    <cellStyle name="SAPBEXundefined 3 4 2 2" xfId="44499"/>
    <cellStyle name="SAPBEXundefined 3 4 3" xfId="22120"/>
    <cellStyle name="SAPBEXundefined 3 4 3 2" xfId="42995"/>
    <cellStyle name="SAPBEXundefined 3 4 4" xfId="21596"/>
    <cellStyle name="SAPBEXundefined 3 4 4 2" xfId="42471"/>
    <cellStyle name="SAPBEXundefined 3 4 5" xfId="19113"/>
    <cellStyle name="SAPBEXundefined 3 4 5 2" xfId="39989"/>
    <cellStyle name="SAPBEXundefined 3 4 6" xfId="31253"/>
    <cellStyle name="SAPBEXundefined 3 5" xfId="21581"/>
    <cellStyle name="SAPBEXundefined 3 5 2" xfId="42456"/>
    <cellStyle name="SAPBEXundefined 3 6" xfId="22367"/>
    <cellStyle name="SAPBEXundefined 3 6 2" xfId="43242"/>
    <cellStyle name="SAPBEXundefined 3 7" xfId="23857"/>
    <cellStyle name="SAPBEXundefined 3 7 2" xfId="44729"/>
    <cellStyle name="SAPBEXundefined 3 8" xfId="12343"/>
    <cellStyle name="SAPBEXundefined 3 8 2" xfId="33232"/>
    <cellStyle name="SAPBEXundefined 3 9" xfId="24482"/>
    <cellStyle name="SAPBEXundefined 4" xfId="2856"/>
    <cellStyle name="SAPBEXundefined 4 2" xfId="4484"/>
    <cellStyle name="SAPBEXundefined 4 2 2" xfId="6323"/>
    <cellStyle name="SAPBEXundefined 4 2 2 2" xfId="22628"/>
    <cellStyle name="SAPBEXundefined 4 2 2 2 2" xfId="43503"/>
    <cellStyle name="SAPBEXundefined 4 2 2 3" xfId="21588"/>
    <cellStyle name="SAPBEXundefined 4 2 2 3 2" xfId="42463"/>
    <cellStyle name="SAPBEXundefined 4 2 2 4" xfId="21262"/>
    <cellStyle name="SAPBEXundefined 4 2 2 4 2" xfId="42137"/>
    <cellStyle name="SAPBEXundefined 4 2 2 5" xfId="15332"/>
    <cellStyle name="SAPBEXundefined 4 2 2 5 2" xfId="36208"/>
    <cellStyle name="SAPBEXundefined 4 2 2 6" xfId="27470"/>
    <cellStyle name="SAPBEXundefined 4 2 3" xfId="22087"/>
    <cellStyle name="SAPBEXundefined 4 2 3 2" xfId="42962"/>
    <cellStyle name="SAPBEXundefined 4 2 4" xfId="22135"/>
    <cellStyle name="SAPBEXundefined 4 2 4 2" xfId="43010"/>
    <cellStyle name="SAPBEXundefined 4 2 5" xfId="23696"/>
    <cellStyle name="SAPBEXundefined 4 2 5 2" xfId="44568"/>
    <cellStyle name="SAPBEXundefined 4 2 6" xfId="13514"/>
    <cellStyle name="SAPBEXundefined 4 2 6 2" xfId="34390"/>
    <cellStyle name="SAPBEXundefined 4 2 7" xfId="25652"/>
    <cellStyle name="SAPBEXundefined 4 3" xfId="8463"/>
    <cellStyle name="SAPBEXundefined 4 3 2" xfId="23152"/>
    <cellStyle name="SAPBEXundefined 4 3 2 2" xfId="44025"/>
    <cellStyle name="SAPBEXundefined 4 3 3" xfId="22238"/>
    <cellStyle name="SAPBEXundefined 4 3 3 2" xfId="43113"/>
    <cellStyle name="SAPBEXundefined 4 3 4" xfId="21096"/>
    <cellStyle name="SAPBEXundefined 4 3 4 2" xfId="41971"/>
    <cellStyle name="SAPBEXundefined 4 3 5" xfId="17468"/>
    <cellStyle name="SAPBEXundefined 4 3 5 2" xfId="38344"/>
    <cellStyle name="SAPBEXundefined 4 3 6" xfId="29606"/>
    <cellStyle name="SAPBEXundefined 4 4" xfId="10343"/>
    <cellStyle name="SAPBEXundefined 4 4 2" xfId="23628"/>
    <cellStyle name="SAPBEXundefined 4 4 2 2" xfId="44500"/>
    <cellStyle name="SAPBEXundefined 4 4 3" xfId="22352"/>
    <cellStyle name="SAPBEXundefined 4 4 3 2" xfId="43227"/>
    <cellStyle name="SAPBEXundefined 4 4 4" xfId="21137"/>
    <cellStyle name="SAPBEXundefined 4 4 4 2" xfId="42012"/>
    <cellStyle name="SAPBEXundefined 4 4 5" xfId="19114"/>
    <cellStyle name="SAPBEXundefined 4 4 5 2" xfId="39990"/>
    <cellStyle name="SAPBEXundefined 4 4 6" xfId="31254"/>
    <cellStyle name="SAPBEXundefined 4 5" xfId="21582"/>
    <cellStyle name="SAPBEXundefined 4 5 2" xfId="42457"/>
    <cellStyle name="SAPBEXundefined 4 6" xfId="22240"/>
    <cellStyle name="SAPBEXundefined 4 6 2" xfId="43115"/>
    <cellStyle name="SAPBEXundefined 4 7" xfId="21283"/>
    <cellStyle name="SAPBEXundefined 4 7 2" xfId="42158"/>
    <cellStyle name="SAPBEXundefined 4 8" xfId="12344"/>
    <cellStyle name="SAPBEXundefined 4 8 2" xfId="33233"/>
    <cellStyle name="SAPBEXundefined 4 9" xfId="24483"/>
    <cellStyle name="SAPBEXundefined 5" xfId="2857"/>
    <cellStyle name="SAPBEXundefined 5 2" xfId="4485"/>
    <cellStyle name="SAPBEXundefined 5 2 2" xfId="6324"/>
    <cellStyle name="SAPBEXundefined 5 2 2 2" xfId="22629"/>
    <cellStyle name="SAPBEXundefined 5 2 2 2 2" xfId="43504"/>
    <cellStyle name="SAPBEXundefined 5 2 2 3" xfId="23773"/>
    <cellStyle name="SAPBEXundefined 5 2 2 3 2" xfId="44645"/>
    <cellStyle name="SAPBEXundefined 5 2 2 4" xfId="23670"/>
    <cellStyle name="SAPBEXundefined 5 2 2 4 2" xfId="44542"/>
    <cellStyle name="SAPBEXundefined 5 2 2 5" xfId="15333"/>
    <cellStyle name="SAPBEXundefined 5 2 2 5 2" xfId="36209"/>
    <cellStyle name="SAPBEXundefined 5 2 2 6" xfId="27471"/>
    <cellStyle name="SAPBEXundefined 5 2 3" xfId="22088"/>
    <cellStyle name="SAPBEXundefined 5 2 3 2" xfId="42963"/>
    <cellStyle name="SAPBEXundefined 5 2 4" xfId="22147"/>
    <cellStyle name="SAPBEXundefined 5 2 4 2" xfId="43022"/>
    <cellStyle name="SAPBEXundefined 5 2 5" xfId="21261"/>
    <cellStyle name="SAPBEXundefined 5 2 5 2" xfId="42136"/>
    <cellStyle name="SAPBEXundefined 5 2 6" xfId="13515"/>
    <cellStyle name="SAPBEXundefined 5 2 6 2" xfId="34391"/>
    <cellStyle name="SAPBEXundefined 5 2 7" xfId="25653"/>
    <cellStyle name="SAPBEXundefined 5 3" xfId="8464"/>
    <cellStyle name="SAPBEXundefined 5 3 2" xfId="23153"/>
    <cellStyle name="SAPBEXundefined 5 3 2 2" xfId="44026"/>
    <cellStyle name="SAPBEXundefined 5 3 3" xfId="23875"/>
    <cellStyle name="SAPBEXundefined 5 3 3 2" xfId="44747"/>
    <cellStyle name="SAPBEXundefined 5 3 4" xfId="22910"/>
    <cellStyle name="SAPBEXundefined 5 3 4 2" xfId="43784"/>
    <cellStyle name="SAPBEXundefined 5 3 5" xfId="17469"/>
    <cellStyle name="SAPBEXundefined 5 3 5 2" xfId="38345"/>
    <cellStyle name="SAPBEXundefined 5 3 6" xfId="29607"/>
    <cellStyle name="SAPBEXundefined 5 4" xfId="10344"/>
    <cellStyle name="SAPBEXundefined 5 4 2" xfId="23629"/>
    <cellStyle name="SAPBEXundefined 5 4 2 2" xfId="44501"/>
    <cellStyle name="SAPBEXundefined 5 4 3" xfId="22833"/>
    <cellStyle name="SAPBEXundefined 5 4 3 2" xfId="43708"/>
    <cellStyle name="SAPBEXundefined 5 4 4" xfId="23795"/>
    <cellStyle name="SAPBEXundefined 5 4 4 2" xfId="44667"/>
    <cellStyle name="SAPBEXundefined 5 4 5" xfId="19115"/>
    <cellStyle name="SAPBEXundefined 5 4 5 2" xfId="39991"/>
    <cellStyle name="SAPBEXundefined 5 4 6" xfId="31255"/>
    <cellStyle name="SAPBEXundefined 5 5" xfId="21583"/>
    <cellStyle name="SAPBEXundefined 5 5 2" xfId="42458"/>
    <cellStyle name="SAPBEXundefined 5 6" xfId="22895"/>
    <cellStyle name="SAPBEXundefined 5 6 2" xfId="43769"/>
    <cellStyle name="SAPBEXundefined 5 7" xfId="21209"/>
    <cellStyle name="SAPBEXundefined 5 7 2" xfId="42084"/>
    <cellStyle name="SAPBEXundefined 5 8" xfId="12345"/>
    <cellStyle name="SAPBEXundefined 5 8 2" xfId="33234"/>
    <cellStyle name="SAPBEXundefined 5 9" xfId="24484"/>
    <cellStyle name="SAPBEXundefined 6" xfId="3842"/>
    <cellStyle name="SAPBEXundefined 6 2" xfId="6071"/>
    <cellStyle name="SAPBEXundefined 6 2 2" xfId="22430"/>
    <cellStyle name="SAPBEXundefined 6 2 2 2" xfId="43305"/>
    <cellStyle name="SAPBEXundefined 6 2 3" xfId="21658"/>
    <cellStyle name="SAPBEXundefined 6 2 3 2" xfId="42533"/>
    <cellStyle name="SAPBEXundefined 6 2 4" xfId="23946"/>
    <cellStyle name="SAPBEXundefined 6 2 4 2" xfId="44818"/>
    <cellStyle name="SAPBEXundefined 6 2 5" xfId="15080"/>
    <cellStyle name="SAPBEXundefined 6 2 5 2" xfId="35956"/>
    <cellStyle name="SAPBEXundefined 6 2 6" xfId="27218"/>
    <cellStyle name="SAPBEXundefined 6 3" xfId="21816"/>
    <cellStyle name="SAPBEXundefined 6 3 2" xfId="42691"/>
    <cellStyle name="SAPBEXundefined 6 4" xfId="22644"/>
    <cellStyle name="SAPBEXundefined 6 4 2" xfId="43519"/>
    <cellStyle name="SAPBEXundefined 6 5" xfId="21188"/>
    <cellStyle name="SAPBEXundefined 6 5 2" xfId="42063"/>
    <cellStyle name="SAPBEXundefined 6 6" xfId="13262"/>
    <cellStyle name="SAPBEXundefined 6 6 2" xfId="34138"/>
    <cellStyle name="SAPBEXundefined 6 7" xfId="25400"/>
    <cellStyle name="SAPBEXundefined 7" xfId="8460"/>
    <cellStyle name="SAPBEXundefined 7 2" xfId="23149"/>
    <cellStyle name="SAPBEXundefined 7 2 2" xfId="44022"/>
    <cellStyle name="SAPBEXundefined 7 3" xfId="22717"/>
    <cellStyle name="SAPBEXundefined 7 3 2" xfId="43592"/>
    <cellStyle name="SAPBEXundefined 7 4" xfId="22443"/>
    <cellStyle name="SAPBEXundefined 7 4 2" xfId="43318"/>
    <cellStyle name="SAPBEXundefined 7 5" xfId="17465"/>
    <cellStyle name="SAPBEXundefined 7 5 2" xfId="38341"/>
    <cellStyle name="SAPBEXundefined 7 6" xfId="29603"/>
    <cellStyle name="SAPBEXundefined 8" xfId="10340"/>
    <cellStyle name="SAPBEXundefined 8 2" xfId="23625"/>
    <cellStyle name="SAPBEXundefined 8 2 2" xfId="44497"/>
    <cellStyle name="SAPBEXundefined 8 3" xfId="22215"/>
    <cellStyle name="SAPBEXundefined 8 3 2" xfId="43090"/>
    <cellStyle name="SAPBEXundefined 8 4" xfId="22676"/>
    <cellStyle name="SAPBEXundefined 8 4 2" xfId="43551"/>
    <cellStyle name="SAPBEXundefined 8 5" xfId="19111"/>
    <cellStyle name="SAPBEXundefined 8 5 2" xfId="39987"/>
    <cellStyle name="SAPBEXundefined 8 6" xfId="31251"/>
    <cellStyle name="SAPBEXundefined 9" xfId="20944"/>
    <cellStyle name="SAPBEXundefined 9 2" xfId="41819"/>
    <cellStyle name="SHADEDSTORES" xfId="1179"/>
    <cellStyle name="SHADEDSTORES 10" xfId="24304"/>
    <cellStyle name="SHADEDSTORES 2" xfId="2858"/>
    <cellStyle name="SHADEDSTORES 2 2" xfId="4486"/>
    <cellStyle name="SHADEDSTORES 2 2 2" xfId="6325"/>
    <cellStyle name="SHADEDSTORES 2 2 2 2" xfId="22630"/>
    <cellStyle name="SHADEDSTORES 2 2 2 2 2" xfId="43505"/>
    <cellStyle name="SHADEDSTORES 2 2 2 3" xfId="23246"/>
    <cellStyle name="SHADEDSTORES 2 2 2 3 2" xfId="44119"/>
    <cellStyle name="SHADEDSTORES 2 2 2 4" xfId="21853"/>
    <cellStyle name="SHADEDSTORES 2 2 2 4 2" xfId="42728"/>
    <cellStyle name="SHADEDSTORES 2 2 2 5" xfId="15334"/>
    <cellStyle name="SHADEDSTORES 2 2 2 5 2" xfId="36210"/>
    <cellStyle name="SHADEDSTORES 2 2 2 6" xfId="27472"/>
    <cellStyle name="SHADEDSTORES 2 2 3" xfId="22089"/>
    <cellStyle name="SHADEDSTORES 2 2 3 2" xfId="42964"/>
    <cellStyle name="SHADEDSTORES 2 2 4" xfId="23820"/>
    <cellStyle name="SHADEDSTORES 2 2 4 2" xfId="44692"/>
    <cellStyle name="SHADEDSTORES 2 2 5" xfId="24092"/>
    <cellStyle name="SHADEDSTORES 2 2 5 2" xfId="44963"/>
    <cellStyle name="SHADEDSTORES 2 2 6" xfId="13516"/>
    <cellStyle name="SHADEDSTORES 2 2 6 2" xfId="34392"/>
    <cellStyle name="SHADEDSTORES 2 2 7" xfId="25654"/>
    <cellStyle name="SHADEDSTORES 2 3" xfId="21584"/>
    <cellStyle name="SHADEDSTORES 2 3 2" xfId="42459"/>
    <cellStyle name="SHADEDSTORES 2 4" xfId="21673"/>
    <cellStyle name="SHADEDSTORES 2 4 2" xfId="42548"/>
    <cellStyle name="SHADEDSTORES 2 5" xfId="12346"/>
    <cellStyle name="SHADEDSTORES 2 5 2" xfId="33235"/>
    <cellStyle name="SHADEDSTORES 2 6" xfId="24485"/>
    <cellStyle name="SHADEDSTORES 3" xfId="2859"/>
    <cellStyle name="SHADEDSTORES 3 2" xfId="4487"/>
    <cellStyle name="SHADEDSTORES 3 2 2" xfId="6326"/>
    <cellStyle name="SHADEDSTORES 3 2 2 2" xfId="22631"/>
    <cellStyle name="SHADEDSTORES 3 2 2 2 2" xfId="43506"/>
    <cellStyle name="SHADEDSTORES 3 2 2 3" xfId="23159"/>
    <cellStyle name="SHADEDSTORES 3 2 2 3 2" xfId="44032"/>
    <cellStyle name="SHADEDSTORES 3 2 2 4" xfId="21286"/>
    <cellStyle name="SHADEDSTORES 3 2 2 4 2" xfId="42161"/>
    <cellStyle name="SHADEDSTORES 3 2 2 5" xfId="15335"/>
    <cellStyle name="SHADEDSTORES 3 2 2 5 2" xfId="36211"/>
    <cellStyle name="SHADEDSTORES 3 2 2 6" xfId="27473"/>
    <cellStyle name="SHADEDSTORES 3 2 3" xfId="22090"/>
    <cellStyle name="SHADEDSTORES 3 2 3 2" xfId="42965"/>
    <cellStyle name="SHADEDSTORES 3 2 4" xfId="22922"/>
    <cellStyle name="SHADEDSTORES 3 2 4 2" xfId="43796"/>
    <cellStyle name="SHADEDSTORES 3 2 5" xfId="22178"/>
    <cellStyle name="SHADEDSTORES 3 2 5 2" xfId="43053"/>
    <cellStyle name="SHADEDSTORES 3 2 6" xfId="13517"/>
    <cellStyle name="SHADEDSTORES 3 2 6 2" xfId="34393"/>
    <cellStyle name="SHADEDSTORES 3 2 7" xfId="25655"/>
    <cellStyle name="SHADEDSTORES 3 3" xfId="21585"/>
    <cellStyle name="SHADEDSTORES 3 3 2" xfId="42460"/>
    <cellStyle name="SHADEDSTORES 3 4" xfId="21208"/>
    <cellStyle name="SHADEDSTORES 3 4 2" xfId="42083"/>
    <cellStyle name="SHADEDSTORES 3 5" xfId="12347"/>
    <cellStyle name="SHADEDSTORES 3 5 2" xfId="33236"/>
    <cellStyle name="SHADEDSTORES 3 6" xfId="24486"/>
    <cellStyle name="SHADEDSTORES 4" xfId="3843"/>
    <cellStyle name="SHADEDSTORES 4 2" xfId="6072"/>
    <cellStyle name="SHADEDSTORES 4 2 2" xfId="22431"/>
    <cellStyle name="SHADEDSTORES 4 2 2 2" xfId="43306"/>
    <cellStyle name="SHADEDSTORES 4 2 3" xfId="21039"/>
    <cellStyle name="SHADEDSTORES 4 2 3 2" xfId="41914"/>
    <cellStyle name="SHADEDSTORES 4 2 4" xfId="22817"/>
    <cellStyle name="SHADEDSTORES 4 2 4 2" xfId="43692"/>
    <cellStyle name="SHADEDSTORES 4 2 5" xfId="15081"/>
    <cellStyle name="SHADEDSTORES 4 2 5 2" xfId="35957"/>
    <cellStyle name="SHADEDSTORES 4 2 6" xfId="27219"/>
    <cellStyle name="SHADEDSTORES 4 3" xfId="21817"/>
    <cellStyle name="SHADEDSTORES 4 3 2" xfId="42692"/>
    <cellStyle name="SHADEDSTORES 4 4" xfId="22372"/>
    <cellStyle name="SHADEDSTORES 4 4 2" xfId="43247"/>
    <cellStyle name="SHADEDSTORES 4 5" xfId="23701"/>
    <cellStyle name="SHADEDSTORES 4 5 2" xfId="44573"/>
    <cellStyle name="SHADEDSTORES 4 6" xfId="13263"/>
    <cellStyle name="SHADEDSTORES 4 6 2" xfId="34139"/>
    <cellStyle name="SHADEDSTORES 4 7" xfId="25401"/>
    <cellStyle name="SHADEDSTORES 5" xfId="9938"/>
    <cellStyle name="SHADEDSTORES 5 2" xfId="22744"/>
    <cellStyle name="SHADEDSTORES 5 2 2" xfId="43619"/>
    <cellStyle name="SHADEDSTORES 5 3" xfId="31072"/>
    <cellStyle name="SHADEDSTORES 6" xfId="12191"/>
    <cellStyle name="SHADEDSTORES 6 2" xfId="33089"/>
    <cellStyle name="SHADEDSTORES 7" xfId="20946"/>
    <cellStyle name="SHADEDSTORES 7 2" xfId="41821"/>
    <cellStyle name="SHADEDSTORES 8" xfId="12181"/>
    <cellStyle name="SHADEDSTORES 8 2" xfId="33081"/>
    <cellStyle name="SHADEDSTORES 9" xfId="24133"/>
    <cellStyle name="SHADEDSTORES 9 2" xfId="45003"/>
    <cellStyle name="Sheet Title" xfId="2860"/>
    <cellStyle name="specstores" xfId="1180"/>
    <cellStyle name="Standard_Division-List (A)" xfId="1181"/>
    <cellStyle name="subhead" xfId="1182"/>
    <cellStyle name="Subtotal" xfId="1183"/>
    <cellStyle name="Text Indent A" xfId="1184"/>
    <cellStyle name="Text Indent B" xfId="1185"/>
    <cellStyle name="Text Indent C" xfId="1186"/>
    <cellStyle name="title [1]" xfId="1187"/>
    <cellStyle name="title [2]" xfId="1188"/>
    <cellStyle name="Total" xfId="1189"/>
    <cellStyle name="UM" xfId="1190"/>
    <cellStyle name="Warning Text" xfId="2861"/>
    <cellStyle name="|?ドE" xfId="1033"/>
    <cellStyle name="강조색1" xfId="3775" builtinId="29" customBuiltin="1"/>
    <cellStyle name="강조색1 2" xfId="4158"/>
    <cellStyle name="강조색2" xfId="3779" builtinId="33" customBuiltin="1"/>
    <cellStyle name="강조색2 2" xfId="4157"/>
    <cellStyle name="강조색3" xfId="3783" builtinId="37" customBuiltin="1"/>
    <cellStyle name="강조색3 2" xfId="4156"/>
    <cellStyle name="강조색4" xfId="3787" builtinId="41" customBuiltin="1"/>
    <cellStyle name="강조색4 2" xfId="4155"/>
    <cellStyle name="강조색5" xfId="3791" builtinId="45" customBuiltin="1"/>
    <cellStyle name="강조색5 2" xfId="4154"/>
    <cellStyle name="강조색6" xfId="3795" builtinId="49" customBuiltin="1"/>
    <cellStyle name="강조색6 2" xfId="4153"/>
    <cellStyle name="경고문" xfId="3772" builtinId="11" customBuiltin="1"/>
    <cellStyle name="경고문 2" xfId="4152"/>
    <cellStyle name="계산" xfId="3769" builtinId="22" customBuiltin="1"/>
    <cellStyle name="계산 2" xfId="4151"/>
    <cellStyle name="계산 2 10" xfId="24284"/>
    <cellStyle name="계산 2 10 2" xfId="45145"/>
    <cellStyle name="계산 2 11" xfId="25480"/>
    <cellStyle name="계산 2 2" xfId="6151"/>
    <cellStyle name="계산 2 2 2" xfId="22456"/>
    <cellStyle name="계산 2 2 2 2" xfId="43331"/>
    <cellStyle name="계산 2 2 3" xfId="21282"/>
    <cellStyle name="계산 2 2 3 2" xfId="42157"/>
    <cellStyle name="계산 2 2 4" xfId="22379"/>
    <cellStyle name="계산 2 2 4 2" xfId="43254"/>
    <cellStyle name="계산 2 2 5" xfId="15160"/>
    <cellStyle name="계산 2 2 5 2" xfId="36036"/>
    <cellStyle name="계산 2 2 6" xfId="27298"/>
    <cellStyle name="계산 2 3" xfId="9109"/>
    <cellStyle name="계산 2 3 2" xfId="23269"/>
    <cellStyle name="계산 2 3 2 2" xfId="44142"/>
    <cellStyle name="계산 2 3 3" xfId="21248"/>
    <cellStyle name="계산 2 3 3 2" xfId="42123"/>
    <cellStyle name="계산 2 3 4" xfId="21101"/>
    <cellStyle name="계산 2 3 4 2" xfId="41976"/>
    <cellStyle name="계산 2 3 5" xfId="18113"/>
    <cellStyle name="계산 2 3 5 2" xfId="38989"/>
    <cellStyle name="계산 2 3 6" xfId="30251"/>
    <cellStyle name="계산 2 4" xfId="13342"/>
    <cellStyle name="계산 2 4 2" xfId="34218"/>
    <cellStyle name="계산 2 5" xfId="20863"/>
    <cellStyle name="계산 2 5 2" xfId="41739"/>
    <cellStyle name="계산 2 6" xfId="21703"/>
    <cellStyle name="계산 2 6 2" xfId="42578"/>
    <cellStyle name="계산 2 7" xfId="23254"/>
    <cellStyle name="계산 2 7 2" xfId="44127"/>
    <cellStyle name="계산 2 8" xfId="12092"/>
    <cellStyle name="계산 2 8 2" xfId="32997"/>
    <cellStyle name="계산 2 9" xfId="24219"/>
    <cellStyle name="계산 2 9 2" xfId="45087"/>
    <cellStyle name="계산 3" xfId="4150"/>
    <cellStyle name="계산 3 10" xfId="25479"/>
    <cellStyle name="계산 3 2" xfId="6150"/>
    <cellStyle name="계산 3 2 2" xfId="22455"/>
    <cellStyle name="계산 3 2 2 2" xfId="43330"/>
    <cellStyle name="계산 3 2 3" xfId="21165"/>
    <cellStyle name="계산 3 2 3 2" xfId="42040"/>
    <cellStyle name="계산 3 2 4" xfId="22662"/>
    <cellStyle name="계산 3 2 4 2" xfId="43537"/>
    <cellStyle name="계산 3 2 5" xfId="15159"/>
    <cellStyle name="계산 3 2 5 2" xfId="36035"/>
    <cellStyle name="계산 3 2 6" xfId="27297"/>
    <cellStyle name="계산 3 3" xfId="9110"/>
    <cellStyle name="계산 3 3 2" xfId="23270"/>
    <cellStyle name="계산 3 3 2 2" xfId="44143"/>
    <cellStyle name="계산 3 3 3" xfId="21133"/>
    <cellStyle name="계산 3 3 3 2" xfId="42008"/>
    <cellStyle name="계산 3 3 4" xfId="21034"/>
    <cellStyle name="계산 3 3 4 2" xfId="41909"/>
    <cellStyle name="계산 3 3 5" xfId="18114"/>
    <cellStyle name="계산 3 3 5 2" xfId="38990"/>
    <cellStyle name="계산 3 3 6" xfId="30252"/>
    <cellStyle name="계산 3 4" xfId="13341"/>
    <cellStyle name="계산 3 4 2" xfId="34217"/>
    <cellStyle name="계산 3 5" xfId="20864"/>
    <cellStyle name="계산 3 5 2" xfId="41740"/>
    <cellStyle name="계산 3 6" xfId="24027"/>
    <cellStyle name="계산 3 6 2" xfId="44899"/>
    <cellStyle name="계산 3 7" xfId="22924"/>
    <cellStyle name="계산 3 7 2" xfId="43798"/>
    <cellStyle name="계산 3 8" xfId="12093"/>
    <cellStyle name="계산 3 8 2" xfId="32998"/>
    <cellStyle name="계산 3 9" xfId="24220"/>
    <cellStyle name="계산 3 9 2" xfId="45088"/>
    <cellStyle name="고정소숫점" xfId="1007"/>
    <cellStyle name="고정출력1" xfId="1008"/>
    <cellStyle name="고정출력2" xfId="1009"/>
    <cellStyle name="나쁨" xfId="3765" builtinId="27" customBuiltin="1"/>
    <cellStyle name="나쁨 2" xfId="4149"/>
    <cellStyle name="날짜" xfId="1010"/>
    <cellStyle name="달러" xfId="1011"/>
    <cellStyle name="뒤에 오는 하이퍼링크" xfId="1012"/>
    <cellStyle name="똿뗦먛귟 [0.00]_PRODUCT DETAIL Q1" xfId="1013"/>
    <cellStyle name="똿뗦먛귟_PRODUCT DETAIL Q1" xfId="1014"/>
    <cellStyle name="메모 2" xfId="3801"/>
    <cellStyle name="메모 2 10" xfId="25363"/>
    <cellStyle name="메모 2 2" xfId="4148"/>
    <cellStyle name="메모 2 2 2" xfId="6149"/>
    <cellStyle name="메모 2 2 2 2" xfId="22454"/>
    <cellStyle name="메모 2 2 2 2 2" xfId="43329"/>
    <cellStyle name="메모 2 2 2 3" xfId="24054"/>
    <cellStyle name="메모 2 2 2 3 2" xfId="44926"/>
    <cellStyle name="메모 2 2 2 4" xfId="23398"/>
    <cellStyle name="메모 2 2 2 4 2" xfId="44270"/>
    <cellStyle name="메모 2 2 2 5" xfId="15158"/>
    <cellStyle name="메모 2 2 2 5 2" xfId="36034"/>
    <cellStyle name="메모 2 2 2 6" xfId="27296"/>
    <cellStyle name="메모 2 2 3" xfId="21878"/>
    <cellStyle name="메모 2 2 3 2" xfId="42753"/>
    <cellStyle name="메모 2 2 4" xfId="23782"/>
    <cellStyle name="메모 2 2 4 2" xfId="44654"/>
    <cellStyle name="메모 2 2 5" xfId="22018"/>
    <cellStyle name="메모 2 2 5 2" xfId="42893"/>
    <cellStyle name="메모 2 2 6" xfId="13340"/>
    <cellStyle name="메모 2 2 6 2" xfId="34216"/>
    <cellStyle name="메모 2 2 7" xfId="25478"/>
    <cellStyle name="메모 2 3" xfId="6034"/>
    <cellStyle name="메모 2 3 2" xfId="15043"/>
    <cellStyle name="메모 2 3 2 2" xfId="35919"/>
    <cellStyle name="메모 2 3 3" xfId="27181"/>
    <cellStyle name="메모 2 4" xfId="9111"/>
    <cellStyle name="메모 2 4 2" xfId="23271"/>
    <cellStyle name="메모 2 4 2 2" xfId="44144"/>
    <cellStyle name="메모 2 4 3" xfId="23163"/>
    <cellStyle name="메모 2 4 3 2" xfId="44036"/>
    <cellStyle name="메모 2 4 4" xfId="22375"/>
    <cellStyle name="메모 2 4 4 2" xfId="43250"/>
    <cellStyle name="메모 2 4 5" xfId="18115"/>
    <cellStyle name="메모 2 4 5 2" xfId="38991"/>
    <cellStyle name="메모 2 4 6" xfId="30253"/>
    <cellStyle name="메모 2 5" xfId="13224"/>
    <cellStyle name="메모 2 5 2" xfId="34101"/>
    <cellStyle name="메모 2 6" xfId="20865"/>
    <cellStyle name="메모 2 6 2" xfId="41741"/>
    <cellStyle name="메모 2 7" xfId="12094"/>
    <cellStyle name="메모 2 7 2" xfId="32999"/>
    <cellStyle name="메모 2 8" xfId="24221"/>
    <cellStyle name="메모 2 8 2" xfId="45089"/>
    <cellStyle name="메모 2 9" xfId="24285"/>
    <cellStyle name="메모 2 9 2" xfId="45146"/>
    <cellStyle name="메모 3" xfId="4147"/>
    <cellStyle name="메모 3 10" xfId="25477"/>
    <cellStyle name="메모 3 2" xfId="6148"/>
    <cellStyle name="메모 3 2 2" xfId="22453"/>
    <cellStyle name="메모 3 2 2 2" xfId="43328"/>
    <cellStyle name="메모 3 2 3" xfId="22249"/>
    <cellStyle name="메모 3 2 3 2" xfId="43124"/>
    <cellStyle name="메모 3 2 4" xfId="21597"/>
    <cellStyle name="메모 3 2 4 2" xfId="42472"/>
    <cellStyle name="메모 3 2 5" xfId="15157"/>
    <cellStyle name="메모 3 2 5 2" xfId="36033"/>
    <cellStyle name="메모 3 2 6" xfId="27295"/>
    <cellStyle name="메모 3 3" xfId="9112"/>
    <cellStyle name="메모 3 3 2" xfId="23272"/>
    <cellStyle name="메모 3 3 2 2" xfId="44145"/>
    <cellStyle name="메모 3 3 3" xfId="22150"/>
    <cellStyle name="메모 3 3 3 2" xfId="43025"/>
    <cellStyle name="메모 3 3 4" xfId="20960"/>
    <cellStyle name="메모 3 3 4 2" xfId="41835"/>
    <cellStyle name="메모 3 3 5" xfId="18116"/>
    <cellStyle name="메모 3 3 5 2" xfId="38992"/>
    <cellStyle name="메모 3 3 6" xfId="30254"/>
    <cellStyle name="메모 3 4" xfId="13339"/>
    <cellStyle name="메모 3 4 2" xfId="34215"/>
    <cellStyle name="메모 3 5" xfId="20866"/>
    <cellStyle name="메모 3 5 2" xfId="41742"/>
    <cellStyle name="메모 3 6" xfId="22773"/>
    <cellStyle name="메모 3 6 2" xfId="43648"/>
    <cellStyle name="메모 3 7" xfId="23681"/>
    <cellStyle name="메모 3 7 2" xfId="44553"/>
    <cellStyle name="메모 3 8" xfId="12095"/>
    <cellStyle name="메모 3 8 2" xfId="33000"/>
    <cellStyle name="메모 3 9" xfId="24222"/>
    <cellStyle name="메모 3 9 2" xfId="45090"/>
    <cellStyle name="믅됞 [0.00]_PRODUCT DETAIL Q1" xfId="1015"/>
    <cellStyle name="믅됞_PRODUCT DETAIL Q1" xfId="1016"/>
    <cellStyle name="백분율" xfId="1" builtinId="5"/>
    <cellStyle name="백분율 [0]" xfId="1017"/>
    <cellStyle name="백분율 [2]" xfId="1018"/>
    <cellStyle name="백분율 10" xfId="2862"/>
    <cellStyle name="백분율 10 2" xfId="9939"/>
    <cellStyle name="백분율 11" xfId="2863"/>
    <cellStyle name="백분율 11 2" xfId="9940"/>
    <cellStyle name="백분율 12" xfId="3100"/>
    <cellStyle name="백분율 12 2" xfId="9941"/>
    <cellStyle name="백분율 13" xfId="3318"/>
    <cellStyle name="백분율 13 2" xfId="9942"/>
    <cellStyle name="백분율 14" xfId="3320"/>
    <cellStyle name="백분율 14 2" xfId="9943"/>
    <cellStyle name="백분율 15" xfId="3270"/>
    <cellStyle name="백분율 15 2" xfId="9944"/>
    <cellStyle name="백분율 16" xfId="3319"/>
    <cellStyle name="백분율 16 2" xfId="9945"/>
    <cellStyle name="백분율 17" xfId="4925"/>
    <cellStyle name="백분율 17 2" xfId="9946"/>
    <cellStyle name="백분율 18" xfId="5144"/>
    <cellStyle name="백분율 18 2" xfId="9947"/>
    <cellStyle name="백분율 19" xfId="5146"/>
    <cellStyle name="백분율 19 2" xfId="9948"/>
    <cellStyle name="백분율 2" xfId="1193"/>
    <cellStyle name="백분율 2 10" xfId="4145"/>
    <cellStyle name="백분율 2 11" xfId="4144"/>
    <cellStyle name="백분율 2 12" xfId="4146"/>
    <cellStyle name="백분율 2 13" xfId="12194"/>
    <cellStyle name="백분율 2 14" xfId="24286"/>
    <cellStyle name="백분율 2 2" xfId="1194"/>
    <cellStyle name="백분율 2 2 2" xfId="4143"/>
    <cellStyle name="백분율 2 2 3" xfId="12195"/>
    <cellStyle name="백분율 2 3" xfId="2864"/>
    <cellStyle name="백분율 2 3 2" xfId="4142"/>
    <cellStyle name="백분율 2 3 3" xfId="12348"/>
    <cellStyle name="백분율 2 4" xfId="4141"/>
    <cellStyle name="백분율 2 5" xfId="4140"/>
    <cellStyle name="백분율 2 6" xfId="4139"/>
    <cellStyle name="백분율 2 7" xfId="4138"/>
    <cellStyle name="백분율 2 8" xfId="4137"/>
    <cellStyle name="백분율 2 9" xfId="4136"/>
    <cellStyle name="백분율 20" xfId="5096"/>
    <cellStyle name="백분율 20 2" xfId="24223"/>
    <cellStyle name="백분율 21" xfId="5145"/>
    <cellStyle name="백분율 21 2" xfId="24224"/>
    <cellStyle name="백분율 22" xfId="5069"/>
    <cellStyle name="백분율 23" xfId="5166"/>
    <cellStyle name="백분율 23 2" xfId="10988"/>
    <cellStyle name="백분율 24" xfId="11208"/>
    <cellStyle name="백분율 25" xfId="11209"/>
    <cellStyle name="백분율 26" xfId="11158"/>
    <cellStyle name="백분율 27" xfId="12096"/>
    <cellStyle name="백분율 28" xfId="24240"/>
    <cellStyle name="백분율 28 2" xfId="45103"/>
    <cellStyle name="백분율 29" xfId="24241"/>
    <cellStyle name="백분율 29 2" xfId="45104"/>
    <cellStyle name="백분율 3" xfId="1195"/>
    <cellStyle name="백분율 3 2" xfId="2865"/>
    <cellStyle name="백분율 3 3" xfId="24287"/>
    <cellStyle name="백분율 30" xfId="24246"/>
    <cellStyle name="백분율 30 2" xfId="45108"/>
    <cellStyle name="백분율 31" xfId="24292"/>
    <cellStyle name="백분율 31 2" xfId="45149"/>
    <cellStyle name="백분율 4" xfId="2866"/>
    <cellStyle name="백분율 4 2" xfId="3803"/>
    <cellStyle name="백분율 4 3" xfId="9949"/>
    <cellStyle name="백분율 5" xfId="2867"/>
    <cellStyle name="백분율 5 2" xfId="9950"/>
    <cellStyle name="백분율 6" xfId="2868"/>
    <cellStyle name="백분율 6 2" xfId="9951"/>
    <cellStyle name="백분율 7" xfId="2869"/>
    <cellStyle name="백분율 7 2" xfId="9952"/>
    <cellStyle name="백분율 8" xfId="2870"/>
    <cellStyle name="백분율 8 2" xfId="9953"/>
    <cellStyle name="백분율 9" xfId="2871"/>
    <cellStyle name="백분율 9 2" xfId="9954"/>
    <cellStyle name="보통" xfId="3766" builtinId="28" customBuiltin="1"/>
    <cellStyle name="보통 2" xfId="4135"/>
    <cellStyle name="뷭?_1234@PC" xfId="1019"/>
    <cellStyle name="설명 텍스트" xfId="3773" builtinId="53" customBuiltin="1"/>
    <cellStyle name="설명 텍스트 2" xfId="4134"/>
    <cellStyle name="셀 확인" xfId="3771" builtinId="23" customBuiltin="1"/>
    <cellStyle name="셀 확인 2" xfId="4133"/>
    <cellStyle name="숫자(R)" xfId="1020"/>
    <cellStyle name="쉼표 [0]" xfId="2" builtinId="6"/>
    <cellStyle name="쉼표 [0] 10" xfId="4132"/>
    <cellStyle name="쉼표 [0] 10 2" xfId="4131"/>
    <cellStyle name="쉼표 [0] 10 3" xfId="4130"/>
    <cellStyle name="쉼표 [0] 10 4" xfId="4129"/>
    <cellStyle name="쉼표 [0] 11" xfId="4128"/>
    <cellStyle name="쉼표 [0] 11 2" xfId="4127"/>
    <cellStyle name="쉼표 [0] 11 3" xfId="4126"/>
    <cellStyle name="쉼표 [0] 11 4" xfId="4125"/>
    <cellStyle name="쉼표 [0] 12" xfId="4124"/>
    <cellStyle name="쉼표 [0] 13" xfId="3847"/>
    <cellStyle name="쉼표 [0] 13 2" xfId="6074"/>
    <cellStyle name="쉼표 [0] 13 2 2" xfId="9956"/>
    <cellStyle name="쉼표 [0] 13 2 3" xfId="15083"/>
    <cellStyle name="쉼표 [0] 13 2 3 2" xfId="35959"/>
    <cellStyle name="쉼표 [0] 13 2 4" xfId="27221"/>
    <cellStyle name="쉼표 [0] 13 3" xfId="9203"/>
    <cellStyle name="쉼표 [0] 13 3 2" xfId="9957"/>
    <cellStyle name="쉼표 [0] 13 3 3" xfId="18207"/>
    <cellStyle name="쉼표 [0] 13 3 3 2" xfId="39083"/>
    <cellStyle name="쉼표 [0] 13 3 4" xfId="30345"/>
    <cellStyle name="쉼표 [0] 13 4" xfId="9276"/>
    <cellStyle name="쉼표 [0] 13 4 2" xfId="18275"/>
    <cellStyle name="쉼표 [0] 13 4 2 2" xfId="39151"/>
    <cellStyle name="쉼표 [0] 13 4 3" xfId="30413"/>
    <cellStyle name="쉼표 [0] 13 5" xfId="9955"/>
    <cellStyle name="쉼표 [0] 13 6" xfId="13265"/>
    <cellStyle name="쉼표 [0] 13 6 2" xfId="34141"/>
    <cellStyle name="쉼표 [0] 13 7" xfId="12099"/>
    <cellStyle name="쉼표 [0] 13 8" xfId="25403"/>
    <cellStyle name="쉼표 [0] 14" xfId="5148"/>
    <cellStyle name="쉼표 [0] 14 2" xfId="9958"/>
    <cellStyle name="쉼표 [0] 14 3" xfId="14161"/>
    <cellStyle name="쉼표 [0] 14 3 2" xfId="35037"/>
    <cellStyle name="쉼표 [0] 14 4" xfId="26299"/>
    <cellStyle name="쉼표 [0] 15" xfId="5167"/>
    <cellStyle name="쉼표 [0] 15 2" xfId="24225"/>
    <cellStyle name="쉼표 [0] 16" xfId="10160"/>
    <cellStyle name="쉼표 [0] 17" xfId="12073"/>
    <cellStyle name="쉼표 [0] 17 2" xfId="20839"/>
    <cellStyle name="쉼표 [0] 17 2 2" xfId="41715"/>
    <cellStyle name="쉼표 [0] 17 3" xfId="32979"/>
    <cellStyle name="쉼표 [0] 18" xfId="12098"/>
    <cellStyle name="쉼표 [0] 18 2" xfId="24247"/>
    <cellStyle name="쉼표 [0] 19" xfId="24235"/>
    <cellStyle name="쉼표 [0] 19 2" xfId="45098"/>
    <cellStyle name="쉼표 [0] 2" xfId="6"/>
    <cellStyle name="쉼표 [0] 2 10" xfId="2873"/>
    <cellStyle name="쉼표 [0] 2 10 2" xfId="4123"/>
    <cellStyle name="쉼표 [0] 2 10 3" xfId="12350"/>
    <cellStyle name="쉼표 [0] 2 11" xfId="2872"/>
    <cellStyle name="쉼표 [0] 2 11 2" xfId="4122"/>
    <cellStyle name="쉼표 [0] 2 11 3" xfId="12349"/>
    <cellStyle name="쉼표 [0] 2 12" xfId="4922"/>
    <cellStyle name="쉼표 [0] 2 13" xfId="9959"/>
    <cellStyle name="쉼표 [0] 2 14" xfId="12182"/>
    <cellStyle name="쉼표 [0] 2 15" xfId="24288"/>
    <cellStyle name="쉼표 [0] 2 2" xfId="1192"/>
    <cellStyle name="쉼표 [0] 2 2 10" xfId="4120"/>
    <cellStyle name="쉼표 [0] 2 2 11" xfId="4119"/>
    <cellStyle name="쉼표 [0] 2 2 12" xfId="4118"/>
    <cellStyle name="쉼표 [0] 2 2 13" xfId="4117"/>
    <cellStyle name="쉼표 [0] 2 2 14" xfId="4116"/>
    <cellStyle name="쉼표 [0] 2 2 15" xfId="4115"/>
    <cellStyle name="쉼표 [0] 2 2 15 2" xfId="4114"/>
    <cellStyle name="쉼표 [0] 2 2 15 3" xfId="4113"/>
    <cellStyle name="쉼표 [0] 2 2 15 4" xfId="4112"/>
    <cellStyle name="쉼표 [0] 2 2 15 5" xfId="4111"/>
    <cellStyle name="쉼표 [0] 2 2 15 6" xfId="4110"/>
    <cellStyle name="쉼표 [0] 2 2 15 7" xfId="4109"/>
    <cellStyle name="쉼표 [0] 2 2 16" xfId="4108"/>
    <cellStyle name="쉼표 [0] 2 2 17" xfId="4107"/>
    <cellStyle name="쉼표 [0] 2 2 18" xfId="4106"/>
    <cellStyle name="쉼표 [0] 2 2 19" xfId="4105"/>
    <cellStyle name="쉼표 [0] 2 2 2" xfId="2874"/>
    <cellStyle name="쉼표 [0] 2 2 2 10" xfId="4103"/>
    <cellStyle name="쉼표 [0] 2 2 2 11" xfId="4102"/>
    <cellStyle name="쉼표 [0] 2 2 2 12" xfId="4101"/>
    <cellStyle name="쉼표 [0] 2 2 2 13" xfId="4100"/>
    <cellStyle name="쉼표 [0] 2 2 2 14" xfId="4099"/>
    <cellStyle name="쉼표 [0] 2 2 2 15" xfId="4098"/>
    <cellStyle name="쉼표 [0] 2 2 2 16" xfId="4104"/>
    <cellStyle name="쉼표 [0] 2 2 2 17" xfId="12351"/>
    <cellStyle name="쉼표 [0] 2 2 2 2" xfId="4097"/>
    <cellStyle name="쉼표 [0] 2 2 2 2 2" xfId="4096"/>
    <cellStyle name="쉼표 [0] 2 2 2 2 2 2" xfId="4095"/>
    <cellStyle name="쉼표 [0] 2 2 2 2 2 3" xfId="4094"/>
    <cellStyle name="쉼표 [0] 2 2 2 2 2 4" xfId="4093"/>
    <cellStyle name="쉼표 [0] 2 2 2 2 2 5" xfId="4092"/>
    <cellStyle name="쉼표 [0] 2 2 2 2 2 6" xfId="4091"/>
    <cellStyle name="쉼표 [0] 2 2 2 2 2 7" xfId="4090"/>
    <cellStyle name="쉼표 [0] 2 2 2 2 3" xfId="4089"/>
    <cellStyle name="쉼표 [0] 2 2 2 2 4" xfId="4088"/>
    <cellStyle name="쉼표 [0] 2 2 2 2 5" xfId="4087"/>
    <cellStyle name="쉼표 [0] 2 2 2 2 6" xfId="4086"/>
    <cellStyle name="쉼표 [0] 2 2 2 2 7" xfId="4085"/>
    <cellStyle name="쉼표 [0] 2 2 2 2 8" xfId="4084"/>
    <cellStyle name="쉼표 [0] 2 2 2 2 9" xfId="4083"/>
    <cellStyle name="쉼표 [0] 2 2 2 3" xfId="4082"/>
    <cellStyle name="쉼표 [0] 2 2 2 4" xfId="4081"/>
    <cellStyle name="쉼표 [0] 2 2 2 5" xfId="4080"/>
    <cellStyle name="쉼표 [0] 2 2 2 6" xfId="4079"/>
    <cellStyle name="쉼표 [0] 2 2 2 7" xfId="4078"/>
    <cellStyle name="쉼표 [0] 2 2 2 8" xfId="4077"/>
    <cellStyle name="쉼표 [0] 2 2 2 9" xfId="4076"/>
    <cellStyle name="쉼표 [0] 2 2 2 9 2" xfId="4075"/>
    <cellStyle name="쉼표 [0] 2 2 2 9 3" xfId="4074"/>
    <cellStyle name="쉼표 [0] 2 2 2 9 4" xfId="4073"/>
    <cellStyle name="쉼표 [0] 2 2 2 9 5" xfId="4072"/>
    <cellStyle name="쉼표 [0] 2 2 2 9 6" xfId="4071"/>
    <cellStyle name="쉼표 [0] 2 2 2 9 7" xfId="4070"/>
    <cellStyle name="쉼표 [0] 2 2 20" xfId="4069"/>
    <cellStyle name="쉼표 [0] 2 2 21" xfId="4068"/>
    <cellStyle name="쉼표 [0] 2 2 22" xfId="4121"/>
    <cellStyle name="쉼표 [0] 2 2 23" xfId="12193"/>
    <cellStyle name="쉼표 [0] 2 2 3" xfId="4067"/>
    <cellStyle name="쉼표 [0] 2 2 4" xfId="4066"/>
    <cellStyle name="쉼표 [0] 2 2 5" xfId="4065"/>
    <cellStyle name="쉼표 [0] 2 2 6" xfId="4064"/>
    <cellStyle name="쉼표 [0] 2 2 7" xfId="4063"/>
    <cellStyle name="쉼표 [0] 2 2 8" xfId="4062"/>
    <cellStyle name="쉼표 [0] 2 2 9" xfId="4061"/>
    <cellStyle name="쉼표 [0] 2 2 9 2" xfId="4060"/>
    <cellStyle name="쉼표 [0] 2 2 9 2 2" xfId="4059"/>
    <cellStyle name="쉼표 [0] 2 2 9 2 3" xfId="4058"/>
    <cellStyle name="쉼표 [0] 2 2 9 2 4" xfId="4057"/>
    <cellStyle name="쉼표 [0] 2 2 9 2 5" xfId="4056"/>
    <cellStyle name="쉼표 [0] 2 2 9 2 6" xfId="4055"/>
    <cellStyle name="쉼표 [0] 2 2 9 2 7" xfId="4054"/>
    <cellStyle name="쉼표 [0] 2 2 9 3" xfId="4053"/>
    <cellStyle name="쉼표 [0] 2 2 9 4" xfId="4052"/>
    <cellStyle name="쉼표 [0] 2 2 9 5" xfId="4051"/>
    <cellStyle name="쉼표 [0] 2 2 9 6" xfId="4050"/>
    <cellStyle name="쉼표 [0] 2 2 9 7" xfId="4049"/>
    <cellStyle name="쉼표 [0] 2 2 9 8" xfId="4048"/>
    <cellStyle name="쉼표 [0] 2 2 9 9" xfId="4047"/>
    <cellStyle name="쉼표 [0] 2 3" xfId="1196"/>
    <cellStyle name="쉼표 [0] 2 3 2" xfId="2875"/>
    <cellStyle name="쉼표 [0] 2 3 3" xfId="4046"/>
    <cellStyle name="쉼표 [0] 2 3 4" xfId="12196"/>
    <cellStyle name="쉼표 [0] 2 4" xfId="2876"/>
    <cellStyle name="쉼표 [0] 2 4 2" xfId="4045"/>
    <cellStyle name="쉼표 [0] 2 4 3" xfId="12352"/>
    <cellStyle name="쉼표 [0] 2 5" xfId="2877"/>
    <cellStyle name="쉼표 [0] 2 5 2" xfId="4044"/>
    <cellStyle name="쉼표 [0] 2 5 3" xfId="12353"/>
    <cellStyle name="쉼표 [0] 2 6" xfId="2878"/>
    <cellStyle name="쉼표 [0] 2 6 2" xfId="4043"/>
    <cellStyle name="쉼표 [0] 2 6 3" xfId="12354"/>
    <cellStyle name="쉼표 [0] 2 7" xfId="2879"/>
    <cellStyle name="쉼표 [0] 2 7 2" xfId="4042"/>
    <cellStyle name="쉼표 [0] 2 7 3" xfId="12355"/>
    <cellStyle name="쉼표 [0] 2 8" xfId="2880"/>
    <cellStyle name="쉼표 [0] 2 8 2" xfId="4041"/>
    <cellStyle name="쉼표 [0] 2 8 3" xfId="12356"/>
    <cellStyle name="쉼표 [0] 2 9" xfId="2881"/>
    <cellStyle name="쉼표 [0] 2 9 2" xfId="4040"/>
    <cellStyle name="쉼표 [0] 2 9 3" xfId="12357"/>
    <cellStyle name="쉼표 [0] 20" xfId="24238"/>
    <cellStyle name="쉼표 [0] 20 2" xfId="45101"/>
    <cellStyle name="쉼표 [0] 21" xfId="24244"/>
    <cellStyle name="쉼표 [0] 21 2" xfId="45106"/>
    <cellStyle name="쉼표 [0] 3" xfId="2882"/>
    <cellStyle name="쉼표 [0] 3 10" xfId="4039"/>
    <cellStyle name="쉼표 [0] 3 11" xfId="4038"/>
    <cellStyle name="쉼표 [0] 3 12" xfId="4037"/>
    <cellStyle name="쉼표 [0] 3 13" xfId="4036"/>
    <cellStyle name="쉼표 [0] 3 14" xfId="4035"/>
    <cellStyle name="쉼표 [0] 3 15" xfId="4491"/>
    <cellStyle name="쉼표 [0] 3 15 2" xfId="9960"/>
    <cellStyle name="쉼표 [0] 3 16" xfId="12358"/>
    <cellStyle name="쉼표 [0] 3 17" xfId="24179"/>
    <cellStyle name="쉼표 [0] 3 18" xfId="24289"/>
    <cellStyle name="쉼표 [0] 3 2" xfId="3101"/>
    <cellStyle name="쉼표 [0] 3 2 10" xfId="10554"/>
    <cellStyle name="쉼표 [0] 3 2 10 2" xfId="19325"/>
    <cellStyle name="쉼표 [0] 3 2 10 2 2" xfId="40201"/>
    <cellStyle name="쉼표 [0] 3 2 10 3" xfId="31465"/>
    <cellStyle name="쉼표 [0] 3 2 11" xfId="11420"/>
    <cellStyle name="쉼표 [0] 3 2 11 2" xfId="20186"/>
    <cellStyle name="쉼표 [0] 3 2 11 2 2" xfId="41062"/>
    <cellStyle name="쉼표 [0] 3 2 11 3" xfId="32326"/>
    <cellStyle name="쉼표 [0] 3 2 12" xfId="12569"/>
    <cellStyle name="쉼표 [0] 3 2 12 2" xfId="33446"/>
    <cellStyle name="쉼표 [0] 3 2 13" xfId="24696"/>
    <cellStyle name="쉼표 [0] 3 2 2" xfId="3543"/>
    <cellStyle name="쉼표 [0] 3 2 2 2" xfId="5816"/>
    <cellStyle name="쉼표 [0] 3 2 2 2 2" xfId="14825"/>
    <cellStyle name="쉼표 [0] 3 2 2 2 2 2" xfId="35701"/>
    <cellStyle name="쉼표 [0] 3 2 2 2 3" xfId="26963"/>
    <cellStyle name="쉼표 [0] 3 2 2 3" xfId="13006"/>
    <cellStyle name="쉼표 [0] 3 2 2 3 2" xfId="33883"/>
    <cellStyle name="쉼표 [0] 3 2 2 4" xfId="25133"/>
    <cellStyle name="쉼표 [0] 3 2 3" xfId="4704"/>
    <cellStyle name="쉼표 [0] 3 2 3 2" xfId="6536"/>
    <cellStyle name="쉼표 [0] 3 2 3 2 2" xfId="15545"/>
    <cellStyle name="쉼표 [0] 3 2 3 2 2 2" xfId="36421"/>
    <cellStyle name="쉼표 [0] 3 2 3 2 3" xfId="27683"/>
    <cellStyle name="쉼표 [0] 3 2 3 3" xfId="13727"/>
    <cellStyle name="쉼표 [0] 3 2 3 3 2" xfId="34603"/>
    <cellStyle name="쉼표 [0] 3 2 3 4" xfId="25865"/>
    <cellStyle name="쉼표 [0] 3 2 4" xfId="4034"/>
    <cellStyle name="쉼표 [0] 3 2 5" xfId="5379"/>
    <cellStyle name="쉼표 [0] 3 2 5 2" xfId="14388"/>
    <cellStyle name="쉼표 [0] 3 2 5 2 2" xfId="35264"/>
    <cellStyle name="쉼표 [0] 3 2 5 3" xfId="26526"/>
    <cellStyle name="쉼표 [0] 3 2 6" xfId="7182"/>
    <cellStyle name="쉼표 [0] 3 2 6 2" xfId="16189"/>
    <cellStyle name="쉼표 [0] 3 2 6 2 2" xfId="37065"/>
    <cellStyle name="쉼표 [0] 3 2 6 3" xfId="28327"/>
    <cellStyle name="쉼표 [0] 3 2 7" xfId="7826"/>
    <cellStyle name="쉼표 [0] 3 2 7 2" xfId="16832"/>
    <cellStyle name="쉼표 [0] 3 2 7 2 2" xfId="37708"/>
    <cellStyle name="쉼표 [0] 3 2 7 3" xfId="28970"/>
    <cellStyle name="쉼표 [0] 3 2 8" xfId="8674"/>
    <cellStyle name="쉼표 [0] 3 2 8 2" xfId="17679"/>
    <cellStyle name="쉼표 [0] 3 2 8 2 2" xfId="38555"/>
    <cellStyle name="쉼표 [0] 3 2 8 3" xfId="29817"/>
    <cellStyle name="쉼표 [0] 3 2 9" xfId="9499"/>
    <cellStyle name="쉼표 [0] 3 2 9 2" xfId="18497"/>
    <cellStyle name="쉼표 [0] 3 2 9 2 2" xfId="39373"/>
    <cellStyle name="쉼표 [0] 3 2 9 3" xfId="30635"/>
    <cellStyle name="쉼표 [0] 3 3" xfId="3805"/>
    <cellStyle name="쉼표 [0] 3 3 10" xfId="13225"/>
    <cellStyle name="쉼표 [0] 3 3 2" xfId="4926"/>
    <cellStyle name="쉼표 [0] 3 3 2 2" xfId="6753"/>
    <cellStyle name="쉼표 [0] 3 3 2 2 2" xfId="15762"/>
    <cellStyle name="쉼표 [0] 3 3 2 2 2 2" xfId="36638"/>
    <cellStyle name="쉼표 [0] 3 3 2 2 3" xfId="27900"/>
    <cellStyle name="쉼표 [0] 3 3 2 3" xfId="13944"/>
    <cellStyle name="쉼표 [0] 3 3 2 3 2" xfId="34820"/>
    <cellStyle name="쉼표 [0] 3 3 2 4" xfId="26082"/>
    <cellStyle name="쉼표 [0] 3 3 3" xfId="4033"/>
    <cellStyle name="쉼표 [0] 3 3 4" xfId="7399"/>
    <cellStyle name="쉼표 [0] 3 3 4 2" xfId="16406"/>
    <cellStyle name="쉼표 [0] 3 3 4 2 2" xfId="37282"/>
    <cellStyle name="쉼표 [0] 3 3 4 3" xfId="28544"/>
    <cellStyle name="쉼표 [0] 3 3 5" xfId="8043"/>
    <cellStyle name="쉼표 [0] 3 3 5 2" xfId="17049"/>
    <cellStyle name="쉼표 [0] 3 3 5 2 2" xfId="37925"/>
    <cellStyle name="쉼표 [0] 3 3 5 3" xfId="29187"/>
    <cellStyle name="쉼표 [0] 3 3 6" xfId="8891"/>
    <cellStyle name="쉼표 [0] 3 3 6 2" xfId="17896"/>
    <cellStyle name="쉼표 [0] 3 3 6 2 2" xfId="38772"/>
    <cellStyle name="쉼표 [0] 3 3 6 3" xfId="30034"/>
    <cellStyle name="쉼표 [0] 3 3 7" xfId="9716"/>
    <cellStyle name="쉼표 [0] 3 3 7 2" xfId="18714"/>
    <cellStyle name="쉼표 [0] 3 3 7 2 2" xfId="39590"/>
    <cellStyle name="쉼표 [0] 3 3 7 3" xfId="30852"/>
    <cellStyle name="쉼표 [0] 3 3 8" xfId="10771"/>
    <cellStyle name="쉼표 [0] 3 3 8 2" xfId="19542"/>
    <cellStyle name="쉼표 [0] 3 3 8 2 2" xfId="40418"/>
    <cellStyle name="쉼표 [0] 3 3 8 3" xfId="31682"/>
    <cellStyle name="쉼표 [0] 3 3 9" xfId="11637"/>
    <cellStyle name="쉼표 [0] 3 3 9 2" xfId="20403"/>
    <cellStyle name="쉼표 [0] 3 3 9 2 2" xfId="41279"/>
    <cellStyle name="쉼표 [0] 3 3 9 3" xfId="32543"/>
    <cellStyle name="쉼표 [0] 3 4" xfId="4032"/>
    <cellStyle name="쉼표 [0] 3 4 2" xfId="10989"/>
    <cellStyle name="쉼표 [0] 3 4 2 2" xfId="19759"/>
    <cellStyle name="쉼표 [0] 3 4 2 2 2" xfId="40635"/>
    <cellStyle name="쉼표 [0] 3 4 2 3" xfId="31899"/>
    <cellStyle name="쉼표 [0] 3 4 3" xfId="11854"/>
    <cellStyle name="쉼표 [0] 3 4 3 2" xfId="20620"/>
    <cellStyle name="쉼표 [0] 3 4 3 2 2" xfId="41496"/>
    <cellStyle name="쉼표 [0] 3 4 3 3" xfId="32760"/>
    <cellStyle name="쉼표 [0] 3 5" xfId="4031"/>
    <cellStyle name="쉼표 [0] 3 6" xfId="4030"/>
    <cellStyle name="쉼표 [0] 3 7" xfId="4029"/>
    <cellStyle name="쉼표 [0] 3 8" xfId="4028"/>
    <cellStyle name="쉼표 [0] 3 9" xfId="4027"/>
    <cellStyle name="쉼표 [0] 4" xfId="1201"/>
    <cellStyle name="쉼표 [0] 4 2" xfId="4488"/>
    <cellStyle name="쉼표 [0] 4 2 2" xfId="9961"/>
    <cellStyle name="쉼표 [0] 4 3" xfId="12200"/>
    <cellStyle name="쉼표 [0] 5" xfId="3800"/>
    <cellStyle name="쉼표 [0] 5 2" xfId="4026"/>
    <cellStyle name="쉼표 [0] 5 2 2" xfId="9962"/>
    <cellStyle name="쉼표 [0] 5 3" xfId="6033"/>
    <cellStyle name="쉼표 [0] 5 3 2" xfId="15042"/>
    <cellStyle name="쉼표 [0] 5 3 2 2" xfId="35918"/>
    <cellStyle name="쉼표 [0] 5 3 3" xfId="27180"/>
    <cellStyle name="쉼표 [0] 5 4" xfId="13223"/>
    <cellStyle name="쉼표 [0] 5 4 2" xfId="34100"/>
    <cellStyle name="쉼표 [0] 5 5" xfId="25362"/>
    <cellStyle name="쉼표 [0] 6" xfId="4025"/>
    <cellStyle name="쉼표 [0] 6 2" xfId="9963"/>
    <cellStyle name="쉼표 [0] 7" xfId="4024"/>
    <cellStyle name="쉼표 [0] 7 2" xfId="4023"/>
    <cellStyle name="쉼표 [0] 7 3" xfId="4022"/>
    <cellStyle name="쉼표 [0] 7 4" xfId="4021"/>
    <cellStyle name="쉼표 [0] 7 5" xfId="9964"/>
    <cellStyle name="쉼표 [0] 8" xfId="4020"/>
    <cellStyle name="쉼표 [0] 8 2" xfId="4019"/>
    <cellStyle name="쉼표 [0] 8 3" xfId="4018"/>
    <cellStyle name="쉼표 [0] 8 4" xfId="4017"/>
    <cellStyle name="쉼표 [0] 9" xfId="4016"/>
    <cellStyle name="쉼표 [0] 9 2" xfId="4015"/>
    <cellStyle name="쉼표 [0] 9 3" xfId="4014"/>
    <cellStyle name="쉼표 [0] 9 4" xfId="4013"/>
    <cellStyle name="쉼표 2" xfId="22859"/>
    <cellStyle name="쉼표 3" xfId="22948"/>
    <cellStyle name="쉼표 4" xfId="12097"/>
    <cellStyle name="스타일 1" xfId="1021"/>
    <cellStyle name="스타일 1 2" xfId="2883"/>
    <cellStyle name="스타일 1 3" xfId="4012"/>
    <cellStyle name="스타일 1 4" xfId="4011"/>
    <cellStyle name="스타일 1 5" xfId="4010"/>
    <cellStyle name="연결된 셀" xfId="3770" builtinId="24" customBuiltin="1"/>
    <cellStyle name="연결된 셀 2" xfId="4009"/>
    <cellStyle name="요약" xfId="3774" builtinId="25" customBuiltin="1"/>
    <cellStyle name="요약 2" xfId="4008"/>
    <cellStyle name="요약 2 10" xfId="25476"/>
    <cellStyle name="요약 2 2" xfId="6147"/>
    <cellStyle name="요약 2 2 2" xfId="22452"/>
    <cellStyle name="요약 2 2 2 2" xfId="43327"/>
    <cellStyle name="요약 2 2 3" xfId="22768"/>
    <cellStyle name="요약 2 2 3 2" xfId="43643"/>
    <cellStyle name="요약 2 2 4" xfId="23220"/>
    <cellStyle name="요약 2 2 4 2" xfId="44093"/>
    <cellStyle name="요약 2 2 5" xfId="15156"/>
    <cellStyle name="요약 2 2 5 2" xfId="36032"/>
    <cellStyle name="요약 2 2 6" xfId="27294"/>
    <cellStyle name="요약 2 3" xfId="13338"/>
    <cellStyle name="요약 2 3 2" xfId="34214"/>
    <cellStyle name="요약 2 4" xfId="20867"/>
    <cellStyle name="요약 2 4 2" xfId="41743"/>
    <cellStyle name="요약 2 5" xfId="23738"/>
    <cellStyle name="요약 2 5 2" xfId="44610"/>
    <cellStyle name="요약 2 6" xfId="22637"/>
    <cellStyle name="요약 2 6 2" xfId="43512"/>
    <cellStyle name="요약 2 7" xfId="12100"/>
    <cellStyle name="요약 2 7 2" xfId="33001"/>
    <cellStyle name="요약 2 8" xfId="24226"/>
    <cellStyle name="요약 2 8 2" xfId="45091"/>
    <cellStyle name="요약 2 9" xfId="24290"/>
    <cellStyle name="요약 2 9 2" xfId="45147"/>
    <cellStyle name="요약 3" xfId="4007"/>
    <cellStyle name="요약 3 2" xfId="6146"/>
    <cellStyle name="요약 3 2 2" xfId="22451"/>
    <cellStyle name="요약 3 2 2 2" xfId="43326"/>
    <cellStyle name="요약 3 2 3" xfId="23933"/>
    <cellStyle name="요약 3 2 3 2" xfId="44805"/>
    <cellStyle name="요약 3 2 4" xfId="22723"/>
    <cellStyle name="요약 3 2 4 2" xfId="43598"/>
    <cellStyle name="요약 3 2 5" xfId="15155"/>
    <cellStyle name="요약 3 2 5 2" xfId="36031"/>
    <cellStyle name="요약 3 2 6" xfId="27293"/>
    <cellStyle name="요약 3 3" xfId="13337"/>
    <cellStyle name="요약 3 3 2" xfId="34213"/>
    <cellStyle name="요약 3 4" xfId="20868"/>
    <cellStyle name="요약 3 4 2" xfId="41744"/>
    <cellStyle name="요약 3 5" xfId="21861"/>
    <cellStyle name="요약 3 5 2" xfId="42736"/>
    <cellStyle name="요약 3 6" xfId="22891"/>
    <cellStyle name="요약 3 6 2" xfId="43765"/>
    <cellStyle name="요약 3 7" xfId="12101"/>
    <cellStyle name="요약 3 7 2" xfId="33002"/>
    <cellStyle name="요약 3 8" xfId="24227"/>
    <cellStyle name="요약 3 8 2" xfId="45092"/>
    <cellStyle name="요약 3 9" xfId="25475"/>
    <cellStyle name="입력" xfId="3767" builtinId="20" customBuiltin="1"/>
    <cellStyle name="입력 2" xfId="4006"/>
    <cellStyle name="입력 2 10" xfId="24291"/>
    <cellStyle name="입력 2 10 2" xfId="45148"/>
    <cellStyle name="입력 2 11" xfId="25474"/>
    <cellStyle name="입력 2 2" xfId="6145"/>
    <cellStyle name="입력 2 2 2" xfId="22450"/>
    <cellStyle name="입력 2 2 2 2" xfId="43325"/>
    <cellStyle name="입력 2 2 3" xfId="24098"/>
    <cellStyle name="입력 2 2 3 2" xfId="44969"/>
    <cellStyle name="입력 2 2 4" xfId="21721"/>
    <cellStyle name="입력 2 2 4 2" xfId="42596"/>
    <cellStyle name="입력 2 2 5" xfId="15154"/>
    <cellStyle name="입력 2 2 5 2" xfId="36030"/>
    <cellStyle name="입력 2 2 6" xfId="27292"/>
    <cellStyle name="입력 2 3" xfId="9113"/>
    <cellStyle name="입력 2 3 2" xfId="23273"/>
    <cellStyle name="입력 2 3 2 2" xfId="44146"/>
    <cellStyle name="입력 2 3 3" xfId="23387"/>
    <cellStyle name="입력 2 3 3 2" xfId="44259"/>
    <cellStyle name="입력 2 3 4" xfId="24001"/>
    <cellStyle name="입력 2 3 4 2" xfId="44873"/>
    <cellStyle name="입력 2 3 5" xfId="18117"/>
    <cellStyle name="입력 2 3 5 2" xfId="38993"/>
    <cellStyle name="입력 2 3 6" xfId="30255"/>
    <cellStyle name="입력 2 4" xfId="13336"/>
    <cellStyle name="입력 2 4 2" xfId="34212"/>
    <cellStyle name="입력 2 5" xfId="20869"/>
    <cellStyle name="입력 2 5 2" xfId="41745"/>
    <cellStyle name="입력 2 6" xfId="21087"/>
    <cellStyle name="입력 2 6 2" xfId="41962"/>
    <cellStyle name="입력 2 7" xfId="22738"/>
    <cellStyle name="입력 2 7 2" xfId="43613"/>
    <cellStyle name="입력 2 8" xfId="12102"/>
    <cellStyle name="입력 2 8 2" xfId="33003"/>
    <cellStyle name="입력 2 9" xfId="24228"/>
    <cellStyle name="입력 2 9 2" xfId="45093"/>
    <cellStyle name="입력 3" xfId="4005"/>
    <cellStyle name="입력 3 10" xfId="25473"/>
    <cellStyle name="입력 3 2" xfId="6144"/>
    <cellStyle name="입력 3 2 2" xfId="22449"/>
    <cellStyle name="입력 3 2 2 2" xfId="43324"/>
    <cellStyle name="입력 3 2 3" xfId="21835"/>
    <cellStyle name="입력 3 2 3 2" xfId="42710"/>
    <cellStyle name="입력 3 2 4" xfId="22893"/>
    <cellStyle name="입력 3 2 4 2" xfId="43767"/>
    <cellStyle name="입력 3 2 5" xfId="15153"/>
    <cellStyle name="입력 3 2 5 2" xfId="36029"/>
    <cellStyle name="입력 3 2 6" xfId="27291"/>
    <cellStyle name="입력 3 3" xfId="9114"/>
    <cellStyle name="입력 3 3 2" xfId="23274"/>
    <cellStyle name="입력 3 3 2 2" xfId="44147"/>
    <cellStyle name="입력 3 3 3" xfId="21249"/>
    <cellStyle name="입력 3 3 3 2" xfId="42124"/>
    <cellStyle name="입력 3 3 4" xfId="23754"/>
    <cellStyle name="입력 3 3 4 2" xfId="44626"/>
    <cellStyle name="입력 3 3 5" xfId="18118"/>
    <cellStyle name="입력 3 3 5 2" xfId="38994"/>
    <cellStyle name="입력 3 3 6" xfId="30256"/>
    <cellStyle name="입력 3 4" xfId="13335"/>
    <cellStyle name="입력 3 4 2" xfId="34211"/>
    <cellStyle name="입력 3 5" xfId="20870"/>
    <cellStyle name="입력 3 5 2" xfId="41746"/>
    <cellStyle name="입력 3 6" xfId="21021"/>
    <cellStyle name="입력 3 6 2" xfId="41896"/>
    <cellStyle name="입력 3 7" xfId="22264"/>
    <cellStyle name="입력 3 7 2" xfId="43139"/>
    <cellStyle name="입력 3 8" xfId="12103"/>
    <cellStyle name="입력 3 8 2" xfId="33004"/>
    <cellStyle name="입력 3 9" xfId="24229"/>
    <cellStyle name="입력 3 9 2" xfId="45094"/>
    <cellStyle name="자리수" xfId="1022"/>
    <cellStyle name="자리수0" xfId="1023"/>
    <cellStyle name="제목" xfId="3759" builtinId="15" customBuiltin="1"/>
    <cellStyle name="제목 1" xfId="3760" builtinId="16" customBuiltin="1"/>
    <cellStyle name="제목 1 2" xfId="4004"/>
    <cellStyle name="제목 2" xfId="3761" builtinId="17" customBuiltin="1"/>
    <cellStyle name="제목 2 2" xfId="4003"/>
    <cellStyle name="제목 3" xfId="3762" builtinId="18" customBuiltin="1"/>
    <cellStyle name="제목 3 2" xfId="4002"/>
    <cellStyle name="제목 4" xfId="3763" builtinId="19" customBuiltin="1"/>
    <cellStyle name="제목 4 2" xfId="4001"/>
    <cellStyle name="제목 5" xfId="4000"/>
    <cellStyle name="좋음" xfId="3764" builtinId="26" customBuiltin="1"/>
    <cellStyle name="좋음 2" xfId="3999"/>
    <cellStyle name="지정되지 않음" xfId="1024"/>
    <cellStyle name="출력" xfId="3768" builtinId="21" customBuiltin="1"/>
    <cellStyle name="출력 2" xfId="3998"/>
    <cellStyle name="출력 2 10" xfId="25472"/>
    <cellStyle name="출력 2 2" xfId="6143"/>
    <cellStyle name="출력 2 2 2" xfId="22448"/>
    <cellStyle name="출력 2 2 2 2" xfId="43323"/>
    <cellStyle name="출력 2 2 3" xfId="23668"/>
    <cellStyle name="출력 2 2 3 2" xfId="44540"/>
    <cellStyle name="출력 2 2 4" xfId="24011"/>
    <cellStyle name="출력 2 2 4 2" xfId="44883"/>
    <cellStyle name="출력 2 2 5" xfId="15152"/>
    <cellStyle name="출력 2 2 5 2" xfId="36028"/>
    <cellStyle name="출력 2 2 6" xfId="27290"/>
    <cellStyle name="출력 2 3" xfId="13334"/>
    <cellStyle name="출력 2 3 2" xfId="34210"/>
    <cellStyle name="출력 2 4" xfId="20871"/>
    <cellStyle name="출력 2 4 2" xfId="41747"/>
    <cellStyle name="출력 2 5" xfId="22393"/>
    <cellStyle name="출력 2 5 2" xfId="43268"/>
    <cellStyle name="출력 2 6" xfId="23251"/>
    <cellStyle name="출력 2 6 2" xfId="44124"/>
    <cellStyle name="출력 2 7" xfId="12104"/>
    <cellStyle name="출력 2 7 2" xfId="33005"/>
    <cellStyle name="출력 2 8" xfId="24230"/>
    <cellStyle name="출력 2 8 2" xfId="45095"/>
    <cellStyle name="출력 2 9" xfId="24293"/>
    <cellStyle name="출력 2 9 2" xfId="45150"/>
    <cellStyle name="출력 3" xfId="3997"/>
    <cellStyle name="출력 3 2" xfId="6142"/>
    <cellStyle name="출력 3 2 2" xfId="22447"/>
    <cellStyle name="출력 3 2 2 2" xfId="43322"/>
    <cellStyle name="출력 3 2 3" xfId="23852"/>
    <cellStyle name="출력 3 2 3 2" xfId="44724"/>
    <cellStyle name="출력 3 2 4" xfId="21195"/>
    <cellStyle name="출력 3 2 4 2" xfId="42070"/>
    <cellStyle name="출력 3 2 5" xfId="15151"/>
    <cellStyle name="출력 3 2 5 2" xfId="36027"/>
    <cellStyle name="출력 3 2 6" xfId="27289"/>
    <cellStyle name="출력 3 3" xfId="13333"/>
    <cellStyle name="출력 3 3 2" xfId="34209"/>
    <cellStyle name="출력 3 4" xfId="20872"/>
    <cellStyle name="출력 3 4 2" xfId="41748"/>
    <cellStyle name="출력 3 5" xfId="21067"/>
    <cellStyle name="출력 3 5 2" xfId="41942"/>
    <cellStyle name="출력 3 6" xfId="21129"/>
    <cellStyle name="출력 3 6 2" xfId="42004"/>
    <cellStyle name="출력 3 7" xfId="12105"/>
    <cellStyle name="출력 3 7 2" xfId="33006"/>
    <cellStyle name="출력 3 8" xfId="24231"/>
    <cellStyle name="출력 3 8 2" xfId="45096"/>
    <cellStyle name="출력 3 9" xfId="25471"/>
    <cellStyle name="콤마 [0]_  종  합  " xfId="1025"/>
    <cellStyle name="콤마 [2]" xfId="1026"/>
    <cellStyle name="콤마_  종  합  " xfId="1027"/>
    <cellStyle name="통화 [0]" xfId="3" builtinId="7"/>
    <cellStyle name="통화 [0] 2" xfId="3804"/>
    <cellStyle name="통화 [0] 3" xfId="5168"/>
    <cellStyle name="퍼센트" xfId="1028"/>
    <cellStyle name="표준" xfId="0" builtinId="0"/>
    <cellStyle name="표준 10" xfId="2884"/>
    <cellStyle name="표준 10 10" xfId="4493"/>
    <cellStyle name="표준 10 10 2" xfId="6327"/>
    <cellStyle name="표준 10 10 2 2" xfId="15336"/>
    <cellStyle name="표준 10 10 2 2 2" xfId="36212"/>
    <cellStyle name="표준 10 10 2 3" xfId="27474"/>
    <cellStyle name="표준 10 10 3" xfId="10990"/>
    <cellStyle name="표준 10 10 3 2" xfId="19760"/>
    <cellStyle name="표준 10 10 3 2 2" xfId="40636"/>
    <cellStyle name="표준 10 10 3 3" xfId="31900"/>
    <cellStyle name="표준 10 10 4" xfId="11855"/>
    <cellStyle name="표준 10 10 4 2" xfId="20621"/>
    <cellStyle name="표준 10 10 4 2 2" xfId="41497"/>
    <cellStyle name="표준 10 10 4 3" xfId="32761"/>
    <cellStyle name="표준 10 10 5" xfId="13518"/>
    <cellStyle name="표준 10 10 5 2" xfId="34394"/>
    <cellStyle name="표준 10 10 6" xfId="25656"/>
    <cellStyle name="표준 10 11" xfId="5170"/>
    <cellStyle name="표준 10 11 2" xfId="14179"/>
    <cellStyle name="표준 10 11 2 2" xfId="35055"/>
    <cellStyle name="표준 10 11 3" xfId="26317"/>
    <cellStyle name="표준 10 12" xfId="6972"/>
    <cellStyle name="표준 10 12 2" xfId="15980"/>
    <cellStyle name="표준 10 12 2 2" xfId="36856"/>
    <cellStyle name="표준 10 12 3" xfId="28118"/>
    <cellStyle name="표준 10 13" xfId="7617"/>
    <cellStyle name="표준 10 13 2" xfId="16623"/>
    <cellStyle name="표준 10 13 2 2" xfId="37499"/>
    <cellStyle name="표준 10 13 3" xfId="28761"/>
    <cellStyle name="표준 10 14" xfId="8465"/>
    <cellStyle name="표준 10 14 2" xfId="17470"/>
    <cellStyle name="표준 10 14 2 2" xfId="38346"/>
    <cellStyle name="표준 10 14 3" xfId="29608"/>
    <cellStyle name="표준 10 15" xfId="9289"/>
    <cellStyle name="표준 10 15 2" xfId="18288"/>
    <cellStyle name="표준 10 15 2 2" xfId="39164"/>
    <cellStyle name="표준 10 15 3" xfId="30426"/>
    <cellStyle name="표준 10 16" xfId="9965"/>
    <cellStyle name="표준 10 17" xfId="10345"/>
    <cellStyle name="표준 10 17 2" xfId="19116"/>
    <cellStyle name="표준 10 17 2 2" xfId="39992"/>
    <cellStyle name="표준 10 17 3" xfId="31256"/>
    <cellStyle name="표준 10 18" xfId="11211"/>
    <cellStyle name="표준 10 18 2" xfId="19977"/>
    <cellStyle name="표준 10 18 2 2" xfId="40853"/>
    <cellStyle name="표준 10 18 3" xfId="32117"/>
    <cellStyle name="표준 10 19" xfId="12074"/>
    <cellStyle name="표준 10 19 2" xfId="20840"/>
    <cellStyle name="표준 10 19 2 2" xfId="41716"/>
    <cellStyle name="표준 10 19 3" xfId="32980"/>
    <cellStyle name="표준 10 2" xfId="2885"/>
    <cellStyle name="표준 10 2 10" xfId="9290"/>
    <cellStyle name="표준 10 2 10 2" xfId="18289"/>
    <cellStyle name="표준 10 2 10 2 2" xfId="39165"/>
    <cellStyle name="표준 10 2 10 3" xfId="30427"/>
    <cellStyle name="표준 10 2 11" xfId="9966"/>
    <cellStyle name="표준 10 2 12" xfId="10346"/>
    <cellStyle name="표준 10 2 12 2" xfId="19117"/>
    <cellStyle name="표준 10 2 12 2 2" xfId="39993"/>
    <cellStyle name="표준 10 2 12 3" xfId="31257"/>
    <cellStyle name="표준 10 2 13" xfId="11212"/>
    <cellStyle name="표준 10 2 13 2" xfId="19978"/>
    <cellStyle name="표준 10 2 13 2 2" xfId="40854"/>
    <cellStyle name="표준 10 2 13 3" xfId="32118"/>
    <cellStyle name="표준 10 2 14" xfId="12360"/>
    <cellStyle name="표준 10 2 14 2" xfId="33238"/>
    <cellStyle name="표준 10 2 15" xfId="24488"/>
    <cellStyle name="표준 10 2 2" xfId="3103"/>
    <cellStyle name="표준 10 2 2 10" xfId="10556"/>
    <cellStyle name="표준 10 2 2 10 2" xfId="19327"/>
    <cellStyle name="표준 10 2 2 10 2 2" xfId="40203"/>
    <cellStyle name="표준 10 2 2 10 3" xfId="31467"/>
    <cellStyle name="표준 10 2 2 11" xfId="11422"/>
    <cellStyle name="표준 10 2 2 11 2" xfId="20188"/>
    <cellStyle name="표준 10 2 2 11 2 2" xfId="41064"/>
    <cellStyle name="표준 10 2 2 11 3" xfId="32328"/>
    <cellStyle name="표준 10 2 2 12" xfId="12571"/>
    <cellStyle name="표준 10 2 2 12 2" xfId="33448"/>
    <cellStyle name="표준 10 2 2 13" xfId="24698"/>
    <cellStyle name="표준 10 2 2 2" xfId="3545"/>
    <cellStyle name="표준 10 2 2 2 2" xfId="5818"/>
    <cellStyle name="표준 10 2 2 2 2 2" xfId="14827"/>
    <cellStyle name="표준 10 2 2 2 2 2 2" xfId="35703"/>
    <cellStyle name="표준 10 2 2 2 2 3" xfId="26965"/>
    <cellStyle name="표준 10 2 2 2 3" xfId="13008"/>
    <cellStyle name="표준 10 2 2 2 3 2" xfId="33885"/>
    <cellStyle name="표준 10 2 2 2 4" xfId="25135"/>
    <cellStyle name="표준 10 2 2 3" xfId="4706"/>
    <cellStyle name="표준 10 2 2 3 2" xfId="6538"/>
    <cellStyle name="표준 10 2 2 3 2 2" xfId="15547"/>
    <cellStyle name="표준 10 2 2 3 2 2 2" xfId="36423"/>
    <cellStyle name="표준 10 2 2 3 2 3" xfId="27685"/>
    <cellStyle name="표준 10 2 2 3 3" xfId="13729"/>
    <cellStyle name="표준 10 2 2 3 3 2" xfId="34605"/>
    <cellStyle name="표준 10 2 2 3 4" xfId="25867"/>
    <cellStyle name="표준 10 2 2 4" xfId="5381"/>
    <cellStyle name="표준 10 2 2 4 2" xfId="14390"/>
    <cellStyle name="표준 10 2 2 4 2 2" xfId="35266"/>
    <cellStyle name="표준 10 2 2 4 3" xfId="26528"/>
    <cellStyle name="표준 10 2 2 5" xfId="7184"/>
    <cellStyle name="표준 10 2 2 5 2" xfId="16191"/>
    <cellStyle name="표준 10 2 2 5 2 2" xfId="37067"/>
    <cellStyle name="표준 10 2 2 5 3" xfId="28329"/>
    <cellStyle name="표준 10 2 2 6" xfId="7828"/>
    <cellStyle name="표준 10 2 2 6 2" xfId="16834"/>
    <cellStyle name="표준 10 2 2 6 2 2" xfId="37710"/>
    <cellStyle name="표준 10 2 2 6 3" xfId="28972"/>
    <cellStyle name="표준 10 2 2 7" xfId="8676"/>
    <cellStyle name="표준 10 2 2 7 2" xfId="17681"/>
    <cellStyle name="표준 10 2 2 7 2 2" xfId="38557"/>
    <cellStyle name="표준 10 2 2 7 3" xfId="29819"/>
    <cellStyle name="표준 10 2 2 8" xfId="9501"/>
    <cellStyle name="표준 10 2 2 8 2" xfId="18499"/>
    <cellStyle name="표준 10 2 2 8 2 2" xfId="39375"/>
    <cellStyle name="표준 10 2 2 8 3" xfId="30637"/>
    <cellStyle name="표준 10 2 2 9" xfId="9967"/>
    <cellStyle name="표준 10 2 3" xfId="3335"/>
    <cellStyle name="표준 10 2 3 10" xfId="12798"/>
    <cellStyle name="표준 10 2 3 10 2" xfId="33675"/>
    <cellStyle name="표준 10 2 3 11" xfId="24925"/>
    <cellStyle name="표준 10 2 3 2" xfId="4928"/>
    <cellStyle name="표준 10 2 3 2 2" xfId="6755"/>
    <cellStyle name="표준 10 2 3 2 2 2" xfId="15764"/>
    <cellStyle name="표준 10 2 3 2 2 2 2" xfId="36640"/>
    <cellStyle name="표준 10 2 3 2 2 3" xfId="27902"/>
    <cellStyle name="표준 10 2 3 2 3" xfId="13946"/>
    <cellStyle name="표준 10 2 3 2 3 2" xfId="34822"/>
    <cellStyle name="표준 10 2 3 2 4" xfId="26084"/>
    <cellStyle name="표준 10 2 3 3" xfId="5608"/>
    <cellStyle name="표준 10 2 3 3 2" xfId="14617"/>
    <cellStyle name="표준 10 2 3 3 2 2" xfId="35493"/>
    <cellStyle name="표준 10 2 3 3 3" xfId="26755"/>
    <cellStyle name="표준 10 2 3 4" xfId="7401"/>
    <cellStyle name="표준 10 2 3 4 2" xfId="16408"/>
    <cellStyle name="표준 10 2 3 4 2 2" xfId="37284"/>
    <cellStyle name="표준 10 2 3 4 3" xfId="28546"/>
    <cellStyle name="표준 10 2 3 5" xfId="8045"/>
    <cellStyle name="표준 10 2 3 5 2" xfId="17051"/>
    <cellStyle name="표준 10 2 3 5 2 2" xfId="37927"/>
    <cellStyle name="표준 10 2 3 5 3" xfId="29189"/>
    <cellStyle name="표준 10 2 3 6" xfId="8893"/>
    <cellStyle name="표준 10 2 3 6 2" xfId="17898"/>
    <cellStyle name="표준 10 2 3 6 2 2" xfId="38774"/>
    <cellStyle name="표준 10 2 3 6 3" xfId="30036"/>
    <cellStyle name="표준 10 2 3 7" xfId="9718"/>
    <cellStyle name="표준 10 2 3 7 2" xfId="18716"/>
    <cellStyle name="표준 10 2 3 7 2 2" xfId="39592"/>
    <cellStyle name="표준 10 2 3 7 3" xfId="30854"/>
    <cellStyle name="표준 10 2 3 8" xfId="10773"/>
    <cellStyle name="표준 10 2 3 8 2" xfId="19544"/>
    <cellStyle name="표준 10 2 3 8 2 2" xfId="40420"/>
    <cellStyle name="표준 10 2 3 8 3" xfId="31684"/>
    <cellStyle name="표준 10 2 3 9" xfId="11639"/>
    <cellStyle name="표준 10 2 3 9 2" xfId="20405"/>
    <cellStyle name="표준 10 2 3 9 2 2" xfId="41281"/>
    <cellStyle name="표준 10 2 3 9 3" xfId="32545"/>
    <cellStyle name="표준 10 2 4" xfId="4494"/>
    <cellStyle name="표준 10 2 4 2" xfId="6328"/>
    <cellStyle name="표준 10 2 4 2 2" xfId="15337"/>
    <cellStyle name="표준 10 2 4 2 2 2" xfId="36213"/>
    <cellStyle name="표준 10 2 4 2 3" xfId="27475"/>
    <cellStyle name="표준 10 2 4 3" xfId="10991"/>
    <cellStyle name="표준 10 2 4 3 2" xfId="19761"/>
    <cellStyle name="표준 10 2 4 3 2 2" xfId="40637"/>
    <cellStyle name="표준 10 2 4 3 3" xfId="31901"/>
    <cellStyle name="표준 10 2 4 4" xfId="11856"/>
    <cellStyle name="표준 10 2 4 4 2" xfId="20622"/>
    <cellStyle name="표준 10 2 4 4 2 2" xfId="41498"/>
    <cellStyle name="표준 10 2 4 4 3" xfId="32762"/>
    <cellStyle name="표준 10 2 4 5" xfId="13519"/>
    <cellStyle name="표준 10 2 4 5 2" xfId="34395"/>
    <cellStyle name="표준 10 2 4 6" xfId="25657"/>
    <cellStyle name="표준 10 2 5" xfId="5171"/>
    <cellStyle name="표준 10 2 5 2" xfId="14180"/>
    <cellStyle name="표준 10 2 5 2 2" xfId="35056"/>
    <cellStyle name="표준 10 2 5 3" xfId="26318"/>
    <cellStyle name="표준 10 2 6" xfId="6973"/>
    <cellStyle name="표준 10 2 6 2" xfId="15981"/>
    <cellStyle name="표준 10 2 6 2 2" xfId="36857"/>
    <cellStyle name="표준 10 2 6 3" xfId="28119"/>
    <cellStyle name="표준 10 2 7" xfId="7618"/>
    <cellStyle name="표준 10 2 7 2" xfId="16624"/>
    <cellStyle name="표준 10 2 7 2 2" xfId="37500"/>
    <cellStyle name="표준 10 2 7 3" xfId="28762"/>
    <cellStyle name="표준 10 2 8" xfId="8466"/>
    <cellStyle name="표준 10 2 8 2" xfId="17471"/>
    <cellStyle name="표준 10 2 8 2 2" xfId="38347"/>
    <cellStyle name="표준 10 2 8 3" xfId="29609"/>
    <cellStyle name="표준 10 2 9" xfId="9115"/>
    <cellStyle name="표준 10 2 9 2" xfId="18119"/>
    <cellStyle name="표준 10 2 9 2 2" xfId="38995"/>
    <cellStyle name="표준 10 2 9 3" xfId="30257"/>
    <cellStyle name="표준 10 20" xfId="12359"/>
    <cellStyle name="표준 10 20 2" xfId="33237"/>
    <cellStyle name="표준 10 21" xfId="24236"/>
    <cellStyle name="표준 10 21 2" xfId="45099"/>
    <cellStyle name="표준 10 22" xfId="24245"/>
    <cellStyle name="표준 10 22 2" xfId="45107"/>
    <cellStyle name="표준 10 23" xfId="24487"/>
    <cellStyle name="표준 10 3" xfId="2886"/>
    <cellStyle name="표준 10 3 10" xfId="9291"/>
    <cellStyle name="표준 10 3 10 2" xfId="18290"/>
    <cellStyle name="표준 10 3 10 2 2" xfId="39166"/>
    <cellStyle name="표준 10 3 10 3" xfId="30428"/>
    <cellStyle name="표준 10 3 11" xfId="9968"/>
    <cellStyle name="표준 10 3 12" xfId="10347"/>
    <cellStyle name="표준 10 3 12 2" xfId="19118"/>
    <cellStyle name="표준 10 3 12 2 2" xfId="39994"/>
    <cellStyle name="표준 10 3 12 3" xfId="31258"/>
    <cellStyle name="표준 10 3 13" xfId="11213"/>
    <cellStyle name="표준 10 3 13 2" xfId="19979"/>
    <cellStyle name="표준 10 3 13 2 2" xfId="40855"/>
    <cellStyle name="표준 10 3 13 3" xfId="32119"/>
    <cellStyle name="표준 10 3 14" xfId="12361"/>
    <cellStyle name="표준 10 3 14 2" xfId="33239"/>
    <cellStyle name="표준 10 3 15" xfId="24489"/>
    <cellStyle name="표준 10 3 2" xfId="3104"/>
    <cellStyle name="표준 10 3 2 10" xfId="10557"/>
    <cellStyle name="표준 10 3 2 10 2" xfId="19328"/>
    <cellStyle name="표준 10 3 2 10 2 2" xfId="40204"/>
    <cellStyle name="표준 10 3 2 10 3" xfId="31468"/>
    <cellStyle name="표준 10 3 2 11" xfId="11423"/>
    <cellStyle name="표준 10 3 2 11 2" xfId="20189"/>
    <cellStyle name="표준 10 3 2 11 2 2" xfId="41065"/>
    <cellStyle name="표준 10 3 2 11 3" xfId="32329"/>
    <cellStyle name="표준 10 3 2 12" xfId="12572"/>
    <cellStyle name="표준 10 3 2 12 2" xfId="33449"/>
    <cellStyle name="표준 10 3 2 13" xfId="24699"/>
    <cellStyle name="표준 10 3 2 2" xfId="3546"/>
    <cellStyle name="표준 10 3 2 2 2" xfId="5819"/>
    <cellStyle name="표준 10 3 2 2 2 2" xfId="14828"/>
    <cellStyle name="표준 10 3 2 2 2 2 2" xfId="35704"/>
    <cellStyle name="표준 10 3 2 2 2 3" xfId="26966"/>
    <cellStyle name="표준 10 3 2 2 3" xfId="13009"/>
    <cellStyle name="표준 10 3 2 2 3 2" xfId="33886"/>
    <cellStyle name="표준 10 3 2 2 4" xfId="25136"/>
    <cellStyle name="표준 10 3 2 3" xfId="4707"/>
    <cellStyle name="표준 10 3 2 3 2" xfId="6539"/>
    <cellStyle name="표준 10 3 2 3 2 2" xfId="15548"/>
    <cellStyle name="표준 10 3 2 3 2 2 2" xfId="36424"/>
    <cellStyle name="표준 10 3 2 3 2 3" xfId="27686"/>
    <cellStyle name="표준 10 3 2 3 3" xfId="13730"/>
    <cellStyle name="표준 10 3 2 3 3 2" xfId="34606"/>
    <cellStyle name="표준 10 3 2 3 4" xfId="25868"/>
    <cellStyle name="표준 10 3 2 4" xfId="5382"/>
    <cellStyle name="표준 10 3 2 4 2" xfId="14391"/>
    <cellStyle name="표준 10 3 2 4 2 2" xfId="35267"/>
    <cellStyle name="표준 10 3 2 4 3" xfId="26529"/>
    <cellStyle name="표준 10 3 2 5" xfId="7185"/>
    <cellStyle name="표준 10 3 2 5 2" xfId="16192"/>
    <cellStyle name="표준 10 3 2 5 2 2" xfId="37068"/>
    <cellStyle name="표준 10 3 2 5 3" xfId="28330"/>
    <cellStyle name="표준 10 3 2 6" xfId="7829"/>
    <cellStyle name="표준 10 3 2 6 2" xfId="16835"/>
    <cellStyle name="표준 10 3 2 6 2 2" xfId="37711"/>
    <cellStyle name="표준 10 3 2 6 3" xfId="28973"/>
    <cellStyle name="표준 10 3 2 7" xfId="8677"/>
    <cellStyle name="표준 10 3 2 7 2" xfId="17682"/>
    <cellStyle name="표준 10 3 2 7 2 2" xfId="38558"/>
    <cellStyle name="표준 10 3 2 7 3" xfId="29820"/>
    <cellStyle name="표준 10 3 2 8" xfId="9502"/>
    <cellStyle name="표준 10 3 2 8 2" xfId="18500"/>
    <cellStyle name="표준 10 3 2 8 2 2" xfId="39376"/>
    <cellStyle name="표준 10 3 2 8 3" xfId="30638"/>
    <cellStyle name="표준 10 3 2 9" xfId="9969"/>
    <cellStyle name="표준 10 3 3" xfId="3336"/>
    <cellStyle name="표준 10 3 3 10" xfId="12799"/>
    <cellStyle name="표준 10 3 3 10 2" xfId="33676"/>
    <cellStyle name="표준 10 3 3 11" xfId="24926"/>
    <cellStyle name="표준 10 3 3 2" xfId="4929"/>
    <cellStyle name="표준 10 3 3 2 2" xfId="6756"/>
    <cellStyle name="표준 10 3 3 2 2 2" xfId="15765"/>
    <cellStyle name="표준 10 3 3 2 2 2 2" xfId="36641"/>
    <cellStyle name="표준 10 3 3 2 2 3" xfId="27903"/>
    <cellStyle name="표준 10 3 3 2 3" xfId="13947"/>
    <cellStyle name="표준 10 3 3 2 3 2" xfId="34823"/>
    <cellStyle name="표준 10 3 3 2 4" xfId="26085"/>
    <cellStyle name="표준 10 3 3 3" xfId="5609"/>
    <cellStyle name="표준 10 3 3 3 2" xfId="14618"/>
    <cellStyle name="표준 10 3 3 3 2 2" xfId="35494"/>
    <cellStyle name="표준 10 3 3 3 3" xfId="26756"/>
    <cellStyle name="표준 10 3 3 4" xfId="7402"/>
    <cellStyle name="표준 10 3 3 4 2" xfId="16409"/>
    <cellStyle name="표준 10 3 3 4 2 2" xfId="37285"/>
    <cellStyle name="표준 10 3 3 4 3" xfId="28547"/>
    <cellStyle name="표준 10 3 3 5" xfId="8046"/>
    <cellStyle name="표준 10 3 3 5 2" xfId="17052"/>
    <cellStyle name="표준 10 3 3 5 2 2" xfId="37928"/>
    <cellStyle name="표준 10 3 3 5 3" xfId="29190"/>
    <cellStyle name="표준 10 3 3 6" xfId="8894"/>
    <cellStyle name="표준 10 3 3 6 2" xfId="17899"/>
    <cellStyle name="표준 10 3 3 6 2 2" xfId="38775"/>
    <cellStyle name="표준 10 3 3 6 3" xfId="30037"/>
    <cellStyle name="표준 10 3 3 7" xfId="9719"/>
    <cellStyle name="표준 10 3 3 7 2" xfId="18717"/>
    <cellStyle name="표준 10 3 3 7 2 2" xfId="39593"/>
    <cellStyle name="표준 10 3 3 7 3" xfId="30855"/>
    <cellStyle name="표준 10 3 3 8" xfId="10774"/>
    <cellStyle name="표준 10 3 3 8 2" xfId="19545"/>
    <cellStyle name="표준 10 3 3 8 2 2" xfId="40421"/>
    <cellStyle name="표준 10 3 3 8 3" xfId="31685"/>
    <cellStyle name="표준 10 3 3 9" xfId="11640"/>
    <cellStyle name="표준 10 3 3 9 2" xfId="20406"/>
    <cellStyle name="표준 10 3 3 9 2 2" xfId="41282"/>
    <cellStyle name="표준 10 3 3 9 3" xfId="32546"/>
    <cellStyle name="표준 10 3 4" xfId="4495"/>
    <cellStyle name="표준 10 3 4 2" xfId="6329"/>
    <cellStyle name="표준 10 3 4 2 2" xfId="15338"/>
    <cellStyle name="표준 10 3 4 2 2 2" xfId="36214"/>
    <cellStyle name="표준 10 3 4 2 3" xfId="27476"/>
    <cellStyle name="표준 10 3 4 3" xfId="10992"/>
    <cellStyle name="표준 10 3 4 3 2" xfId="19762"/>
    <cellStyle name="표준 10 3 4 3 2 2" xfId="40638"/>
    <cellStyle name="표준 10 3 4 3 3" xfId="31902"/>
    <cellStyle name="표준 10 3 4 4" xfId="11857"/>
    <cellStyle name="표준 10 3 4 4 2" xfId="20623"/>
    <cellStyle name="표준 10 3 4 4 2 2" xfId="41499"/>
    <cellStyle name="표준 10 3 4 4 3" xfId="32763"/>
    <cellStyle name="표준 10 3 4 5" xfId="13520"/>
    <cellStyle name="표준 10 3 4 5 2" xfId="34396"/>
    <cellStyle name="표준 10 3 4 6" xfId="25658"/>
    <cellStyle name="표준 10 3 5" xfId="5172"/>
    <cellStyle name="표준 10 3 5 2" xfId="14181"/>
    <cellStyle name="표준 10 3 5 2 2" xfId="35057"/>
    <cellStyle name="표준 10 3 5 3" xfId="26319"/>
    <cellStyle name="표준 10 3 6" xfId="6974"/>
    <cellStyle name="표준 10 3 6 2" xfId="15982"/>
    <cellStyle name="표준 10 3 6 2 2" xfId="36858"/>
    <cellStyle name="표준 10 3 6 3" xfId="28120"/>
    <cellStyle name="표준 10 3 7" xfId="7619"/>
    <cellStyle name="표준 10 3 7 2" xfId="16625"/>
    <cellStyle name="표준 10 3 7 2 2" xfId="37501"/>
    <cellStyle name="표준 10 3 7 3" xfId="28763"/>
    <cellStyle name="표준 10 3 8" xfId="8467"/>
    <cellStyle name="표준 10 3 8 2" xfId="17472"/>
    <cellStyle name="표준 10 3 8 2 2" xfId="38348"/>
    <cellStyle name="표준 10 3 8 3" xfId="29610"/>
    <cellStyle name="표준 10 3 9" xfId="9116"/>
    <cellStyle name="표준 10 3 9 2" xfId="18120"/>
    <cellStyle name="표준 10 3 9 2 2" xfId="38996"/>
    <cellStyle name="표준 10 3 9 3" xfId="30258"/>
    <cellStyle name="표준 10 4" xfId="2887"/>
    <cellStyle name="표준 10 4 10" xfId="9292"/>
    <cellStyle name="표준 10 4 10 2" xfId="18291"/>
    <cellStyle name="표준 10 4 10 2 2" xfId="39167"/>
    <cellStyle name="표준 10 4 10 3" xfId="30429"/>
    <cellStyle name="표준 10 4 11" xfId="9970"/>
    <cellStyle name="표준 10 4 12" xfId="10348"/>
    <cellStyle name="표준 10 4 12 2" xfId="19119"/>
    <cellStyle name="표준 10 4 12 2 2" xfId="39995"/>
    <cellStyle name="표준 10 4 12 3" xfId="31259"/>
    <cellStyle name="표준 10 4 13" xfId="11214"/>
    <cellStyle name="표준 10 4 13 2" xfId="19980"/>
    <cellStyle name="표준 10 4 13 2 2" xfId="40856"/>
    <cellStyle name="표준 10 4 13 3" xfId="32120"/>
    <cellStyle name="표준 10 4 14" xfId="12362"/>
    <cellStyle name="표준 10 4 14 2" xfId="33240"/>
    <cellStyle name="표준 10 4 15" xfId="24490"/>
    <cellStyle name="표준 10 4 2" xfId="3105"/>
    <cellStyle name="표준 10 4 2 10" xfId="10558"/>
    <cellStyle name="표준 10 4 2 10 2" xfId="19329"/>
    <cellStyle name="표준 10 4 2 10 2 2" xfId="40205"/>
    <cellStyle name="표준 10 4 2 10 3" xfId="31469"/>
    <cellStyle name="표준 10 4 2 11" xfId="11424"/>
    <cellStyle name="표준 10 4 2 11 2" xfId="20190"/>
    <cellStyle name="표준 10 4 2 11 2 2" xfId="41066"/>
    <cellStyle name="표준 10 4 2 11 3" xfId="32330"/>
    <cellStyle name="표준 10 4 2 12" xfId="12573"/>
    <cellStyle name="표준 10 4 2 12 2" xfId="33450"/>
    <cellStyle name="표준 10 4 2 13" xfId="24700"/>
    <cellStyle name="표준 10 4 2 2" xfId="3547"/>
    <cellStyle name="표준 10 4 2 2 2" xfId="5820"/>
    <cellStyle name="표준 10 4 2 2 2 2" xfId="14829"/>
    <cellStyle name="표준 10 4 2 2 2 2 2" xfId="35705"/>
    <cellStyle name="표준 10 4 2 2 2 3" xfId="26967"/>
    <cellStyle name="표준 10 4 2 2 3" xfId="13010"/>
    <cellStyle name="표준 10 4 2 2 3 2" xfId="33887"/>
    <cellStyle name="표준 10 4 2 2 4" xfId="25137"/>
    <cellStyle name="표준 10 4 2 3" xfId="4708"/>
    <cellStyle name="표준 10 4 2 3 2" xfId="6540"/>
    <cellStyle name="표준 10 4 2 3 2 2" xfId="15549"/>
    <cellStyle name="표준 10 4 2 3 2 2 2" xfId="36425"/>
    <cellStyle name="표준 10 4 2 3 2 3" xfId="27687"/>
    <cellStyle name="표준 10 4 2 3 3" xfId="13731"/>
    <cellStyle name="표준 10 4 2 3 3 2" xfId="34607"/>
    <cellStyle name="표준 10 4 2 3 4" xfId="25869"/>
    <cellStyle name="표준 10 4 2 4" xfId="5383"/>
    <cellStyle name="표준 10 4 2 4 2" xfId="14392"/>
    <cellStyle name="표준 10 4 2 4 2 2" xfId="35268"/>
    <cellStyle name="표준 10 4 2 4 3" xfId="26530"/>
    <cellStyle name="표준 10 4 2 5" xfId="7186"/>
    <cellStyle name="표준 10 4 2 5 2" xfId="16193"/>
    <cellStyle name="표준 10 4 2 5 2 2" xfId="37069"/>
    <cellStyle name="표준 10 4 2 5 3" xfId="28331"/>
    <cellStyle name="표준 10 4 2 6" xfId="7830"/>
    <cellStyle name="표준 10 4 2 6 2" xfId="16836"/>
    <cellStyle name="표준 10 4 2 6 2 2" xfId="37712"/>
    <cellStyle name="표준 10 4 2 6 3" xfId="28974"/>
    <cellStyle name="표준 10 4 2 7" xfId="8678"/>
    <cellStyle name="표준 10 4 2 7 2" xfId="17683"/>
    <cellStyle name="표준 10 4 2 7 2 2" xfId="38559"/>
    <cellStyle name="표준 10 4 2 7 3" xfId="29821"/>
    <cellStyle name="표준 10 4 2 8" xfId="9503"/>
    <cellStyle name="표준 10 4 2 8 2" xfId="18501"/>
    <cellStyle name="표준 10 4 2 8 2 2" xfId="39377"/>
    <cellStyle name="표준 10 4 2 8 3" xfId="30639"/>
    <cellStyle name="표준 10 4 2 9" xfId="9971"/>
    <cellStyle name="표준 10 4 3" xfId="3337"/>
    <cellStyle name="표준 10 4 3 10" xfId="12800"/>
    <cellStyle name="표준 10 4 3 10 2" xfId="33677"/>
    <cellStyle name="표준 10 4 3 11" xfId="24927"/>
    <cellStyle name="표준 10 4 3 2" xfId="4930"/>
    <cellStyle name="표준 10 4 3 2 2" xfId="6757"/>
    <cellStyle name="표준 10 4 3 2 2 2" xfId="15766"/>
    <cellStyle name="표준 10 4 3 2 2 2 2" xfId="36642"/>
    <cellStyle name="표준 10 4 3 2 2 3" xfId="27904"/>
    <cellStyle name="표준 10 4 3 2 3" xfId="13948"/>
    <cellStyle name="표준 10 4 3 2 3 2" xfId="34824"/>
    <cellStyle name="표준 10 4 3 2 4" xfId="26086"/>
    <cellStyle name="표준 10 4 3 3" xfId="5610"/>
    <cellStyle name="표준 10 4 3 3 2" xfId="14619"/>
    <cellStyle name="표준 10 4 3 3 2 2" xfId="35495"/>
    <cellStyle name="표준 10 4 3 3 3" xfId="26757"/>
    <cellStyle name="표준 10 4 3 4" xfId="7403"/>
    <cellStyle name="표준 10 4 3 4 2" xfId="16410"/>
    <cellStyle name="표준 10 4 3 4 2 2" xfId="37286"/>
    <cellStyle name="표준 10 4 3 4 3" xfId="28548"/>
    <cellStyle name="표준 10 4 3 5" xfId="8047"/>
    <cellStyle name="표준 10 4 3 5 2" xfId="17053"/>
    <cellStyle name="표준 10 4 3 5 2 2" xfId="37929"/>
    <cellStyle name="표준 10 4 3 5 3" xfId="29191"/>
    <cellStyle name="표준 10 4 3 6" xfId="8895"/>
    <cellStyle name="표준 10 4 3 6 2" xfId="17900"/>
    <cellStyle name="표준 10 4 3 6 2 2" xfId="38776"/>
    <cellStyle name="표준 10 4 3 6 3" xfId="30038"/>
    <cellStyle name="표준 10 4 3 7" xfId="9720"/>
    <cellStyle name="표준 10 4 3 7 2" xfId="18718"/>
    <cellStyle name="표준 10 4 3 7 2 2" xfId="39594"/>
    <cellStyle name="표준 10 4 3 7 3" xfId="30856"/>
    <cellStyle name="표준 10 4 3 8" xfId="10775"/>
    <cellStyle name="표준 10 4 3 8 2" xfId="19546"/>
    <cellStyle name="표준 10 4 3 8 2 2" xfId="40422"/>
    <cellStyle name="표준 10 4 3 8 3" xfId="31686"/>
    <cellStyle name="표준 10 4 3 9" xfId="11641"/>
    <cellStyle name="표준 10 4 3 9 2" xfId="20407"/>
    <cellStyle name="표준 10 4 3 9 2 2" xfId="41283"/>
    <cellStyle name="표준 10 4 3 9 3" xfId="32547"/>
    <cellStyle name="표준 10 4 4" xfId="4496"/>
    <cellStyle name="표준 10 4 4 2" xfId="6330"/>
    <cellStyle name="표준 10 4 4 2 2" xfId="15339"/>
    <cellStyle name="표준 10 4 4 2 2 2" xfId="36215"/>
    <cellStyle name="표준 10 4 4 2 3" xfId="27477"/>
    <cellStyle name="표준 10 4 4 3" xfId="10993"/>
    <cellStyle name="표준 10 4 4 3 2" xfId="19763"/>
    <cellStyle name="표준 10 4 4 3 2 2" xfId="40639"/>
    <cellStyle name="표준 10 4 4 3 3" xfId="31903"/>
    <cellStyle name="표준 10 4 4 4" xfId="11858"/>
    <cellStyle name="표준 10 4 4 4 2" xfId="20624"/>
    <cellStyle name="표준 10 4 4 4 2 2" xfId="41500"/>
    <cellStyle name="표준 10 4 4 4 3" xfId="32764"/>
    <cellStyle name="표준 10 4 4 5" xfId="13521"/>
    <cellStyle name="표준 10 4 4 5 2" xfId="34397"/>
    <cellStyle name="표준 10 4 4 6" xfId="25659"/>
    <cellStyle name="표준 10 4 5" xfId="5173"/>
    <cellStyle name="표준 10 4 5 2" xfId="14182"/>
    <cellStyle name="표준 10 4 5 2 2" xfId="35058"/>
    <cellStyle name="표준 10 4 5 3" xfId="26320"/>
    <cellStyle name="표준 10 4 6" xfId="6975"/>
    <cellStyle name="표준 10 4 6 2" xfId="15983"/>
    <cellStyle name="표준 10 4 6 2 2" xfId="36859"/>
    <cellStyle name="표준 10 4 6 3" xfId="28121"/>
    <cellStyle name="표준 10 4 7" xfId="7620"/>
    <cellStyle name="표준 10 4 7 2" xfId="16626"/>
    <cellStyle name="표준 10 4 7 2 2" xfId="37502"/>
    <cellStyle name="표준 10 4 7 3" xfId="28764"/>
    <cellStyle name="표준 10 4 8" xfId="8468"/>
    <cellStyle name="표준 10 4 8 2" xfId="17473"/>
    <cellStyle name="표준 10 4 8 2 2" xfId="38349"/>
    <cellStyle name="표준 10 4 8 3" xfId="29611"/>
    <cellStyle name="표준 10 4 9" xfId="9117"/>
    <cellStyle name="표준 10 4 9 2" xfId="18121"/>
    <cellStyle name="표준 10 4 9 2 2" xfId="38997"/>
    <cellStyle name="표준 10 4 9 3" xfId="30259"/>
    <cellStyle name="표준 10 5" xfId="2888"/>
    <cellStyle name="표준 10 5 10" xfId="10349"/>
    <cellStyle name="표준 10 5 10 2" xfId="19120"/>
    <cellStyle name="표준 10 5 10 2 2" xfId="39996"/>
    <cellStyle name="표준 10 5 10 3" xfId="31260"/>
    <cellStyle name="표준 10 5 11" xfId="11215"/>
    <cellStyle name="표준 10 5 11 2" xfId="19981"/>
    <cellStyle name="표준 10 5 11 2 2" xfId="40857"/>
    <cellStyle name="표준 10 5 11 3" xfId="32121"/>
    <cellStyle name="표준 10 5 12" xfId="12363"/>
    <cellStyle name="표준 10 5 12 2" xfId="33241"/>
    <cellStyle name="표준 10 5 13" xfId="24491"/>
    <cellStyle name="표준 10 5 2" xfId="3106"/>
    <cellStyle name="표준 10 5 2 10" xfId="11425"/>
    <cellStyle name="표준 10 5 2 10 2" xfId="20191"/>
    <cellStyle name="표준 10 5 2 10 2 2" xfId="41067"/>
    <cellStyle name="표준 10 5 2 10 3" xfId="32331"/>
    <cellStyle name="표준 10 5 2 11" xfId="12574"/>
    <cellStyle name="표준 10 5 2 11 2" xfId="33451"/>
    <cellStyle name="표준 10 5 2 12" xfId="24701"/>
    <cellStyle name="표준 10 5 2 2" xfId="3548"/>
    <cellStyle name="표준 10 5 2 2 2" xfId="5821"/>
    <cellStyle name="표준 10 5 2 2 2 2" xfId="14830"/>
    <cellStyle name="표준 10 5 2 2 2 2 2" xfId="35706"/>
    <cellStyle name="표준 10 5 2 2 2 3" xfId="26968"/>
    <cellStyle name="표준 10 5 2 2 3" xfId="13011"/>
    <cellStyle name="표준 10 5 2 2 3 2" xfId="33888"/>
    <cellStyle name="표준 10 5 2 2 4" xfId="25138"/>
    <cellStyle name="표준 10 5 2 3" xfId="4709"/>
    <cellStyle name="표준 10 5 2 3 2" xfId="6541"/>
    <cellStyle name="표준 10 5 2 3 2 2" xfId="15550"/>
    <cellStyle name="표준 10 5 2 3 2 2 2" xfId="36426"/>
    <cellStyle name="표준 10 5 2 3 2 3" xfId="27688"/>
    <cellStyle name="표준 10 5 2 3 3" xfId="13732"/>
    <cellStyle name="표준 10 5 2 3 3 2" xfId="34608"/>
    <cellStyle name="표준 10 5 2 3 4" xfId="25870"/>
    <cellStyle name="표준 10 5 2 4" xfId="5384"/>
    <cellStyle name="표준 10 5 2 4 2" xfId="14393"/>
    <cellStyle name="표준 10 5 2 4 2 2" xfId="35269"/>
    <cellStyle name="표준 10 5 2 4 3" xfId="26531"/>
    <cellStyle name="표준 10 5 2 5" xfId="7187"/>
    <cellStyle name="표준 10 5 2 5 2" xfId="16194"/>
    <cellStyle name="표준 10 5 2 5 2 2" xfId="37070"/>
    <cellStyle name="표준 10 5 2 5 3" xfId="28332"/>
    <cellStyle name="표준 10 5 2 6" xfId="7831"/>
    <cellStyle name="표준 10 5 2 6 2" xfId="16837"/>
    <cellStyle name="표준 10 5 2 6 2 2" xfId="37713"/>
    <cellStyle name="표준 10 5 2 6 3" xfId="28975"/>
    <cellStyle name="표준 10 5 2 7" xfId="8679"/>
    <cellStyle name="표준 10 5 2 7 2" xfId="17684"/>
    <cellStyle name="표준 10 5 2 7 2 2" xfId="38560"/>
    <cellStyle name="표준 10 5 2 7 3" xfId="29822"/>
    <cellStyle name="표준 10 5 2 8" xfId="9504"/>
    <cellStyle name="표준 10 5 2 8 2" xfId="18502"/>
    <cellStyle name="표준 10 5 2 8 2 2" xfId="39378"/>
    <cellStyle name="표준 10 5 2 8 3" xfId="30640"/>
    <cellStyle name="표준 10 5 2 9" xfId="10559"/>
    <cellStyle name="표준 10 5 2 9 2" xfId="19330"/>
    <cellStyle name="표준 10 5 2 9 2 2" xfId="40206"/>
    <cellStyle name="표준 10 5 2 9 3" xfId="31470"/>
    <cellStyle name="표준 10 5 3" xfId="3338"/>
    <cellStyle name="표준 10 5 3 10" xfId="12801"/>
    <cellStyle name="표준 10 5 3 10 2" xfId="33678"/>
    <cellStyle name="표준 10 5 3 11" xfId="24928"/>
    <cellStyle name="표준 10 5 3 2" xfId="4931"/>
    <cellStyle name="표준 10 5 3 2 2" xfId="6758"/>
    <cellStyle name="표준 10 5 3 2 2 2" xfId="15767"/>
    <cellStyle name="표준 10 5 3 2 2 2 2" xfId="36643"/>
    <cellStyle name="표준 10 5 3 2 2 3" xfId="27905"/>
    <cellStyle name="표준 10 5 3 2 3" xfId="13949"/>
    <cellStyle name="표준 10 5 3 2 3 2" xfId="34825"/>
    <cellStyle name="표준 10 5 3 2 4" xfId="26087"/>
    <cellStyle name="표준 10 5 3 3" xfId="5611"/>
    <cellStyle name="표준 10 5 3 3 2" xfId="14620"/>
    <cellStyle name="표준 10 5 3 3 2 2" xfId="35496"/>
    <cellStyle name="표준 10 5 3 3 3" xfId="26758"/>
    <cellStyle name="표준 10 5 3 4" xfId="7404"/>
    <cellStyle name="표준 10 5 3 4 2" xfId="16411"/>
    <cellStyle name="표준 10 5 3 4 2 2" xfId="37287"/>
    <cellStyle name="표준 10 5 3 4 3" xfId="28549"/>
    <cellStyle name="표준 10 5 3 5" xfId="8048"/>
    <cellStyle name="표준 10 5 3 5 2" xfId="17054"/>
    <cellStyle name="표준 10 5 3 5 2 2" xfId="37930"/>
    <cellStyle name="표준 10 5 3 5 3" xfId="29192"/>
    <cellStyle name="표준 10 5 3 6" xfId="8896"/>
    <cellStyle name="표준 10 5 3 6 2" xfId="17901"/>
    <cellStyle name="표준 10 5 3 6 2 2" xfId="38777"/>
    <cellStyle name="표준 10 5 3 6 3" xfId="30039"/>
    <cellStyle name="표준 10 5 3 7" xfId="9721"/>
    <cellStyle name="표준 10 5 3 7 2" xfId="18719"/>
    <cellStyle name="표준 10 5 3 7 2 2" xfId="39595"/>
    <cellStyle name="표준 10 5 3 7 3" xfId="30857"/>
    <cellStyle name="표준 10 5 3 8" xfId="10776"/>
    <cellStyle name="표준 10 5 3 8 2" xfId="19547"/>
    <cellStyle name="표준 10 5 3 8 2 2" xfId="40423"/>
    <cellStyle name="표준 10 5 3 8 3" xfId="31687"/>
    <cellStyle name="표준 10 5 3 9" xfId="11642"/>
    <cellStyle name="표준 10 5 3 9 2" xfId="20408"/>
    <cellStyle name="표준 10 5 3 9 2 2" xfId="41284"/>
    <cellStyle name="표준 10 5 3 9 3" xfId="32548"/>
    <cellStyle name="표준 10 5 4" xfId="4497"/>
    <cellStyle name="표준 10 5 4 2" xfId="6331"/>
    <cellStyle name="표준 10 5 4 2 2" xfId="15340"/>
    <cellStyle name="표준 10 5 4 2 2 2" xfId="36216"/>
    <cellStyle name="표준 10 5 4 2 3" xfId="27478"/>
    <cellStyle name="표준 10 5 4 3" xfId="10994"/>
    <cellStyle name="표준 10 5 4 3 2" xfId="19764"/>
    <cellStyle name="표준 10 5 4 3 2 2" xfId="40640"/>
    <cellStyle name="표준 10 5 4 3 3" xfId="31904"/>
    <cellStyle name="표준 10 5 4 4" xfId="11859"/>
    <cellStyle name="표준 10 5 4 4 2" xfId="20625"/>
    <cellStyle name="표준 10 5 4 4 2 2" xfId="41501"/>
    <cellStyle name="표준 10 5 4 4 3" xfId="32765"/>
    <cellStyle name="표준 10 5 4 5" xfId="13522"/>
    <cellStyle name="표준 10 5 4 5 2" xfId="34398"/>
    <cellStyle name="표준 10 5 4 6" xfId="25660"/>
    <cellStyle name="표준 10 5 5" xfId="5174"/>
    <cellStyle name="표준 10 5 5 2" xfId="14183"/>
    <cellStyle name="표준 10 5 5 2 2" xfId="35059"/>
    <cellStyle name="표준 10 5 5 3" xfId="26321"/>
    <cellStyle name="표준 10 5 6" xfId="6976"/>
    <cellStyle name="표준 10 5 6 2" xfId="15984"/>
    <cellStyle name="표준 10 5 6 2 2" xfId="36860"/>
    <cellStyle name="표준 10 5 6 3" xfId="28122"/>
    <cellStyle name="표준 10 5 7" xfId="7621"/>
    <cellStyle name="표준 10 5 7 2" xfId="16627"/>
    <cellStyle name="표준 10 5 7 2 2" xfId="37503"/>
    <cellStyle name="표준 10 5 7 3" xfId="28765"/>
    <cellStyle name="표준 10 5 8" xfId="8469"/>
    <cellStyle name="표준 10 5 8 2" xfId="17474"/>
    <cellStyle name="표준 10 5 8 2 2" xfId="38350"/>
    <cellStyle name="표준 10 5 8 3" xfId="29612"/>
    <cellStyle name="표준 10 5 9" xfId="9293"/>
    <cellStyle name="표준 10 5 9 2" xfId="18292"/>
    <cellStyle name="표준 10 5 9 2 2" xfId="39168"/>
    <cellStyle name="표준 10 5 9 3" xfId="30430"/>
    <cellStyle name="표준 10 6" xfId="2889"/>
    <cellStyle name="표준 10 6 10" xfId="10350"/>
    <cellStyle name="표준 10 6 10 2" xfId="19121"/>
    <cellStyle name="표준 10 6 10 2 2" xfId="39997"/>
    <cellStyle name="표준 10 6 10 3" xfId="31261"/>
    <cellStyle name="표준 10 6 11" xfId="11216"/>
    <cellStyle name="표준 10 6 11 2" xfId="19982"/>
    <cellStyle name="표준 10 6 11 2 2" xfId="40858"/>
    <cellStyle name="표준 10 6 11 3" xfId="32122"/>
    <cellStyle name="표준 10 6 12" xfId="12364"/>
    <cellStyle name="표준 10 6 12 2" xfId="33242"/>
    <cellStyle name="표준 10 6 13" xfId="24492"/>
    <cellStyle name="표준 10 6 2" xfId="3107"/>
    <cellStyle name="표준 10 6 2 10" xfId="11426"/>
    <cellStyle name="표준 10 6 2 10 2" xfId="20192"/>
    <cellStyle name="표준 10 6 2 10 2 2" xfId="41068"/>
    <cellStyle name="표준 10 6 2 10 3" xfId="32332"/>
    <cellStyle name="표준 10 6 2 11" xfId="12575"/>
    <cellStyle name="표준 10 6 2 11 2" xfId="33452"/>
    <cellStyle name="표준 10 6 2 12" xfId="24702"/>
    <cellStyle name="표준 10 6 2 2" xfId="3549"/>
    <cellStyle name="표준 10 6 2 2 2" xfId="5822"/>
    <cellStyle name="표준 10 6 2 2 2 2" xfId="14831"/>
    <cellStyle name="표준 10 6 2 2 2 2 2" xfId="35707"/>
    <cellStyle name="표준 10 6 2 2 2 3" xfId="26969"/>
    <cellStyle name="표준 10 6 2 2 3" xfId="13012"/>
    <cellStyle name="표준 10 6 2 2 3 2" xfId="33889"/>
    <cellStyle name="표준 10 6 2 2 4" xfId="25139"/>
    <cellStyle name="표준 10 6 2 3" xfId="4710"/>
    <cellStyle name="표준 10 6 2 3 2" xfId="6542"/>
    <cellStyle name="표준 10 6 2 3 2 2" xfId="15551"/>
    <cellStyle name="표준 10 6 2 3 2 2 2" xfId="36427"/>
    <cellStyle name="표준 10 6 2 3 2 3" xfId="27689"/>
    <cellStyle name="표준 10 6 2 3 3" xfId="13733"/>
    <cellStyle name="표준 10 6 2 3 3 2" xfId="34609"/>
    <cellStyle name="표준 10 6 2 3 4" xfId="25871"/>
    <cellStyle name="표준 10 6 2 4" xfId="5385"/>
    <cellStyle name="표준 10 6 2 4 2" xfId="14394"/>
    <cellStyle name="표준 10 6 2 4 2 2" xfId="35270"/>
    <cellStyle name="표준 10 6 2 4 3" xfId="26532"/>
    <cellStyle name="표준 10 6 2 5" xfId="7188"/>
    <cellStyle name="표준 10 6 2 5 2" xfId="16195"/>
    <cellStyle name="표준 10 6 2 5 2 2" xfId="37071"/>
    <cellStyle name="표준 10 6 2 5 3" xfId="28333"/>
    <cellStyle name="표준 10 6 2 6" xfId="7832"/>
    <cellStyle name="표준 10 6 2 6 2" xfId="16838"/>
    <cellStyle name="표준 10 6 2 6 2 2" xfId="37714"/>
    <cellStyle name="표준 10 6 2 6 3" xfId="28976"/>
    <cellStyle name="표준 10 6 2 7" xfId="8680"/>
    <cellStyle name="표준 10 6 2 7 2" xfId="17685"/>
    <cellStyle name="표준 10 6 2 7 2 2" xfId="38561"/>
    <cellStyle name="표준 10 6 2 7 3" xfId="29823"/>
    <cellStyle name="표준 10 6 2 8" xfId="9505"/>
    <cellStyle name="표준 10 6 2 8 2" xfId="18503"/>
    <cellStyle name="표준 10 6 2 8 2 2" xfId="39379"/>
    <cellStyle name="표준 10 6 2 8 3" xfId="30641"/>
    <cellStyle name="표준 10 6 2 9" xfId="10560"/>
    <cellStyle name="표준 10 6 2 9 2" xfId="19331"/>
    <cellStyle name="표준 10 6 2 9 2 2" xfId="40207"/>
    <cellStyle name="표준 10 6 2 9 3" xfId="31471"/>
    <cellStyle name="표준 10 6 3" xfId="3339"/>
    <cellStyle name="표준 10 6 3 10" xfId="12802"/>
    <cellStyle name="표준 10 6 3 10 2" xfId="33679"/>
    <cellStyle name="표준 10 6 3 11" xfId="24929"/>
    <cellStyle name="표준 10 6 3 2" xfId="4932"/>
    <cellStyle name="표준 10 6 3 2 2" xfId="6759"/>
    <cellStyle name="표준 10 6 3 2 2 2" xfId="15768"/>
    <cellStyle name="표준 10 6 3 2 2 2 2" xfId="36644"/>
    <cellStyle name="표준 10 6 3 2 2 3" xfId="27906"/>
    <cellStyle name="표준 10 6 3 2 3" xfId="13950"/>
    <cellStyle name="표준 10 6 3 2 3 2" xfId="34826"/>
    <cellStyle name="표준 10 6 3 2 4" xfId="26088"/>
    <cellStyle name="표준 10 6 3 3" xfId="5612"/>
    <cellStyle name="표준 10 6 3 3 2" xfId="14621"/>
    <cellStyle name="표준 10 6 3 3 2 2" xfId="35497"/>
    <cellStyle name="표준 10 6 3 3 3" xfId="26759"/>
    <cellStyle name="표준 10 6 3 4" xfId="7405"/>
    <cellStyle name="표준 10 6 3 4 2" xfId="16412"/>
    <cellStyle name="표준 10 6 3 4 2 2" xfId="37288"/>
    <cellStyle name="표준 10 6 3 4 3" xfId="28550"/>
    <cellStyle name="표준 10 6 3 5" xfId="8049"/>
    <cellStyle name="표준 10 6 3 5 2" xfId="17055"/>
    <cellStyle name="표준 10 6 3 5 2 2" xfId="37931"/>
    <cellStyle name="표준 10 6 3 5 3" xfId="29193"/>
    <cellStyle name="표준 10 6 3 6" xfId="8897"/>
    <cellStyle name="표준 10 6 3 6 2" xfId="17902"/>
    <cellStyle name="표준 10 6 3 6 2 2" xfId="38778"/>
    <cellStyle name="표준 10 6 3 6 3" xfId="30040"/>
    <cellStyle name="표준 10 6 3 7" xfId="9722"/>
    <cellStyle name="표준 10 6 3 7 2" xfId="18720"/>
    <cellStyle name="표준 10 6 3 7 2 2" xfId="39596"/>
    <cellStyle name="표준 10 6 3 7 3" xfId="30858"/>
    <cellStyle name="표준 10 6 3 8" xfId="10777"/>
    <cellStyle name="표준 10 6 3 8 2" xfId="19548"/>
    <cellStyle name="표준 10 6 3 8 2 2" xfId="40424"/>
    <cellStyle name="표준 10 6 3 8 3" xfId="31688"/>
    <cellStyle name="표준 10 6 3 9" xfId="11643"/>
    <cellStyle name="표준 10 6 3 9 2" xfId="20409"/>
    <cellStyle name="표준 10 6 3 9 2 2" xfId="41285"/>
    <cellStyle name="표준 10 6 3 9 3" xfId="32549"/>
    <cellStyle name="표준 10 6 4" xfId="4498"/>
    <cellStyle name="표준 10 6 4 2" xfId="6332"/>
    <cellStyle name="표준 10 6 4 2 2" xfId="15341"/>
    <cellStyle name="표준 10 6 4 2 2 2" xfId="36217"/>
    <cellStyle name="표준 10 6 4 2 3" xfId="27479"/>
    <cellStyle name="표준 10 6 4 3" xfId="10995"/>
    <cellStyle name="표준 10 6 4 3 2" xfId="19765"/>
    <cellStyle name="표준 10 6 4 3 2 2" xfId="40641"/>
    <cellStyle name="표준 10 6 4 3 3" xfId="31905"/>
    <cellStyle name="표준 10 6 4 4" xfId="11860"/>
    <cellStyle name="표준 10 6 4 4 2" xfId="20626"/>
    <cellStyle name="표준 10 6 4 4 2 2" xfId="41502"/>
    <cellStyle name="표준 10 6 4 4 3" xfId="32766"/>
    <cellStyle name="표준 10 6 4 5" xfId="13523"/>
    <cellStyle name="표준 10 6 4 5 2" xfId="34399"/>
    <cellStyle name="표준 10 6 4 6" xfId="25661"/>
    <cellStyle name="표준 10 6 5" xfId="5175"/>
    <cellStyle name="표준 10 6 5 2" xfId="14184"/>
    <cellStyle name="표준 10 6 5 2 2" xfId="35060"/>
    <cellStyle name="표준 10 6 5 3" xfId="26322"/>
    <cellStyle name="표준 10 6 6" xfId="6977"/>
    <cellStyle name="표준 10 6 6 2" xfId="15985"/>
    <cellStyle name="표준 10 6 6 2 2" xfId="36861"/>
    <cellStyle name="표준 10 6 6 3" xfId="28123"/>
    <cellStyle name="표준 10 6 7" xfId="7622"/>
    <cellStyle name="표준 10 6 7 2" xfId="16628"/>
    <cellStyle name="표준 10 6 7 2 2" xfId="37504"/>
    <cellStyle name="표준 10 6 7 3" xfId="28766"/>
    <cellStyle name="표준 10 6 8" xfId="8470"/>
    <cellStyle name="표준 10 6 8 2" xfId="17475"/>
    <cellStyle name="표준 10 6 8 2 2" xfId="38351"/>
    <cellStyle name="표준 10 6 8 3" xfId="29613"/>
    <cellStyle name="표준 10 6 9" xfId="9294"/>
    <cellStyle name="표준 10 6 9 2" xfId="18293"/>
    <cellStyle name="표준 10 6 9 2 2" xfId="39169"/>
    <cellStyle name="표준 10 6 9 3" xfId="30431"/>
    <cellStyle name="표준 10 7" xfId="2890"/>
    <cellStyle name="표준 10 7 10" xfId="10351"/>
    <cellStyle name="표준 10 7 10 2" xfId="19122"/>
    <cellStyle name="표준 10 7 10 2 2" xfId="39998"/>
    <cellStyle name="표준 10 7 10 3" xfId="31262"/>
    <cellStyle name="표준 10 7 11" xfId="11217"/>
    <cellStyle name="표준 10 7 11 2" xfId="19983"/>
    <cellStyle name="표준 10 7 11 2 2" xfId="40859"/>
    <cellStyle name="표준 10 7 11 3" xfId="32123"/>
    <cellStyle name="표준 10 7 12" xfId="12365"/>
    <cellStyle name="표준 10 7 12 2" xfId="33243"/>
    <cellStyle name="표준 10 7 13" xfId="24493"/>
    <cellStyle name="표준 10 7 2" xfId="3108"/>
    <cellStyle name="표준 10 7 2 10" xfId="11427"/>
    <cellStyle name="표준 10 7 2 10 2" xfId="20193"/>
    <cellStyle name="표준 10 7 2 10 2 2" xfId="41069"/>
    <cellStyle name="표준 10 7 2 10 3" xfId="32333"/>
    <cellStyle name="표준 10 7 2 11" xfId="12576"/>
    <cellStyle name="표준 10 7 2 11 2" xfId="33453"/>
    <cellStyle name="표준 10 7 2 12" xfId="24703"/>
    <cellStyle name="표준 10 7 2 2" xfId="3550"/>
    <cellStyle name="표준 10 7 2 2 2" xfId="5823"/>
    <cellStyle name="표준 10 7 2 2 2 2" xfId="14832"/>
    <cellStyle name="표준 10 7 2 2 2 2 2" xfId="35708"/>
    <cellStyle name="표준 10 7 2 2 2 3" xfId="26970"/>
    <cellStyle name="표준 10 7 2 2 3" xfId="13013"/>
    <cellStyle name="표준 10 7 2 2 3 2" xfId="33890"/>
    <cellStyle name="표준 10 7 2 2 4" xfId="25140"/>
    <cellStyle name="표준 10 7 2 3" xfId="4711"/>
    <cellStyle name="표준 10 7 2 3 2" xfId="6543"/>
    <cellStyle name="표준 10 7 2 3 2 2" xfId="15552"/>
    <cellStyle name="표준 10 7 2 3 2 2 2" xfId="36428"/>
    <cellStyle name="표준 10 7 2 3 2 3" xfId="27690"/>
    <cellStyle name="표준 10 7 2 3 3" xfId="13734"/>
    <cellStyle name="표준 10 7 2 3 3 2" xfId="34610"/>
    <cellStyle name="표준 10 7 2 3 4" xfId="25872"/>
    <cellStyle name="표준 10 7 2 4" xfId="5386"/>
    <cellStyle name="표준 10 7 2 4 2" xfId="14395"/>
    <cellStyle name="표준 10 7 2 4 2 2" xfId="35271"/>
    <cellStyle name="표준 10 7 2 4 3" xfId="26533"/>
    <cellStyle name="표준 10 7 2 5" xfId="7189"/>
    <cellStyle name="표준 10 7 2 5 2" xfId="16196"/>
    <cellStyle name="표준 10 7 2 5 2 2" xfId="37072"/>
    <cellStyle name="표준 10 7 2 5 3" xfId="28334"/>
    <cellStyle name="표준 10 7 2 6" xfId="7833"/>
    <cellStyle name="표준 10 7 2 6 2" xfId="16839"/>
    <cellStyle name="표준 10 7 2 6 2 2" xfId="37715"/>
    <cellStyle name="표준 10 7 2 6 3" xfId="28977"/>
    <cellStyle name="표준 10 7 2 7" xfId="8681"/>
    <cellStyle name="표준 10 7 2 7 2" xfId="17686"/>
    <cellStyle name="표준 10 7 2 7 2 2" xfId="38562"/>
    <cellStyle name="표준 10 7 2 7 3" xfId="29824"/>
    <cellStyle name="표준 10 7 2 8" xfId="9506"/>
    <cellStyle name="표준 10 7 2 8 2" xfId="18504"/>
    <cellStyle name="표준 10 7 2 8 2 2" xfId="39380"/>
    <cellStyle name="표준 10 7 2 8 3" xfId="30642"/>
    <cellStyle name="표준 10 7 2 9" xfId="10561"/>
    <cellStyle name="표준 10 7 2 9 2" xfId="19332"/>
    <cellStyle name="표준 10 7 2 9 2 2" xfId="40208"/>
    <cellStyle name="표준 10 7 2 9 3" xfId="31472"/>
    <cellStyle name="표준 10 7 3" xfId="3340"/>
    <cellStyle name="표준 10 7 3 10" xfId="12803"/>
    <cellStyle name="표준 10 7 3 10 2" xfId="33680"/>
    <cellStyle name="표준 10 7 3 11" xfId="24930"/>
    <cellStyle name="표준 10 7 3 2" xfId="4933"/>
    <cellStyle name="표준 10 7 3 2 2" xfId="6760"/>
    <cellStyle name="표준 10 7 3 2 2 2" xfId="15769"/>
    <cellStyle name="표준 10 7 3 2 2 2 2" xfId="36645"/>
    <cellStyle name="표준 10 7 3 2 2 3" xfId="27907"/>
    <cellStyle name="표준 10 7 3 2 3" xfId="13951"/>
    <cellStyle name="표준 10 7 3 2 3 2" xfId="34827"/>
    <cellStyle name="표준 10 7 3 2 4" xfId="26089"/>
    <cellStyle name="표준 10 7 3 3" xfId="5613"/>
    <cellStyle name="표준 10 7 3 3 2" xfId="14622"/>
    <cellStyle name="표준 10 7 3 3 2 2" xfId="35498"/>
    <cellStyle name="표준 10 7 3 3 3" xfId="26760"/>
    <cellStyle name="표준 10 7 3 4" xfId="7406"/>
    <cellStyle name="표준 10 7 3 4 2" xfId="16413"/>
    <cellStyle name="표준 10 7 3 4 2 2" xfId="37289"/>
    <cellStyle name="표준 10 7 3 4 3" xfId="28551"/>
    <cellStyle name="표준 10 7 3 5" xfId="8050"/>
    <cellStyle name="표준 10 7 3 5 2" xfId="17056"/>
    <cellStyle name="표준 10 7 3 5 2 2" xfId="37932"/>
    <cellStyle name="표준 10 7 3 5 3" xfId="29194"/>
    <cellStyle name="표준 10 7 3 6" xfId="8898"/>
    <cellStyle name="표준 10 7 3 6 2" xfId="17903"/>
    <cellStyle name="표준 10 7 3 6 2 2" xfId="38779"/>
    <cellStyle name="표준 10 7 3 6 3" xfId="30041"/>
    <cellStyle name="표준 10 7 3 7" xfId="9723"/>
    <cellStyle name="표준 10 7 3 7 2" xfId="18721"/>
    <cellStyle name="표준 10 7 3 7 2 2" xfId="39597"/>
    <cellStyle name="표준 10 7 3 7 3" xfId="30859"/>
    <cellStyle name="표준 10 7 3 8" xfId="10778"/>
    <cellStyle name="표준 10 7 3 8 2" xfId="19549"/>
    <cellStyle name="표준 10 7 3 8 2 2" xfId="40425"/>
    <cellStyle name="표준 10 7 3 8 3" xfId="31689"/>
    <cellStyle name="표준 10 7 3 9" xfId="11644"/>
    <cellStyle name="표준 10 7 3 9 2" xfId="20410"/>
    <cellStyle name="표준 10 7 3 9 2 2" xfId="41286"/>
    <cellStyle name="표준 10 7 3 9 3" xfId="32550"/>
    <cellStyle name="표준 10 7 4" xfId="4499"/>
    <cellStyle name="표준 10 7 4 2" xfId="6333"/>
    <cellStyle name="표준 10 7 4 2 2" xfId="15342"/>
    <cellStyle name="표준 10 7 4 2 2 2" xfId="36218"/>
    <cellStyle name="표준 10 7 4 2 3" xfId="27480"/>
    <cellStyle name="표준 10 7 4 3" xfId="10996"/>
    <cellStyle name="표준 10 7 4 3 2" xfId="19766"/>
    <cellStyle name="표준 10 7 4 3 2 2" xfId="40642"/>
    <cellStyle name="표준 10 7 4 3 3" xfId="31906"/>
    <cellStyle name="표준 10 7 4 4" xfId="11861"/>
    <cellStyle name="표준 10 7 4 4 2" xfId="20627"/>
    <cellStyle name="표준 10 7 4 4 2 2" xfId="41503"/>
    <cellStyle name="표준 10 7 4 4 3" xfId="32767"/>
    <cellStyle name="표준 10 7 4 5" xfId="13524"/>
    <cellStyle name="표준 10 7 4 5 2" xfId="34400"/>
    <cellStyle name="표준 10 7 4 6" xfId="25662"/>
    <cellStyle name="표준 10 7 5" xfId="5176"/>
    <cellStyle name="표준 10 7 5 2" xfId="14185"/>
    <cellStyle name="표준 10 7 5 2 2" xfId="35061"/>
    <cellStyle name="표준 10 7 5 3" xfId="26323"/>
    <cellStyle name="표준 10 7 6" xfId="6978"/>
    <cellStyle name="표준 10 7 6 2" xfId="15986"/>
    <cellStyle name="표준 10 7 6 2 2" xfId="36862"/>
    <cellStyle name="표준 10 7 6 3" xfId="28124"/>
    <cellStyle name="표준 10 7 7" xfId="7623"/>
    <cellStyle name="표준 10 7 7 2" xfId="16629"/>
    <cellStyle name="표준 10 7 7 2 2" xfId="37505"/>
    <cellStyle name="표준 10 7 7 3" xfId="28767"/>
    <cellStyle name="표준 10 7 8" xfId="8471"/>
    <cellStyle name="표준 10 7 8 2" xfId="17476"/>
    <cellStyle name="표준 10 7 8 2 2" xfId="38352"/>
    <cellStyle name="표준 10 7 8 3" xfId="29614"/>
    <cellStyle name="표준 10 7 9" xfId="9295"/>
    <cellStyle name="표준 10 7 9 2" xfId="18294"/>
    <cellStyle name="표준 10 7 9 2 2" xfId="39170"/>
    <cellStyle name="표준 10 7 9 3" xfId="30432"/>
    <cellStyle name="표준 10 8" xfId="3102"/>
    <cellStyle name="표준 10 8 10" xfId="11421"/>
    <cellStyle name="표준 10 8 10 2" xfId="20187"/>
    <cellStyle name="표준 10 8 10 2 2" xfId="41063"/>
    <cellStyle name="표준 10 8 10 3" xfId="32327"/>
    <cellStyle name="표준 10 8 11" xfId="12570"/>
    <cellStyle name="표준 10 8 11 2" xfId="33447"/>
    <cellStyle name="표준 10 8 12" xfId="24697"/>
    <cellStyle name="표준 10 8 2" xfId="3544"/>
    <cellStyle name="표준 10 8 2 2" xfId="5817"/>
    <cellStyle name="표준 10 8 2 2 2" xfId="14826"/>
    <cellStyle name="표준 10 8 2 2 2 2" xfId="35702"/>
    <cellStyle name="표준 10 8 2 2 3" xfId="26964"/>
    <cellStyle name="표준 10 8 2 3" xfId="13007"/>
    <cellStyle name="표준 10 8 2 3 2" xfId="33884"/>
    <cellStyle name="표준 10 8 2 4" xfId="25134"/>
    <cellStyle name="표준 10 8 3" xfId="4705"/>
    <cellStyle name="표준 10 8 3 2" xfId="6537"/>
    <cellStyle name="표준 10 8 3 2 2" xfId="15546"/>
    <cellStyle name="표준 10 8 3 2 2 2" xfId="36422"/>
    <cellStyle name="표준 10 8 3 2 3" xfId="27684"/>
    <cellStyle name="표준 10 8 3 3" xfId="13728"/>
    <cellStyle name="표준 10 8 3 3 2" xfId="34604"/>
    <cellStyle name="표준 10 8 3 4" xfId="25866"/>
    <cellStyle name="표준 10 8 4" xfId="5380"/>
    <cellStyle name="표준 10 8 4 2" xfId="14389"/>
    <cellStyle name="표준 10 8 4 2 2" xfId="35265"/>
    <cellStyle name="표준 10 8 4 3" xfId="26527"/>
    <cellStyle name="표준 10 8 5" xfId="7183"/>
    <cellStyle name="표준 10 8 5 2" xfId="16190"/>
    <cellStyle name="표준 10 8 5 2 2" xfId="37066"/>
    <cellStyle name="표준 10 8 5 3" xfId="28328"/>
    <cellStyle name="표준 10 8 6" xfId="7827"/>
    <cellStyle name="표준 10 8 6 2" xfId="16833"/>
    <cellStyle name="표준 10 8 6 2 2" xfId="37709"/>
    <cellStyle name="표준 10 8 6 3" xfId="28971"/>
    <cellStyle name="표준 10 8 7" xfId="8675"/>
    <cellStyle name="표준 10 8 7 2" xfId="17680"/>
    <cellStyle name="표준 10 8 7 2 2" xfId="38556"/>
    <cellStyle name="표준 10 8 7 3" xfId="29818"/>
    <cellStyle name="표준 10 8 8" xfId="9500"/>
    <cellStyle name="표준 10 8 8 2" xfId="18498"/>
    <cellStyle name="표준 10 8 8 2 2" xfId="39374"/>
    <cellStyle name="표준 10 8 8 3" xfId="30636"/>
    <cellStyle name="표준 10 8 9" xfId="10555"/>
    <cellStyle name="표준 10 8 9 2" xfId="19326"/>
    <cellStyle name="표준 10 8 9 2 2" xfId="40202"/>
    <cellStyle name="표준 10 8 9 3" xfId="31466"/>
    <cellStyle name="표준 10 9" xfId="3334"/>
    <cellStyle name="표준 10 9 10" xfId="12797"/>
    <cellStyle name="표준 10 9 10 2" xfId="33674"/>
    <cellStyle name="표준 10 9 11" xfId="24924"/>
    <cellStyle name="표준 10 9 2" xfId="4927"/>
    <cellStyle name="표준 10 9 2 2" xfId="6754"/>
    <cellStyle name="표준 10 9 2 2 2" xfId="15763"/>
    <cellStyle name="표준 10 9 2 2 2 2" xfId="36639"/>
    <cellStyle name="표준 10 9 2 2 3" xfId="27901"/>
    <cellStyle name="표준 10 9 2 3" xfId="13945"/>
    <cellStyle name="표준 10 9 2 3 2" xfId="34821"/>
    <cellStyle name="표준 10 9 2 4" xfId="26083"/>
    <cellStyle name="표준 10 9 3" xfId="5607"/>
    <cellStyle name="표준 10 9 3 2" xfId="14616"/>
    <cellStyle name="표준 10 9 3 2 2" xfId="35492"/>
    <cellStyle name="표준 10 9 3 3" xfId="26754"/>
    <cellStyle name="표준 10 9 4" xfId="7400"/>
    <cellStyle name="표준 10 9 4 2" xfId="16407"/>
    <cellStyle name="표준 10 9 4 2 2" xfId="37283"/>
    <cellStyle name="표준 10 9 4 3" xfId="28545"/>
    <cellStyle name="표준 10 9 5" xfId="8044"/>
    <cellStyle name="표준 10 9 5 2" xfId="17050"/>
    <cellStyle name="표준 10 9 5 2 2" xfId="37926"/>
    <cellStyle name="표준 10 9 5 3" xfId="29188"/>
    <cellStyle name="표준 10 9 6" xfId="8892"/>
    <cellStyle name="표준 10 9 6 2" xfId="17897"/>
    <cellStyle name="표준 10 9 6 2 2" xfId="38773"/>
    <cellStyle name="표준 10 9 6 3" xfId="30035"/>
    <cellStyle name="표준 10 9 7" xfId="9717"/>
    <cellStyle name="표준 10 9 7 2" xfId="18715"/>
    <cellStyle name="표준 10 9 7 2 2" xfId="39591"/>
    <cellStyle name="표준 10 9 7 3" xfId="30853"/>
    <cellStyle name="표준 10 9 8" xfId="10772"/>
    <cellStyle name="표준 10 9 8 2" xfId="19543"/>
    <cellStyle name="표준 10 9 8 2 2" xfId="40419"/>
    <cellStyle name="표준 10 9 8 3" xfId="31683"/>
    <cellStyle name="표준 10 9 9" xfId="11638"/>
    <cellStyle name="표준 10 9 9 2" xfId="20404"/>
    <cellStyle name="표준 10 9 9 2 2" xfId="41280"/>
    <cellStyle name="표준 10 9 9 3" xfId="32544"/>
    <cellStyle name="표준 11" xfId="2891"/>
    <cellStyle name="표준 11 10" xfId="4500"/>
    <cellStyle name="표준 11 10 2" xfId="6334"/>
    <cellStyle name="표준 11 10 2 2" xfId="15343"/>
    <cellStyle name="표준 11 10 2 2 2" xfId="36219"/>
    <cellStyle name="표준 11 10 2 3" xfId="27481"/>
    <cellStyle name="표준 11 10 3" xfId="10997"/>
    <cellStyle name="표준 11 10 3 2" xfId="19767"/>
    <cellStyle name="표준 11 10 3 2 2" xfId="40643"/>
    <cellStyle name="표준 11 10 3 3" xfId="31907"/>
    <cellStyle name="표준 11 10 4" xfId="11862"/>
    <cellStyle name="표준 11 10 4 2" xfId="20628"/>
    <cellStyle name="표준 11 10 4 2 2" xfId="41504"/>
    <cellStyle name="표준 11 10 4 3" xfId="32768"/>
    <cellStyle name="표준 11 10 5" xfId="13525"/>
    <cellStyle name="표준 11 10 5 2" xfId="34401"/>
    <cellStyle name="표준 11 10 6" xfId="25663"/>
    <cellStyle name="표준 11 11" xfId="5177"/>
    <cellStyle name="표준 11 11 2" xfId="14186"/>
    <cellStyle name="표준 11 11 2 2" xfId="35062"/>
    <cellStyle name="표준 11 11 3" xfId="26324"/>
    <cellStyle name="표준 11 12" xfId="6979"/>
    <cellStyle name="표준 11 12 2" xfId="15987"/>
    <cellStyle name="표준 11 12 2 2" xfId="36863"/>
    <cellStyle name="표준 11 12 3" xfId="28125"/>
    <cellStyle name="표준 11 13" xfId="7624"/>
    <cellStyle name="표준 11 13 2" xfId="16630"/>
    <cellStyle name="표준 11 13 2 2" xfId="37506"/>
    <cellStyle name="표준 11 13 3" xfId="28768"/>
    <cellStyle name="표준 11 14" xfId="8472"/>
    <cellStyle name="표준 11 14 2" xfId="17477"/>
    <cellStyle name="표준 11 14 2 2" xfId="38353"/>
    <cellStyle name="표준 11 14 3" xfId="29615"/>
    <cellStyle name="표준 11 15" xfId="9296"/>
    <cellStyle name="표준 11 15 2" xfId="18295"/>
    <cellStyle name="표준 11 15 2 2" xfId="39171"/>
    <cellStyle name="표준 11 15 3" xfId="30433"/>
    <cellStyle name="표준 11 16" xfId="9972"/>
    <cellStyle name="표준 11 17" xfId="10352"/>
    <cellStyle name="표준 11 17 2" xfId="19123"/>
    <cellStyle name="표준 11 17 2 2" xfId="39999"/>
    <cellStyle name="표준 11 17 3" xfId="31263"/>
    <cellStyle name="표준 11 18" xfId="11218"/>
    <cellStyle name="표준 11 18 2" xfId="19984"/>
    <cellStyle name="표준 11 18 2 2" xfId="40860"/>
    <cellStyle name="표준 11 18 3" xfId="32124"/>
    <cellStyle name="표준 11 19" xfId="12366"/>
    <cellStyle name="표준 11 19 2" xfId="33244"/>
    <cellStyle name="표준 11 2" xfId="2892"/>
    <cellStyle name="표준 11 2 10" xfId="9297"/>
    <cellStyle name="표준 11 2 10 2" xfId="18296"/>
    <cellStyle name="표준 11 2 10 2 2" xfId="39172"/>
    <cellStyle name="표준 11 2 10 3" xfId="30434"/>
    <cellStyle name="표준 11 2 11" xfId="10353"/>
    <cellStyle name="표준 11 2 11 2" xfId="19124"/>
    <cellStyle name="표준 11 2 11 2 2" xfId="40000"/>
    <cellStyle name="표준 11 2 11 3" xfId="31264"/>
    <cellStyle name="표준 11 2 12" xfId="11219"/>
    <cellStyle name="표준 11 2 12 2" xfId="19985"/>
    <cellStyle name="표준 11 2 12 2 2" xfId="40861"/>
    <cellStyle name="표준 11 2 12 3" xfId="32125"/>
    <cellStyle name="표준 11 2 13" xfId="12367"/>
    <cellStyle name="표준 11 2 13 2" xfId="33245"/>
    <cellStyle name="표준 11 2 14" xfId="24495"/>
    <cellStyle name="표준 11 2 2" xfId="3110"/>
    <cellStyle name="표준 11 2 2 10" xfId="11429"/>
    <cellStyle name="표준 11 2 2 10 2" xfId="20195"/>
    <cellStyle name="표준 11 2 2 10 2 2" xfId="41071"/>
    <cellStyle name="표준 11 2 2 10 3" xfId="32335"/>
    <cellStyle name="표준 11 2 2 11" xfId="12578"/>
    <cellStyle name="표준 11 2 2 11 2" xfId="33455"/>
    <cellStyle name="표준 11 2 2 12" xfId="24705"/>
    <cellStyle name="표준 11 2 2 2" xfId="3552"/>
    <cellStyle name="표준 11 2 2 2 2" xfId="5825"/>
    <cellStyle name="표준 11 2 2 2 2 2" xfId="14834"/>
    <cellStyle name="표준 11 2 2 2 2 2 2" xfId="35710"/>
    <cellStyle name="표준 11 2 2 2 2 3" xfId="26972"/>
    <cellStyle name="표준 11 2 2 2 3" xfId="13015"/>
    <cellStyle name="표준 11 2 2 2 3 2" xfId="33892"/>
    <cellStyle name="표준 11 2 2 2 4" xfId="25142"/>
    <cellStyle name="표준 11 2 2 3" xfId="4713"/>
    <cellStyle name="표준 11 2 2 3 2" xfId="6545"/>
    <cellStyle name="표준 11 2 2 3 2 2" xfId="15554"/>
    <cellStyle name="표준 11 2 2 3 2 2 2" xfId="36430"/>
    <cellStyle name="표준 11 2 2 3 2 3" xfId="27692"/>
    <cellStyle name="표준 11 2 2 3 3" xfId="13736"/>
    <cellStyle name="표준 11 2 2 3 3 2" xfId="34612"/>
    <cellStyle name="표준 11 2 2 3 4" xfId="25874"/>
    <cellStyle name="표준 11 2 2 4" xfId="5388"/>
    <cellStyle name="표준 11 2 2 4 2" xfId="14397"/>
    <cellStyle name="표준 11 2 2 4 2 2" xfId="35273"/>
    <cellStyle name="표준 11 2 2 4 3" xfId="26535"/>
    <cellStyle name="표준 11 2 2 5" xfId="7191"/>
    <cellStyle name="표준 11 2 2 5 2" xfId="16198"/>
    <cellStyle name="표준 11 2 2 5 2 2" xfId="37074"/>
    <cellStyle name="표준 11 2 2 5 3" xfId="28336"/>
    <cellStyle name="표준 11 2 2 6" xfId="7835"/>
    <cellStyle name="표준 11 2 2 6 2" xfId="16841"/>
    <cellStyle name="표준 11 2 2 6 2 2" xfId="37717"/>
    <cellStyle name="표준 11 2 2 6 3" xfId="28979"/>
    <cellStyle name="표준 11 2 2 7" xfId="8683"/>
    <cellStyle name="표준 11 2 2 7 2" xfId="17688"/>
    <cellStyle name="표준 11 2 2 7 2 2" xfId="38564"/>
    <cellStyle name="표준 11 2 2 7 3" xfId="29826"/>
    <cellStyle name="표준 11 2 2 8" xfId="9508"/>
    <cellStyle name="표준 11 2 2 8 2" xfId="18506"/>
    <cellStyle name="표준 11 2 2 8 2 2" xfId="39382"/>
    <cellStyle name="표준 11 2 2 8 3" xfId="30644"/>
    <cellStyle name="표준 11 2 2 9" xfId="10563"/>
    <cellStyle name="표준 11 2 2 9 2" xfId="19334"/>
    <cellStyle name="표준 11 2 2 9 2 2" xfId="40210"/>
    <cellStyle name="표준 11 2 2 9 3" xfId="31474"/>
    <cellStyle name="표준 11 2 3" xfId="3342"/>
    <cellStyle name="표준 11 2 3 10" xfId="12805"/>
    <cellStyle name="표준 11 2 3 10 2" xfId="33682"/>
    <cellStyle name="표준 11 2 3 11" xfId="24932"/>
    <cellStyle name="표준 11 2 3 2" xfId="4935"/>
    <cellStyle name="표준 11 2 3 2 2" xfId="6762"/>
    <cellStyle name="표준 11 2 3 2 2 2" xfId="15771"/>
    <cellStyle name="표준 11 2 3 2 2 2 2" xfId="36647"/>
    <cellStyle name="표준 11 2 3 2 2 3" xfId="27909"/>
    <cellStyle name="표준 11 2 3 2 3" xfId="13953"/>
    <cellStyle name="표준 11 2 3 2 3 2" xfId="34829"/>
    <cellStyle name="표준 11 2 3 2 4" xfId="26091"/>
    <cellStyle name="표준 11 2 3 3" xfId="5615"/>
    <cellStyle name="표준 11 2 3 3 2" xfId="14624"/>
    <cellStyle name="표준 11 2 3 3 2 2" xfId="35500"/>
    <cellStyle name="표준 11 2 3 3 3" xfId="26762"/>
    <cellStyle name="표준 11 2 3 4" xfId="7408"/>
    <cellStyle name="표준 11 2 3 4 2" xfId="16415"/>
    <cellStyle name="표준 11 2 3 4 2 2" xfId="37291"/>
    <cellStyle name="표준 11 2 3 4 3" xfId="28553"/>
    <cellStyle name="표준 11 2 3 5" xfId="8052"/>
    <cellStyle name="표준 11 2 3 5 2" xfId="17058"/>
    <cellStyle name="표준 11 2 3 5 2 2" xfId="37934"/>
    <cellStyle name="표준 11 2 3 5 3" xfId="29196"/>
    <cellStyle name="표준 11 2 3 6" xfId="8900"/>
    <cellStyle name="표준 11 2 3 6 2" xfId="17905"/>
    <cellStyle name="표준 11 2 3 6 2 2" xfId="38781"/>
    <cellStyle name="표준 11 2 3 6 3" xfId="30043"/>
    <cellStyle name="표준 11 2 3 7" xfId="9725"/>
    <cellStyle name="표준 11 2 3 7 2" xfId="18723"/>
    <cellStyle name="표준 11 2 3 7 2 2" xfId="39599"/>
    <cellStyle name="표준 11 2 3 7 3" xfId="30861"/>
    <cellStyle name="표준 11 2 3 8" xfId="10780"/>
    <cellStyle name="표준 11 2 3 8 2" xfId="19551"/>
    <cellStyle name="표준 11 2 3 8 2 2" xfId="40427"/>
    <cellStyle name="표준 11 2 3 8 3" xfId="31691"/>
    <cellStyle name="표준 11 2 3 9" xfId="11646"/>
    <cellStyle name="표준 11 2 3 9 2" xfId="20412"/>
    <cellStyle name="표준 11 2 3 9 2 2" xfId="41288"/>
    <cellStyle name="표준 11 2 3 9 3" xfId="32552"/>
    <cellStyle name="표준 11 2 4" xfId="4501"/>
    <cellStyle name="표준 11 2 4 2" xfId="6335"/>
    <cellStyle name="표준 11 2 4 2 2" xfId="15344"/>
    <cellStyle name="표준 11 2 4 2 2 2" xfId="36220"/>
    <cellStyle name="표준 11 2 4 2 3" xfId="27482"/>
    <cellStyle name="표준 11 2 4 3" xfId="10998"/>
    <cellStyle name="표준 11 2 4 3 2" xfId="19768"/>
    <cellStyle name="표준 11 2 4 3 2 2" xfId="40644"/>
    <cellStyle name="표준 11 2 4 3 3" xfId="31908"/>
    <cellStyle name="표준 11 2 4 4" xfId="11863"/>
    <cellStyle name="표준 11 2 4 4 2" xfId="20629"/>
    <cellStyle name="표준 11 2 4 4 2 2" xfId="41505"/>
    <cellStyle name="표준 11 2 4 4 3" xfId="32769"/>
    <cellStyle name="표준 11 2 4 5" xfId="13526"/>
    <cellStyle name="표준 11 2 4 5 2" xfId="34402"/>
    <cellStyle name="표준 11 2 4 6" xfId="25664"/>
    <cellStyle name="표준 11 2 5" xfId="3996"/>
    <cellStyle name="표준 11 2 6" xfId="5178"/>
    <cellStyle name="표준 11 2 6 2" xfId="14187"/>
    <cellStyle name="표준 11 2 6 2 2" xfId="35063"/>
    <cellStyle name="표준 11 2 6 3" xfId="26325"/>
    <cellStyle name="표준 11 2 7" xfId="6980"/>
    <cellStyle name="표준 11 2 7 2" xfId="15988"/>
    <cellStyle name="표준 11 2 7 2 2" xfId="36864"/>
    <cellStyle name="표준 11 2 7 3" xfId="28126"/>
    <cellStyle name="표준 11 2 8" xfId="7625"/>
    <cellStyle name="표준 11 2 8 2" xfId="16631"/>
    <cellStyle name="표준 11 2 8 2 2" xfId="37507"/>
    <cellStyle name="표준 11 2 8 3" xfId="28769"/>
    <cellStyle name="표준 11 2 9" xfId="8473"/>
    <cellStyle name="표준 11 2 9 2" xfId="17478"/>
    <cellStyle name="표준 11 2 9 2 2" xfId="38354"/>
    <cellStyle name="표준 11 2 9 3" xfId="29616"/>
    <cellStyle name="표준 11 20" xfId="24494"/>
    <cellStyle name="표준 11 3" xfId="2893"/>
    <cellStyle name="표준 11 3 10" xfId="9298"/>
    <cellStyle name="표준 11 3 10 2" xfId="18297"/>
    <cellStyle name="표준 11 3 10 2 2" xfId="39173"/>
    <cellStyle name="표준 11 3 10 3" xfId="30435"/>
    <cellStyle name="표준 11 3 11" xfId="10354"/>
    <cellStyle name="표준 11 3 11 2" xfId="19125"/>
    <cellStyle name="표준 11 3 11 2 2" xfId="40001"/>
    <cellStyle name="표준 11 3 11 3" xfId="31265"/>
    <cellStyle name="표준 11 3 12" xfId="11220"/>
    <cellStyle name="표준 11 3 12 2" xfId="19986"/>
    <cellStyle name="표준 11 3 12 2 2" xfId="40862"/>
    <cellStyle name="표준 11 3 12 3" xfId="32126"/>
    <cellStyle name="표준 11 3 13" xfId="12368"/>
    <cellStyle name="표준 11 3 13 2" xfId="33246"/>
    <cellStyle name="표준 11 3 14" xfId="24496"/>
    <cellStyle name="표준 11 3 2" xfId="3111"/>
    <cellStyle name="표준 11 3 2 10" xfId="11430"/>
    <cellStyle name="표준 11 3 2 10 2" xfId="20196"/>
    <cellStyle name="표준 11 3 2 10 2 2" xfId="41072"/>
    <cellStyle name="표준 11 3 2 10 3" xfId="32336"/>
    <cellStyle name="표준 11 3 2 11" xfId="12579"/>
    <cellStyle name="표준 11 3 2 11 2" xfId="33456"/>
    <cellStyle name="표준 11 3 2 12" xfId="24706"/>
    <cellStyle name="표준 11 3 2 2" xfId="3553"/>
    <cellStyle name="표준 11 3 2 2 2" xfId="5826"/>
    <cellStyle name="표준 11 3 2 2 2 2" xfId="14835"/>
    <cellStyle name="표준 11 3 2 2 2 2 2" xfId="35711"/>
    <cellStyle name="표준 11 3 2 2 2 3" xfId="26973"/>
    <cellStyle name="표준 11 3 2 2 3" xfId="13016"/>
    <cellStyle name="표준 11 3 2 2 3 2" xfId="33893"/>
    <cellStyle name="표준 11 3 2 2 4" xfId="25143"/>
    <cellStyle name="표준 11 3 2 3" xfId="4714"/>
    <cellStyle name="표준 11 3 2 3 2" xfId="6546"/>
    <cellStyle name="표준 11 3 2 3 2 2" xfId="15555"/>
    <cellStyle name="표준 11 3 2 3 2 2 2" xfId="36431"/>
    <cellStyle name="표준 11 3 2 3 2 3" xfId="27693"/>
    <cellStyle name="표준 11 3 2 3 3" xfId="13737"/>
    <cellStyle name="표준 11 3 2 3 3 2" xfId="34613"/>
    <cellStyle name="표준 11 3 2 3 4" xfId="25875"/>
    <cellStyle name="표준 11 3 2 4" xfId="5389"/>
    <cellStyle name="표준 11 3 2 4 2" xfId="14398"/>
    <cellStyle name="표준 11 3 2 4 2 2" xfId="35274"/>
    <cellStyle name="표준 11 3 2 4 3" xfId="26536"/>
    <cellStyle name="표준 11 3 2 5" xfId="7192"/>
    <cellStyle name="표준 11 3 2 5 2" xfId="16199"/>
    <cellStyle name="표준 11 3 2 5 2 2" xfId="37075"/>
    <cellStyle name="표준 11 3 2 5 3" xfId="28337"/>
    <cellStyle name="표준 11 3 2 6" xfId="7836"/>
    <cellStyle name="표준 11 3 2 6 2" xfId="16842"/>
    <cellStyle name="표준 11 3 2 6 2 2" xfId="37718"/>
    <cellStyle name="표준 11 3 2 6 3" xfId="28980"/>
    <cellStyle name="표준 11 3 2 7" xfId="8684"/>
    <cellStyle name="표준 11 3 2 7 2" xfId="17689"/>
    <cellStyle name="표준 11 3 2 7 2 2" xfId="38565"/>
    <cellStyle name="표준 11 3 2 7 3" xfId="29827"/>
    <cellStyle name="표준 11 3 2 8" xfId="9509"/>
    <cellStyle name="표준 11 3 2 8 2" xfId="18507"/>
    <cellStyle name="표준 11 3 2 8 2 2" xfId="39383"/>
    <cellStyle name="표준 11 3 2 8 3" xfId="30645"/>
    <cellStyle name="표준 11 3 2 9" xfId="10564"/>
    <cellStyle name="표준 11 3 2 9 2" xfId="19335"/>
    <cellStyle name="표준 11 3 2 9 2 2" xfId="40211"/>
    <cellStyle name="표준 11 3 2 9 3" xfId="31475"/>
    <cellStyle name="표준 11 3 3" xfId="3343"/>
    <cellStyle name="표준 11 3 3 10" xfId="12806"/>
    <cellStyle name="표준 11 3 3 10 2" xfId="33683"/>
    <cellStyle name="표준 11 3 3 11" xfId="24933"/>
    <cellStyle name="표준 11 3 3 2" xfId="4936"/>
    <cellStyle name="표준 11 3 3 2 2" xfId="6763"/>
    <cellStyle name="표준 11 3 3 2 2 2" xfId="15772"/>
    <cellStyle name="표준 11 3 3 2 2 2 2" xfId="36648"/>
    <cellStyle name="표준 11 3 3 2 2 3" xfId="27910"/>
    <cellStyle name="표준 11 3 3 2 3" xfId="13954"/>
    <cellStyle name="표준 11 3 3 2 3 2" xfId="34830"/>
    <cellStyle name="표준 11 3 3 2 4" xfId="26092"/>
    <cellStyle name="표준 11 3 3 3" xfId="5616"/>
    <cellStyle name="표준 11 3 3 3 2" xfId="14625"/>
    <cellStyle name="표준 11 3 3 3 2 2" xfId="35501"/>
    <cellStyle name="표준 11 3 3 3 3" xfId="26763"/>
    <cellStyle name="표준 11 3 3 4" xfId="7409"/>
    <cellStyle name="표준 11 3 3 4 2" xfId="16416"/>
    <cellStyle name="표준 11 3 3 4 2 2" xfId="37292"/>
    <cellStyle name="표준 11 3 3 4 3" xfId="28554"/>
    <cellStyle name="표준 11 3 3 5" xfId="8053"/>
    <cellStyle name="표준 11 3 3 5 2" xfId="17059"/>
    <cellStyle name="표준 11 3 3 5 2 2" xfId="37935"/>
    <cellStyle name="표준 11 3 3 5 3" xfId="29197"/>
    <cellStyle name="표준 11 3 3 6" xfId="8901"/>
    <cellStyle name="표준 11 3 3 6 2" xfId="17906"/>
    <cellStyle name="표준 11 3 3 6 2 2" xfId="38782"/>
    <cellStyle name="표준 11 3 3 6 3" xfId="30044"/>
    <cellStyle name="표준 11 3 3 7" xfId="9726"/>
    <cellStyle name="표준 11 3 3 7 2" xfId="18724"/>
    <cellStyle name="표준 11 3 3 7 2 2" xfId="39600"/>
    <cellStyle name="표준 11 3 3 7 3" xfId="30862"/>
    <cellStyle name="표준 11 3 3 8" xfId="10781"/>
    <cellStyle name="표준 11 3 3 8 2" xfId="19552"/>
    <cellStyle name="표준 11 3 3 8 2 2" xfId="40428"/>
    <cellStyle name="표준 11 3 3 8 3" xfId="31692"/>
    <cellStyle name="표준 11 3 3 9" xfId="11647"/>
    <cellStyle name="표준 11 3 3 9 2" xfId="20413"/>
    <cellStyle name="표준 11 3 3 9 2 2" xfId="41289"/>
    <cellStyle name="표준 11 3 3 9 3" xfId="32553"/>
    <cellStyle name="표준 11 3 4" xfId="4502"/>
    <cellStyle name="표준 11 3 4 2" xfId="6336"/>
    <cellStyle name="표준 11 3 4 2 2" xfId="15345"/>
    <cellStyle name="표준 11 3 4 2 2 2" xfId="36221"/>
    <cellStyle name="표준 11 3 4 2 3" xfId="27483"/>
    <cellStyle name="표준 11 3 4 3" xfId="10999"/>
    <cellStyle name="표준 11 3 4 3 2" xfId="19769"/>
    <cellStyle name="표준 11 3 4 3 2 2" xfId="40645"/>
    <cellStyle name="표준 11 3 4 3 3" xfId="31909"/>
    <cellStyle name="표준 11 3 4 4" xfId="11864"/>
    <cellStyle name="표준 11 3 4 4 2" xfId="20630"/>
    <cellStyle name="표준 11 3 4 4 2 2" xfId="41506"/>
    <cellStyle name="표준 11 3 4 4 3" xfId="32770"/>
    <cellStyle name="표준 11 3 4 5" xfId="13527"/>
    <cellStyle name="표준 11 3 4 5 2" xfId="34403"/>
    <cellStyle name="표준 11 3 4 6" xfId="25665"/>
    <cellStyle name="표준 11 3 5" xfId="3995"/>
    <cellStyle name="표준 11 3 6" xfId="5179"/>
    <cellStyle name="표준 11 3 6 2" xfId="14188"/>
    <cellStyle name="표준 11 3 6 2 2" xfId="35064"/>
    <cellStyle name="표준 11 3 6 3" xfId="26326"/>
    <cellStyle name="표준 11 3 7" xfId="6981"/>
    <cellStyle name="표준 11 3 7 2" xfId="15989"/>
    <cellStyle name="표준 11 3 7 2 2" xfId="36865"/>
    <cellStyle name="표준 11 3 7 3" xfId="28127"/>
    <cellStyle name="표준 11 3 8" xfId="7626"/>
    <cellStyle name="표준 11 3 8 2" xfId="16632"/>
    <cellStyle name="표준 11 3 8 2 2" xfId="37508"/>
    <cellStyle name="표준 11 3 8 3" xfId="28770"/>
    <cellStyle name="표준 11 3 9" xfId="8474"/>
    <cellStyle name="표준 11 3 9 2" xfId="17479"/>
    <cellStyle name="표준 11 3 9 2 2" xfId="38355"/>
    <cellStyle name="표준 11 3 9 3" xfId="29617"/>
    <cellStyle name="표준 11 4" xfId="2894"/>
    <cellStyle name="표준 11 4 10" xfId="9299"/>
    <cellStyle name="표준 11 4 10 2" xfId="18298"/>
    <cellStyle name="표준 11 4 10 2 2" xfId="39174"/>
    <cellStyle name="표준 11 4 10 3" xfId="30436"/>
    <cellStyle name="표준 11 4 11" xfId="10355"/>
    <cellStyle name="표준 11 4 11 2" xfId="19126"/>
    <cellStyle name="표준 11 4 11 2 2" xfId="40002"/>
    <cellStyle name="표준 11 4 11 3" xfId="31266"/>
    <cellStyle name="표준 11 4 12" xfId="11221"/>
    <cellStyle name="표준 11 4 12 2" xfId="19987"/>
    <cellStyle name="표준 11 4 12 2 2" xfId="40863"/>
    <cellStyle name="표준 11 4 12 3" xfId="32127"/>
    <cellStyle name="표준 11 4 13" xfId="12369"/>
    <cellStyle name="표준 11 4 13 2" xfId="33247"/>
    <cellStyle name="표준 11 4 14" xfId="24497"/>
    <cellStyle name="표준 11 4 2" xfId="3112"/>
    <cellStyle name="표준 11 4 2 10" xfId="11431"/>
    <cellStyle name="표준 11 4 2 10 2" xfId="20197"/>
    <cellStyle name="표준 11 4 2 10 2 2" xfId="41073"/>
    <cellStyle name="표준 11 4 2 10 3" xfId="32337"/>
    <cellStyle name="표준 11 4 2 11" xfId="12580"/>
    <cellStyle name="표준 11 4 2 11 2" xfId="33457"/>
    <cellStyle name="표준 11 4 2 12" xfId="24707"/>
    <cellStyle name="표준 11 4 2 2" xfId="3554"/>
    <cellStyle name="표준 11 4 2 2 2" xfId="5827"/>
    <cellStyle name="표준 11 4 2 2 2 2" xfId="14836"/>
    <cellStyle name="표준 11 4 2 2 2 2 2" xfId="35712"/>
    <cellStyle name="표준 11 4 2 2 2 3" xfId="26974"/>
    <cellStyle name="표준 11 4 2 2 3" xfId="13017"/>
    <cellStyle name="표준 11 4 2 2 3 2" xfId="33894"/>
    <cellStyle name="표준 11 4 2 2 4" xfId="25144"/>
    <cellStyle name="표준 11 4 2 3" xfId="4715"/>
    <cellStyle name="표준 11 4 2 3 2" xfId="6547"/>
    <cellStyle name="표준 11 4 2 3 2 2" xfId="15556"/>
    <cellStyle name="표준 11 4 2 3 2 2 2" xfId="36432"/>
    <cellStyle name="표준 11 4 2 3 2 3" xfId="27694"/>
    <cellStyle name="표준 11 4 2 3 3" xfId="13738"/>
    <cellStyle name="표준 11 4 2 3 3 2" xfId="34614"/>
    <cellStyle name="표준 11 4 2 3 4" xfId="25876"/>
    <cellStyle name="표준 11 4 2 4" xfId="5390"/>
    <cellStyle name="표준 11 4 2 4 2" xfId="14399"/>
    <cellStyle name="표준 11 4 2 4 2 2" xfId="35275"/>
    <cellStyle name="표준 11 4 2 4 3" xfId="26537"/>
    <cellStyle name="표준 11 4 2 5" xfId="7193"/>
    <cellStyle name="표준 11 4 2 5 2" xfId="16200"/>
    <cellStyle name="표준 11 4 2 5 2 2" xfId="37076"/>
    <cellStyle name="표준 11 4 2 5 3" xfId="28338"/>
    <cellStyle name="표준 11 4 2 6" xfId="7837"/>
    <cellStyle name="표준 11 4 2 6 2" xfId="16843"/>
    <cellStyle name="표준 11 4 2 6 2 2" xfId="37719"/>
    <cellStyle name="표준 11 4 2 6 3" xfId="28981"/>
    <cellStyle name="표준 11 4 2 7" xfId="8685"/>
    <cellStyle name="표준 11 4 2 7 2" xfId="17690"/>
    <cellStyle name="표준 11 4 2 7 2 2" xfId="38566"/>
    <cellStyle name="표준 11 4 2 7 3" xfId="29828"/>
    <cellStyle name="표준 11 4 2 8" xfId="9510"/>
    <cellStyle name="표준 11 4 2 8 2" xfId="18508"/>
    <cellStyle name="표준 11 4 2 8 2 2" xfId="39384"/>
    <cellStyle name="표준 11 4 2 8 3" xfId="30646"/>
    <cellStyle name="표준 11 4 2 9" xfId="10565"/>
    <cellStyle name="표준 11 4 2 9 2" xfId="19336"/>
    <cellStyle name="표준 11 4 2 9 2 2" xfId="40212"/>
    <cellStyle name="표준 11 4 2 9 3" xfId="31476"/>
    <cellStyle name="표준 11 4 3" xfId="3344"/>
    <cellStyle name="표준 11 4 3 10" xfId="12807"/>
    <cellStyle name="표준 11 4 3 10 2" xfId="33684"/>
    <cellStyle name="표준 11 4 3 11" xfId="24934"/>
    <cellStyle name="표준 11 4 3 2" xfId="4937"/>
    <cellStyle name="표준 11 4 3 2 2" xfId="6764"/>
    <cellStyle name="표준 11 4 3 2 2 2" xfId="15773"/>
    <cellStyle name="표준 11 4 3 2 2 2 2" xfId="36649"/>
    <cellStyle name="표준 11 4 3 2 2 3" xfId="27911"/>
    <cellStyle name="표준 11 4 3 2 3" xfId="13955"/>
    <cellStyle name="표준 11 4 3 2 3 2" xfId="34831"/>
    <cellStyle name="표준 11 4 3 2 4" xfId="26093"/>
    <cellStyle name="표준 11 4 3 3" xfId="5617"/>
    <cellStyle name="표준 11 4 3 3 2" xfId="14626"/>
    <cellStyle name="표준 11 4 3 3 2 2" xfId="35502"/>
    <cellStyle name="표준 11 4 3 3 3" xfId="26764"/>
    <cellStyle name="표준 11 4 3 4" xfId="7410"/>
    <cellStyle name="표준 11 4 3 4 2" xfId="16417"/>
    <cellStyle name="표준 11 4 3 4 2 2" xfId="37293"/>
    <cellStyle name="표준 11 4 3 4 3" xfId="28555"/>
    <cellStyle name="표준 11 4 3 5" xfId="8054"/>
    <cellStyle name="표준 11 4 3 5 2" xfId="17060"/>
    <cellStyle name="표준 11 4 3 5 2 2" xfId="37936"/>
    <cellStyle name="표준 11 4 3 5 3" xfId="29198"/>
    <cellStyle name="표준 11 4 3 6" xfId="8902"/>
    <cellStyle name="표준 11 4 3 6 2" xfId="17907"/>
    <cellStyle name="표준 11 4 3 6 2 2" xfId="38783"/>
    <cellStyle name="표준 11 4 3 6 3" xfId="30045"/>
    <cellStyle name="표준 11 4 3 7" xfId="9727"/>
    <cellStyle name="표준 11 4 3 7 2" xfId="18725"/>
    <cellStyle name="표준 11 4 3 7 2 2" xfId="39601"/>
    <cellStyle name="표준 11 4 3 7 3" xfId="30863"/>
    <cellStyle name="표준 11 4 3 8" xfId="10782"/>
    <cellStyle name="표준 11 4 3 8 2" xfId="19553"/>
    <cellStyle name="표준 11 4 3 8 2 2" xfId="40429"/>
    <cellStyle name="표준 11 4 3 8 3" xfId="31693"/>
    <cellStyle name="표준 11 4 3 9" xfId="11648"/>
    <cellStyle name="표준 11 4 3 9 2" xfId="20414"/>
    <cellStyle name="표준 11 4 3 9 2 2" xfId="41290"/>
    <cellStyle name="표준 11 4 3 9 3" xfId="32554"/>
    <cellStyle name="표준 11 4 4" xfId="4503"/>
    <cellStyle name="표준 11 4 4 2" xfId="6337"/>
    <cellStyle name="표준 11 4 4 2 2" xfId="15346"/>
    <cellStyle name="표준 11 4 4 2 2 2" xfId="36222"/>
    <cellStyle name="표준 11 4 4 2 3" xfId="27484"/>
    <cellStyle name="표준 11 4 4 3" xfId="11000"/>
    <cellStyle name="표준 11 4 4 3 2" xfId="19770"/>
    <cellStyle name="표준 11 4 4 3 2 2" xfId="40646"/>
    <cellStyle name="표준 11 4 4 3 3" xfId="31910"/>
    <cellStyle name="표준 11 4 4 4" xfId="11865"/>
    <cellStyle name="표준 11 4 4 4 2" xfId="20631"/>
    <cellStyle name="표준 11 4 4 4 2 2" xfId="41507"/>
    <cellStyle name="표준 11 4 4 4 3" xfId="32771"/>
    <cellStyle name="표준 11 4 4 5" xfId="13528"/>
    <cellStyle name="표준 11 4 4 5 2" xfId="34404"/>
    <cellStyle name="표준 11 4 4 6" xfId="25666"/>
    <cellStyle name="표준 11 4 5" xfId="3994"/>
    <cellStyle name="표준 11 4 6" xfId="5180"/>
    <cellStyle name="표준 11 4 6 2" xfId="14189"/>
    <cellStyle name="표준 11 4 6 2 2" xfId="35065"/>
    <cellStyle name="표준 11 4 6 3" xfId="26327"/>
    <cellStyle name="표준 11 4 7" xfId="6982"/>
    <cellStyle name="표준 11 4 7 2" xfId="15990"/>
    <cellStyle name="표준 11 4 7 2 2" xfId="36866"/>
    <cellStyle name="표준 11 4 7 3" xfId="28128"/>
    <cellStyle name="표준 11 4 8" xfId="7627"/>
    <cellStyle name="표준 11 4 8 2" xfId="16633"/>
    <cellStyle name="표준 11 4 8 2 2" xfId="37509"/>
    <cellStyle name="표준 11 4 8 3" xfId="28771"/>
    <cellStyle name="표준 11 4 9" xfId="8475"/>
    <cellStyle name="표준 11 4 9 2" xfId="17480"/>
    <cellStyle name="표준 11 4 9 2 2" xfId="38356"/>
    <cellStyle name="표준 11 4 9 3" xfId="29618"/>
    <cellStyle name="표준 11 5" xfId="2895"/>
    <cellStyle name="표준 11 5 10" xfId="9300"/>
    <cellStyle name="표준 11 5 10 2" xfId="18299"/>
    <cellStyle name="표준 11 5 10 2 2" xfId="39175"/>
    <cellStyle name="표준 11 5 10 3" xfId="30437"/>
    <cellStyle name="표준 11 5 11" xfId="10356"/>
    <cellStyle name="표준 11 5 11 2" xfId="19127"/>
    <cellStyle name="표준 11 5 11 2 2" xfId="40003"/>
    <cellStyle name="표준 11 5 11 3" xfId="31267"/>
    <cellStyle name="표준 11 5 12" xfId="11222"/>
    <cellStyle name="표준 11 5 12 2" xfId="19988"/>
    <cellStyle name="표준 11 5 12 2 2" xfId="40864"/>
    <cellStyle name="표준 11 5 12 3" xfId="32128"/>
    <cellStyle name="표준 11 5 13" xfId="12370"/>
    <cellStyle name="표준 11 5 13 2" xfId="33248"/>
    <cellStyle name="표준 11 5 14" xfId="24498"/>
    <cellStyle name="표준 11 5 2" xfId="3113"/>
    <cellStyle name="표준 11 5 2 10" xfId="11432"/>
    <cellStyle name="표준 11 5 2 10 2" xfId="20198"/>
    <cellStyle name="표준 11 5 2 10 2 2" xfId="41074"/>
    <cellStyle name="표준 11 5 2 10 3" xfId="32338"/>
    <cellStyle name="표준 11 5 2 11" xfId="12581"/>
    <cellStyle name="표준 11 5 2 11 2" xfId="33458"/>
    <cellStyle name="표준 11 5 2 12" xfId="24708"/>
    <cellStyle name="표준 11 5 2 2" xfId="3555"/>
    <cellStyle name="표준 11 5 2 2 2" xfId="5828"/>
    <cellStyle name="표준 11 5 2 2 2 2" xfId="14837"/>
    <cellStyle name="표준 11 5 2 2 2 2 2" xfId="35713"/>
    <cellStyle name="표준 11 5 2 2 2 3" xfId="26975"/>
    <cellStyle name="표준 11 5 2 2 3" xfId="13018"/>
    <cellStyle name="표준 11 5 2 2 3 2" xfId="33895"/>
    <cellStyle name="표준 11 5 2 2 4" xfId="25145"/>
    <cellStyle name="표준 11 5 2 3" xfId="4716"/>
    <cellStyle name="표준 11 5 2 3 2" xfId="6548"/>
    <cellStyle name="표준 11 5 2 3 2 2" xfId="15557"/>
    <cellStyle name="표준 11 5 2 3 2 2 2" xfId="36433"/>
    <cellStyle name="표준 11 5 2 3 2 3" xfId="27695"/>
    <cellStyle name="표준 11 5 2 3 3" xfId="13739"/>
    <cellStyle name="표준 11 5 2 3 3 2" xfId="34615"/>
    <cellStyle name="표준 11 5 2 3 4" xfId="25877"/>
    <cellStyle name="표준 11 5 2 4" xfId="5391"/>
    <cellStyle name="표준 11 5 2 4 2" xfId="14400"/>
    <cellStyle name="표준 11 5 2 4 2 2" xfId="35276"/>
    <cellStyle name="표준 11 5 2 4 3" xfId="26538"/>
    <cellStyle name="표준 11 5 2 5" xfId="7194"/>
    <cellStyle name="표준 11 5 2 5 2" xfId="16201"/>
    <cellStyle name="표준 11 5 2 5 2 2" xfId="37077"/>
    <cellStyle name="표준 11 5 2 5 3" xfId="28339"/>
    <cellStyle name="표준 11 5 2 6" xfId="7838"/>
    <cellStyle name="표준 11 5 2 6 2" xfId="16844"/>
    <cellStyle name="표준 11 5 2 6 2 2" xfId="37720"/>
    <cellStyle name="표준 11 5 2 6 3" xfId="28982"/>
    <cellStyle name="표준 11 5 2 7" xfId="8686"/>
    <cellStyle name="표준 11 5 2 7 2" xfId="17691"/>
    <cellStyle name="표준 11 5 2 7 2 2" xfId="38567"/>
    <cellStyle name="표준 11 5 2 7 3" xfId="29829"/>
    <cellStyle name="표준 11 5 2 8" xfId="9511"/>
    <cellStyle name="표준 11 5 2 8 2" xfId="18509"/>
    <cellStyle name="표준 11 5 2 8 2 2" xfId="39385"/>
    <cellStyle name="표준 11 5 2 8 3" xfId="30647"/>
    <cellStyle name="표준 11 5 2 9" xfId="10566"/>
    <cellStyle name="표준 11 5 2 9 2" xfId="19337"/>
    <cellStyle name="표준 11 5 2 9 2 2" xfId="40213"/>
    <cellStyle name="표준 11 5 2 9 3" xfId="31477"/>
    <cellStyle name="표준 11 5 3" xfId="3345"/>
    <cellStyle name="표준 11 5 3 10" xfId="12808"/>
    <cellStyle name="표준 11 5 3 10 2" xfId="33685"/>
    <cellStyle name="표준 11 5 3 11" xfId="24935"/>
    <cellStyle name="표준 11 5 3 2" xfId="4938"/>
    <cellStyle name="표준 11 5 3 2 2" xfId="6765"/>
    <cellStyle name="표준 11 5 3 2 2 2" xfId="15774"/>
    <cellStyle name="표준 11 5 3 2 2 2 2" xfId="36650"/>
    <cellStyle name="표준 11 5 3 2 2 3" xfId="27912"/>
    <cellStyle name="표준 11 5 3 2 3" xfId="13956"/>
    <cellStyle name="표준 11 5 3 2 3 2" xfId="34832"/>
    <cellStyle name="표준 11 5 3 2 4" xfId="26094"/>
    <cellStyle name="표준 11 5 3 3" xfId="5618"/>
    <cellStyle name="표준 11 5 3 3 2" xfId="14627"/>
    <cellStyle name="표준 11 5 3 3 2 2" xfId="35503"/>
    <cellStyle name="표준 11 5 3 3 3" xfId="26765"/>
    <cellStyle name="표준 11 5 3 4" xfId="7411"/>
    <cellStyle name="표준 11 5 3 4 2" xfId="16418"/>
    <cellStyle name="표준 11 5 3 4 2 2" xfId="37294"/>
    <cellStyle name="표준 11 5 3 4 3" xfId="28556"/>
    <cellStyle name="표준 11 5 3 5" xfId="8055"/>
    <cellStyle name="표준 11 5 3 5 2" xfId="17061"/>
    <cellStyle name="표준 11 5 3 5 2 2" xfId="37937"/>
    <cellStyle name="표준 11 5 3 5 3" xfId="29199"/>
    <cellStyle name="표준 11 5 3 6" xfId="8903"/>
    <cellStyle name="표준 11 5 3 6 2" xfId="17908"/>
    <cellStyle name="표준 11 5 3 6 2 2" xfId="38784"/>
    <cellStyle name="표준 11 5 3 6 3" xfId="30046"/>
    <cellStyle name="표준 11 5 3 7" xfId="9728"/>
    <cellStyle name="표준 11 5 3 7 2" xfId="18726"/>
    <cellStyle name="표준 11 5 3 7 2 2" xfId="39602"/>
    <cellStyle name="표준 11 5 3 7 3" xfId="30864"/>
    <cellStyle name="표준 11 5 3 8" xfId="10783"/>
    <cellStyle name="표준 11 5 3 8 2" xfId="19554"/>
    <cellStyle name="표준 11 5 3 8 2 2" xfId="40430"/>
    <cellStyle name="표준 11 5 3 8 3" xfId="31694"/>
    <cellStyle name="표준 11 5 3 9" xfId="11649"/>
    <cellStyle name="표준 11 5 3 9 2" xfId="20415"/>
    <cellStyle name="표준 11 5 3 9 2 2" xfId="41291"/>
    <cellStyle name="표준 11 5 3 9 3" xfId="32555"/>
    <cellStyle name="표준 11 5 4" xfId="4504"/>
    <cellStyle name="표준 11 5 4 2" xfId="6338"/>
    <cellStyle name="표준 11 5 4 2 2" xfId="15347"/>
    <cellStyle name="표준 11 5 4 2 2 2" xfId="36223"/>
    <cellStyle name="표준 11 5 4 2 3" xfId="27485"/>
    <cellStyle name="표준 11 5 4 3" xfId="11001"/>
    <cellStyle name="표준 11 5 4 3 2" xfId="19771"/>
    <cellStyle name="표준 11 5 4 3 2 2" xfId="40647"/>
    <cellStyle name="표준 11 5 4 3 3" xfId="31911"/>
    <cellStyle name="표준 11 5 4 4" xfId="11866"/>
    <cellStyle name="표준 11 5 4 4 2" xfId="20632"/>
    <cellStyle name="표준 11 5 4 4 2 2" xfId="41508"/>
    <cellStyle name="표준 11 5 4 4 3" xfId="32772"/>
    <cellStyle name="표준 11 5 4 5" xfId="13529"/>
    <cellStyle name="표준 11 5 4 5 2" xfId="34405"/>
    <cellStyle name="표준 11 5 4 6" xfId="25667"/>
    <cellStyle name="표준 11 5 5" xfId="3993"/>
    <cellStyle name="표준 11 5 6" xfId="5181"/>
    <cellStyle name="표준 11 5 6 2" xfId="14190"/>
    <cellStyle name="표준 11 5 6 2 2" xfId="35066"/>
    <cellStyle name="표준 11 5 6 3" xfId="26328"/>
    <cellStyle name="표준 11 5 7" xfId="6983"/>
    <cellStyle name="표준 11 5 7 2" xfId="15991"/>
    <cellStyle name="표준 11 5 7 2 2" xfId="36867"/>
    <cellStyle name="표준 11 5 7 3" xfId="28129"/>
    <cellStyle name="표준 11 5 8" xfId="7628"/>
    <cellStyle name="표준 11 5 8 2" xfId="16634"/>
    <cellStyle name="표준 11 5 8 2 2" xfId="37510"/>
    <cellStyle name="표준 11 5 8 3" xfId="28772"/>
    <cellStyle name="표준 11 5 9" xfId="8476"/>
    <cellStyle name="표준 11 5 9 2" xfId="17481"/>
    <cellStyle name="표준 11 5 9 2 2" xfId="38357"/>
    <cellStyle name="표준 11 5 9 3" xfId="29619"/>
    <cellStyle name="표준 11 6" xfId="2896"/>
    <cellStyle name="표준 11 6 10" xfId="9301"/>
    <cellStyle name="표준 11 6 10 2" xfId="18300"/>
    <cellStyle name="표준 11 6 10 2 2" xfId="39176"/>
    <cellStyle name="표준 11 6 10 3" xfId="30438"/>
    <cellStyle name="표준 11 6 11" xfId="10357"/>
    <cellStyle name="표준 11 6 11 2" xfId="19128"/>
    <cellStyle name="표준 11 6 11 2 2" xfId="40004"/>
    <cellStyle name="표준 11 6 11 3" xfId="31268"/>
    <cellStyle name="표준 11 6 12" xfId="11223"/>
    <cellStyle name="표준 11 6 12 2" xfId="19989"/>
    <cellStyle name="표준 11 6 12 2 2" xfId="40865"/>
    <cellStyle name="표준 11 6 12 3" xfId="32129"/>
    <cellStyle name="표준 11 6 13" xfId="12371"/>
    <cellStyle name="표준 11 6 13 2" xfId="33249"/>
    <cellStyle name="표준 11 6 14" xfId="24499"/>
    <cellStyle name="표준 11 6 2" xfId="3114"/>
    <cellStyle name="표준 11 6 2 10" xfId="11433"/>
    <cellStyle name="표준 11 6 2 10 2" xfId="20199"/>
    <cellStyle name="표준 11 6 2 10 2 2" xfId="41075"/>
    <cellStyle name="표준 11 6 2 10 3" xfId="32339"/>
    <cellStyle name="표준 11 6 2 11" xfId="12582"/>
    <cellStyle name="표준 11 6 2 11 2" xfId="33459"/>
    <cellStyle name="표준 11 6 2 12" xfId="24709"/>
    <cellStyle name="표준 11 6 2 2" xfId="3556"/>
    <cellStyle name="표준 11 6 2 2 2" xfId="5829"/>
    <cellStyle name="표준 11 6 2 2 2 2" xfId="14838"/>
    <cellStyle name="표준 11 6 2 2 2 2 2" xfId="35714"/>
    <cellStyle name="표준 11 6 2 2 2 3" xfId="26976"/>
    <cellStyle name="표준 11 6 2 2 3" xfId="13019"/>
    <cellStyle name="표준 11 6 2 2 3 2" xfId="33896"/>
    <cellStyle name="표준 11 6 2 2 4" xfId="25146"/>
    <cellStyle name="표준 11 6 2 3" xfId="4717"/>
    <cellStyle name="표준 11 6 2 3 2" xfId="6549"/>
    <cellStyle name="표준 11 6 2 3 2 2" xfId="15558"/>
    <cellStyle name="표준 11 6 2 3 2 2 2" xfId="36434"/>
    <cellStyle name="표준 11 6 2 3 2 3" xfId="27696"/>
    <cellStyle name="표준 11 6 2 3 3" xfId="13740"/>
    <cellStyle name="표준 11 6 2 3 3 2" xfId="34616"/>
    <cellStyle name="표준 11 6 2 3 4" xfId="25878"/>
    <cellStyle name="표준 11 6 2 4" xfId="5392"/>
    <cellStyle name="표준 11 6 2 4 2" xfId="14401"/>
    <cellStyle name="표준 11 6 2 4 2 2" xfId="35277"/>
    <cellStyle name="표준 11 6 2 4 3" xfId="26539"/>
    <cellStyle name="표준 11 6 2 5" xfId="7195"/>
    <cellStyle name="표준 11 6 2 5 2" xfId="16202"/>
    <cellStyle name="표준 11 6 2 5 2 2" xfId="37078"/>
    <cellStyle name="표준 11 6 2 5 3" xfId="28340"/>
    <cellStyle name="표준 11 6 2 6" xfId="7839"/>
    <cellStyle name="표준 11 6 2 6 2" xfId="16845"/>
    <cellStyle name="표준 11 6 2 6 2 2" xfId="37721"/>
    <cellStyle name="표준 11 6 2 6 3" xfId="28983"/>
    <cellStyle name="표준 11 6 2 7" xfId="8687"/>
    <cellStyle name="표준 11 6 2 7 2" xfId="17692"/>
    <cellStyle name="표준 11 6 2 7 2 2" xfId="38568"/>
    <cellStyle name="표준 11 6 2 7 3" xfId="29830"/>
    <cellStyle name="표준 11 6 2 8" xfId="9512"/>
    <cellStyle name="표준 11 6 2 8 2" xfId="18510"/>
    <cellStyle name="표준 11 6 2 8 2 2" xfId="39386"/>
    <cellStyle name="표준 11 6 2 8 3" xfId="30648"/>
    <cellStyle name="표준 11 6 2 9" xfId="10567"/>
    <cellStyle name="표준 11 6 2 9 2" xfId="19338"/>
    <cellStyle name="표준 11 6 2 9 2 2" xfId="40214"/>
    <cellStyle name="표준 11 6 2 9 3" xfId="31478"/>
    <cellStyle name="표준 11 6 3" xfId="3346"/>
    <cellStyle name="표준 11 6 3 10" xfId="12809"/>
    <cellStyle name="표준 11 6 3 10 2" xfId="33686"/>
    <cellStyle name="표준 11 6 3 11" xfId="24936"/>
    <cellStyle name="표준 11 6 3 2" xfId="4939"/>
    <cellStyle name="표준 11 6 3 2 2" xfId="6766"/>
    <cellStyle name="표준 11 6 3 2 2 2" xfId="15775"/>
    <cellStyle name="표준 11 6 3 2 2 2 2" xfId="36651"/>
    <cellStyle name="표준 11 6 3 2 2 3" xfId="27913"/>
    <cellStyle name="표준 11 6 3 2 3" xfId="13957"/>
    <cellStyle name="표준 11 6 3 2 3 2" xfId="34833"/>
    <cellStyle name="표준 11 6 3 2 4" xfId="26095"/>
    <cellStyle name="표준 11 6 3 3" xfId="5619"/>
    <cellStyle name="표준 11 6 3 3 2" xfId="14628"/>
    <cellStyle name="표준 11 6 3 3 2 2" xfId="35504"/>
    <cellStyle name="표준 11 6 3 3 3" xfId="26766"/>
    <cellStyle name="표준 11 6 3 4" xfId="7412"/>
    <cellStyle name="표준 11 6 3 4 2" xfId="16419"/>
    <cellStyle name="표준 11 6 3 4 2 2" xfId="37295"/>
    <cellStyle name="표준 11 6 3 4 3" xfId="28557"/>
    <cellStyle name="표준 11 6 3 5" xfId="8056"/>
    <cellStyle name="표준 11 6 3 5 2" xfId="17062"/>
    <cellStyle name="표준 11 6 3 5 2 2" xfId="37938"/>
    <cellStyle name="표준 11 6 3 5 3" xfId="29200"/>
    <cellStyle name="표준 11 6 3 6" xfId="8904"/>
    <cellStyle name="표준 11 6 3 6 2" xfId="17909"/>
    <cellStyle name="표준 11 6 3 6 2 2" xfId="38785"/>
    <cellStyle name="표준 11 6 3 6 3" xfId="30047"/>
    <cellStyle name="표준 11 6 3 7" xfId="9729"/>
    <cellStyle name="표준 11 6 3 7 2" xfId="18727"/>
    <cellStyle name="표준 11 6 3 7 2 2" xfId="39603"/>
    <cellStyle name="표준 11 6 3 7 3" xfId="30865"/>
    <cellStyle name="표준 11 6 3 8" xfId="10784"/>
    <cellStyle name="표준 11 6 3 8 2" xfId="19555"/>
    <cellStyle name="표준 11 6 3 8 2 2" xfId="40431"/>
    <cellStyle name="표준 11 6 3 8 3" xfId="31695"/>
    <cellStyle name="표준 11 6 3 9" xfId="11650"/>
    <cellStyle name="표준 11 6 3 9 2" xfId="20416"/>
    <cellStyle name="표준 11 6 3 9 2 2" xfId="41292"/>
    <cellStyle name="표준 11 6 3 9 3" xfId="32556"/>
    <cellStyle name="표준 11 6 4" xfId="4505"/>
    <cellStyle name="표준 11 6 4 2" xfId="6339"/>
    <cellStyle name="표준 11 6 4 2 2" xfId="15348"/>
    <cellStyle name="표준 11 6 4 2 2 2" xfId="36224"/>
    <cellStyle name="표준 11 6 4 2 3" xfId="27486"/>
    <cellStyle name="표준 11 6 4 3" xfId="11002"/>
    <cellStyle name="표준 11 6 4 3 2" xfId="19772"/>
    <cellStyle name="표준 11 6 4 3 2 2" xfId="40648"/>
    <cellStyle name="표준 11 6 4 3 3" xfId="31912"/>
    <cellStyle name="표준 11 6 4 4" xfId="11867"/>
    <cellStyle name="표준 11 6 4 4 2" xfId="20633"/>
    <cellStyle name="표준 11 6 4 4 2 2" xfId="41509"/>
    <cellStyle name="표준 11 6 4 4 3" xfId="32773"/>
    <cellStyle name="표준 11 6 4 5" xfId="13530"/>
    <cellStyle name="표준 11 6 4 5 2" xfId="34406"/>
    <cellStyle name="표준 11 6 4 6" xfId="25668"/>
    <cellStyle name="표준 11 6 5" xfId="3992"/>
    <cellStyle name="표준 11 6 6" xfId="5182"/>
    <cellStyle name="표준 11 6 6 2" xfId="14191"/>
    <cellStyle name="표준 11 6 6 2 2" xfId="35067"/>
    <cellStyle name="표준 11 6 6 3" xfId="26329"/>
    <cellStyle name="표준 11 6 7" xfId="6984"/>
    <cellStyle name="표준 11 6 7 2" xfId="15992"/>
    <cellStyle name="표준 11 6 7 2 2" xfId="36868"/>
    <cellStyle name="표준 11 6 7 3" xfId="28130"/>
    <cellStyle name="표준 11 6 8" xfId="7629"/>
    <cellStyle name="표준 11 6 8 2" xfId="16635"/>
    <cellStyle name="표준 11 6 8 2 2" xfId="37511"/>
    <cellStyle name="표준 11 6 8 3" xfId="28773"/>
    <cellStyle name="표준 11 6 9" xfId="8477"/>
    <cellStyle name="표준 11 6 9 2" xfId="17482"/>
    <cellStyle name="표준 11 6 9 2 2" xfId="38358"/>
    <cellStyle name="표준 11 6 9 3" xfId="29620"/>
    <cellStyle name="표준 11 7" xfId="2897"/>
    <cellStyle name="표준 11 7 10" xfId="9302"/>
    <cellStyle name="표준 11 7 10 2" xfId="18301"/>
    <cellStyle name="표준 11 7 10 2 2" xfId="39177"/>
    <cellStyle name="표준 11 7 10 3" xfId="30439"/>
    <cellStyle name="표준 11 7 11" xfId="10358"/>
    <cellStyle name="표준 11 7 11 2" xfId="19129"/>
    <cellStyle name="표준 11 7 11 2 2" xfId="40005"/>
    <cellStyle name="표준 11 7 11 3" xfId="31269"/>
    <cellStyle name="표준 11 7 12" xfId="11224"/>
    <cellStyle name="표준 11 7 12 2" xfId="19990"/>
    <cellStyle name="표준 11 7 12 2 2" xfId="40866"/>
    <cellStyle name="표준 11 7 12 3" xfId="32130"/>
    <cellStyle name="표준 11 7 13" xfId="12372"/>
    <cellStyle name="표준 11 7 13 2" xfId="33250"/>
    <cellStyle name="표준 11 7 14" xfId="24500"/>
    <cellStyle name="표준 11 7 2" xfId="3115"/>
    <cellStyle name="표준 11 7 2 10" xfId="11434"/>
    <cellStyle name="표준 11 7 2 10 2" xfId="20200"/>
    <cellStyle name="표준 11 7 2 10 2 2" xfId="41076"/>
    <cellStyle name="표준 11 7 2 10 3" xfId="32340"/>
    <cellStyle name="표준 11 7 2 11" xfId="12583"/>
    <cellStyle name="표준 11 7 2 11 2" xfId="33460"/>
    <cellStyle name="표준 11 7 2 12" xfId="24710"/>
    <cellStyle name="표준 11 7 2 2" xfId="3557"/>
    <cellStyle name="표준 11 7 2 2 2" xfId="5830"/>
    <cellStyle name="표준 11 7 2 2 2 2" xfId="14839"/>
    <cellStyle name="표준 11 7 2 2 2 2 2" xfId="35715"/>
    <cellStyle name="표준 11 7 2 2 2 3" xfId="26977"/>
    <cellStyle name="표준 11 7 2 2 3" xfId="13020"/>
    <cellStyle name="표준 11 7 2 2 3 2" xfId="33897"/>
    <cellStyle name="표준 11 7 2 2 4" xfId="25147"/>
    <cellStyle name="표준 11 7 2 3" xfId="4718"/>
    <cellStyle name="표준 11 7 2 3 2" xfId="6550"/>
    <cellStyle name="표준 11 7 2 3 2 2" xfId="15559"/>
    <cellStyle name="표준 11 7 2 3 2 2 2" xfId="36435"/>
    <cellStyle name="표준 11 7 2 3 2 3" xfId="27697"/>
    <cellStyle name="표준 11 7 2 3 3" xfId="13741"/>
    <cellStyle name="표준 11 7 2 3 3 2" xfId="34617"/>
    <cellStyle name="표준 11 7 2 3 4" xfId="25879"/>
    <cellStyle name="표준 11 7 2 4" xfId="5393"/>
    <cellStyle name="표준 11 7 2 4 2" xfId="14402"/>
    <cellStyle name="표준 11 7 2 4 2 2" xfId="35278"/>
    <cellStyle name="표준 11 7 2 4 3" xfId="26540"/>
    <cellStyle name="표준 11 7 2 5" xfId="7196"/>
    <cellStyle name="표준 11 7 2 5 2" xfId="16203"/>
    <cellStyle name="표준 11 7 2 5 2 2" xfId="37079"/>
    <cellStyle name="표준 11 7 2 5 3" xfId="28341"/>
    <cellStyle name="표준 11 7 2 6" xfId="7840"/>
    <cellStyle name="표준 11 7 2 6 2" xfId="16846"/>
    <cellStyle name="표준 11 7 2 6 2 2" xfId="37722"/>
    <cellStyle name="표준 11 7 2 6 3" xfId="28984"/>
    <cellStyle name="표준 11 7 2 7" xfId="8688"/>
    <cellStyle name="표준 11 7 2 7 2" xfId="17693"/>
    <cellStyle name="표준 11 7 2 7 2 2" xfId="38569"/>
    <cellStyle name="표준 11 7 2 7 3" xfId="29831"/>
    <cellStyle name="표준 11 7 2 8" xfId="9513"/>
    <cellStyle name="표준 11 7 2 8 2" xfId="18511"/>
    <cellStyle name="표준 11 7 2 8 2 2" xfId="39387"/>
    <cellStyle name="표준 11 7 2 8 3" xfId="30649"/>
    <cellStyle name="표준 11 7 2 9" xfId="10568"/>
    <cellStyle name="표준 11 7 2 9 2" xfId="19339"/>
    <cellStyle name="표준 11 7 2 9 2 2" xfId="40215"/>
    <cellStyle name="표준 11 7 2 9 3" xfId="31479"/>
    <cellStyle name="표준 11 7 3" xfId="3347"/>
    <cellStyle name="표준 11 7 3 10" xfId="12810"/>
    <cellStyle name="표준 11 7 3 10 2" xfId="33687"/>
    <cellStyle name="표준 11 7 3 11" xfId="24937"/>
    <cellStyle name="표준 11 7 3 2" xfId="4940"/>
    <cellStyle name="표준 11 7 3 2 2" xfId="6767"/>
    <cellStyle name="표준 11 7 3 2 2 2" xfId="15776"/>
    <cellStyle name="표준 11 7 3 2 2 2 2" xfId="36652"/>
    <cellStyle name="표준 11 7 3 2 2 3" xfId="27914"/>
    <cellStyle name="표준 11 7 3 2 3" xfId="13958"/>
    <cellStyle name="표준 11 7 3 2 3 2" xfId="34834"/>
    <cellStyle name="표준 11 7 3 2 4" xfId="26096"/>
    <cellStyle name="표준 11 7 3 3" xfId="5620"/>
    <cellStyle name="표준 11 7 3 3 2" xfId="14629"/>
    <cellStyle name="표준 11 7 3 3 2 2" xfId="35505"/>
    <cellStyle name="표준 11 7 3 3 3" xfId="26767"/>
    <cellStyle name="표준 11 7 3 4" xfId="7413"/>
    <cellStyle name="표준 11 7 3 4 2" xfId="16420"/>
    <cellStyle name="표준 11 7 3 4 2 2" xfId="37296"/>
    <cellStyle name="표준 11 7 3 4 3" xfId="28558"/>
    <cellStyle name="표준 11 7 3 5" xfId="8057"/>
    <cellStyle name="표준 11 7 3 5 2" xfId="17063"/>
    <cellStyle name="표준 11 7 3 5 2 2" xfId="37939"/>
    <cellStyle name="표준 11 7 3 5 3" xfId="29201"/>
    <cellStyle name="표준 11 7 3 6" xfId="8905"/>
    <cellStyle name="표준 11 7 3 6 2" xfId="17910"/>
    <cellStyle name="표준 11 7 3 6 2 2" xfId="38786"/>
    <cellStyle name="표준 11 7 3 6 3" xfId="30048"/>
    <cellStyle name="표준 11 7 3 7" xfId="9730"/>
    <cellStyle name="표준 11 7 3 7 2" xfId="18728"/>
    <cellStyle name="표준 11 7 3 7 2 2" xfId="39604"/>
    <cellStyle name="표준 11 7 3 7 3" xfId="30866"/>
    <cellStyle name="표준 11 7 3 8" xfId="10785"/>
    <cellStyle name="표준 11 7 3 8 2" xfId="19556"/>
    <cellStyle name="표준 11 7 3 8 2 2" xfId="40432"/>
    <cellStyle name="표준 11 7 3 8 3" xfId="31696"/>
    <cellStyle name="표준 11 7 3 9" xfId="11651"/>
    <cellStyle name="표준 11 7 3 9 2" xfId="20417"/>
    <cellStyle name="표준 11 7 3 9 2 2" xfId="41293"/>
    <cellStyle name="표준 11 7 3 9 3" xfId="32557"/>
    <cellStyle name="표준 11 7 4" xfId="4506"/>
    <cellStyle name="표준 11 7 4 2" xfId="6340"/>
    <cellStyle name="표준 11 7 4 2 2" xfId="15349"/>
    <cellStyle name="표준 11 7 4 2 2 2" xfId="36225"/>
    <cellStyle name="표준 11 7 4 2 3" xfId="27487"/>
    <cellStyle name="표준 11 7 4 3" xfId="11003"/>
    <cellStyle name="표준 11 7 4 3 2" xfId="19773"/>
    <cellStyle name="표준 11 7 4 3 2 2" xfId="40649"/>
    <cellStyle name="표준 11 7 4 3 3" xfId="31913"/>
    <cellStyle name="표준 11 7 4 4" xfId="11868"/>
    <cellStyle name="표준 11 7 4 4 2" xfId="20634"/>
    <cellStyle name="표준 11 7 4 4 2 2" xfId="41510"/>
    <cellStyle name="표준 11 7 4 4 3" xfId="32774"/>
    <cellStyle name="표준 11 7 4 5" xfId="13531"/>
    <cellStyle name="표준 11 7 4 5 2" xfId="34407"/>
    <cellStyle name="표준 11 7 4 6" xfId="25669"/>
    <cellStyle name="표준 11 7 5" xfId="3991"/>
    <cellStyle name="표준 11 7 6" xfId="5183"/>
    <cellStyle name="표준 11 7 6 2" xfId="14192"/>
    <cellStyle name="표준 11 7 6 2 2" xfId="35068"/>
    <cellStyle name="표준 11 7 6 3" xfId="26330"/>
    <cellStyle name="표준 11 7 7" xfId="6985"/>
    <cellStyle name="표준 11 7 7 2" xfId="15993"/>
    <cellStyle name="표준 11 7 7 2 2" xfId="36869"/>
    <cellStyle name="표준 11 7 7 3" xfId="28131"/>
    <cellStyle name="표준 11 7 8" xfId="7630"/>
    <cellStyle name="표준 11 7 8 2" xfId="16636"/>
    <cellStyle name="표준 11 7 8 2 2" xfId="37512"/>
    <cellStyle name="표준 11 7 8 3" xfId="28774"/>
    <cellStyle name="표준 11 7 9" xfId="8478"/>
    <cellStyle name="표준 11 7 9 2" xfId="17483"/>
    <cellStyle name="표준 11 7 9 2 2" xfId="38359"/>
    <cellStyle name="표준 11 7 9 3" xfId="29621"/>
    <cellStyle name="표준 11 8" xfId="3109"/>
    <cellStyle name="표준 11 8 10" xfId="11428"/>
    <cellStyle name="표준 11 8 10 2" xfId="20194"/>
    <cellStyle name="표준 11 8 10 2 2" xfId="41070"/>
    <cellStyle name="표준 11 8 10 3" xfId="32334"/>
    <cellStyle name="표준 11 8 11" xfId="12577"/>
    <cellStyle name="표준 11 8 11 2" xfId="33454"/>
    <cellStyle name="표준 11 8 12" xfId="24704"/>
    <cellStyle name="표준 11 8 2" xfId="3551"/>
    <cellStyle name="표준 11 8 2 2" xfId="5824"/>
    <cellStyle name="표준 11 8 2 2 2" xfId="14833"/>
    <cellStyle name="표준 11 8 2 2 2 2" xfId="35709"/>
    <cellStyle name="표준 11 8 2 2 3" xfId="26971"/>
    <cellStyle name="표준 11 8 2 3" xfId="13014"/>
    <cellStyle name="표준 11 8 2 3 2" xfId="33891"/>
    <cellStyle name="표준 11 8 2 4" xfId="25141"/>
    <cellStyle name="표준 11 8 3" xfId="4712"/>
    <cellStyle name="표준 11 8 3 2" xfId="6544"/>
    <cellStyle name="표준 11 8 3 2 2" xfId="15553"/>
    <cellStyle name="표준 11 8 3 2 2 2" xfId="36429"/>
    <cellStyle name="표준 11 8 3 2 3" xfId="27691"/>
    <cellStyle name="표준 11 8 3 3" xfId="13735"/>
    <cellStyle name="표준 11 8 3 3 2" xfId="34611"/>
    <cellStyle name="표준 11 8 3 4" xfId="25873"/>
    <cellStyle name="표준 11 8 4" xfId="5387"/>
    <cellStyle name="표준 11 8 4 2" xfId="14396"/>
    <cellStyle name="표준 11 8 4 2 2" xfId="35272"/>
    <cellStyle name="표준 11 8 4 3" xfId="26534"/>
    <cellStyle name="표준 11 8 5" xfId="7190"/>
    <cellStyle name="표준 11 8 5 2" xfId="16197"/>
    <cellStyle name="표준 11 8 5 2 2" xfId="37073"/>
    <cellStyle name="표준 11 8 5 3" xfId="28335"/>
    <cellStyle name="표준 11 8 6" xfId="7834"/>
    <cellStyle name="표준 11 8 6 2" xfId="16840"/>
    <cellStyle name="표준 11 8 6 2 2" xfId="37716"/>
    <cellStyle name="표준 11 8 6 3" xfId="28978"/>
    <cellStyle name="표준 11 8 7" xfId="8682"/>
    <cellStyle name="표준 11 8 7 2" xfId="17687"/>
    <cellStyle name="표준 11 8 7 2 2" xfId="38563"/>
    <cellStyle name="표준 11 8 7 3" xfId="29825"/>
    <cellStyle name="표준 11 8 8" xfId="9507"/>
    <cellStyle name="표준 11 8 8 2" xfId="18505"/>
    <cellStyle name="표준 11 8 8 2 2" xfId="39381"/>
    <cellStyle name="표준 11 8 8 3" xfId="30643"/>
    <cellStyle name="표준 11 8 9" xfId="10562"/>
    <cellStyle name="표준 11 8 9 2" xfId="19333"/>
    <cellStyle name="표준 11 8 9 2 2" xfId="40209"/>
    <cellStyle name="표준 11 8 9 3" xfId="31473"/>
    <cellStyle name="표준 11 9" xfId="3341"/>
    <cellStyle name="표준 11 9 10" xfId="12804"/>
    <cellStyle name="표준 11 9 10 2" xfId="33681"/>
    <cellStyle name="표준 11 9 11" xfId="24931"/>
    <cellStyle name="표준 11 9 2" xfId="4934"/>
    <cellStyle name="표준 11 9 2 2" xfId="6761"/>
    <cellStyle name="표준 11 9 2 2 2" xfId="15770"/>
    <cellStyle name="표준 11 9 2 2 2 2" xfId="36646"/>
    <cellStyle name="표준 11 9 2 2 3" xfId="27908"/>
    <cellStyle name="표준 11 9 2 3" xfId="13952"/>
    <cellStyle name="표준 11 9 2 3 2" xfId="34828"/>
    <cellStyle name="표준 11 9 2 4" xfId="26090"/>
    <cellStyle name="표준 11 9 3" xfId="5614"/>
    <cellStyle name="표준 11 9 3 2" xfId="14623"/>
    <cellStyle name="표준 11 9 3 2 2" xfId="35499"/>
    <cellStyle name="표준 11 9 3 3" xfId="26761"/>
    <cellStyle name="표준 11 9 4" xfId="7407"/>
    <cellStyle name="표준 11 9 4 2" xfId="16414"/>
    <cellStyle name="표준 11 9 4 2 2" xfId="37290"/>
    <cellStyle name="표준 11 9 4 3" xfId="28552"/>
    <cellStyle name="표준 11 9 5" xfId="8051"/>
    <cellStyle name="표준 11 9 5 2" xfId="17057"/>
    <cellStyle name="표준 11 9 5 2 2" xfId="37933"/>
    <cellStyle name="표준 11 9 5 3" xfId="29195"/>
    <cellStyle name="표준 11 9 6" xfId="8899"/>
    <cellStyle name="표준 11 9 6 2" xfId="17904"/>
    <cellStyle name="표준 11 9 6 2 2" xfId="38780"/>
    <cellStyle name="표준 11 9 6 3" xfId="30042"/>
    <cellStyle name="표준 11 9 7" xfId="9724"/>
    <cellStyle name="표준 11 9 7 2" xfId="18722"/>
    <cellStyle name="표준 11 9 7 2 2" xfId="39598"/>
    <cellStyle name="표준 11 9 7 3" xfId="30860"/>
    <cellStyle name="표준 11 9 8" xfId="10779"/>
    <cellStyle name="표준 11 9 8 2" xfId="19550"/>
    <cellStyle name="표준 11 9 8 2 2" xfId="40426"/>
    <cellStyle name="표준 11 9 8 3" xfId="31690"/>
    <cellStyle name="표준 11 9 9" xfId="11645"/>
    <cellStyle name="표준 11 9 9 2" xfId="20411"/>
    <cellStyle name="표준 11 9 9 2 2" xfId="41287"/>
    <cellStyle name="표준 11 9 9 3" xfId="32551"/>
    <cellStyle name="표준 12" xfId="2898"/>
    <cellStyle name="표준 12 10" xfId="4507"/>
    <cellStyle name="표준 12 10 2" xfId="6341"/>
    <cellStyle name="표준 12 10 2 2" xfId="15350"/>
    <cellStyle name="표준 12 10 2 2 2" xfId="36226"/>
    <cellStyle name="표준 12 10 2 3" xfId="27488"/>
    <cellStyle name="표준 12 10 3" xfId="11004"/>
    <cellStyle name="표준 12 10 3 2" xfId="19774"/>
    <cellStyle name="표준 12 10 3 2 2" xfId="40650"/>
    <cellStyle name="표준 12 10 3 3" xfId="31914"/>
    <cellStyle name="표준 12 10 4" xfId="11869"/>
    <cellStyle name="표준 12 10 4 2" xfId="20635"/>
    <cellStyle name="표준 12 10 4 2 2" xfId="41511"/>
    <cellStyle name="표준 12 10 4 3" xfId="32775"/>
    <cellStyle name="표준 12 10 5" xfId="13532"/>
    <cellStyle name="표준 12 10 5 2" xfId="34408"/>
    <cellStyle name="표준 12 10 6" xfId="25670"/>
    <cellStyle name="표준 12 11" xfId="3990"/>
    <cellStyle name="표준 12 12" xfId="5184"/>
    <cellStyle name="표준 12 12 2" xfId="14193"/>
    <cellStyle name="표준 12 12 2 2" xfId="35069"/>
    <cellStyle name="표준 12 12 3" xfId="26331"/>
    <cellStyle name="표준 12 13" xfId="6986"/>
    <cellStyle name="표준 12 13 2" xfId="15994"/>
    <cellStyle name="표준 12 13 2 2" xfId="36870"/>
    <cellStyle name="표준 12 13 3" xfId="28132"/>
    <cellStyle name="표준 12 14" xfId="7631"/>
    <cellStyle name="표준 12 14 2" xfId="16637"/>
    <cellStyle name="표준 12 14 2 2" xfId="37513"/>
    <cellStyle name="표준 12 14 3" xfId="28775"/>
    <cellStyle name="표준 12 15" xfId="8479"/>
    <cellStyle name="표준 12 15 2" xfId="17484"/>
    <cellStyle name="표준 12 15 2 2" xfId="38360"/>
    <cellStyle name="표준 12 15 3" xfId="29622"/>
    <cellStyle name="표준 12 16" xfId="9303"/>
    <cellStyle name="표준 12 16 2" xfId="18302"/>
    <cellStyle name="표준 12 16 2 2" xfId="39178"/>
    <cellStyle name="표준 12 16 3" xfId="30440"/>
    <cellStyle name="표준 12 17" xfId="10359"/>
    <cellStyle name="표준 12 17 2" xfId="19130"/>
    <cellStyle name="표준 12 17 2 2" xfId="40006"/>
    <cellStyle name="표준 12 17 3" xfId="31270"/>
    <cellStyle name="표준 12 18" xfId="11225"/>
    <cellStyle name="표준 12 18 2" xfId="19991"/>
    <cellStyle name="표준 12 18 2 2" xfId="40867"/>
    <cellStyle name="표준 12 18 3" xfId="32131"/>
    <cellStyle name="표준 12 19" xfId="12373"/>
    <cellStyle name="표준 12 19 2" xfId="33251"/>
    <cellStyle name="표준 12 2" xfId="2899"/>
    <cellStyle name="표준 12 2 10" xfId="10360"/>
    <cellStyle name="표준 12 2 10 2" xfId="19131"/>
    <cellStyle name="표준 12 2 10 2 2" xfId="40007"/>
    <cellStyle name="표준 12 2 10 3" xfId="31271"/>
    <cellStyle name="표준 12 2 11" xfId="11226"/>
    <cellStyle name="표준 12 2 11 2" xfId="19992"/>
    <cellStyle name="표준 12 2 11 2 2" xfId="40868"/>
    <cellStyle name="표준 12 2 11 3" xfId="32132"/>
    <cellStyle name="표준 12 2 12" xfId="12374"/>
    <cellStyle name="표준 12 2 12 2" xfId="33252"/>
    <cellStyle name="표준 12 2 13" xfId="24502"/>
    <cellStyle name="표준 12 2 2" xfId="3117"/>
    <cellStyle name="표준 12 2 2 10" xfId="11436"/>
    <cellStyle name="표준 12 2 2 10 2" xfId="20202"/>
    <cellStyle name="표준 12 2 2 10 2 2" xfId="41078"/>
    <cellStyle name="표준 12 2 2 10 3" xfId="32342"/>
    <cellStyle name="표준 12 2 2 11" xfId="12585"/>
    <cellStyle name="표준 12 2 2 11 2" xfId="33462"/>
    <cellStyle name="표준 12 2 2 12" xfId="24712"/>
    <cellStyle name="표준 12 2 2 2" xfId="3559"/>
    <cellStyle name="표준 12 2 2 2 2" xfId="5832"/>
    <cellStyle name="표준 12 2 2 2 2 2" xfId="14841"/>
    <cellStyle name="표준 12 2 2 2 2 2 2" xfId="35717"/>
    <cellStyle name="표준 12 2 2 2 2 3" xfId="26979"/>
    <cellStyle name="표준 12 2 2 2 3" xfId="13022"/>
    <cellStyle name="표준 12 2 2 2 3 2" xfId="33899"/>
    <cellStyle name="표준 12 2 2 2 4" xfId="25149"/>
    <cellStyle name="표준 12 2 2 3" xfId="4720"/>
    <cellStyle name="표준 12 2 2 3 2" xfId="6552"/>
    <cellStyle name="표준 12 2 2 3 2 2" xfId="15561"/>
    <cellStyle name="표준 12 2 2 3 2 2 2" xfId="36437"/>
    <cellStyle name="표준 12 2 2 3 2 3" xfId="27699"/>
    <cellStyle name="표준 12 2 2 3 3" xfId="13743"/>
    <cellStyle name="표준 12 2 2 3 3 2" xfId="34619"/>
    <cellStyle name="표준 12 2 2 3 4" xfId="25881"/>
    <cellStyle name="표준 12 2 2 4" xfId="5395"/>
    <cellStyle name="표준 12 2 2 4 2" xfId="14404"/>
    <cellStyle name="표준 12 2 2 4 2 2" xfId="35280"/>
    <cellStyle name="표준 12 2 2 4 3" xfId="26542"/>
    <cellStyle name="표준 12 2 2 5" xfId="7198"/>
    <cellStyle name="표준 12 2 2 5 2" xfId="16205"/>
    <cellStyle name="표준 12 2 2 5 2 2" xfId="37081"/>
    <cellStyle name="표준 12 2 2 5 3" xfId="28343"/>
    <cellStyle name="표준 12 2 2 6" xfId="7842"/>
    <cellStyle name="표준 12 2 2 6 2" xfId="16848"/>
    <cellStyle name="표준 12 2 2 6 2 2" xfId="37724"/>
    <cellStyle name="표준 12 2 2 6 3" xfId="28986"/>
    <cellStyle name="표준 12 2 2 7" xfId="8690"/>
    <cellStyle name="표준 12 2 2 7 2" xfId="17695"/>
    <cellStyle name="표준 12 2 2 7 2 2" xfId="38571"/>
    <cellStyle name="표준 12 2 2 7 3" xfId="29833"/>
    <cellStyle name="표준 12 2 2 8" xfId="9515"/>
    <cellStyle name="표준 12 2 2 8 2" xfId="18513"/>
    <cellStyle name="표준 12 2 2 8 2 2" xfId="39389"/>
    <cellStyle name="표준 12 2 2 8 3" xfId="30651"/>
    <cellStyle name="표준 12 2 2 9" xfId="10570"/>
    <cellStyle name="표준 12 2 2 9 2" xfId="19341"/>
    <cellStyle name="표준 12 2 2 9 2 2" xfId="40217"/>
    <cellStyle name="표준 12 2 2 9 3" xfId="31481"/>
    <cellStyle name="표준 12 2 3" xfId="3349"/>
    <cellStyle name="표준 12 2 3 10" xfId="12812"/>
    <cellStyle name="표준 12 2 3 10 2" xfId="33689"/>
    <cellStyle name="표준 12 2 3 11" xfId="24939"/>
    <cellStyle name="표준 12 2 3 2" xfId="4942"/>
    <cellStyle name="표준 12 2 3 2 2" xfId="6769"/>
    <cellStyle name="표준 12 2 3 2 2 2" xfId="15778"/>
    <cellStyle name="표준 12 2 3 2 2 2 2" xfId="36654"/>
    <cellStyle name="표준 12 2 3 2 2 3" xfId="27916"/>
    <cellStyle name="표준 12 2 3 2 3" xfId="13960"/>
    <cellStyle name="표준 12 2 3 2 3 2" xfId="34836"/>
    <cellStyle name="표준 12 2 3 2 4" xfId="26098"/>
    <cellStyle name="표준 12 2 3 3" xfId="5622"/>
    <cellStyle name="표준 12 2 3 3 2" xfId="14631"/>
    <cellStyle name="표준 12 2 3 3 2 2" xfId="35507"/>
    <cellStyle name="표준 12 2 3 3 3" xfId="26769"/>
    <cellStyle name="표준 12 2 3 4" xfId="7415"/>
    <cellStyle name="표준 12 2 3 4 2" xfId="16422"/>
    <cellStyle name="표준 12 2 3 4 2 2" xfId="37298"/>
    <cellStyle name="표준 12 2 3 4 3" xfId="28560"/>
    <cellStyle name="표준 12 2 3 5" xfId="8059"/>
    <cellStyle name="표준 12 2 3 5 2" xfId="17065"/>
    <cellStyle name="표준 12 2 3 5 2 2" xfId="37941"/>
    <cellStyle name="표준 12 2 3 5 3" xfId="29203"/>
    <cellStyle name="표준 12 2 3 6" xfId="8907"/>
    <cellStyle name="표준 12 2 3 6 2" xfId="17912"/>
    <cellStyle name="표준 12 2 3 6 2 2" xfId="38788"/>
    <cellStyle name="표준 12 2 3 6 3" xfId="30050"/>
    <cellStyle name="표준 12 2 3 7" xfId="9732"/>
    <cellStyle name="표준 12 2 3 7 2" xfId="18730"/>
    <cellStyle name="표준 12 2 3 7 2 2" xfId="39606"/>
    <cellStyle name="표준 12 2 3 7 3" xfId="30868"/>
    <cellStyle name="표준 12 2 3 8" xfId="10787"/>
    <cellStyle name="표준 12 2 3 8 2" xfId="19558"/>
    <cellStyle name="표준 12 2 3 8 2 2" xfId="40434"/>
    <cellStyle name="표준 12 2 3 8 3" xfId="31698"/>
    <cellStyle name="표준 12 2 3 9" xfId="11653"/>
    <cellStyle name="표준 12 2 3 9 2" xfId="20419"/>
    <cellStyle name="표준 12 2 3 9 2 2" xfId="41295"/>
    <cellStyle name="표준 12 2 3 9 3" xfId="32559"/>
    <cellStyle name="표준 12 2 4" xfId="4508"/>
    <cellStyle name="표준 12 2 4 2" xfId="6342"/>
    <cellStyle name="표준 12 2 4 2 2" xfId="15351"/>
    <cellStyle name="표준 12 2 4 2 2 2" xfId="36227"/>
    <cellStyle name="표준 12 2 4 2 3" xfId="27489"/>
    <cellStyle name="표준 12 2 4 3" xfId="11005"/>
    <cellStyle name="표준 12 2 4 3 2" xfId="19775"/>
    <cellStyle name="표준 12 2 4 3 2 2" xfId="40651"/>
    <cellStyle name="표준 12 2 4 3 3" xfId="31915"/>
    <cellStyle name="표준 12 2 4 4" xfId="11870"/>
    <cellStyle name="표준 12 2 4 4 2" xfId="20636"/>
    <cellStyle name="표준 12 2 4 4 2 2" xfId="41512"/>
    <cellStyle name="표준 12 2 4 4 3" xfId="32776"/>
    <cellStyle name="표준 12 2 4 5" xfId="13533"/>
    <cellStyle name="표준 12 2 4 5 2" xfId="34409"/>
    <cellStyle name="표준 12 2 4 6" xfId="25671"/>
    <cellStyle name="표준 12 2 5" xfId="5185"/>
    <cellStyle name="표준 12 2 5 2" xfId="14194"/>
    <cellStyle name="표준 12 2 5 2 2" xfId="35070"/>
    <cellStyle name="표준 12 2 5 3" xfId="26332"/>
    <cellStyle name="표준 12 2 6" xfId="6987"/>
    <cellStyle name="표준 12 2 6 2" xfId="15995"/>
    <cellStyle name="표준 12 2 6 2 2" xfId="36871"/>
    <cellStyle name="표준 12 2 6 3" xfId="28133"/>
    <cellStyle name="표준 12 2 7" xfId="7632"/>
    <cellStyle name="표준 12 2 7 2" xfId="16638"/>
    <cellStyle name="표준 12 2 7 2 2" xfId="37514"/>
    <cellStyle name="표준 12 2 7 3" xfId="28776"/>
    <cellStyle name="표준 12 2 8" xfId="8480"/>
    <cellStyle name="표준 12 2 8 2" xfId="17485"/>
    <cellStyle name="표준 12 2 8 2 2" xfId="38361"/>
    <cellStyle name="표준 12 2 8 3" xfId="29623"/>
    <cellStyle name="표준 12 2 9" xfId="9304"/>
    <cellStyle name="표준 12 2 9 2" xfId="18303"/>
    <cellStyle name="표준 12 2 9 2 2" xfId="39179"/>
    <cellStyle name="표준 12 2 9 3" xfId="30441"/>
    <cellStyle name="표준 12 20" xfId="24501"/>
    <cellStyle name="표준 12 3" xfId="2900"/>
    <cellStyle name="표준 12 3 10" xfId="10361"/>
    <cellStyle name="표준 12 3 10 2" xfId="19132"/>
    <cellStyle name="표준 12 3 10 2 2" xfId="40008"/>
    <cellStyle name="표준 12 3 10 3" xfId="31272"/>
    <cellStyle name="표준 12 3 11" xfId="11227"/>
    <cellStyle name="표준 12 3 11 2" xfId="19993"/>
    <cellStyle name="표준 12 3 11 2 2" xfId="40869"/>
    <cellStyle name="표준 12 3 11 3" xfId="32133"/>
    <cellStyle name="표준 12 3 12" xfId="12375"/>
    <cellStyle name="표준 12 3 12 2" xfId="33253"/>
    <cellStyle name="표준 12 3 13" xfId="24503"/>
    <cellStyle name="표준 12 3 2" xfId="3118"/>
    <cellStyle name="표준 12 3 2 10" xfId="11437"/>
    <cellStyle name="표준 12 3 2 10 2" xfId="20203"/>
    <cellStyle name="표준 12 3 2 10 2 2" xfId="41079"/>
    <cellStyle name="표준 12 3 2 10 3" xfId="32343"/>
    <cellStyle name="표준 12 3 2 11" xfId="12586"/>
    <cellStyle name="표준 12 3 2 11 2" xfId="33463"/>
    <cellStyle name="표준 12 3 2 12" xfId="24713"/>
    <cellStyle name="표준 12 3 2 2" xfId="3560"/>
    <cellStyle name="표준 12 3 2 2 2" xfId="5833"/>
    <cellStyle name="표준 12 3 2 2 2 2" xfId="14842"/>
    <cellStyle name="표준 12 3 2 2 2 2 2" xfId="35718"/>
    <cellStyle name="표준 12 3 2 2 2 3" xfId="26980"/>
    <cellStyle name="표준 12 3 2 2 3" xfId="13023"/>
    <cellStyle name="표준 12 3 2 2 3 2" xfId="33900"/>
    <cellStyle name="표준 12 3 2 2 4" xfId="25150"/>
    <cellStyle name="표준 12 3 2 3" xfId="4721"/>
    <cellStyle name="표준 12 3 2 3 2" xfId="6553"/>
    <cellStyle name="표준 12 3 2 3 2 2" xfId="15562"/>
    <cellStyle name="표준 12 3 2 3 2 2 2" xfId="36438"/>
    <cellStyle name="표준 12 3 2 3 2 3" xfId="27700"/>
    <cellStyle name="표준 12 3 2 3 3" xfId="13744"/>
    <cellStyle name="표준 12 3 2 3 3 2" xfId="34620"/>
    <cellStyle name="표준 12 3 2 3 4" xfId="25882"/>
    <cellStyle name="표준 12 3 2 4" xfId="5396"/>
    <cellStyle name="표준 12 3 2 4 2" xfId="14405"/>
    <cellStyle name="표준 12 3 2 4 2 2" xfId="35281"/>
    <cellStyle name="표준 12 3 2 4 3" xfId="26543"/>
    <cellStyle name="표준 12 3 2 5" xfId="7199"/>
    <cellStyle name="표준 12 3 2 5 2" xfId="16206"/>
    <cellStyle name="표준 12 3 2 5 2 2" xfId="37082"/>
    <cellStyle name="표준 12 3 2 5 3" xfId="28344"/>
    <cellStyle name="표준 12 3 2 6" xfId="7843"/>
    <cellStyle name="표준 12 3 2 6 2" xfId="16849"/>
    <cellStyle name="표준 12 3 2 6 2 2" xfId="37725"/>
    <cellStyle name="표준 12 3 2 6 3" xfId="28987"/>
    <cellStyle name="표준 12 3 2 7" xfId="8691"/>
    <cellStyle name="표준 12 3 2 7 2" xfId="17696"/>
    <cellStyle name="표준 12 3 2 7 2 2" xfId="38572"/>
    <cellStyle name="표준 12 3 2 7 3" xfId="29834"/>
    <cellStyle name="표준 12 3 2 8" xfId="9516"/>
    <cellStyle name="표준 12 3 2 8 2" xfId="18514"/>
    <cellStyle name="표준 12 3 2 8 2 2" xfId="39390"/>
    <cellStyle name="표준 12 3 2 8 3" xfId="30652"/>
    <cellStyle name="표준 12 3 2 9" xfId="10571"/>
    <cellStyle name="표준 12 3 2 9 2" xfId="19342"/>
    <cellStyle name="표준 12 3 2 9 2 2" xfId="40218"/>
    <cellStyle name="표준 12 3 2 9 3" xfId="31482"/>
    <cellStyle name="표준 12 3 3" xfId="3350"/>
    <cellStyle name="표준 12 3 3 10" xfId="12813"/>
    <cellStyle name="표준 12 3 3 10 2" xfId="33690"/>
    <cellStyle name="표준 12 3 3 11" xfId="24940"/>
    <cellStyle name="표준 12 3 3 2" xfId="4943"/>
    <cellStyle name="표준 12 3 3 2 2" xfId="6770"/>
    <cellStyle name="표준 12 3 3 2 2 2" xfId="15779"/>
    <cellStyle name="표준 12 3 3 2 2 2 2" xfId="36655"/>
    <cellStyle name="표준 12 3 3 2 2 3" xfId="27917"/>
    <cellStyle name="표준 12 3 3 2 3" xfId="13961"/>
    <cellStyle name="표준 12 3 3 2 3 2" xfId="34837"/>
    <cellStyle name="표준 12 3 3 2 4" xfId="26099"/>
    <cellStyle name="표준 12 3 3 3" xfId="5623"/>
    <cellStyle name="표준 12 3 3 3 2" xfId="14632"/>
    <cellStyle name="표준 12 3 3 3 2 2" xfId="35508"/>
    <cellStyle name="표준 12 3 3 3 3" xfId="26770"/>
    <cellStyle name="표준 12 3 3 4" xfId="7416"/>
    <cellStyle name="표준 12 3 3 4 2" xfId="16423"/>
    <cellStyle name="표준 12 3 3 4 2 2" xfId="37299"/>
    <cellStyle name="표준 12 3 3 4 3" xfId="28561"/>
    <cellStyle name="표준 12 3 3 5" xfId="8060"/>
    <cellStyle name="표준 12 3 3 5 2" xfId="17066"/>
    <cellStyle name="표준 12 3 3 5 2 2" xfId="37942"/>
    <cellStyle name="표준 12 3 3 5 3" xfId="29204"/>
    <cellStyle name="표준 12 3 3 6" xfId="8908"/>
    <cellStyle name="표준 12 3 3 6 2" xfId="17913"/>
    <cellStyle name="표준 12 3 3 6 2 2" xfId="38789"/>
    <cellStyle name="표준 12 3 3 6 3" xfId="30051"/>
    <cellStyle name="표준 12 3 3 7" xfId="9733"/>
    <cellStyle name="표준 12 3 3 7 2" xfId="18731"/>
    <cellStyle name="표준 12 3 3 7 2 2" xfId="39607"/>
    <cellStyle name="표준 12 3 3 7 3" xfId="30869"/>
    <cellStyle name="표준 12 3 3 8" xfId="10788"/>
    <cellStyle name="표준 12 3 3 8 2" xfId="19559"/>
    <cellStyle name="표준 12 3 3 8 2 2" xfId="40435"/>
    <cellStyle name="표준 12 3 3 8 3" xfId="31699"/>
    <cellStyle name="표준 12 3 3 9" xfId="11654"/>
    <cellStyle name="표준 12 3 3 9 2" xfId="20420"/>
    <cellStyle name="표준 12 3 3 9 2 2" xfId="41296"/>
    <cellStyle name="표준 12 3 3 9 3" xfId="32560"/>
    <cellStyle name="표준 12 3 4" xfId="4509"/>
    <cellStyle name="표준 12 3 4 2" xfId="6343"/>
    <cellStyle name="표준 12 3 4 2 2" xfId="15352"/>
    <cellStyle name="표준 12 3 4 2 2 2" xfId="36228"/>
    <cellStyle name="표준 12 3 4 2 3" xfId="27490"/>
    <cellStyle name="표준 12 3 4 3" xfId="11006"/>
    <cellStyle name="표준 12 3 4 3 2" xfId="19776"/>
    <cellStyle name="표준 12 3 4 3 2 2" xfId="40652"/>
    <cellStyle name="표준 12 3 4 3 3" xfId="31916"/>
    <cellStyle name="표준 12 3 4 4" xfId="11871"/>
    <cellStyle name="표준 12 3 4 4 2" xfId="20637"/>
    <cellStyle name="표준 12 3 4 4 2 2" xfId="41513"/>
    <cellStyle name="표준 12 3 4 4 3" xfId="32777"/>
    <cellStyle name="표준 12 3 4 5" xfId="13534"/>
    <cellStyle name="표준 12 3 4 5 2" xfId="34410"/>
    <cellStyle name="표준 12 3 4 6" xfId="25672"/>
    <cellStyle name="표준 12 3 5" xfId="5186"/>
    <cellStyle name="표준 12 3 5 2" xfId="14195"/>
    <cellStyle name="표준 12 3 5 2 2" xfId="35071"/>
    <cellStyle name="표준 12 3 5 3" xfId="26333"/>
    <cellStyle name="표준 12 3 6" xfId="6988"/>
    <cellStyle name="표준 12 3 6 2" xfId="15996"/>
    <cellStyle name="표준 12 3 6 2 2" xfId="36872"/>
    <cellStyle name="표준 12 3 6 3" xfId="28134"/>
    <cellStyle name="표준 12 3 7" xfId="7633"/>
    <cellStyle name="표준 12 3 7 2" xfId="16639"/>
    <cellStyle name="표준 12 3 7 2 2" xfId="37515"/>
    <cellStyle name="표준 12 3 7 3" xfId="28777"/>
    <cellStyle name="표준 12 3 8" xfId="8481"/>
    <cellStyle name="표준 12 3 8 2" xfId="17486"/>
    <cellStyle name="표준 12 3 8 2 2" xfId="38362"/>
    <cellStyle name="표준 12 3 8 3" xfId="29624"/>
    <cellStyle name="표준 12 3 9" xfId="9305"/>
    <cellStyle name="표준 12 3 9 2" xfId="18304"/>
    <cellStyle name="표준 12 3 9 2 2" xfId="39180"/>
    <cellStyle name="표준 12 3 9 3" xfId="30442"/>
    <cellStyle name="표준 12 4" xfId="2901"/>
    <cellStyle name="표준 12 4 10" xfId="10362"/>
    <cellStyle name="표준 12 4 10 2" xfId="19133"/>
    <cellStyle name="표준 12 4 10 2 2" xfId="40009"/>
    <cellStyle name="표준 12 4 10 3" xfId="31273"/>
    <cellStyle name="표준 12 4 11" xfId="11228"/>
    <cellStyle name="표준 12 4 11 2" xfId="19994"/>
    <cellStyle name="표준 12 4 11 2 2" xfId="40870"/>
    <cellStyle name="표준 12 4 11 3" xfId="32134"/>
    <cellStyle name="표준 12 4 12" xfId="12376"/>
    <cellStyle name="표준 12 4 12 2" xfId="33254"/>
    <cellStyle name="표준 12 4 13" xfId="24504"/>
    <cellStyle name="표준 12 4 2" xfId="3119"/>
    <cellStyle name="표준 12 4 2 10" xfId="11438"/>
    <cellStyle name="표준 12 4 2 10 2" xfId="20204"/>
    <cellStyle name="표준 12 4 2 10 2 2" xfId="41080"/>
    <cellStyle name="표준 12 4 2 10 3" xfId="32344"/>
    <cellStyle name="표준 12 4 2 11" xfId="12587"/>
    <cellStyle name="표준 12 4 2 11 2" xfId="33464"/>
    <cellStyle name="표준 12 4 2 12" xfId="24714"/>
    <cellStyle name="표준 12 4 2 2" xfId="3561"/>
    <cellStyle name="표준 12 4 2 2 2" xfId="5834"/>
    <cellStyle name="표준 12 4 2 2 2 2" xfId="14843"/>
    <cellStyle name="표준 12 4 2 2 2 2 2" xfId="35719"/>
    <cellStyle name="표준 12 4 2 2 2 3" xfId="26981"/>
    <cellStyle name="표준 12 4 2 2 3" xfId="13024"/>
    <cellStyle name="표준 12 4 2 2 3 2" xfId="33901"/>
    <cellStyle name="표준 12 4 2 2 4" xfId="25151"/>
    <cellStyle name="표준 12 4 2 3" xfId="4722"/>
    <cellStyle name="표준 12 4 2 3 2" xfId="6554"/>
    <cellStyle name="표준 12 4 2 3 2 2" xfId="15563"/>
    <cellStyle name="표준 12 4 2 3 2 2 2" xfId="36439"/>
    <cellStyle name="표준 12 4 2 3 2 3" xfId="27701"/>
    <cellStyle name="표준 12 4 2 3 3" xfId="13745"/>
    <cellStyle name="표준 12 4 2 3 3 2" xfId="34621"/>
    <cellStyle name="표준 12 4 2 3 4" xfId="25883"/>
    <cellStyle name="표준 12 4 2 4" xfId="5397"/>
    <cellStyle name="표준 12 4 2 4 2" xfId="14406"/>
    <cellStyle name="표준 12 4 2 4 2 2" xfId="35282"/>
    <cellStyle name="표준 12 4 2 4 3" xfId="26544"/>
    <cellStyle name="표준 12 4 2 5" xfId="7200"/>
    <cellStyle name="표준 12 4 2 5 2" xfId="16207"/>
    <cellStyle name="표준 12 4 2 5 2 2" xfId="37083"/>
    <cellStyle name="표준 12 4 2 5 3" xfId="28345"/>
    <cellStyle name="표준 12 4 2 6" xfId="7844"/>
    <cellStyle name="표준 12 4 2 6 2" xfId="16850"/>
    <cellStyle name="표준 12 4 2 6 2 2" xfId="37726"/>
    <cellStyle name="표준 12 4 2 6 3" xfId="28988"/>
    <cellStyle name="표준 12 4 2 7" xfId="8692"/>
    <cellStyle name="표준 12 4 2 7 2" xfId="17697"/>
    <cellStyle name="표준 12 4 2 7 2 2" xfId="38573"/>
    <cellStyle name="표준 12 4 2 7 3" xfId="29835"/>
    <cellStyle name="표준 12 4 2 8" xfId="9517"/>
    <cellStyle name="표준 12 4 2 8 2" xfId="18515"/>
    <cellStyle name="표준 12 4 2 8 2 2" xfId="39391"/>
    <cellStyle name="표준 12 4 2 8 3" xfId="30653"/>
    <cellStyle name="표준 12 4 2 9" xfId="10572"/>
    <cellStyle name="표준 12 4 2 9 2" xfId="19343"/>
    <cellStyle name="표준 12 4 2 9 2 2" xfId="40219"/>
    <cellStyle name="표준 12 4 2 9 3" xfId="31483"/>
    <cellStyle name="표준 12 4 3" xfId="3351"/>
    <cellStyle name="표준 12 4 3 10" xfId="12814"/>
    <cellStyle name="표준 12 4 3 10 2" xfId="33691"/>
    <cellStyle name="표준 12 4 3 11" xfId="24941"/>
    <cellStyle name="표준 12 4 3 2" xfId="4944"/>
    <cellStyle name="표준 12 4 3 2 2" xfId="6771"/>
    <cellStyle name="표준 12 4 3 2 2 2" xfId="15780"/>
    <cellStyle name="표준 12 4 3 2 2 2 2" xfId="36656"/>
    <cellStyle name="표준 12 4 3 2 2 3" xfId="27918"/>
    <cellStyle name="표준 12 4 3 2 3" xfId="13962"/>
    <cellStyle name="표준 12 4 3 2 3 2" xfId="34838"/>
    <cellStyle name="표준 12 4 3 2 4" xfId="26100"/>
    <cellStyle name="표준 12 4 3 3" xfId="5624"/>
    <cellStyle name="표준 12 4 3 3 2" xfId="14633"/>
    <cellStyle name="표준 12 4 3 3 2 2" xfId="35509"/>
    <cellStyle name="표준 12 4 3 3 3" xfId="26771"/>
    <cellStyle name="표준 12 4 3 4" xfId="7417"/>
    <cellStyle name="표준 12 4 3 4 2" xfId="16424"/>
    <cellStyle name="표준 12 4 3 4 2 2" xfId="37300"/>
    <cellStyle name="표준 12 4 3 4 3" xfId="28562"/>
    <cellStyle name="표준 12 4 3 5" xfId="8061"/>
    <cellStyle name="표준 12 4 3 5 2" xfId="17067"/>
    <cellStyle name="표준 12 4 3 5 2 2" xfId="37943"/>
    <cellStyle name="표준 12 4 3 5 3" xfId="29205"/>
    <cellStyle name="표준 12 4 3 6" xfId="8909"/>
    <cellStyle name="표준 12 4 3 6 2" xfId="17914"/>
    <cellStyle name="표준 12 4 3 6 2 2" xfId="38790"/>
    <cellStyle name="표준 12 4 3 6 3" xfId="30052"/>
    <cellStyle name="표준 12 4 3 7" xfId="9734"/>
    <cellStyle name="표준 12 4 3 7 2" xfId="18732"/>
    <cellStyle name="표준 12 4 3 7 2 2" xfId="39608"/>
    <cellStyle name="표준 12 4 3 7 3" xfId="30870"/>
    <cellStyle name="표준 12 4 3 8" xfId="10789"/>
    <cellStyle name="표준 12 4 3 8 2" xfId="19560"/>
    <cellStyle name="표준 12 4 3 8 2 2" xfId="40436"/>
    <cellStyle name="표준 12 4 3 8 3" xfId="31700"/>
    <cellStyle name="표준 12 4 3 9" xfId="11655"/>
    <cellStyle name="표준 12 4 3 9 2" xfId="20421"/>
    <cellStyle name="표준 12 4 3 9 2 2" xfId="41297"/>
    <cellStyle name="표준 12 4 3 9 3" xfId="32561"/>
    <cellStyle name="표준 12 4 4" xfId="4510"/>
    <cellStyle name="표준 12 4 4 2" xfId="6344"/>
    <cellStyle name="표준 12 4 4 2 2" xfId="15353"/>
    <cellStyle name="표준 12 4 4 2 2 2" xfId="36229"/>
    <cellStyle name="표준 12 4 4 2 3" xfId="27491"/>
    <cellStyle name="표준 12 4 4 3" xfId="11007"/>
    <cellStyle name="표준 12 4 4 3 2" xfId="19777"/>
    <cellStyle name="표준 12 4 4 3 2 2" xfId="40653"/>
    <cellStyle name="표준 12 4 4 3 3" xfId="31917"/>
    <cellStyle name="표준 12 4 4 4" xfId="11872"/>
    <cellStyle name="표준 12 4 4 4 2" xfId="20638"/>
    <cellStyle name="표준 12 4 4 4 2 2" xfId="41514"/>
    <cellStyle name="표준 12 4 4 4 3" xfId="32778"/>
    <cellStyle name="표준 12 4 4 5" xfId="13535"/>
    <cellStyle name="표준 12 4 4 5 2" xfId="34411"/>
    <cellStyle name="표준 12 4 4 6" xfId="25673"/>
    <cellStyle name="표준 12 4 5" xfId="5187"/>
    <cellStyle name="표준 12 4 5 2" xfId="14196"/>
    <cellStyle name="표준 12 4 5 2 2" xfId="35072"/>
    <cellStyle name="표준 12 4 5 3" xfId="26334"/>
    <cellStyle name="표준 12 4 6" xfId="6989"/>
    <cellStyle name="표준 12 4 6 2" xfId="15997"/>
    <cellStyle name="표준 12 4 6 2 2" xfId="36873"/>
    <cellStyle name="표준 12 4 6 3" xfId="28135"/>
    <cellStyle name="표준 12 4 7" xfId="7634"/>
    <cellStyle name="표준 12 4 7 2" xfId="16640"/>
    <cellStyle name="표준 12 4 7 2 2" xfId="37516"/>
    <cellStyle name="표준 12 4 7 3" xfId="28778"/>
    <cellStyle name="표준 12 4 8" xfId="8482"/>
    <cellStyle name="표준 12 4 8 2" xfId="17487"/>
    <cellStyle name="표준 12 4 8 2 2" xfId="38363"/>
    <cellStyle name="표준 12 4 8 3" xfId="29625"/>
    <cellStyle name="표준 12 4 9" xfId="9306"/>
    <cellStyle name="표준 12 4 9 2" xfId="18305"/>
    <cellStyle name="표준 12 4 9 2 2" xfId="39181"/>
    <cellStyle name="표준 12 4 9 3" xfId="30443"/>
    <cellStyle name="표준 12 5" xfId="2902"/>
    <cellStyle name="표준 12 5 10" xfId="10363"/>
    <cellStyle name="표준 12 5 10 2" xfId="19134"/>
    <cellStyle name="표준 12 5 10 2 2" xfId="40010"/>
    <cellStyle name="표준 12 5 10 3" xfId="31274"/>
    <cellStyle name="표준 12 5 11" xfId="11229"/>
    <cellStyle name="표준 12 5 11 2" xfId="19995"/>
    <cellStyle name="표준 12 5 11 2 2" xfId="40871"/>
    <cellStyle name="표준 12 5 11 3" xfId="32135"/>
    <cellStyle name="표준 12 5 12" xfId="12377"/>
    <cellStyle name="표준 12 5 12 2" xfId="33255"/>
    <cellStyle name="표준 12 5 13" xfId="24505"/>
    <cellStyle name="표준 12 5 2" xfId="3120"/>
    <cellStyle name="표준 12 5 2 10" xfId="11439"/>
    <cellStyle name="표준 12 5 2 10 2" xfId="20205"/>
    <cellStyle name="표준 12 5 2 10 2 2" xfId="41081"/>
    <cellStyle name="표준 12 5 2 10 3" xfId="32345"/>
    <cellStyle name="표준 12 5 2 11" xfId="12588"/>
    <cellStyle name="표준 12 5 2 11 2" xfId="33465"/>
    <cellStyle name="표준 12 5 2 12" xfId="24715"/>
    <cellStyle name="표준 12 5 2 2" xfId="3562"/>
    <cellStyle name="표준 12 5 2 2 2" xfId="5835"/>
    <cellStyle name="표준 12 5 2 2 2 2" xfId="14844"/>
    <cellStyle name="표준 12 5 2 2 2 2 2" xfId="35720"/>
    <cellStyle name="표준 12 5 2 2 2 3" xfId="26982"/>
    <cellStyle name="표준 12 5 2 2 3" xfId="13025"/>
    <cellStyle name="표준 12 5 2 2 3 2" xfId="33902"/>
    <cellStyle name="표준 12 5 2 2 4" xfId="25152"/>
    <cellStyle name="표준 12 5 2 3" xfId="4723"/>
    <cellStyle name="표준 12 5 2 3 2" xfId="6555"/>
    <cellStyle name="표준 12 5 2 3 2 2" xfId="15564"/>
    <cellStyle name="표준 12 5 2 3 2 2 2" xfId="36440"/>
    <cellStyle name="표준 12 5 2 3 2 3" xfId="27702"/>
    <cellStyle name="표준 12 5 2 3 3" xfId="13746"/>
    <cellStyle name="표준 12 5 2 3 3 2" xfId="34622"/>
    <cellStyle name="표준 12 5 2 3 4" xfId="25884"/>
    <cellStyle name="표준 12 5 2 4" xfId="5398"/>
    <cellStyle name="표준 12 5 2 4 2" xfId="14407"/>
    <cellStyle name="표준 12 5 2 4 2 2" xfId="35283"/>
    <cellStyle name="표준 12 5 2 4 3" xfId="26545"/>
    <cellStyle name="표준 12 5 2 5" xfId="7201"/>
    <cellStyle name="표준 12 5 2 5 2" xfId="16208"/>
    <cellStyle name="표준 12 5 2 5 2 2" xfId="37084"/>
    <cellStyle name="표준 12 5 2 5 3" xfId="28346"/>
    <cellStyle name="표준 12 5 2 6" xfId="7845"/>
    <cellStyle name="표준 12 5 2 6 2" xfId="16851"/>
    <cellStyle name="표준 12 5 2 6 2 2" xfId="37727"/>
    <cellStyle name="표준 12 5 2 6 3" xfId="28989"/>
    <cellStyle name="표준 12 5 2 7" xfId="8693"/>
    <cellStyle name="표준 12 5 2 7 2" xfId="17698"/>
    <cellStyle name="표준 12 5 2 7 2 2" xfId="38574"/>
    <cellStyle name="표준 12 5 2 7 3" xfId="29836"/>
    <cellStyle name="표준 12 5 2 8" xfId="9518"/>
    <cellStyle name="표준 12 5 2 8 2" xfId="18516"/>
    <cellStyle name="표준 12 5 2 8 2 2" xfId="39392"/>
    <cellStyle name="표준 12 5 2 8 3" xfId="30654"/>
    <cellStyle name="표준 12 5 2 9" xfId="10573"/>
    <cellStyle name="표준 12 5 2 9 2" xfId="19344"/>
    <cellStyle name="표준 12 5 2 9 2 2" xfId="40220"/>
    <cellStyle name="표준 12 5 2 9 3" xfId="31484"/>
    <cellStyle name="표준 12 5 3" xfId="3352"/>
    <cellStyle name="표준 12 5 3 10" xfId="12815"/>
    <cellStyle name="표준 12 5 3 10 2" xfId="33692"/>
    <cellStyle name="표준 12 5 3 11" xfId="24942"/>
    <cellStyle name="표준 12 5 3 2" xfId="4945"/>
    <cellStyle name="표준 12 5 3 2 2" xfId="6772"/>
    <cellStyle name="표준 12 5 3 2 2 2" xfId="15781"/>
    <cellStyle name="표준 12 5 3 2 2 2 2" xfId="36657"/>
    <cellStyle name="표준 12 5 3 2 2 3" xfId="27919"/>
    <cellStyle name="표준 12 5 3 2 3" xfId="13963"/>
    <cellStyle name="표준 12 5 3 2 3 2" xfId="34839"/>
    <cellStyle name="표준 12 5 3 2 4" xfId="26101"/>
    <cellStyle name="표준 12 5 3 3" xfId="5625"/>
    <cellStyle name="표준 12 5 3 3 2" xfId="14634"/>
    <cellStyle name="표준 12 5 3 3 2 2" xfId="35510"/>
    <cellStyle name="표준 12 5 3 3 3" xfId="26772"/>
    <cellStyle name="표준 12 5 3 4" xfId="7418"/>
    <cellStyle name="표준 12 5 3 4 2" xfId="16425"/>
    <cellStyle name="표준 12 5 3 4 2 2" xfId="37301"/>
    <cellStyle name="표준 12 5 3 4 3" xfId="28563"/>
    <cellStyle name="표준 12 5 3 5" xfId="8062"/>
    <cellStyle name="표준 12 5 3 5 2" xfId="17068"/>
    <cellStyle name="표준 12 5 3 5 2 2" xfId="37944"/>
    <cellStyle name="표준 12 5 3 5 3" xfId="29206"/>
    <cellStyle name="표준 12 5 3 6" xfId="8910"/>
    <cellStyle name="표준 12 5 3 6 2" xfId="17915"/>
    <cellStyle name="표준 12 5 3 6 2 2" xfId="38791"/>
    <cellStyle name="표준 12 5 3 6 3" xfId="30053"/>
    <cellStyle name="표준 12 5 3 7" xfId="9735"/>
    <cellStyle name="표준 12 5 3 7 2" xfId="18733"/>
    <cellStyle name="표준 12 5 3 7 2 2" xfId="39609"/>
    <cellStyle name="표준 12 5 3 7 3" xfId="30871"/>
    <cellStyle name="표준 12 5 3 8" xfId="10790"/>
    <cellStyle name="표준 12 5 3 8 2" xfId="19561"/>
    <cellStyle name="표준 12 5 3 8 2 2" xfId="40437"/>
    <cellStyle name="표준 12 5 3 8 3" xfId="31701"/>
    <cellStyle name="표준 12 5 3 9" xfId="11656"/>
    <cellStyle name="표준 12 5 3 9 2" xfId="20422"/>
    <cellStyle name="표준 12 5 3 9 2 2" xfId="41298"/>
    <cellStyle name="표준 12 5 3 9 3" xfId="32562"/>
    <cellStyle name="표준 12 5 4" xfId="4511"/>
    <cellStyle name="표준 12 5 4 2" xfId="6345"/>
    <cellStyle name="표준 12 5 4 2 2" xfId="15354"/>
    <cellStyle name="표준 12 5 4 2 2 2" xfId="36230"/>
    <cellStyle name="표준 12 5 4 2 3" xfId="27492"/>
    <cellStyle name="표준 12 5 4 3" xfId="11008"/>
    <cellStyle name="표준 12 5 4 3 2" xfId="19778"/>
    <cellStyle name="표준 12 5 4 3 2 2" xfId="40654"/>
    <cellStyle name="표준 12 5 4 3 3" xfId="31918"/>
    <cellStyle name="표준 12 5 4 4" xfId="11873"/>
    <cellStyle name="표준 12 5 4 4 2" xfId="20639"/>
    <cellStyle name="표준 12 5 4 4 2 2" xfId="41515"/>
    <cellStyle name="표준 12 5 4 4 3" xfId="32779"/>
    <cellStyle name="표준 12 5 4 5" xfId="13536"/>
    <cellStyle name="표준 12 5 4 5 2" xfId="34412"/>
    <cellStyle name="표준 12 5 4 6" xfId="25674"/>
    <cellStyle name="표준 12 5 5" xfId="5188"/>
    <cellStyle name="표준 12 5 5 2" xfId="14197"/>
    <cellStyle name="표준 12 5 5 2 2" xfId="35073"/>
    <cellStyle name="표준 12 5 5 3" xfId="26335"/>
    <cellStyle name="표준 12 5 6" xfId="6990"/>
    <cellStyle name="표준 12 5 6 2" xfId="15998"/>
    <cellStyle name="표준 12 5 6 2 2" xfId="36874"/>
    <cellStyle name="표준 12 5 6 3" xfId="28136"/>
    <cellStyle name="표준 12 5 7" xfId="7635"/>
    <cellStyle name="표준 12 5 7 2" xfId="16641"/>
    <cellStyle name="표준 12 5 7 2 2" xfId="37517"/>
    <cellStyle name="표준 12 5 7 3" xfId="28779"/>
    <cellStyle name="표준 12 5 8" xfId="8483"/>
    <cellStyle name="표준 12 5 8 2" xfId="17488"/>
    <cellStyle name="표준 12 5 8 2 2" xfId="38364"/>
    <cellStyle name="표준 12 5 8 3" xfId="29626"/>
    <cellStyle name="표준 12 5 9" xfId="9307"/>
    <cellStyle name="표준 12 5 9 2" xfId="18306"/>
    <cellStyle name="표준 12 5 9 2 2" xfId="39182"/>
    <cellStyle name="표준 12 5 9 3" xfId="30444"/>
    <cellStyle name="표준 12 6" xfId="2903"/>
    <cellStyle name="표준 12 6 10" xfId="10364"/>
    <cellStyle name="표준 12 6 10 2" xfId="19135"/>
    <cellStyle name="표준 12 6 10 2 2" xfId="40011"/>
    <cellStyle name="표준 12 6 10 3" xfId="31275"/>
    <cellStyle name="표준 12 6 11" xfId="11230"/>
    <cellStyle name="표준 12 6 11 2" xfId="19996"/>
    <cellStyle name="표준 12 6 11 2 2" xfId="40872"/>
    <cellStyle name="표준 12 6 11 3" xfId="32136"/>
    <cellStyle name="표준 12 6 12" xfId="12378"/>
    <cellStyle name="표준 12 6 12 2" xfId="33256"/>
    <cellStyle name="표준 12 6 13" xfId="24506"/>
    <cellStyle name="표준 12 6 2" xfId="3121"/>
    <cellStyle name="표준 12 6 2 10" xfId="11440"/>
    <cellStyle name="표준 12 6 2 10 2" xfId="20206"/>
    <cellStyle name="표준 12 6 2 10 2 2" xfId="41082"/>
    <cellStyle name="표준 12 6 2 10 3" xfId="32346"/>
    <cellStyle name="표준 12 6 2 11" xfId="12589"/>
    <cellStyle name="표준 12 6 2 11 2" xfId="33466"/>
    <cellStyle name="표준 12 6 2 12" xfId="24716"/>
    <cellStyle name="표준 12 6 2 2" xfId="3563"/>
    <cellStyle name="표준 12 6 2 2 2" xfId="5836"/>
    <cellStyle name="표준 12 6 2 2 2 2" xfId="14845"/>
    <cellStyle name="표준 12 6 2 2 2 2 2" xfId="35721"/>
    <cellStyle name="표준 12 6 2 2 2 3" xfId="26983"/>
    <cellStyle name="표준 12 6 2 2 3" xfId="13026"/>
    <cellStyle name="표준 12 6 2 2 3 2" xfId="33903"/>
    <cellStyle name="표준 12 6 2 2 4" xfId="25153"/>
    <cellStyle name="표준 12 6 2 3" xfId="4724"/>
    <cellStyle name="표준 12 6 2 3 2" xfId="6556"/>
    <cellStyle name="표준 12 6 2 3 2 2" xfId="15565"/>
    <cellStyle name="표준 12 6 2 3 2 2 2" xfId="36441"/>
    <cellStyle name="표준 12 6 2 3 2 3" xfId="27703"/>
    <cellStyle name="표준 12 6 2 3 3" xfId="13747"/>
    <cellStyle name="표준 12 6 2 3 3 2" xfId="34623"/>
    <cellStyle name="표준 12 6 2 3 4" xfId="25885"/>
    <cellStyle name="표준 12 6 2 4" xfId="5399"/>
    <cellStyle name="표준 12 6 2 4 2" xfId="14408"/>
    <cellStyle name="표준 12 6 2 4 2 2" xfId="35284"/>
    <cellStyle name="표준 12 6 2 4 3" xfId="26546"/>
    <cellStyle name="표준 12 6 2 5" xfId="7202"/>
    <cellStyle name="표준 12 6 2 5 2" xfId="16209"/>
    <cellStyle name="표준 12 6 2 5 2 2" xfId="37085"/>
    <cellStyle name="표준 12 6 2 5 3" xfId="28347"/>
    <cellStyle name="표준 12 6 2 6" xfId="7846"/>
    <cellStyle name="표준 12 6 2 6 2" xfId="16852"/>
    <cellStyle name="표준 12 6 2 6 2 2" xfId="37728"/>
    <cellStyle name="표준 12 6 2 6 3" xfId="28990"/>
    <cellStyle name="표준 12 6 2 7" xfId="8694"/>
    <cellStyle name="표준 12 6 2 7 2" xfId="17699"/>
    <cellStyle name="표준 12 6 2 7 2 2" xfId="38575"/>
    <cellStyle name="표준 12 6 2 7 3" xfId="29837"/>
    <cellStyle name="표준 12 6 2 8" xfId="9519"/>
    <cellStyle name="표준 12 6 2 8 2" xfId="18517"/>
    <cellStyle name="표준 12 6 2 8 2 2" xfId="39393"/>
    <cellStyle name="표준 12 6 2 8 3" xfId="30655"/>
    <cellStyle name="표준 12 6 2 9" xfId="10574"/>
    <cellStyle name="표준 12 6 2 9 2" xfId="19345"/>
    <cellStyle name="표준 12 6 2 9 2 2" xfId="40221"/>
    <cellStyle name="표준 12 6 2 9 3" xfId="31485"/>
    <cellStyle name="표준 12 6 3" xfId="3353"/>
    <cellStyle name="표준 12 6 3 10" xfId="12816"/>
    <cellStyle name="표준 12 6 3 10 2" xfId="33693"/>
    <cellStyle name="표준 12 6 3 11" xfId="24943"/>
    <cellStyle name="표준 12 6 3 2" xfId="4946"/>
    <cellStyle name="표준 12 6 3 2 2" xfId="6773"/>
    <cellStyle name="표준 12 6 3 2 2 2" xfId="15782"/>
    <cellStyle name="표준 12 6 3 2 2 2 2" xfId="36658"/>
    <cellStyle name="표준 12 6 3 2 2 3" xfId="27920"/>
    <cellStyle name="표준 12 6 3 2 3" xfId="13964"/>
    <cellStyle name="표준 12 6 3 2 3 2" xfId="34840"/>
    <cellStyle name="표준 12 6 3 2 4" xfId="26102"/>
    <cellStyle name="표준 12 6 3 3" xfId="5626"/>
    <cellStyle name="표준 12 6 3 3 2" xfId="14635"/>
    <cellStyle name="표준 12 6 3 3 2 2" xfId="35511"/>
    <cellStyle name="표준 12 6 3 3 3" xfId="26773"/>
    <cellStyle name="표준 12 6 3 4" xfId="7419"/>
    <cellStyle name="표준 12 6 3 4 2" xfId="16426"/>
    <cellStyle name="표준 12 6 3 4 2 2" xfId="37302"/>
    <cellStyle name="표준 12 6 3 4 3" xfId="28564"/>
    <cellStyle name="표준 12 6 3 5" xfId="8063"/>
    <cellStyle name="표준 12 6 3 5 2" xfId="17069"/>
    <cellStyle name="표준 12 6 3 5 2 2" xfId="37945"/>
    <cellStyle name="표준 12 6 3 5 3" xfId="29207"/>
    <cellStyle name="표준 12 6 3 6" xfId="8911"/>
    <cellStyle name="표준 12 6 3 6 2" xfId="17916"/>
    <cellStyle name="표준 12 6 3 6 2 2" xfId="38792"/>
    <cellStyle name="표준 12 6 3 6 3" xfId="30054"/>
    <cellStyle name="표준 12 6 3 7" xfId="9736"/>
    <cellStyle name="표준 12 6 3 7 2" xfId="18734"/>
    <cellStyle name="표준 12 6 3 7 2 2" xfId="39610"/>
    <cellStyle name="표준 12 6 3 7 3" xfId="30872"/>
    <cellStyle name="표준 12 6 3 8" xfId="10791"/>
    <cellStyle name="표준 12 6 3 8 2" xfId="19562"/>
    <cellStyle name="표준 12 6 3 8 2 2" xfId="40438"/>
    <cellStyle name="표준 12 6 3 8 3" xfId="31702"/>
    <cellStyle name="표준 12 6 3 9" xfId="11657"/>
    <cellStyle name="표준 12 6 3 9 2" xfId="20423"/>
    <cellStyle name="표준 12 6 3 9 2 2" xfId="41299"/>
    <cellStyle name="표준 12 6 3 9 3" xfId="32563"/>
    <cellStyle name="표준 12 6 4" xfId="4512"/>
    <cellStyle name="표준 12 6 4 2" xfId="6346"/>
    <cellStyle name="표준 12 6 4 2 2" xfId="15355"/>
    <cellStyle name="표준 12 6 4 2 2 2" xfId="36231"/>
    <cellStyle name="표준 12 6 4 2 3" xfId="27493"/>
    <cellStyle name="표준 12 6 4 3" xfId="11009"/>
    <cellStyle name="표준 12 6 4 3 2" xfId="19779"/>
    <cellStyle name="표준 12 6 4 3 2 2" xfId="40655"/>
    <cellStyle name="표준 12 6 4 3 3" xfId="31919"/>
    <cellStyle name="표준 12 6 4 4" xfId="11874"/>
    <cellStyle name="표준 12 6 4 4 2" xfId="20640"/>
    <cellStyle name="표준 12 6 4 4 2 2" xfId="41516"/>
    <cellStyle name="표준 12 6 4 4 3" xfId="32780"/>
    <cellStyle name="표준 12 6 4 5" xfId="13537"/>
    <cellStyle name="표준 12 6 4 5 2" xfId="34413"/>
    <cellStyle name="표준 12 6 4 6" xfId="25675"/>
    <cellStyle name="표준 12 6 5" xfId="5189"/>
    <cellStyle name="표준 12 6 5 2" xfId="14198"/>
    <cellStyle name="표준 12 6 5 2 2" xfId="35074"/>
    <cellStyle name="표준 12 6 5 3" xfId="26336"/>
    <cellStyle name="표준 12 6 6" xfId="6991"/>
    <cellStyle name="표준 12 6 6 2" xfId="15999"/>
    <cellStyle name="표준 12 6 6 2 2" xfId="36875"/>
    <cellStyle name="표준 12 6 6 3" xfId="28137"/>
    <cellStyle name="표준 12 6 7" xfId="7636"/>
    <cellStyle name="표준 12 6 7 2" xfId="16642"/>
    <cellStyle name="표준 12 6 7 2 2" xfId="37518"/>
    <cellStyle name="표준 12 6 7 3" xfId="28780"/>
    <cellStyle name="표준 12 6 8" xfId="8484"/>
    <cellStyle name="표준 12 6 8 2" xfId="17489"/>
    <cellStyle name="표준 12 6 8 2 2" xfId="38365"/>
    <cellStyle name="표준 12 6 8 3" xfId="29627"/>
    <cellStyle name="표준 12 6 9" xfId="9308"/>
    <cellStyle name="표준 12 6 9 2" xfId="18307"/>
    <cellStyle name="표준 12 6 9 2 2" xfId="39183"/>
    <cellStyle name="표준 12 6 9 3" xfId="30445"/>
    <cellStyle name="표준 12 7" xfId="2904"/>
    <cellStyle name="표준 12 7 10" xfId="10365"/>
    <cellStyle name="표준 12 7 10 2" xfId="19136"/>
    <cellStyle name="표준 12 7 10 2 2" xfId="40012"/>
    <cellStyle name="표준 12 7 10 3" xfId="31276"/>
    <cellStyle name="표준 12 7 11" xfId="11231"/>
    <cellStyle name="표준 12 7 11 2" xfId="19997"/>
    <cellStyle name="표준 12 7 11 2 2" xfId="40873"/>
    <cellStyle name="표준 12 7 11 3" xfId="32137"/>
    <cellStyle name="표준 12 7 12" xfId="12379"/>
    <cellStyle name="표준 12 7 12 2" xfId="33257"/>
    <cellStyle name="표준 12 7 13" xfId="24507"/>
    <cellStyle name="표준 12 7 2" xfId="3122"/>
    <cellStyle name="표준 12 7 2 10" xfId="11441"/>
    <cellStyle name="표준 12 7 2 10 2" xfId="20207"/>
    <cellStyle name="표준 12 7 2 10 2 2" xfId="41083"/>
    <cellStyle name="표준 12 7 2 10 3" xfId="32347"/>
    <cellStyle name="표준 12 7 2 11" xfId="12590"/>
    <cellStyle name="표준 12 7 2 11 2" xfId="33467"/>
    <cellStyle name="표준 12 7 2 12" xfId="24717"/>
    <cellStyle name="표준 12 7 2 2" xfId="3564"/>
    <cellStyle name="표준 12 7 2 2 2" xfId="5837"/>
    <cellStyle name="표준 12 7 2 2 2 2" xfId="14846"/>
    <cellStyle name="표준 12 7 2 2 2 2 2" xfId="35722"/>
    <cellStyle name="표준 12 7 2 2 2 3" xfId="26984"/>
    <cellStyle name="표준 12 7 2 2 3" xfId="13027"/>
    <cellStyle name="표준 12 7 2 2 3 2" xfId="33904"/>
    <cellStyle name="표준 12 7 2 2 4" xfId="25154"/>
    <cellStyle name="표준 12 7 2 3" xfId="4725"/>
    <cellStyle name="표준 12 7 2 3 2" xfId="6557"/>
    <cellStyle name="표준 12 7 2 3 2 2" xfId="15566"/>
    <cellStyle name="표준 12 7 2 3 2 2 2" xfId="36442"/>
    <cellStyle name="표준 12 7 2 3 2 3" xfId="27704"/>
    <cellStyle name="표준 12 7 2 3 3" xfId="13748"/>
    <cellStyle name="표준 12 7 2 3 3 2" xfId="34624"/>
    <cellStyle name="표준 12 7 2 3 4" xfId="25886"/>
    <cellStyle name="표준 12 7 2 4" xfId="5400"/>
    <cellStyle name="표준 12 7 2 4 2" xfId="14409"/>
    <cellStyle name="표준 12 7 2 4 2 2" xfId="35285"/>
    <cellStyle name="표준 12 7 2 4 3" xfId="26547"/>
    <cellStyle name="표준 12 7 2 5" xfId="7203"/>
    <cellStyle name="표준 12 7 2 5 2" xfId="16210"/>
    <cellStyle name="표준 12 7 2 5 2 2" xfId="37086"/>
    <cellStyle name="표준 12 7 2 5 3" xfId="28348"/>
    <cellStyle name="표준 12 7 2 6" xfId="7847"/>
    <cellStyle name="표준 12 7 2 6 2" xfId="16853"/>
    <cellStyle name="표준 12 7 2 6 2 2" xfId="37729"/>
    <cellStyle name="표준 12 7 2 6 3" xfId="28991"/>
    <cellStyle name="표준 12 7 2 7" xfId="8695"/>
    <cellStyle name="표준 12 7 2 7 2" xfId="17700"/>
    <cellStyle name="표준 12 7 2 7 2 2" xfId="38576"/>
    <cellStyle name="표준 12 7 2 7 3" xfId="29838"/>
    <cellStyle name="표준 12 7 2 8" xfId="9520"/>
    <cellStyle name="표준 12 7 2 8 2" xfId="18518"/>
    <cellStyle name="표준 12 7 2 8 2 2" xfId="39394"/>
    <cellStyle name="표준 12 7 2 8 3" xfId="30656"/>
    <cellStyle name="표준 12 7 2 9" xfId="10575"/>
    <cellStyle name="표준 12 7 2 9 2" xfId="19346"/>
    <cellStyle name="표준 12 7 2 9 2 2" xfId="40222"/>
    <cellStyle name="표준 12 7 2 9 3" xfId="31486"/>
    <cellStyle name="표준 12 7 3" xfId="3354"/>
    <cellStyle name="표준 12 7 3 10" xfId="12817"/>
    <cellStyle name="표준 12 7 3 10 2" xfId="33694"/>
    <cellStyle name="표준 12 7 3 11" xfId="24944"/>
    <cellStyle name="표준 12 7 3 2" xfId="4947"/>
    <cellStyle name="표준 12 7 3 2 2" xfId="6774"/>
    <cellStyle name="표준 12 7 3 2 2 2" xfId="15783"/>
    <cellStyle name="표준 12 7 3 2 2 2 2" xfId="36659"/>
    <cellStyle name="표준 12 7 3 2 2 3" xfId="27921"/>
    <cellStyle name="표준 12 7 3 2 3" xfId="13965"/>
    <cellStyle name="표준 12 7 3 2 3 2" xfId="34841"/>
    <cellStyle name="표준 12 7 3 2 4" xfId="26103"/>
    <cellStyle name="표준 12 7 3 3" xfId="5627"/>
    <cellStyle name="표준 12 7 3 3 2" xfId="14636"/>
    <cellStyle name="표준 12 7 3 3 2 2" xfId="35512"/>
    <cellStyle name="표준 12 7 3 3 3" xfId="26774"/>
    <cellStyle name="표준 12 7 3 4" xfId="7420"/>
    <cellStyle name="표준 12 7 3 4 2" xfId="16427"/>
    <cellStyle name="표준 12 7 3 4 2 2" xfId="37303"/>
    <cellStyle name="표준 12 7 3 4 3" xfId="28565"/>
    <cellStyle name="표준 12 7 3 5" xfId="8064"/>
    <cellStyle name="표준 12 7 3 5 2" xfId="17070"/>
    <cellStyle name="표준 12 7 3 5 2 2" xfId="37946"/>
    <cellStyle name="표준 12 7 3 5 3" xfId="29208"/>
    <cellStyle name="표준 12 7 3 6" xfId="8912"/>
    <cellStyle name="표준 12 7 3 6 2" xfId="17917"/>
    <cellStyle name="표준 12 7 3 6 2 2" xfId="38793"/>
    <cellStyle name="표준 12 7 3 6 3" xfId="30055"/>
    <cellStyle name="표준 12 7 3 7" xfId="9737"/>
    <cellStyle name="표준 12 7 3 7 2" xfId="18735"/>
    <cellStyle name="표준 12 7 3 7 2 2" xfId="39611"/>
    <cellStyle name="표준 12 7 3 7 3" xfId="30873"/>
    <cellStyle name="표준 12 7 3 8" xfId="10792"/>
    <cellStyle name="표준 12 7 3 8 2" xfId="19563"/>
    <cellStyle name="표준 12 7 3 8 2 2" xfId="40439"/>
    <cellStyle name="표준 12 7 3 8 3" xfId="31703"/>
    <cellStyle name="표준 12 7 3 9" xfId="11658"/>
    <cellStyle name="표준 12 7 3 9 2" xfId="20424"/>
    <cellStyle name="표준 12 7 3 9 2 2" xfId="41300"/>
    <cellStyle name="표준 12 7 3 9 3" xfId="32564"/>
    <cellStyle name="표준 12 7 4" xfId="4513"/>
    <cellStyle name="표준 12 7 4 2" xfId="6347"/>
    <cellStyle name="표준 12 7 4 2 2" xfId="15356"/>
    <cellStyle name="표준 12 7 4 2 2 2" xfId="36232"/>
    <cellStyle name="표준 12 7 4 2 3" xfId="27494"/>
    <cellStyle name="표준 12 7 4 3" xfId="11010"/>
    <cellStyle name="표준 12 7 4 3 2" xfId="19780"/>
    <cellStyle name="표준 12 7 4 3 2 2" xfId="40656"/>
    <cellStyle name="표준 12 7 4 3 3" xfId="31920"/>
    <cellStyle name="표준 12 7 4 4" xfId="11875"/>
    <cellStyle name="표준 12 7 4 4 2" xfId="20641"/>
    <cellStyle name="표준 12 7 4 4 2 2" xfId="41517"/>
    <cellStyle name="표준 12 7 4 4 3" xfId="32781"/>
    <cellStyle name="표준 12 7 4 5" xfId="13538"/>
    <cellStyle name="표준 12 7 4 5 2" xfId="34414"/>
    <cellStyle name="표준 12 7 4 6" xfId="25676"/>
    <cellStyle name="표준 12 7 5" xfId="5190"/>
    <cellStyle name="표준 12 7 5 2" xfId="14199"/>
    <cellStyle name="표준 12 7 5 2 2" xfId="35075"/>
    <cellStyle name="표준 12 7 5 3" xfId="26337"/>
    <cellStyle name="표준 12 7 6" xfId="6992"/>
    <cellStyle name="표준 12 7 6 2" xfId="16000"/>
    <cellStyle name="표준 12 7 6 2 2" xfId="36876"/>
    <cellStyle name="표준 12 7 6 3" xfId="28138"/>
    <cellStyle name="표준 12 7 7" xfId="7637"/>
    <cellStyle name="표준 12 7 7 2" xfId="16643"/>
    <cellStyle name="표준 12 7 7 2 2" xfId="37519"/>
    <cellStyle name="표준 12 7 7 3" xfId="28781"/>
    <cellStyle name="표준 12 7 8" xfId="8485"/>
    <cellStyle name="표준 12 7 8 2" xfId="17490"/>
    <cellStyle name="표준 12 7 8 2 2" xfId="38366"/>
    <cellStyle name="표준 12 7 8 3" xfId="29628"/>
    <cellStyle name="표준 12 7 9" xfId="9309"/>
    <cellStyle name="표준 12 7 9 2" xfId="18308"/>
    <cellStyle name="표준 12 7 9 2 2" xfId="39184"/>
    <cellStyle name="표준 12 7 9 3" xfId="30446"/>
    <cellStyle name="표준 12 8" xfId="3116"/>
    <cellStyle name="표준 12 8 10" xfId="11435"/>
    <cellStyle name="표준 12 8 10 2" xfId="20201"/>
    <cellStyle name="표준 12 8 10 2 2" xfId="41077"/>
    <cellStyle name="표준 12 8 10 3" xfId="32341"/>
    <cellStyle name="표준 12 8 11" xfId="12584"/>
    <cellStyle name="표준 12 8 11 2" xfId="33461"/>
    <cellStyle name="표준 12 8 12" xfId="24711"/>
    <cellStyle name="표준 12 8 2" xfId="3558"/>
    <cellStyle name="표준 12 8 2 2" xfId="5831"/>
    <cellStyle name="표준 12 8 2 2 2" xfId="14840"/>
    <cellStyle name="표준 12 8 2 2 2 2" xfId="35716"/>
    <cellStyle name="표준 12 8 2 2 3" xfId="26978"/>
    <cellStyle name="표준 12 8 2 3" xfId="13021"/>
    <cellStyle name="표준 12 8 2 3 2" xfId="33898"/>
    <cellStyle name="표준 12 8 2 4" xfId="25148"/>
    <cellStyle name="표준 12 8 3" xfId="4719"/>
    <cellStyle name="표준 12 8 3 2" xfId="6551"/>
    <cellStyle name="표준 12 8 3 2 2" xfId="15560"/>
    <cellStyle name="표준 12 8 3 2 2 2" xfId="36436"/>
    <cellStyle name="표준 12 8 3 2 3" xfId="27698"/>
    <cellStyle name="표준 12 8 3 3" xfId="13742"/>
    <cellStyle name="표준 12 8 3 3 2" xfId="34618"/>
    <cellStyle name="표준 12 8 3 4" xfId="25880"/>
    <cellStyle name="표준 12 8 4" xfId="5394"/>
    <cellStyle name="표준 12 8 4 2" xfId="14403"/>
    <cellStyle name="표준 12 8 4 2 2" xfId="35279"/>
    <cellStyle name="표준 12 8 4 3" xfId="26541"/>
    <cellStyle name="표준 12 8 5" xfId="7197"/>
    <cellStyle name="표준 12 8 5 2" xfId="16204"/>
    <cellStyle name="표준 12 8 5 2 2" xfId="37080"/>
    <cellStyle name="표준 12 8 5 3" xfId="28342"/>
    <cellStyle name="표준 12 8 6" xfId="7841"/>
    <cellStyle name="표준 12 8 6 2" xfId="16847"/>
    <cellStyle name="표준 12 8 6 2 2" xfId="37723"/>
    <cellStyle name="표준 12 8 6 3" xfId="28985"/>
    <cellStyle name="표준 12 8 7" xfId="8689"/>
    <cellStyle name="표준 12 8 7 2" xfId="17694"/>
    <cellStyle name="표준 12 8 7 2 2" xfId="38570"/>
    <cellStyle name="표준 12 8 7 3" xfId="29832"/>
    <cellStyle name="표준 12 8 8" xfId="9514"/>
    <cellStyle name="표준 12 8 8 2" xfId="18512"/>
    <cellStyle name="표준 12 8 8 2 2" xfId="39388"/>
    <cellStyle name="표준 12 8 8 3" xfId="30650"/>
    <cellStyle name="표준 12 8 9" xfId="10569"/>
    <cellStyle name="표준 12 8 9 2" xfId="19340"/>
    <cellStyle name="표준 12 8 9 2 2" xfId="40216"/>
    <cellStyle name="표준 12 8 9 3" xfId="31480"/>
    <cellStyle name="표준 12 9" xfId="3348"/>
    <cellStyle name="표준 12 9 10" xfId="12811"/>
    <cellStyle name="표준 12 9 10 2" xfId="33688"/>
    <cellStyle name="표준 12 9 11" xfId="24938"/>
    <cellStyle name="표준 12 9 2" xfId="4941"/>
    <cellStyle name="표준 12 9 2 2" xfId="6768"/>
    <cellStyle name="표준 12 9 2 2 2" xfId="15777"/>
    <cellStyle name="표준 12 9 2 2 2 2" xfId="36653"/>
    <cellStyle name="표준 12 9 2 2 3" xfId="27915"/>
    <cellStyle name="표준 12 9 2 3" xfId="13959"/>
    <cellStyle name="표준 12 9 2 3 2" xfId="34835"/>
    <cellStyle name="표준 12 9 2 4" xfId="26097"/>
    <cellStyle name="표준 12 9 3" xfId="5621"/>
    <cellStyle name="표준 12 9 3 2" xfId="14630"/>
    <cellStyle name="표준 12 9 3 2 2" xfId="35506"/>
    <cellStyle name="표준 12 9 3 3" xfId="26768"/>
    <cellStyle name="표준 12 9 4" xfId="7414"/>
    <cellStyle name="표준 12 9 4 2" xfId="16421"/>
    <cellStyle name="표준 12 9 4 2 2" xfId="37297"/>
    <cellStyle name="표준 12 9 4 3" xfId="28559"/>
    <cellStyle name="표준 12 9 5" xfId="8058"/>
    <cellStyle name="표준 12 9 5 2" xfId="17064"/>
    <cellStyle name="표준 12 9 5 2 2" xfId="37940"/>
    <cellStyle name="표준 12 9 5 3" xfId="29202"/>
    <cellStyle name="표준 12 9 6" xfId="8906"/>
    <cellStyle name="표준 12 9 6 2" xfId="17911"/>
    <cellStyle name="표준 12 9 6 2 2" xfId="38787"/>
    <cellStyle name="표준 12 9 6 3" xfId="30049"/>
    <cellStyle name="표준 12 9 7" xfId="9731"/>
    <cellStyle name="표준 12 9 7 2" xfId="18729"/>
    <cellStyle name="표준 12 9 7 2 2" xfId="39605"/>
    <cellStyle name="표준 12 9 7 3" xfId="30867"/>
    <cellStyle name="표준 12 9 8" xfId="10786"/>
    <cellStyle name="표준 12 9 8 2" xfId="19557"/>
    <cellStyle name="표준 12 9 8 2 2" xfId="40433"/>
    <cellStyle name="표준 12 9 8 3" xfId="31697"/>
    <cellStyle name="표준 12 9 9" xfId="11652"/>
    <cellStyle name="표준 12 9 9 2" xfId="20418"/>
    <cellStyle name="표준 12 9 9 2 2" xfId="41294"/>
    <cellStyle name="표준 12 9 9 3" xfId="32558"/>
    <cellStyle name="표준 13" xfId="2905"/>
    <cellStyle name="표준 13 10" xfId="4514"/>
    <cellStyle name="표준 13 10 2" xfId="6348"/>
    <cellStyle name="표준 13 10 2 2" xfId="15357"/>
    <cellStyle name="표준 13 10 2 2 2" xfId="36233"/>
    <cellStyle name="표준 13 10 2 3" xfId="27495"/>
    <cellStyle name="표준 13 10 3" xfId="11011"/>
    <cellStyle name="표준 13 10 3 2" xfId="19781"/>
    <cellStyle name="표준 13 10 3 2 2" xfId="40657"/>
    <cellStyle name="표준 13 10 3 3" xfId="31921"/>
    <cellStyle name="표준 13 10 4" xfId="11876"/>
    <cellStyle name="표준 13 10 4 2" xfId="20642"/>
    <cellStyle name="표준 13 10 4 2 2" xfId="41518"/>
    <cellStyle name="표준 13 10 4 3" xfId="32782"/>
    <cellStyle name="표준 13 10 5" xfId="13539"/>
    <cellStyle name="표준 13 10 5 2" xfId="34415"/>
    <cellStyle name="표준 13 10 6" xfId="25677"/>
    <cellStyle name="표준 13 11" xfId="5191"/>
    <cellStyle name="표준 13 11 2" xfId="14200"/>
    <cellStyle name="표준 13 11 2 2" xfId="35076"/>
    <cellStyle name="표준 13 11 3" xfId="26338"/>
    <cellStyle name="표준 13 12" xfId="6993"/>
    <cellStyle name="표준 13 12 2" xfId="16001"/>
    <cellStyle name="표준 13 12 2 2" xfId="36877"/>
    <cellStyle name="표준 13 12 3" xfId="28139"/>
    <cellStyle name="표준 13 13" xfId="7638"/>
    <cellStyle name="표준 13 13 2" xfId="16644"/>
    <cellStyle name="표준 13 13 2 2" xfId="37520"/>
    <cellStyle name="표준 13 13 3" xfId="28782"/>
    <cellStyle name="표준 13 14" xfId="8486"/>
    <cellStyle name="표준 13 14 2" xfId="17491"/>
    <cellStyle name="표준 13 14 2 2" xfId="38367"/>
    <cellStyle name="표준 13 14 3" xfId="29629"/>
    <cellStyle name="표준 13 15" xfId="9310"/>
    <cellStyle name="표준 13 15 2" xfId="18309"/>
    <cellStyle name="표준 13 15 2 2" xfId="39185"/>
    <cellStyle name="표준 13 15 3" xfId="30447"/>
    <cellStyle name="표준 13 16" xfId="9973"/>
    <cellStyle name="표준 13 17" xfId="10366"/>
    <cellStyle name="표준 13 17 2" xfId="19137"/>
    <cellStyle name="표준 13 17 2 2" xfId="40013"/>
    <cellStyle name="표준 13 17 3" xfId="31277"/>
    <cellStyle name="표준 13 18" xfId="11232"/>
    <cellStyle name="표준 13 18 2" xfId="19998"/>
    <cellStyle name="표준 13 18 2 2" xfId="40874"/>
    <cellStyle name="표준 13 18 3" xfId="32138"/>
    <cellStyle name="표준 13 19" xfId="12380"/>
    <cellStyle name="표준 13 19 2" xfId="33258"/>
    <cellStyle name="표준 13 2" xfId="2906"/>
    <cellStyle name="표준 13 2 10" xfId="10367"/>
    <cellStyle name="표준 13 2 10 2" xfId="19138"/>
    <cellStyle name="표준 13 2 10 2 2" xfId="40014"/>
    <cellStyle name="표준 13 2 10 3" xfId="31278"/>
    <cellStyle name="표준 13 2 11" xfId="11233"/>
    <cellStyle name="표준 13 2 11 2" xfId="19999"/>
    <cellStyle name="표준 13 2 11 2 2" xfId="40875"/>
    <cellStyle name="표준 13 2 11 3" xfId="32139"/>
    <cellStyle name="표준 13 2 12" xfId="12381"/>
    <cellStyle name="표준 13 2 12 2" xfId="33259"/>
    <cellStyle name="표준 13 2 13" xfId="24509"/>
    <cellStyle name="표준 13 2 2" xfId="3124"/>
    <cellStyle name="표준 13 2 2 10" xfId="11443"/>
    <cellStyle name="표준 13 2 2 10 2" xfId="20209"/>
    <cellStyle name="표준 13 2 2 10 2 2" xfId="41085"/>
    <cellStyle name="표준 13 2 2 10 3" xfId="32349"/>
    <cellStyle name="표준 13 2 2 11" xfId="12592"/>
    <cellStyle name="표준 13 2 2 11 2" xfId="33469"/>
    <cellStyle name="표준 13 2 2 12" xfId="24719"/>
    <cellStyle name="표준 13 2 2 2" xfId="3566"/>
    <cellStyle name="표준 13 2 2 2 2" xfId="5839"/>
    <cellStyle name="표준 13 2 2 2 2 2" xfId="14848"/>
    <cellStyle name="표준 13 2 2 2 2 2 2" xfId="35724"/>
    <cellStyle name="표준 13 2 2 2 2 3" xfId="26986"/>
    <cellStyle name="표준 13 2 2 2 3" xfId="13029"/>
    <cellStyle name="표준 13 2 2 2 3 2" xfId="33906"/>
    <cellStyle name="표준 13 2 2 2 4" xfId="25156"/>
    <cellStyle name="표준 13 2 2 3" xfId="4727"/>
    <cellStyle name="표준 13 2 2 3 2" xfId="6559"/>
    <cellStyle name="표준 13 2 2 3 2 2" xfId="15568"/>
    <cellStyle name="표준 13 2 2 3 2 2 2" xfId="36444"/>
    <cellStyle name="표준 13 2 2 3 2 3" xfId="27706"/>
    <cellStyle name="표준 13 2 2 3 3" xfId="13750"/>
    <cellStyle name="표준 13 2 2 3 3 2" xfId="34626"/>
    <cellStyle name="표준 13 2 2 3 4" xfId="25888"/>
    <cellStyle name="표준 13 2 2 4" xfId="5402"/>
    <cellStyle name="표준 13 2 2 4 2" xfId="14411"/>
    <cellStyle name="표준 13 2 2 4 2 2" xfId="35287"/>
    <cellStyle name="표준 13 2 2 4 3" xfId="26549"/>
    <cellStyle name="표준 13 2 2 5" xfId="7205"/>
    <cellStyle name="표준 13 2 2 5 2" xfId="16212"/>
    <cellStyle name="표준 13 2 2 5 2 2" xfId="37088"/>
    <cellStyle name="표준 13 2 2 5 3" xfId="28350"/>
    <cellStyle name="표준 13 2 2 6" xfId="7849"/>
    <cellStyle name="표준 13 2 2 6 2" xfId="16855"/>
    <cellStyle name="표준 13 2 2 6 2 2" xfId="37731"/>
    <cellStyle name="표준 13 2 2 6 3" xfId="28993"/>
    <cellStyle name="표준 13 2 2 7" xfId="8697"/>
    <cellStyle name="표준 13 2 2 7 2" xfId="17702"/>
    <cellStyle name="표준 13 2 2 7 2 2" xfId="38578"/>
    <cellStyle name="표준 13 2 2 7 3" xfId="29840"/>
    <cellStyle name="표준 13 2 2 8" xfId="9522"/>
    <cellStyle name="표준 13 2 2 8 2" xfId="18520"/>
    <cellStyle name="표준 13 2 2 8 2 2" xfId="39396"/>
    <cellStyle name="표준 13 2 2 8 3" xfId="30658"/>
    <cellStyle name="표준 13 2 2 9" xfId="10577"/>
    <cellStyle name="표준 13 2 2 9 2" xfId="19348"/>
    <cellStyle name="표준 13 2 2 9 2 2" xfId="40224"/>
    <cellStyle name="표준 13 2 2 9 3" xfId="31488"/>
    <cellStyle name="표준 13 2 3" xfId="3356"/>
    <cellStyle name="표준 13 2 3 10" xfId="12819"/>
    <cellStyle name="표준 13 2 3 10 2" xfId="33696"/>
    <cellStyle name="표준 13 2 3 11" xfId="24946"/>
    <cellStyle name="표준 13 2 3 2" xfId="4949"/>
    <cellStyle name="표준 13 2 3 2 2" xfId="6776"/>
    <cellStyle name="표준 13 2 3 2 2 2" xfId="15785"/>
    <cellStyle name="표준 13 2 3 2 2 2 2" xfId="36661"/>
    <cellStyle name="표준 13 2 3 2 2 3" xfId="27923"/>
    <cellStyle name="표준 13 2 3 2 3" xfId="13967"/>
    <cellStyle name="표준 13 2 3 2 3 2" xfId="34843"/>
    <cellStyle name="표준 13 2 3 2 4" xfId="26105"/>
    <cellStyle name="표준 13 2 3 3" xfId="5629"/>
    <cellStyle name="표준 13 2 3 3 2" xfId="14638"/>
    <cellStyle name="표준 13 2 3 3 2 2" xfId="35514"/>
    <cellStyle name="표준 13 2 3 3 3" xfId="26776"/>
    <cellStyle name="표준 13 2 3 4" xfId="7422"/>
    <cellStyle name="표준 13 2 3 4 2" xfId="16429"/>
    <cellStyle name="표준 13 2 3 4 2 2" xfId="37305"/>
    <cellStyle name="표준 13 2 3 4 3" xfId="28567"/>
    <cellStyle name="표준 13 2 3 5" xfId="8066"/>
    <cellStyle name="표준 13 2 3 5 2" xfId="17072"/>
    <cellStyle name="표준 13 2 3 5 2 2" xfId="37948"/>
    <cellStyle name="표준 13 2 3 5 3" xfId="29210"/>
    <cellStyle name="표준 13 2 3 6" xfId="8914"/>
    <cellStyle name="표준 13 2 3 6 2" xfId="17919"/>
    <cellStyle name="표준 13 2 3 6 2 2" xfId="38795"/>
    <cellStyle name="표준 13 2 3 6 3" xfId="30057"/>
    <cellStyle name="표준 13 2 3 7" xfId="9739"/>
    <cellStyle name="표준 13 2 3 7 2" xfId="18737"/>
    <cellStyle name="표준 13 2 3 7 2 2" xfId="39613"/>
    <cellStyle name="표준 13 2 3 7 3" xfId="30875"/>
    <cellStyle name="표준 13 2 3 8" xfId="10794"/>
    <cellStyle name="표준 13 2 3 8 2" xfId="19565"/>
    <cellStyle name="표준 13 2 3 8 2 2" xfId="40441"/>
    <cellStyle name="표준 13 2 3 8 3" xfId="31705"/>
    <cellStyle name="표준 13 2 3 9" xfId="11660"/>
    <cellStyle name="표준 13 2 3 9 2" xfId="20426"/>
    <cellStyle name="표준 13 2 3 9 2 2" xfId="41302"/>
    <cellStyle name="표준 13 2 3 9 3" xfId="32566"/>
    <cellStyle name="표준 13 2 4" xfId="4515"/>
    <cellStyle name="표준 13 2 4 2" xfId="6349"/>
    <cellStyle name="표준 13 2 4 2 2" xfId="15358"/>
    <cellStyle name="표준 13 2 4 2 2 2" xfId="36234"/>
    <cellStyle name="표준 13 2 4 2 3" xfId="27496"/>
    <cellStyle name="표준 13 2 4 3" xfId="11012"/>
    <cellStyle name="표준 13 2 4 3 2" xfId="19782"/>
    <cellStyle name="표준 13 2 4 3 2 2" xfId="40658"/>
    <cellStyle name="표준 13 2 4 3 3" xfId="31922"/>
    <cellStyle name="표준 13 2 4 4" xfId="11877"/>
    <cellStyle name="표준 13 2 4 4 2" xfId="20643"/>
    <cellStyle name="표준 13 2 4 4 2 2" xfId="41519"/>
    <cellStyle name="표준 13 2 4 4 3" xfId="32783"/>
    <cellStyle name="표준 13 2 4 5" xfId="13540"/>
    <cellStyle name="표준 13 2 4 5 2" xfId="34416"/>
    <cellStyle name="표준 13 2 4 6" xfId="25678"/>
    <cellStyle name="표준 13 2 5" xfId="5192"/>
    <cellStyle name="표준 13 2 5 2" xfId="14201"/>
    <cellStyle name="표준 13 2 5 2 2" xfId="35077"/>
    <cellStyle name="표준 13 2 5 3" xfId="26339"/>
    <cellStyle name="표준 13 2 6" xfId="6994"/>
    <cellStyle name="표준 13 2 6 2" xfId="16002"/>
    <cellStyle name="표준 13 2 6 2 2" xfId="36878"/>
    <cellStyle name="표준 13 2 6 3" xfId="28140"/>
    <cellStyle name="표준 13 2 7" xfId="7639"/>
    <cellStyle name="표준 13 2 7 2" xfId="16645"/>
    <cellStyle name="표준 13 2 7 2 2" xfId="37521"/>
    <cellStyle name="표준 13 2 7 3" xfId="28783"/>
    <cellStyle name="표준 13 2 8" xfId="8487"/>
    <cellStyle name="표준 13 2 8 2" xfId="17492"/>
    <cellStyle name="표준 13 2 8 2 2" xfId="38368"/>
    <cellStyle name="표준 13 2 8 3" xfId="29630"/>
    <cellStyle name="표준 13 2 9" xfId="9311"/>
    <cellStyle name="표준 13 2 9 2" xfId="18310"/>
    <cellStyle name="표준 13 2 9 2 2" xfId="39186"/>
    <cellStyle name="표준 13 2 9 3" xfId="30448"/>
    <cellStyle name="표준 13 20" xfId="24508"/>
    <cellStyle name="표준 13 3" xfId="2907"/>
    <cellStyle name="표준 13 3 10" xfId="10368"/>
    <cellStyle name="표준 13 3 10 2" xfId="19139"/>
    <cellStyle name="표준 13 3 10 2 2" xfId="40015"/>
    <cellStyle name="표준 13 3 10 3" xfId="31279"/>
    <cellStyle name="표준 13 3 11" xfId="11234"/>
    <cellStyle name="표준 13 3 11 2" xfId="20000"/>
    <cellStyle name="표준 13 3 11 2 2" xfId="40876"/>
    <cellStyle name="표준 13 3 11 3" xfId="32140"/>
    <cellStyle name="표준 13 3 12" xfId="12382"/>
    <cellStyle name="표준 13 3 12 2" xfId="33260"/>
    <cellStyle name="표준 13 3 13" xfId="24510"/>
    <cellStyle name="표준 13 3 2" xfId="3125"/>
    <cellStyle name="표준 13 3 2 10" xfId="11444"/>
    <cellStyle name="표준 13 3 2 10 2" xfId="20210"/>
    <cellStyle name="표준 13 3 2 10 2 2" xfId="41086"/>
    <cellStyle name="표준 13 3 2 10 3" xfId="32350"/>
    <cellStyle name="표준 13 3 2 11" xfId="12593"/>
    <cellStyle name="표준 13 3 2 11 2" xfId="33470"/>
    <cellStyle name="표준 13 3 2 12" xfId="24720"/>
    <cellStyle name="표준 13 3 2 2" xfId="3567"/>
    <cellStyle name="표준 13 3 2 2 2" xfId="5840"/>
    <cellStyle name="표준 13 3 2 2 2 2" xfId="14849"/>
    <cellStyle name="표준 13 3 2 2 2 2 2" xfId="35725"/>
    <cellStyle name="표준 13 3 2 2 2 3" xfId="26987"/>
    <cellStyle name="표준 13 3 2 2 3" xfId="13030"/>
    <cellStyle name="표준 13 3 2 2 3 2" xfId="33907"/>
    <cellStyle name="표준 13 3 2 2 4" xfId="25157"/>
    <cellStyle name="표준 13 3 2 3" xfId="4728"/>
    <cellStyle name="표준 13 3 2 3 2" xfId="6560"/>
    <cellStyle name="표준 13 3 2 3 2 2" xfId="15569"/>
    <cellStyle name="표준 13 3 2 3 2 2 2" xfId="36445"/>
    <cellStyle name="표준 13 3 2 3 2 3" xfId="27707"/>
    <cellStyle name="표준 13 3 2 3 3" xfId="13751"/>
    <cellStyle name="표준 13 3 2 3 3 2" xfId="34627"/>
    <cellStyle name="표준 13 3 2 3 4" xfId="25889"/>
    <cellStyle name="표준 13 3 2 4" xfId="5403"/>
    <cellStyle name="표준 13 3 2 4 2" xfId="14412"/>
    <cellStyle name="표준 13 3 2 4 2 2" xfId="35288"/>
    <cellStyle name="표준 13 3 2 4 3" xfId="26550"/>
    <cellStyle name="표준 13 3 2 5" xfId="7206"/>
    <cellStyle name="표준 13 3 2 5 2" xfId="16213"/>
    <cellStyle name="표준 13 3 2 5 2 2" xfId="37089"/>
    <cellStyle name="표준 13 3 2 5 3" xfId="28351"/>
    <cellStyle name="표준 13 3 2 6" xfId="7850"/>
    <cellStyle name="표준 13 3 2 6 2" xfId="16856"/>
    <cellStyle name="표준 13 3 2 6 2 2" xfId="37732"/>
    <cellStyle name="표준 13 3 2 6 3" xfId="28994"/>
    <cellStyle name="표준 13 3 2 7" xfId="8698"/>
    <cellStyle name="표준 13 3 2 7 2" xfId="17703"/>
    <cellStyle name="표준 13 3 2 7 2 2" xfId="38579"/>
    <cellStyle name="표준 13 3 2 7 3" xfId="29841"/>
    <cellStyle name="표준 13 3 2 8" xfId="9523"/>
    <cellStyle name="표준 13 3 2 8 2" xfId="18521"/>
    <cellStyle name="표준 13 3 2 8 2 2" xfId="39397"/>
    <cellStyle name="표준 13 3 2 8 3" xfId="30659"/>
    <cellStyle name="표준 13 3 2 9" xfId="10578"/>
    <cellStyle name="표준 13 3 2 9 2" xfId="19349"/>
    <cellStyle name="표준 13 3 2 9 2 2" xfId="40225"/>
    <cellStyle name="표준 13 3 2 9 3" xfId="31489"/>
    <cellStyle name="표준 13 3 3" xfId="3357"/>
    <cellStyle name="표준 13 3 3 10" xfId="12820"/>
    <cellStyle name="표준 13 3 3 10 2" xfId="33697"/>
    <cellStyle name="표준 13 3 3 11" xfId="24947"/>
    <cellStyle name="표준 13 3 3 2" xfId="4950"/>
    <cellStyle name="표준 13 3 3 2 2" xfId="6777"/>
    <cellStyle name="표준 13 3 3 2 2 2" xfId="15786"/>
    <cellStyle name="표준 13 3 3 2 2 2 2" xfId="36662"/>
    <cellStyle name="표준 13 3 3 2 2 3" xfId="27924"/>
    <cellStyle name="표준 13 3 3 2 3" xfId="13968"/>
    <cellStyle name="표준 13 3 3 2 3 2" xfId="34844"/>
    <cellStyle name="표준 13 3 3 2 4" xfId="26106"/>
    <cellStyle name="표준 13 3 3 3" xfId="5630"/>
    <cellStyle name="표준 13 3 3 3 2" xfId="14639"/>
    <cellStyle name="표준 13 3 3 3 2 2" xfId="35515"/>
    <cellStyle name="표준 13 3 3 3 3" xfId="26777"/>
    <cellStyle name="표준 13 3 3 4" xfId="7423"/>
    <cellStyle name="표준 13 3 3 4 2" xfId="16430"/>
    <cellStyle name="표준 13 3 3 4 2 2" xfId="37306"/>
    <cellStyle name="표준 13 3 3 4 3" xfId="28568"/>
    <cellStyle name="표준 13 3 3 5" xfId="8067"/>
    <cellStyle name="표준 13 3 3 5 2" xfId="17073"/>
    <cellStyle name="표준 13 3 3 5 2 2" xfId="37949"/>
    <cellStyle name="표준 13 3 3 5 3" xfId="29211"/>
    <cellStyle name="표준 13 3 3 6" xfId="8915"/>
    <cellStyle name="표준 13 3 3 6 2" xfId="17920"/>
    <cellStyle name="표준 13 3 3 6 2 2" xfId="38796"/>
    <cellStyle name="표준 13 3 3 6 3" xfId="30058"/>
    <cellStyle name="표준 13 3 3 7" xfId="9740"/>
    <cellStyle name="표준 13 3 3 7 2" xfId="18738"/>
    <cellStyle name="표준 13 3 3 7 2 2" xfId="39614"/>
    <cellStyle name="표준 13 3 3 7 3" xfId="30876"/>
    <cellStyle name="표준 13 3 3 8" xfId="10795"/>
    <cellStyle name="표준 13 3 3 8 2" xfId="19566"/>
    <cellStyle name="표준 13 3 3 8 2 2" xfId="40442"/>
    <cellStyle name="표준 13 3 3 8 3" xfId="31706"/>
    <cellStyle name="표준 13 3 3 9" xfId="11661"/>
    <cellStyle name="표준 13 3 3 9 2" xfId="20427"/>
    <cellStyle name="표준 13 3 3 9 2 2" xfId="41303"/>
    <cellStyle name="표준 13 3 3 9 3" xfId="32567"/>
    <cellStyle name="표준 13 3 4" xfId="4516"/>
    <cellStyle name="표준 13 3 4 2" xfId="6350"/>
    <cellStyle name="표준 13 3 4 2 2" xfId="15359"/>
    <cellStyle name="표준 13 3 4 2 2 2" xfId="36235"/>
    <cellStyle name="표준 13 3 4 2 3" xfId="27497"/>
    <cellStyle name="표준 13 3 4 3" xfId="11013"/>
    <cellStyle name="표준 13 3 4 3 2" xfId="19783"/>
    <cellStyle name="표준 13 3 4 3 2 2" xfId="40659"/>
    <cellStyle name="표준 13 3 4 3 3" xfId="31923"/>
    <cellStyle name="표준 13 3 4 4" xfId="11878"/>
    <cellStyle name="표준 13 3 4 4 2" xfId="20644"/>
    <cellStyle name="표준 13 3 4 4 2 2" xfId="41520"/>
    <cellStyle name="표준 13 3 4 4 3" xfId="32784"/>
    <cellStyle name="표준 13 3 4 5" xfId="13541"/>
    <cellStyle name="표준 13 3 4 5 2" xfId="34417"/>
    <cellStyle name="표준 13 3 4 6" xfId="25679"/>
    <cellStyle name="표준 13 3 5" xfId="5193"/>
    <cellStyle name="표준 13 3 5 2" xfId="14202"/>
    <cellStyle name="표준 13 3 5 2 2" xfId="35078"/>
    <cellStyle name="표준 13 3 5 3" xfId="26340"/>
    <cellStyle name="표준 13 3 6" xfId="6995"/>
    <cellStyle name="표준 13 3 6 2" xfId="16003"/>
    <cellStyle name="표준 13 3 6 2 2" xfId="36879"/>
    <cellStyle name="표준 13 3 6 3" xfId="28141"/>
    <cellStyle name="표준 13 3 7" xfId="7640"/>
    <cellStyle name="표준 13 3 7 2" xfId="16646"/>
    <cellStyle name="표준 13 3 7 2 2" xfId="37522"/>
    <cellStyle name="표준 13 3 7 3" xfId="28784"/>
    <cellStyle name="표준 13 3 8" xfId="8488"/>
    <cellStyle name="표준 13 3 8 2" xfId="17493"/>
    <cellStyle name="표준 13 3 8 2 2" xfId="38369"/>
    <cellStyle name="표준 13 3 8 3" xfId="29631"/>
    <cellStyle name="표준 13 3 9" xfId="9312"/>
    <cellStyle name="표준 13 3 9 2" xfId="18311"/>
    <cellStyle name="표준 13 3 9 2 2" xfId="39187"/>
    <cellStyle name="표준 13 3 9 3" xfId="30449"/>
    <cellStyle name="표준 13 4" xfId="2908"/>
    <cellStyle name="표준 13 4 10" xfId="10369"/>
    <cellStyle name="표준 13 4 10 2" xfId="19140"/>
    <cellStyle name="표준 13 4 10 2 2" xfId="40016"/>
    <cellStyle name="표준 13 4 10 3" xfId="31280"/>
    <cellStyle name="표준 13 4 11" xfId="11235"/>
    <cellStyle name="표준 13 4 11 2" xfId="20001"/>
    <cellStyle name="표준 13 4 11 2 2" xfId="40877"/>
    <cellStyle name="표준 13 4 11 3" xfId="32141"/>
    <cellStyle name="표준 13 4 12" xfId="12383"/>
    <cellStyle name="표준 13 4 12 2" xfId="33261"/>
    <cellStyle name="표준 13 4 13" xfId="24511"/>
    <cellStyle name="표준 13 4 2" xfId="3126"/>
    <cellStyle name="표준 13 4 2 10" xfId="11445"/>
    <cellStyle name="표준 13 4 2 10 2" xfId="20211"/>
    <cellStyle name="표준 13 4 2 10 2 2" xfId="41087"/>
    <cellStyle name="표준 13 4 2 10 3" xfId="32351"/>
    <cellStyle name="표준 13 4 2 11" xfId="12594"/>
    <cellStyle name="표준 13 4 2 11 2" xfId="33471"/>
    <cellStyle name="표준 13 4 2 12" xfId="24721"/>
    <cellStyle name="표준 13 4 2 2" xfId="3568"/>
    <cellStyle name="표준 13 4 2 2 2" xfId="5841"/>
    <cellStyle name="표준 13 4 2 2 2 2" xfId="14850"/>
    <cellStyle name="표준 13 4 2 2 2 2 2" xfId="35726"/>
    <cellStyle name="표준 13 4 2 2 2 3" xfId="26988"/>
    <cellStyle name="표준 13 4 2 2 3" xfId="13031"/>
    <cellStyle name="표준 13 4 2 2 3 2" xfId="33908"/>
    <cellStyle name="표준 13 4 2 2 4" xfId="25158"/>
    <cellStyle name="표준 13 4 2 3" xfId="4729"/>
    <cellStyle name="표준 13 4 2 3 2" xfId="6561"/>
    <cellStyle name="표준 13 4 2 3 2 2" xfId="15570"/>
    <cellStyle name="표준 13 4 2 3 2 2 2" xfId="36446"/>
    <cellStyle name="표준 13 4 2 3 2 3" xfId="27708"/>
    <cellStyle name="표준 13 4 2 3 3" xfId="13752"/>
    <cellStyle name="표준 13 4 2 3 3 2" xfId="34628"/>
    <cellStyle name="표준 13 4 2 3 4" xfId="25890"/>
    <cellStyle name="표준 13 4 2 4" xfId="5404"/>
    <cellStyle name="표준 13 4 2 4 2" xfId="14413"/>
    <cellStyle name="표준 13 4 2 4 2 2" xfId="35289"/>
    <cellStyle name="표준 13 4 2 4 3" xfId="26551"/>
    <cellStyle name="표준 13 4 2 5" xfId="7207"/>
    <cellStyle name="표준 13 4 2 5 2" xfId="16214"/>
    <cellStyle name="표준 13 4 2 5 2 2" xfId="37090"/>
    <cellStyle name="표준 13 4 2 5 3" xfId="28352"/>
    <cellStyle name="표준 13 4 2 6" xfId="7851"/>
    <cellStyle name="표준 13 4 2 6 2" xfId="16857"/>
    <cellStyle name="표준 13 4 2 6 2 2" xfId="37733"/>
    <cellStyle name="표준 13 4 2 6 3" xfId="28995"/>
    <cellStyle name="표준 13 4 2 7" xfId="8699"/>
    <cellStyle name="표준 13 4 2 7 2" xfId="17704"/>
    <cellStyle name="표준 13 4 2 7 2 2" xfId="38580"/>
    <cellStyle name="표준 13 4 2 7 3" xfId="29842"/>
    <cellStyle name="표준 13 4 2 8" xfId="9524"/>
    <cellStyle name="표준 13 4 2 8 2" xfId="18522"/>
    <cellStyle name="표준 13 4 2 8 2 2" xfId="39398"/>
    <cellStyle name="표준 13 4 2 8 3" xfId="30660"/>
    <cellStyle name="표준 13 4 2 9" xfId="10579"/>
    <cellStyle name="표준 13 4 2 9 2" xfId="19350"/>
    <cellStyle name="표준 13 4 2 9 2 2" xfId="40226"/>
    <cellStyle name="표준 13 4 2 9 3" xfId="31490"/>
    <cellStyle name="표준 13 4 3" xfId="3358"/>
    <cellStyle name="표준 13 4 3 10" xfId="12821"/>
    <cellStyle name="표준 13 4 3 10 2" xfId="33698"/>
    <cellStyle name="표준 13 4 3 11" xfId="24948"/>
    <cellStyle name="표준 13 4 3 2" xfId="4951"/>
    <cellStyle name="표준 13 4 3 2 2" xfId="6778"/>
    <cellStyle name="표준 13 4 3 2 2 2" xfId="15787"/>
    <cellStyle name="표준 13 4 3 2 2 2 2" xfId="36663"/>
    <cellStyle name="표준 13 4 3 2 2 3" xfId="27925"/>
    <cellStyle name="표준 13 4 3 2 3" xfId="13969"/>
    <cellStyle name="표준 13 4 3 2 3 2" xfId="34845"/>
    <cellStyle name="표준 13 4 3 2 4" xfId="26107"/>
    <cellStyle name="표준 13 4 3 3" xfId="5631"/>
    <cellStyle name="표준 13 4 3 3 2" xfId="14640"/>
    <cellStyle name="표준 13 4 3 3 2 2" xfId="35516"/>
    <cellStyle name="표준 13 4 3 3 3" xfId="26778"/>
    <cellStyle name="표준 13 4 3 4" xfId="7424"/>
    <cellStyle name="표준 13 4 3 4 2" xfId="16431"/>
    <cellStyle name="표준 13 4 3 4 2 2" xfId="37307"/>
    <cellStyle name="표준 13 4 3 4 3" xfId="28569"/>
    <cellStyle name="표준 13 4 3 5" xfId="8068"/>
    <cellStyle name="표준 13 4 3 5 2" xfId="17074"/>
    <cellStyle name="표준 13 4 3 5 2 2" xfId="37950"/>
    <cellStyle name="표준 13 4 3 5 3" xfId="29212"/>
    <cellStyle name="표준 13 4 3 6" xfId="8916"/>
    <cellStyle name="표준 13 4 3 6 2" xfId="17921"/>
    <cellStyle name="표준 13 4 3 6 2 2" xfId="38797"/>
    <cellStyle name="표준 13 4 3 6 3" xfId="30059"/>
    <cellStyle name="표준 13 4 3 7" xfId="9741"/>
    <cellStyle name="표준 13 4 3 7 2" xfId="18739"/>
    <cellStyle name="표준 13 4 3 7 2 2" xfId="39615"/>
    <cellStyle name="표준 13 4 3 7 3" xfId="30877"/>
    <cellStyle name="표준 13 4 3 8" xfId="10796"/>
    <cellStyle name="표준 13 4 3 8 2" xfId="19567"/>
    <cellStyle name="표준 13 4 3 8 2 2" xfId="40443"/>
    <cellStyle name="표준 13 4 3 8 3" xfId="31707"/>
    <cellStyle name="표준 13 4 3 9" xfId="11662"/>
    <cellStyle name="표준 13 4 3 9 2" xfId="20428"/>
    <cellStyle name="표준 13 4 3 9 2 2" xfId="41304"/>
    <cellStyle name="표준 13 4 3 9 3" xfId="32568"/>
    <cellStyle name="표준 13 4 4" xfId="4517"/>
    <cellStyle name="표준 13 4 4 2" xfId="6351"/>
    <cellStyle name="표준 13 4 4 2 2" xfId="15360"/>
    <cellStyle name="표준 13 4 4 2 2 2" xfId="36236"/>
    <cellStyle name="표준 13 4 4 2 3" xfId="27498"/>
    <cellStyle name="표준 13 4 4 3" xfId="11014"/>
    <cellStyle name="표준 13 4 4 3 2" xfId="19784"/>
    <cellStyle name="표준 13 4 4 3 2 2" xfId="40660"/>
    <cellStyle name="표준 13 4 4 3 3" xfId="31924"/>
    <cellStyle name="표준 13 4 4 4" xfId="11879"/>
    <cellStyle name="표준 13 4 4 4 2" xfId="20645"/>
    <cellStyle name="표준 13 4 4 4 2 2" xfId="41521"/>
    <cellStyle name="표준 13 4 4 4 3" xfId="32785"/>
    <cellStyle name="표준 13 4 4 5" xfId="13542"/>
    <cellStyle name="표준 13 4 4 5 2" xfId="34418"/>
    <cellStyle name="표준 13 4 4 6" xfId="25680"/>
    <cellStyle name="표준 13 4 5" xfId="5194"/>
    <cellStyle name="표준 13 4 5 2" xfId="14203"/>
    <cellStyle name="표준 13 4 5 2 2" xfId="35079"/>
    <cellStyle name="표준 13 4 5 3" xfId="26341"/>
    <cellStyle name="표준 13 4 6" xfId="6996"/>
    <cellStyle name="표준 13 4 6 2" xfId="16004"/>
    <cellStyle name="표준 13 4 6 2 2" xfId="36880"/>
    <cellStyle name="표준 13 4 6 3" xfId="28142"/>
    <cellStyle name="표준 13 4 7" xfId="7641"/>
    <cellStyle name="표준 13 4 7 2" xfId="16647"/>
    <cellStyle name="표준 13 4 7 2 2" xfId="37523"/>
    <cellStyle name="표준 13 4 7 3" xfId="28785"/>
    <cellStyle name="표준 13 4 8" xfId="8489"/>
    <cellStyle name="표준 13 4 8 2" xfId="17494"/>
    <cellStyle name="표준 13 4 8 2 2" xfId="38370"/>
    <cellStyle name="표준 13 4 8 3" xfId="29632"/>
    <cellStyle name="표준 13 4 9" xfId="9313"/>
    <cellStyle name="표준 13 4 9 2" xfId="18312"/>
    <cellStyle name="표준 13 4 9 2 2" xfId="39188"/>
    <cellStyle name="표준 13 4 9 3" xfId="30450"/>
    <cellStyle name="표준 13 5" xfId="2909"/>
    <cellStyle name="표준 13 5 10" xfId="10370"/>
    <cellStyle name="표준 13 5 10 2" xfId="19141"/>
    <cellStyle name="표준 13 5 10 2 2" xfId="40017"/>
    <cellStyle name="표준 13 5 10 3" xfId="31281"/>
    <cellStyle name="표준 13 5 11" xfId="11236"/>
    <cellStyle name="표준 13 5 11 2" xfId="20002"/>
    <cellStyle name="표준 13 5 11 2 2" xfId="40878"/>
    <cellStyle name="표준 13 5 11 3" xfId="32142"/>
    <cellStyle name="표준 13 5 12" xfId="12384"/>
    <cellStyle name="표준 13 5 12 2" xfId="33262"/>
    <cellStyle name="표준 13 5 13" xfId="24512"/>
    <cellStyle name="표준 13 5 2" xfId="3127"/>
    <cellStyle name="표준 13 5 2 10" xfId="11446"/>
    <cellStyle name="표준 13 5 2 10 2" xfId="20212"/>
    <cellStyle name="표준 13 5 2 10 2 2" xfId="41088"/>
    <cellStyle name="표준 13 5 2 10 3" xfId="32352"/>
    <cellStyle name="표준 13 5 2 11" xfId="12595"/>
    <cellStyle name="표준 13 5 2 11 2" xfId="33472"/>
    <cellStyle name="표준 13 5 2 12" xfId="24722"/>
    <cellStyle name="표준 13 5 2 2" xfId="3569"/>
    <cellStyle name="표준 13 5 2 2 2" xfId="5842"/>
    <cellStyle name="표준 13 5 2 2 2 2" xfId="14851"/>
    <cellStyle name="표준 13 5 2 2 2 2 2" xfId="35727"/>
    <cellStyle name="표준 13 5 2 2 2 3" xfId="26989"/>
    <cellStyle name="표준 13 5 2 2 3" xfId="13032"/>
    <cellStyle name="표준 13 5 2 2 3 2" xfId="33909"/>
    <cellStyle name="표준 13 5 2 2 4" xfId="25159"/>
    <cellStyle name="표준 13 5 2 3" xfId="4730"/>
    <cellStyle name="표준 13 5 2 3 2" xfId="6562"/>
    <cellStyle name="표준 13 5 2 3 2 2" xfId="15571"/>
    <cellStyle name="표준 13 5 2 3 2 2 2" xfId="36447"/>
    <cellStyle name="표준 13 5 2 3 2 3" xfId="27709"/>
    <cellStyle name="표준 13 5 2 3 3" xfId="13753"/>
    <cellStyle name="표준 13 5 2 3 3 2" xfId="34629"/>
    <cellStyle name="표준 13 5 2 3 4" xfId="25891"/>
    <cellStyle name="표준 13 5 2 4" xfId="5405"/>
    <cellStyle name="표준 13 5 2 4 2" xfId="14414"/>
    <cellStyle name="표준 13 5 2 4 2 2" xfId="35290"/>
    <cellStyle name="표준 13 5 2 4 3" xfId="26552"/>
    <cellStyle name="표준 13 5 2 5" xfId="7208"/>
    <cellStyle name="표준 13 5 2 5 2" xfId="16215"/>
    <cellStyle name="표준 13 5 2 5 2 2" xfId="37091"/>
    <cellStyle name="표준 13 5 2 5 3" xfId="28353"/>
    <cellStyle name="표준 13 5 2 6" xfId="7852"/>
    <cellStyle name="표준 13 5 2 6 2" xfId="16858"/>
    <cellStyle name="표준 13 5 2 6 2 2" xfId="37734"/>
    <cellStyle name="표준 13 5 2 6 3" xfId="28996"/>
    <cellStyle name="표준 13 5 2 7" xfId="8700"/>
    <cellStyle name="표준 13 5 2 7 2" xfId="17705"/>
    <cellStyle name="표준 13 5 2 7 2 2" xfId="38581"/>
    <cellStyle name="표준 13 5 2 7 3" xfId="29843"/>
    <cellStyle name="표준 13 5 2 8" xfId="9525"/>
    <cellStyle name="표준 13 5 2 8 2" xfId="18523"/>
    <cellStyle name="표준 13 5 2 8 2 2" xfId="39399"/>
    <cellStyle name="표준 13 5 2 8 3" xfId="30661"/>
    <cellStyle name="표준 13 5 2 9" xfId="10580"/>
    <cellStyle name="표준 13 5 2 9 2" xfId="19351"/>
    <cellStyle name="표준 13 5 2 9 2 2" xfId="40227"/>
    <cellStyle name="표준 13 5 2 9 3" xfId="31491"/>
    <cellStyle name="표준 13 5 3" xfId="3359"/>
    <cellStyle name="표준 13 5 3 10" xfId="12822"/>
    <cellStyle name="표준 13 5 3 10 2" xfId="33699"/>
    <cellStyle name="표준 13 5 3 11" xfId="24949"/>
    <cellStyle name="표준 13 5 3 2" xfId="4952"/>
    <cellStyle name="표준 13 5 3 2 2" xfId="6779"/>
    <cellStyle name="표준 13 5 3 2 2 2" xfId="15788"/>
    <cellStyle name="표준 13 5 3 2 2 2 2" xfId="36664"/>
    <cellStyle name="표준 13 5 3 2 2 3" xfId="27926"/>
    <cellStyle name="표준 13 5 3 2 3" xfId="13970"/>
    <cellStyle name="표준 13 5 3 2 3 2" xfId="34846"/>
    <cellStyle name="표준 13 5 3 2 4" xfId="26108"/>
    <cellStyle name="표준 13 5 3 3" xfId="5632"/>
    <cellStyle name="표준 13 5 3 3 2" xfId="14641"/>
    <cellStyle name="표준 13 5 3 3 2 2" xfId="35517"/>
    <cellStyle name="표준 13 5 3 3 3" xfId="26779"/>
    <cellStyle name="표준 13 5 3 4" xfId="7425"/>
    <cellStyle name="표준 13 5 3 4 2" xfId="16432"/>
    <cellStyle name="표준 13 5 3 4 2 2" xfId="37308"/>
    <cellStyle name="표준 13 5 3 4 3" xfId="28570"/>
    <cellStyle name="표준 13 5 3 5" xfId="8069"/>
    <cellStyle name="표준 13 5 3 5 2" xfId="17075"/>
    <cellStyle name="표준 13 5 3 5 2 2" xfId="37951"/>
    <cellStyle name="표준 13 5 3 5 3" xfId="29213"/>
    <cellStyle name="표준 13 5 3 6" xfId="8917"/>
    <cellStyle name="표준 13 5 3 6 2" xfId="17922"/>
    <cellStyle name="표준 13 5 3 6 2 2" xfId="38798"/>
    <cellStyle name="표준 13 5 3 6 3" xfId="30060"/>
    <cellStyle name="표준 13 5 3 7" xfId="9742"/>
    <cellStyle name="표준 13 5 3 7 2" xfId="18740"/>
    <cellStyle name="표준 13 5 3 7 2 2" xfId="39616"/>
    <cellStyle name="표준 13 5 3 7 3" xfId="30878"/>
    <cellStyle name="표준 13 5 3 8" xfId="10797"/>
    <cellStyle name="표준 13 5 3 8 2" xfId="19568"/>
    <cellStyle name="표준 13 5 3 8 2 2" xfId="40444"/>
    <cellStyle name="표준 13 5 3 8 3" xfId="31708"/>
    <cellStyle name="표준 13 5 3 9" xfId="11663"/>
    <cellStyle name="표준 13 5 3 9 2" xfId="20429"/>
    <cellStyle name="표준 13 5 3 9 2 2" xfId="41305"/>
    <cellStyle name="표준 13 5 3 9 3" xfId="32569"/>
    <cellStyle name="표준 13 5 4" xfId="4518"/>
    <cellStyle name="표준 13 5 4 2" xfId="6352"/>
    <cellStyle name="표준 13 5 4 2 2" xfId="15361"/>
    <cellStyle name="표준 13 5 4 2 2 2" xfId="36237"/>
    <cellStyle name="표준 13 5 4 2 3" xfId="27499"/>
    <cellStyle name="표준 13 5 4 3" xfId="11015"/>
    <cellStyle name="표준 13 5 4 3 2" xfId="19785"/>
    <cellStyle name="표준 13 5 4 3 2 2" xfId="40661"/>
    <cellStyle name="표준 13 5 4 3 3" xfId="31925"/>
    <cellStyle name="표준 13 5 4 4" xfId="11880"/>
    <cellStyle name="표준 13 5 4 4 2" xfId="20646"/>
    <cellStyle name="표준 13 5 4 4 2 2" xfId="41522"/>
    <cellStyle name="표준 13 5 4 4 3" xfId="32786"/>
    <cellStyle name="표준 13 5 4 5" xfId="13543"/>
    <cellStyle name="표준 13 5 4 5 2" xfId="34419"/>
    <cellStyle name="표준 13 5 4 6" xfId="25681"/>
    <cellStyle name="표준 13 5 5" xfId="5195"/>
    <cellStyle name="표준 13 5 5 2" xfId="14204"/>
    <cellStyle name="표준 13 5 5 2 2" xfId="35080"/>
    <cellStyle name="표준 13 5 5 3" xfId="26342"/>
    <cellStyle name="표준 13 5 6" xfId="6997"/>
    <cellStyle name="표준 13 5 6 2" xfId="16005"/>
    <cellStyle name="표준 13 5 6 2 2" xfId="36881"/>
    <cellStyle name="표준 13 5 6 3" xfId="28143"/>
    <cellStyle name="표준 13 5 7" xfId="7642"/>
    <cellStyle name="표준 13 5 7 2" xfId="16648"/>
    <cellStyle name="표준 13 5 7 2 2" xfId="37524"/>
    <cellStyle name="표준 13 5 7 3" xfId="28786"/>
    <cellStyle name="표준 13 5 8" xfId="8490"/>
    <cellStyle name="표준 13 5 8 2" xfId="17495"/>
    <cellStyle name="표준 13 5 8 2 2" xfId="38371"/>
    <cellStyle name="표준 13 5 8 3" xfId="29633"/>
    <cellStyle name="표준 13 5 9" xfId="9314"/>
    <cellStyle name="표준 13 5 9 2" xfId="18313"/>
    <cellStyle name="표준 13 5 9 2 2" xfId="39189"/>
    <cellStyle name="표준 13 5 9 3" xfId="30451"/>
    <cellStyle name="표준 13 6" xfId="2910"/>
    <cellStyle name="표준 13 6 10" xfId="10371"/>
    <cellStyle name="표준 13 6 10 2" xfId="19142"/>
    <cellStyle name="표준 13 6 10 2 2" xfId="40018"/>
    <cellStyle name="표준 13 6 10 3" xfId="31282"/>
    <cellStyle name="표준 13 6 11" xfId="11237"/>
    <cellStyle name="표준 13 6 11 2" xfId="20003"/>
    <cellStyle name="표준 13 6 11 2 2" xfId="40879"/>
    <cellStyle name="표준 13 6 11 3" xfId="32143"/>
    <cellStyle name="표준 13 6 12" xfId="12385"/>
    <cellStyle name="표준 13 6 12 2" xfId="33263"/>
    <cellStyle name="표준 13 6 13" xfId="24513"/>
    <cellStyle name="표준 13 6 2" xfId="3128"/>
    <cellStyle name="표준 13 6 2 10" xfId="11447"/>
    <cellStyle name="표준 13 6 2 10 2" xfId="20213"/>
    <cellStyle name="표준 13 6 2 10 2 2" xfId="41089"/>
    <cellStyle name="표준 13 6 2 10 3" xfId="32353"/>
    <cellStyle name="표준 13 6 2 11" xfId="12596"/>
    <cellStyle name="표준 13 6 2 11 2" xfId="33473"/>
    <cellStyle name="표준 13 6 2 12" xfId="24723"/>
    <cellStyle name="표준 13 6 2 2" xfId="3570"/>
    <cellStyle name="표준 13 6 2 2 2" xfId="5843"/>
    <cellStyle name="표준 13 6 2 2 2 2" xfId="14852"/>
    <cellStyle name="표준 13 6 2 2 2 2 2" xfId="35728"/>
    <cellStyle name="표준 13 6 2 2 2 3" xfId="26990"/>
    <cellStyle name="표준 13 6 2 2 3" xfId="13033"/>
    <cellStyle name="표준 13 6 2 2 3 2" xfId="33910"/>
    <cellStyle name="표준 13 6 2 2 4" xfId="25160"/>
    <cellStyle name="표준 13 6 2 3" xfId="4731"/>
    <cellStyle name="표준 13 6 2 3 2" xfId="6563"/>
    <cellStyle name="표준 13 6 2 3 2 2" xfId="15572"/>
    <cellStyle name="표준 13 6 2 3 2 2 2" xfId="36448"/>
    <cellStyle name="표준 13 6 2 3 2 3" xfId="27710"/>
    <cellStyle name="표준 13 6 2 3 3" xfId="13754"/>
    <cellStyle name="표준 13 6 2 3 3 2" xfId="34630"/>
    <cellStyle name="표준 13 6 2 3 4" xfId="25892"/>
    <cellStyle name="표준 13 6 2 4" xfId="5406"/>
    <cellStyle name="표준 13 6 2 4 2" xfId="14415"/>
    <cellStyle name="표준 13 6 2 4 2 2" xfId="35291"/>
    <cellStyle name="표준 13 6 2 4 3" xfId="26553"/>
    <cellStyle name="표준 13 6 2 5" xfId="7209"/>
    <cellStyle name="표준 13 6 2 5 2" xfId="16216"/>
    <cellStyle name="표준 13 6 2 5 2 2" xfId="37092"/>
    <cellStyle name="표준 13 6 2 5 3" xfId="28354"/>
    <cellStyle name="표준 13 6 2 6" xfId="7853"/>
    <cellStyle name="표준 13 6 2 6 2" xfId="16859"/>
    <cellStyle name="표준 13 6 2 6 2 2" xfId="37735"/>
    <cellStyle name="표준 13 6 2 6 3" xfId="28997"/>
    <cellStyle name="표준 13 6 2 7" xfId="8701"/>
    <cellStyle name="표준 13 6 2 7 2" xfId="17706"/>
    <cellStyle name="표준 13 6 2 7 2 2" xfId="38582"/>
    <cellStyle name="표준 13 6 2 7 3" xfId="29844"/>
    <cellStyle name="표준 13 6 2 8" xfId="9526"/>
    <cellStyle name="표준 13 6 2 8 2" xfId="18524"/>
    <cellStyle name="표준 13 6 2 8 2 2" xfId="39400"/>
    <cellStyle name="표준 13 6 2 8 3" xfId="30662"/>
    <cellStyle name="표준 13 6 2 9" xfId="10581"/>
    <cellStyle name="표준 13 6 2 9 2" xfId="19352"/>
    <cellStyle name="표준 13 6 2 9 2 2" xfId="40228"/>
    <cellStyle name="표준 13 6 2 9 3" xfId="31492"/>
    <cellStyle name="표준 13 6 3" xfId="3360"/>
    <cellStyle name="표준 13 6 3 10" xfId="12823"/>
    <cellStyle name="표준 13 6 3 10 2" xfId="33700"/>
    <cellStyle name="표준 13 6 3 11" xfId="24950"/>
    <cellStyle name="표준 13 6 3 2" xfId="4953"/>
    <cellStyle name="표준 13 6 3 2 2" xfId="6780"/>
    <cellStyle name="표준 13 6 3 2 2 2" xfId="15789"/>
    <cellStyle name="표준 13 6 3 2 2 2 2" xfId="36665"/>
    <cellStyle name="표준 13 6 3 2 2 3" xfId="27927"/>
    <cellStyle name="표준 13 6 3 2 3" xfId="13971"/>
    <cellStyle name="표준 13 6 3 2 3 2" xfId="34847"/>
    <cellStyle name="표준 13 6 3 2 4" xfId="26109"/>
    <cellStyle name="표준 13 6 3 3" xfId="5633"/>
    <cellStyle name="표준 13 6 3 3 2" xfId="14642"/>
    <cellStyle name="표준 13 6 3 3 2 2" xfId="35518"/>
    <cellStyle name="표준 13 6 3 3 3" xfId="26780"/>
    <cellStyle name="표준 13 6 3 4" xfId="7426"/>
    <cellStyle name="표준 13 6 3 4 2" xfId="16433"/>
    <cellStyle name="표준 13 6 3 4 2 2" xfId="37309"/>
    <cellStyle name="표준 13 6 3 4 3" xfId="28571"/>
    <cellStyle name="표준 13 6 3 5" xfId="8070"/>
    <cellStyle name="표준 13 6 3 5 2" xfId="17076"/>
    <cellStyle name="표준 13 6 3 5 2 2" xfId="37952"/>
    <cellStyle name="표준 13 6 3 5 3" xfId="29214"/>
    <cellStyle name="표준 13 6 3 6" xfId="8918"/>
    <cellStyle name="표준 13 6 3 6 2" xfId="17923"/>
    <cellStyle name="표준 13 6 3 6 2 2" xfId="38799"/>
    <cellStyle name="표준 13 6 3 6 3" xfId="30061"/>
    <cellStyle name="표준 13 6 3 7" xfId="9743"/>
    <cellStyle name="표준 13 6 3 7 2" xfId="18741"/>
    <cellStyle name="표준 13 6 3 7 2 2" xfId="39617"/>
    <cellStyle name="표준 13 6 3 7 3" xfId="30879"/>
    <cellStyle name="표준 13 6 3 8" xfId="10798"/>
    <cellStyle name="표준 13 6 3 8 2" xfId="19569"/>
    <cellStyle name="표준 13 6 3 8 2 2" xfId="40445"/>
    <cellStyle name="표준 13 6 3 8 3" xfId="31709"/>
    <cellStyle name="표준 13 6 3 9" xfId="11664"/>
    <cellStyle name="표준 13 6 3 9 2" xfId="20430"/>
    <cellStyle name="표준 13 6 3 9 2 2" xfId="41306"/>
    <cellStyle name="표준 13 6 3 9 3" xfId="32570"/>
    <cellStyle name="표준 13 6 4" xfId="4519"/>
    <cellStyle name="표준 13 6 4 2" xfId="6353"/>
    <cellStyle name="표준 13 6 4 2 2" xfId="15362"/>
    <cellStyle name="표준 13 6 4 2 2 2" xfId="36238"/>
    <cellStyle name="표준 13 6 4 2 3" xfId="27500"/>
    <cellStyle name="표준 13 6 4 3" xfId="11016"/>
    <cellStyle name="표준 13 6 4 3 2" xfId="19786"/>
    <cellStyle name="표준 13 6 4 3 2 2" xfId="40662"/>
    <cellStyle name="표준 13 6 4 3 3" xfId="31926"/>
    <cellStyle name="표준 13 6 4 4" xfId="11881"/>
    <cellStyle name="표준 13 6 4 4 2" xfId="20647"/>
    <cellStyle name="표준 13 6 4 4 2 2" xfId="41523"/>
    <cellStyle name="표준 13 6 4 4 3" xfId="32787"/>
    <cellStyle name="표준 13 6 4 5" xfId="13544"/>
    <cellStyle name="표준 13 6 4 5 2" xfId="34420"/>
    <cellStyle name="표준 13 6 4 6" xfId="25682"/>
    <cellStyle name="표준 13 6 5" xfId="5196"/>
    <cellStyle name="표준 13 6 5 2" xfId="14205"/>
    <cellStyle name="표준 13 6 5 2 2" xfId="35081"/>
    <cellStyle name="표준 13 6 5 3" xfId="26343"/>
    <cellStyle name="표준 13 6 6" xfId="6998"/>
    <cellStyle name="표준 13 6 6 2" xfId="16006"/>
    <cellStyle name="표준 13 6 6 2 2" xfId="36882"/>
    <cellStyle name="표준 13 6 6 3" xfId="28144"/>
    <cellStyle name="표준 13 6 7" xfId="7643"/>
    <cellStyle name="표준 13 6 7 2" xfId="16649"/>
    <cellStyle name="표준 13 6 7 2 2" xfId="37525"/>
    <cellStyle name="표준 13 6 7 3" xfId="28787"/>
    <cellStyle name="표준 13 6 8" xfId="8491"/>
    <cellStyle name="표준 13 6 8 2" xfId="17496"/>
    <cellStyle name="표준 13 6 8 2 2" xfId="38372"/>
    <cellStyle name="표준 13 6 8 3" xfId="29634"/>
    <cellStyle name="표준 13 6 9" xfId="9315"/>
    <cellStyle name="표준 13 6 9 2" xfId="18314"/>
    <cellStyle name="표준 13 6 9 2 2" xfId="39190"/>
    <cellStyle name="표준 13 6 9 3" xfId="30452"/>
    <cellStyle name="표준 13 7" xfId="2911"/>
    <cellStyle name="표준 13 7 10" xfId="10372"/>
    <cellStyle name="표준 13 7 10 2" xfId="19143"/>
    <cellStyle name="표준 13 7 10 2 2" xfId="40019"/>
    <cellStyle name="표준 13 7 10 3" xfId="31283"/>
    <cellStyle name="표준 13 7 11" xfId="11238"/>
    <cellStyle name="표준 13 7 11 2" xfId="20004"/>
    <cellStyle name="표준 13 7 11 2 2" xfId="40880"/>
    <cellStyle name="표준 13 7 11 3" xfId="32144"/>
    <cellStyle name="표준 13 7 12" xfId="12386"/>
    <cellStyle name="표준 13 7 12 2" xfId="33264"/>
    <cellStyle name="표준 13 7 13" xfId="24514"/>
    <cellStyle name="표준 13 7 2" xfId="3129"/>
    <cellStyle name="표준 13 7 2 10" xfId="11448"/>
    <cellStyle name="표준 13 7 2 10 2" xfId="20214"/>
    <cellStyle name="표준 13 7 2 10 2 2" xfId="41090"/>
    <cellStyle name="표준 13 7 2 10 3" xfId="32354"/>
    <cellStyle name="표준 13 7 2 11" xfId="12597"/>
    <cellStyle name="표준 13 7 2 11 2" xfId="33474"/>
    <cellStyle name="표준 13 7 2 12" xfId="24724"/>
    <cellStyle name="표준 13 7 2 2" xfId="3571"/>
    <cellStyle name="표준 13 7 2 2 2" xfId="5844"/>
    <cellStyle name="표준 13 7 2 2 2 2" xfId="14853"/>
    <cellStyle name="표준 13 7 2 2 2 2 2" xfId="35729"/>
    <cellStyle name="표준 13 7 2 2 2 3" xfId="26991"/>
    <cellStyle name="표준 13 7 2 2 3" xfId="13034"/>
    <cellStyle name="표준 13 7 2 2 3 2" xfId="33911"/>
    <cellStyle name="표준 13 7 2 2 4" xfId="25161"/>
    <cellStyle name="표준 13 7 2 3" xfId="4732"/>
    <cellStyle name="표준 13 7 2 3 2" xfId="6564"/>
    <cellStyle name="표준 13 7 2 3 2 2" xfId="15573"/>
    <cellStyle name="표준 13 7 2 3 2 2 2" xfId="36449"/>
    <cellStyle name="표준 13 7 2 3 2 3" xfId="27711"/>
    <cellStyle name="표준 13 7 2 3 3" xfId="13755"/>
    <cellStyle name="표준 13 7 2 3 3 2" xfId="34631"/>
    <cellStyle name="표준 13 7 2 3 4" xfId="25893"/>
    <cellStyle name="표준 13 7 2 4" xfId="5407"/>
    <cellStyle name="표준 13 7 2 4 2" xfId="14416"/>
    <cellStyle name="표준 13 7 2 4 2 2" xfId="35292"/>
    <cellStyle name="표준 13 7 2 4 3" xfId="26554"/>
    <cellStyle name="표준 13 7 2 5" xfId="7210"/>
    <cellStyle name="표준 13 7 2 5 2" xfId="16217"/>
    <cellStyle name="표준 13 7 2 5 2 2" xfId="37093"/>
    <cellStyle name="표준 13 7 2 5 3" xfId="28355"/>
    <cellStyle name="표준 13 7 2 6" xfId="7854"/>
    <cellStyle name="표준 13 7 2 6 2" xfId="16860"/>
    <cellStyle name="표준 13 7 2 6 2 2" xfId="37736"/>
    <cellStyle name="표준 13 7 2 6 3" xfId="28998"/>
    <cellStyle name="표준 13 7 2 7" xfId="8702"/>
    <cellStyle name="표준 13 7 2 7 2" xfId="17707"/>
    <cellStyle name="표준 13 7 2 7 2 2" xfId="38583"/>
    <cellStyle name="표준 13 7 2 7 3" xfId="29845"/>
    <cellStyle name="표준 13 7 2 8" xfId="9527"/>
    <cellStyle name="표준 13 7 2 8 2" xfId="18525"/>
    <cellStyle name="표준 13 7 2 8 2 2" xfId="39401"/>
    <cellStyle name="표준 13 7 2 8 3" xfId="30663"/>
    <cellStyle name="표준 13 7 2 9" xfId="10582"/>
    <cellStyle name="표준 13 7 2 9 2" xfId="19353"/>
    <cellStyle name="표준 13 7 2 9 2 2" xfId="40229"/>
    <cellStyle name="표준 13 7 2 9 3" xfId="31493"/>
    <cellStyle name="표준 13 7 3" xfId="3361"/>
    <cellStyle name="표준 13 7 3 10" xfId="12824"/>
    <cellStyle name="표준 13 7 3 10 2" xfId="33701"/>
    <cellStyle name="표준 13 7 3 11" xfId="24951"/>
    <cellStyle name="표준 13 7 3 2" xfId="4954"/>
    <cellStyle name="표준 13 7 3 2 2" xfId="6781"/>
    <cellStyle name="표준 13 7 3 2 2 2" xfId="15790"/>
    <cellStyle name="표준 13 7 3 2 2 2 2" xfId="36666"/>
    <cellStyle name="표준 13 7 3 2 2 3" xfId="27928"/>
    <cellStyle name="표준 13 7 3 2 3" xfId="13972"/>
    <cellStyle name="표준 13 7 3 2 3 2" xfId="34848"/>
    <cellStyle name="표준 13 7 3 2 4" xfId="26110"/>
    <cellStyle name="표준 13 7 3 3" xfId="5634"/>
    <cellStyle name="표준 13 7 3 3 2" xfId="14643"/>
    <cellStyle name="표준 13 7 3 3 2 2" xfId="35519"/>
    <cellStyle name="표준 13 7 3 3 3" xfId="26781"/>
    <cellStyle name="표준 13 7 3 4" xfId="7427"/>
    <cellStyle name="표준 13 7 3 4 2" xfId="16434"/>
    <cellStyle name="표준 13 7 3 4 2 2" xfId="37310"/>
    <cellStyle name="표준 13 7 3 4 3" xfId="28572"/>
    <cellStyle name="표준 13 7 3 5" xfId="8071"/>
    <cellStyle name="표준 13 7 3 5 2" xfId="17077"/>
    <cellStyle name="표준 13 7 3 5 2 2" xfId="37953"/>
    <cellStyle name="표준 13 7 3 5 3" xfId="29215"/>
    <cellStyle name="표준 13 7 3 6" xfId="8919"/>
    <cellStyle name="표준 13 7 3 6 2" xfId="17924"/>
    <cellStyle name="표준 13 7 3 6 2 2" xfId="38800"/>
    <cellStyle name="표준 13 7 3 6 3" xfId="30062"/>
    <cellStyle name="표준 13 7 3 7" xfId="9744"/>
    <cellStyle name="표준 13 7 3 7 2" xfId="18742"/>
    <cellStyle name="표준 13 7 3 7 2 2" xfId="39618"/>
    <cellStyle name="표준 13 7 3 7 3" xfId="30880"/>
    <cellStyle name="표준 13 7 3 8" xfId="10799"/>
    <cellStyle name="표준 13 7 3 8 2" xfId="19570"/>
    <cellStyle name="표준 13 7 3 8 2 2" xfId="40446"/>
    <cellStyle name="표준 13 7 3 8 3" xfId="31710"/>
    <cellStyle name="표준 13 7 3 9" xfId="11665"/>
    <cellStyle name="표준 13 7 3 9 2" xfId="20431"/>
    <cellStyle name="표준 13 7 3 9 2 2" xfId="41307"/>
    <cellStyle name="표준 13 7 3 9 3" xfId="32571"/>
    <cellStyle name="표준 13 7 4" xfId="4520"/>
    <cellStyle name="표준 13 7 4 2" xfId="6354"/>
    <cellStyle name="표준 13 7 4 2 2" xfId="15363"/>
    <cellStyle name="표준 13 7 4 2 2 2" xfId="36239"/>
    <cellStyle name="표준 13 7 4 2 3" xfId="27501"/>
    <cellStyle name="표준 13 7 4 3" xfId="11017"/>
    <cellStyle name="표준 13 7 4 3 2" xfId="19787"/>
    <cellStyle name="표준 13 7 4 3 2 2" xfId="40663"/>
    <cellStyle name="표준 13 7 4 3 3" xfId="31927"/>
    <cellStyle name="표준 13 7 4 4" xfId="11882"/>
    <cellStyle name="표준 13 7 4 4 2" xfId="20648"/>
    <cellStyle name="표준 13 7 4 4 2 2" xfId="41524"/>
    <cellStyle name="표준 13 7 4 4 3" xfId="32788"/>
    <cellStyle name="표준 13 7 4 5" xfId="13545"/>
    <cellStyle name="표준 13 7 4 5 2" xfId="34421"/>
    <cellStyle name="표준 13 7 4 6" xfId="25683"/>
    <cellStyle name="표준 13 7 5" xfId="5197"/>
    <cellStyle name="표준 13 7 5 2" xfId="14206"/>
    <cellStyle name="표준 13 7 5 2 2" xfId="35082"/>
    <cellStyle name="표준 13 7 5 3" xfId="26344"/>
    <cellStyle name="표준 13 7 6" xfId="6999"/>
    <cellStyle name="표준 13 7 6 2" xfId="16007"/>
    <cellStyle name="표준 13 7 6 2 2" xfId="36883"/>
    <cellStyle name="표준 13 7 6 3" xfId="28145"/>
    <cellStyle name="표준 13 7 7" xfId="7644"/>
    <cellStyle name="표준 13 7 7 2" xfId="16650"/>
    <cellStyle name="표준 13 7 7 2 2" xfId="37526"/>
    <cellStyle name="표준 13 7 7 3" xfId="28788"/>
    <cellStyle name="표준 13 7 8" xfId="8492"/>
    <cellStyle name="표준 13 7 8 2" xfId="17497"/>
    <cellStyle name="표준 13 7 8 2 2" xfId="38373"/>
    <cellStyle name="표준 13 7 8 3" xfId="29635"/>
    <cellStyle name="표준 13 7 9" xfId="9316"/>
    <cellStyle name="표준 13 7 9 2" xfId="18315"/>
    <cellStyle name="표준 13 7 9 2 2" xfId="39191"/>
    <cellStyle name="표준 13 7 9 3" xfId="30453"/>
    <cellStyle name="표준 13 8" xfId="3123"/>
    <cellStyle name="표준 13 8 10" xfId="11442"/>
    <cellStyle name="표준 13 8 10 2" xfId="20208"/>
    <cellStyle name="표준 13 8 10 2 2" xfId="41084"/>
    <cellStyle name="표준 13 8 10 3" xfId="32348"/>
    <cellStyle name="표준 13 8 11" xfId="12591"/>
    <cellStyle name="표준 13 8 11 2" xfId="33468"/>
    <cellStyle name="표준 13 8 12" xfId="24718"/>
    <cellStyle name="표준 13 8 2" xfId="3565"/>
    <cellStyle name="표준 13 8 2 2" xfId="5838"/>
    <cellStyle name="표준 13 8 2 2 2" xfId="14847"/>
    <cellStyle name="표준 13 8 2 2 2 2" xfId="35723"/>
    <cellStyle name="표준 13 8 2 2 3" xfId="26985"/>
    <cellStyle name="표준 13 8 2 3" xfId="13028"/>
    <cellStyle name="표준 13 8 2 3 2" xfId="33905"/>
    <cellStyle name="표준 13 8 2 4" xfId="25155"/>
    <cellStyle name="표준 13 8 3" xfId="4726"/>
    <cellStyle name="표준 13 8 3 2" xfId="6558"/>
    <cellStyle name="표준 13 8 3 2 2" xfId="15567"/>
    <cellStyle name="표준 13 8 3 2 2 2" xfId="36443"/>
    <cellStyle name="표준 13 8 3 2 3" xfId="27705"/>
    <cellStyle name="표준 13 8 3 3" xfId="13749"/>
    <cellStyle name="표준 13 8 3 3 2" xfId="34625"/>
    <cellStyle name="표준 13 8 3 4" xfId="25887"/>
    <cellStyle name="표준 13 8 4" xfId="5401"/>
    <cellStyle name="표준 13 8 4 2" xfId="14410"/>
    <cellStyle name="표준 13 8 4 2 2" xfId="35286"/>
    <cellStyle name="표준 13 8 4 3" xfId="26548"/>
    <cellStyle name="표준 13 8 5" xfId="7204"/>
    <cellStyle name="표준 13 8 5 2" xfId="16211"/>
    <cellStyle name="표준 13 8 5 2 2" xfId="37087"/>
    <cellStyle name="표준 13 8 5 3" xfId="28349"/>
    <cellStyle name="표준 13 8 6" xfId="7848"/>
    <cellStyle name="표준 13 8 6 2" xfId="16854"/>
    <cellStyle name="표준 13 8 6 2 2" xfId="37730"/>
    <cellStyle name="표준 13 8 6 3" xfId="28992"/>
    <cellStyle name="표준 13 8 7" xfId="8696"/>
    <cellStyle name="표준 13 8 7 2" xfId="17701"/>
    <cellStyle name="표준 13 8 7 2 2" xfId="38577"/>
    <cellStyle name="표준 13 8 7 3" xfId="29839"/>
    <cellStyle name="표준 13 8 8" xfId="9521"/>
    <cellStyle name="표준 13 8 8 2" xfId="18519"/>
    <cellStyle name="표준 13 8 8 2 2" xfId="39395"/>
    <cellStyle name="표준 13 8 8 3" xfId="30657"/>
    <cellStyle name="표준 13 8 9" xfId="10576"/>
    <cellStyle name="표준 13 8 9 2" xfId="19347"/>
    <cellStyle name="표준 13 8 9 2 2" xfId="40223"/>
    <cellStyle name="표준 13 8 9 3" xfId="31487"/>
    <cellStyle name="표준 13 9" xfId="3355"/>
    <cellStyle name="표준 13 9 10" xfId="12818"/>
    <cellStyle name="표준 13 9 10 2" xfId="33695"/>
    <cellStyle name="표준 13 9 11" xfId="24945"/>
    <cellStyle name="표준 13 9 2" xfId="4948"/>
    <cellStyle name="표준 13 9 2 2" xfId="6775"/>
    <cellStyle name="표준 13 9 2 2 2" xfId="15784"/>
    <cellStyle name="표준 13 9 2 2 2 2" xfId="36660"/>
    <cellStyle name="표준 13 9 2 2 3" xfId="27922"/>
    <cellStyle name="표준 13 9 2 3" xfId="13966"/>
    <cellStyle name="표준 13 9 2 3 2" xfId="34842"/>
    <cellStyle name="표준 13 9 2 4" xfId="26104"/>
    <cellStyle name="표준 13 9 3" xfId="5628"/>
    <cellStyle name="표준 13 9 3 2" xfId="14637"/>
    <cellStyle name="표준 13 9 3 2 2" xfId="35513"/>
    <cellStyle name="표준 13 9 3 3" xfId="26775"/>
    <cellStyle name="표준 13 9 4" xfId="7421"/>
    <cellStyle name="표준 13 9 4 2" xfId="16428"/>
    <cellStyle name="표준 13 9 4 2 2" xfId="37304"/>
    <cellStyle name="표준 13 9 4 3" xfId="28566"/>
    <cellStyle name="표준 13 9 5" xfId="8065"/>
    <cellStyle name="표준 13 9 5 2" xfId="17071"/>
    <cellStyle name="표준 13 9 5 2 2" xfId="37947"/>
    <cellStyle name="표준 13 9 5 3" xfId="29209"/>
    <cellStyle name="표준 13 9 6" xfId="8913"/>
    <cellStyle name="표준 13 9 6 2" xfId="17918"/>
    <cellStyle name="표준 13 9 6 2 2" xfId="38794"/>
    <cellStyle name="표준 13 9 6 3" xfId="30056"/>
    <cellStyle name="표준 13 9 7" xfId="9738"/>
    <cellStyle name="표준 13 9 7 2" xfId="18736"/>
    <cellStyle name="표준 13 9 7 2 2" xfId="39612"/>
    <cellStyle name="표준 13 9 7 3" xfId="30874"/>
    <cellStyle name="표준 13 9 8" xfId="10793"/>
    <cellStyle name="표준 13 9 8 2" xfId="19564"/>
    <cellStyle name="표준 13 9 8 2 2" xfId="40440"/>
    <cellStyle name="표준 13 9 8 3" xfId="31704"/>
    <cellStyle name="표준 13 9 9" xfId="11659"/>
    <cellStyle name="표준 13 9 9 2" xfId="20425"/>
    <cellStyle name="표준 13 9 9 2 2" xfId="41301"/>
    <cellStyle name="표준 13 9 9 3" xfId="32565"/>
    <cellStyle name="표준 14" xfId="2912"/>
    <cellStyle name="표준 14 10" xfId="4521"/>
    <cellStyle name="표준 14 10 2" xfId="6355"/>
    <cellStyle name="표준 14 10 2 2" xfId="15364"/>
    <cellStyle name="표준 14 10 2 2 2" xfId="36240"/>
    <cellStyle name="표준 14 10 2 3" xfId="27502"/>
    <cellStyle name="표준 14 10 3" xfId="11018"/>
    <cellStyle name="표준 14 10 3 2" xfId="19788"/>
    <cellStyle name="표준 14 10 3 2 2" xfId="40664"/>
    <cellStyle name="표준 14 10 3 3" xfId="31928"/>
    <cellStyle name="표준 14 10 4" xfId="11883"/>
    <cellStyle name="표준 14 10 4 2" xfId="20649"/>
    <cellStyle name="표준 14 10 4 2 2" xfId="41525"/>
    <cellStyle name="표준 14 10 4 3" xfId="32789"/>
    <cellStyle name="표준 14 10 5" xfId="13546"/>
    <cellStyle name="표준 14 10 5 2" xfId="34422"/>
    <cellStyle name="표준 14 10 6" xfId="25684"/>
    <cellStyle name="표준 14 11" xfId="5198"/>
    <cellStyle name="표준 14 11 2" xfId="14207"/>
    <cellStyle name="표준 14 11 2 2" xfId="35083"/>
    <cellStyle name="표준 14 11 3" xfId="26345"/>
    <cellStyle name="표준 14 12" xfId="7000"/>
    <cellStyle name="표준 14 12 2" xfId="16008"/>
    <cellStyle name="표준 14 12 2 2" xfId="36884"/>
    <cellStyle name="표준 14 12 3" xfId="28146"/>
    <cellStyle name="표준 14 13" xfId="7645"/>
    <cellStyle name="표준 14 13 2" xfId="16651"/>
    <cellStyle name="표준 14 13 2 2" xfId="37527"/>
    <cellStyle name="표준 14 13 3" xfId="28789"/>
    <cellStyle name="표준 14 14" xfId="8493"/>
    <cellStyle name="표준 14 14 2" xfId="17498"/>
    <cellStyle name="표준 14 14 2 2" xfId="38374"/>
    <cellStyle name="표준 14 14 3" xfId="29636"/>
    <cellStyle name="표준 14 15" xfId="9317"/>
    <cellStyle name="표준 14 15 2" xfId="18316"/>
    <cellStyle name="표준 14 15 2 2" xfId="39192"/>
    <cellStyle name="표준 14 15 3" xfId="30454"/>
    <cellStyle name="표준 14 16" xfId="9974"/>
    <cellStyle name="표준 14 17" xfId="10373"/>
    <cellStyle name="표준 14 17 2" xfId="19144"/>
    <cellStyle name="표준 14 17 2 2" xfId="40020"/>
    <cellStyle name="표준 14 17 3" xfId="31284"/>
    <cellStyle name="표준 14 18" xfId="11239"/>
    <cellStyle name="표준 14 18 2" xfId="20005"/>
    <cellStyle name="표준 14 18 2 2" xfId="40881"/>
    <cellStyle name="표준 14 18 3" xfId="32145"/>
    <cellStyle name="표준 14 19" xfId="12387"/>
    <cellStyle name="표준 14 19 2" xfId="33265"/>
    <cellStyle name="표준 14 2" xfId="2913"/>
    <cellStyle name="표준 14 2 10" xfId="10374"/>
    <cellStyle name="표준 14 2 10 2" xfId="19145"/>
    <cellStyle name="표준 14 2 10 2 2" xfId="40021"/>
    <cellStyle name="표준 14 2 10 3" xfId="31285"/>
    <cellStyle name="표준 14 2 11" xfId="11240"/>
    <cellStyle name="표준 14 2 11 2" xfId="20006"/>
    <cellStyle name="표준 14 2 11 2 2" xfId="40882"/>
    <cellStyle name="표준 14 2 11 3" xfId="32146"/>
    <cellStyle name="표준 14 2 12" xfId="12388"/>
    <cellStyle name="표준 14 2 12 2" xfId="33266"/>
    <cellStyle name="표준 14 2 13" xfId="24516"/>
    <cellStyle name="표준 14 2 2" xfId="3131"/>
    <cellStyle name="표준 14 2 2 10" xfId="11450"/>
    <cellStyle name="표준 14 2 2 10 2" xfId="20216"/>
    <cellStyle name="표준 14 2 2 10 2 2" xfId="41092"/>
    <cellStyle name="표준 14 2 2 10 3" xfId="32356"/>
    <cellStyle name="표준 14 2 2 11" xfId="12599"/>
    <cellStyle name="표준 14 2 2 11 2" xfId="33476"/>
    <cellStyle name="표준 14 2 2 12" xfId="24726"/>
    <cellStyle name="표준 14 2 2 2" xfId="3573"/>
    <cellStyle name="표준 14 2 2 2 2" xfId="5846"/>
    <cellStyle name="표준 14 2 2 2 2 2" xfId="14855"/>
    <cellStyle name="표준 14 2 2 2 2 2 2" xfId="35731"/>
    <cellStyle name="표준 14 2 2 2 2 3" xfId="26993"/>
    <cellStyle name="표준 14 2 2 2 3" xfId="13036"/>
    <cellStyle name="표준 14 2 2 2 3 2" xfId="33913"/>
    <cellStyle name="표준 14 2 2 2 4" xfId="25163"/>
    <cellStyle name="표준 14 2 2 3" xfId="4734"/>
    <cellStyle name="표준 14 2 2 3 2" xfId="6566"/>
    <cellStyle name="표준 14 2 2 3 2 2" xfId="15575"/>
    <cellStyle name="표준 14 2 2 3 2 2 2" xfId="36451"/>
    <cellStyle name="표준 14 2 2 3 2 3" xfId="27713"/>
    <cellStyle name="표준 14 2 2 3 3" xfId="13757"/>
    <cellStyle name="표준 14 2 2 3 3 2" xfId="34633"/>
    <cellStyle name="표준 14 2 2 3 4" xfId="25895"/>
    <cellStyle name="표준 14 2 2 4" xfId="5409"/>
    <cellStyle name="표준 14 2 2 4 2" xfId="14418"/>
    <cellStyle name="표준 14 2 2 4 2 2" xfId="35294"/>
    <cellStyle name="표준 14 2 2 4 3" xfId="26556"/>
    <cellStyle name="표준 14 2 2 5" xfId="7212"/>
    <cellStyle name="표준 14 2 2 5 2" xfId="16219"/>
    <cellStyle name="표준 14 2 2 5 2 2" xfId="37095"/>
    <cellStyle name="표준 14 2 2 5 3" xfId="28357"/>
    <cellStyle name="표준 14 2 2 6" xfId="7856"/>
    <cellStyle name="표준 14 2 2 6 2" xfId="16862"/>
    <cellStyle name="표준 14 2 2 6 2 2" xfId="37738"/>
    <cellStyle name="표준 14 2 2 6 3" xfId="29000"/>
    <cellStyle name="표준 14 2 2 7" xfId="8704"/>
    <cellStyle name="표준 14 2 2 7 2" xfId="17709"/>
    <cellStyle name="표준 14 2 2 7 2 2" xfId="38585"/>
    <cellStyle name="표준 14 2 2 7 3" xfId="29847"/>
    <cellStyle name="표준 14 2 2 8" xfId="9529"/>
    <cellStyle name="표준 14 2 2 8 2" xfId="18527"/>
    <cellStyle name="표준 14 2 2 8 2 2" xfId="39403"/>
    <cellStyle name="표준 14 2 2 8 3" xfId="30665"/>
    <cellStyle name="표준 14 2 2 9" xfId="10584"/>
    <cellStyle name="표준 14 2 2 9 2" xfId="19355"/>
    <cellStyle name="표준 14 2 2 9 2 2" xfId="40231"/>
    <cellStyle name="표준 14 2 2 9 3" xfId="31495"/>
    <cellStyle name="표준 14 2 3" xfId="3363"/>
    <cellStyle name="표준 14 2 3 10" xfId="12826"/>
    <cellStyle name="표준 14 2 3 10 2" xfId="33703"/>
    <cellStyle name="표준 14 2 3 11" xfId="24953"/>
    <cellStyle name="표준 14 2 3 2" xfId="4956"/>
    <cellStyle name="표준 14 2 3 2 2" xfId="6783"/>
    <cellStyle name="표준 14 2 3 2 2 2" xfId="15792"/>
    <cellStyle name="표준 14 2 3 2 2 2 2" xfId="36668"/>
    <cellStyle name="표준 14 2 3 2 2 3" xfId="27930"/>
    <cellStyle name="표준 14 2 3 2 3" xfId="13974"/>
    <cellStyle name="표준 14 2 3 2 3 2" xfId="34850"/>
    <cellStyle name="표준 14 2 3 2 4" xfId="26112"/>
    <cellStyle name="표준 14 2 3 3" xfId="5636"/>
    <cellStyle name="표준 14 2 3 3 2" xfId="14645"/>
    <cellStyle name="표준 14 2 3 3 2 2" xfId="35521"/>
    <cellStyle name="표준 14 2 3 3 3" xfId="26783"/>
    <cellStyle name="표준 14 2 3 4" xfId="7429"/>
    <cellStyle name="표준 14 2 3 4 2" xfId="16436"/>
    <cellStyle name="표준 14 2 3 4 2 2" xfId="37312"/>
    <cellStyle name="표준 14 2 3 4 3" xfId="28574"/>
    <cellStyle name="표준 14 2 3 5" xfId="8073"/>
    <cellStyle name="표준 14 2 3 5 2" xfId="17079"/>
    <cellStyle name="표준 14 2 3 5 2 2" xfId="37955"/>
    <cellStyle name="표준 14 2 3 5 3" xfId="29217"/>
    <cellStyle name="표준 14 2 3 6" xfId="8921"/>
    <cellStyle name="표준 14 2 3 6 2" xfId="17926"/>
    <cellStyle name="표준 14 2 3 6 2 2" xfId="38802"/>
    <cellStyle name="표준 14 2 3 6 3" xfId="30064"/>
    <cellStyle name="표준 14 2 3 7" xfId="9746"/>
    <cellStyle name="표준 14 2 3 7 2" xfId="18744"/>
    <cellStyle name="표준 14 2 3 7 2 2" xfId="39620"/>
    <cellStyle name="표준 14 2 3 7 3" xfId="30882"/>
    <cellStyle name="표준 14 2 3 8" xfId="10801"/>
    <cellStyle name="표준 14 2 3 8 2" xfId="19572"/>
    <cellStyle name="표준 14 2 3 8 2 2" xfId="40448"/>
    <cellStyle name="표준 14 2 3 8 3" xfId="31712"/>
    <cellStyle name="표준 14 2 3 9" xfId="11667"/>
    <cellStyle name="표준 14 2 3 9 2" xfId="20433"/>
    <cellStyle name="표준 14 2 3 9 2 2" xfId="41309"/>
    <cellStyle name="표준 14 2 3 9 3" xfId="32573"/>
    <cellStyle name="표준 14 2 4" xfId="4522"/>
    <cellStyle name="표준 14 2 4 2" xfId="6356"/>
    <cellStyle name="표준 14 2 4 2 2" xfId="15365"/>
    <cellStyle name="표준 14 2 4 2 2 2" xfId="36241"/>
    <cellStyle name="표준 14 2 4 2 3" xfId="27503"/>
    <cellStyle name="표준 14 2 4 3" xfId="11019"/>
    <cellStyle name="표준 14 2 4 3 2" xfId="19789"/>
    <cellStyle name="표준 14 2 4 3 2 2" xfId="40665"/>
    <cellStyle name="표준 14 2 4 3 3" xfId="31929"/>
    <cellStyle name="표준 14 2 4 4" xfId="11884"/>
    <cellStyle name="표준 14 2 4 4 2" xfId="20650"/>
    <cellStyle name="표준 14 2 4 4 2 2" xfId="41526"/>
    <cellStyle name="표준 14 2 4 4 3" xfId="32790"/>
    <cellStyle name="표준 14 2 4 5" xfId="13547"/>
    <cellStyle name="표준 14 2 4 5 2" xfId="34423"/>
    <cellStyle name="표준 14 2 4 6" xfId="25685"/>
    <cellStyle name="표준 14 2 5" xfId="5199"/>
    <cellStyle name="표준 14 2 5 2" xfId="14208"/>
    <cellStyle name="표준 14 2 5 2 2" xfId="35084"/>
    <cellStyle name="표준 14 2 5 3" xfId="26346"/>
    <cellStyle name="표준 14 2 6" xfId="7001"/>
    <cellStyle name="표준 14 2 6 2" xfId="16009"/>
    <cellStyle name="표준 14 2 6 2 2" xfId="36885"/>
    <cellStyle name="표준 14 2 6 3" xfId="28147"/>
    <cellStyle name="표준 14 2 7" xfId="7646"/>
    <cellStyle name="표준 14 2 7 2" xfId="16652"/>
    <cellStyle name="표준 14 2 7 2 2" xfId="37528"/>
    <cellStyle name="표준 14 2 7 3" xfId="28790"/>
    <cellStyle name="표준 14 2 8" xfId="8494"/>
    <cellStyle name="표준 14 2 8 2" xfId="17499"/>
    <cellStyle name="표준 14 2 8 2 2" xfId="38375"/>
    <cellStyle name="표준 14 2 8 3" xfId="29637"/>
    <cellStyle name="표준 14 2 9" xfId="9318"/>
    <cellStyle name="표준 14 2 9 2" xfId="18317"/>
    <cellStyle name="표준 14 2 9 2 2" xfId="39193"/>
    <cellStyle name="표준 14 2 9 3" xfId="30455"/>
    <cellStyle name="표준 14 20" xfId="24515"/>
    <cellStyle name="표준 14 3" xfId="2914"/>
    <cellStyle name="표준 14 3 10" xfId="10375"/>
    <cellStyle name="표준 14 3 10 2" xfId="19146"/>
    <cellStyle name="표준 14 3 10 2 2" xfId="40022"/>
    <cellStyle name="표준 14 3 10 3" xfId="31286"/>
    <cellStyle name="표준 14 3 11" xfId="11241"/>
    <cellStyle name="표준 14 3 11 2" xfId="20007"/>
    <cellStyle name="표준 14 3 11 2 2" xfId="40883"/>
    <cellStyle name="표준 14 3 11 3" xfId="32147"/>
    <cellStyle name="표준 14 3 12" xfId="12389"/>
    <cellStyle name="표준 14 3 12 2" xfId="33267"/>
    <cellStyle name="표준 14 3 13" xfId="24517"/>
    <cellStyle name="표준 14 3 2" xfId="3132"/>
    <cellStyle name="표준 14 3 2 10" xfId="11451"/>
    <cellStyle name="표준 14 3 2 10 2" xfId="20217"/>
    <cellStyle name="표준 14 3 2 10 2 2" xfId="41093"/>
    <cellStyle name="표준 14 3 2 10 3" xfId="32357"/>
    <cellStyle name="표준 14 3 2 11" xfId="12600"/>
    <cellStyle name="표준 14 3 2 11 2" xfId="33477"/>
    <cellStyle name="표준 14 3 2 12" xfId="24727"/>
    <cellStyle name="표준 14 3 2 2" xfId="3574"/>
    <cellStyle name="표준 14 3 2 2 2" xfId="5847"/>
    <cellStyle name="표준 14 3 2 2 2 2" xfId="14856"/>
    <cellStyle name="표준 14 3 2 2 2 2 2" xfId="35732"/>
    <cellStyle name="표준 14 3 2 2 2 3" xfId="26994"/>
    <cellStyle name="표준 14 3 2 2 3" xfId="13037"/>
    <cellStyle name="표준 14 3 2 2 3 2" xfId="33914"/>
    <cellStyle name="표준 14 3 2 2 4" xfId="25164"/>
    <cellStyle name="표준 14 3 2 3" xfId="4735"/>
    <cellStyle name="표준 14 3 2 3 2" xfId="6567"/>
    <cellStyle name="표준 14 3 2 3 2 2" xfId="15576"/>
    <cellStyle name="표준 14 3 2 3 2 2 2" xfId="36452"/>
    <cellStyle name="표준 14 3 2 3 2 3" xfId="27714"/>
    <cellStyle name="표준 14 3 2 3 3" xfId="13758"/>
    <cellStyle name="표준 14 3 2 3 3 2" xfId="34634"/>
    <cellStyle name="표준 14 3 2 3 4" xfId="25896"/>
    <cellStyle name="표준 14 3 2 4" xfId="5410"/>
    <cellStyle name="표준 14 3 2 4 2" xfId="14419"/>
    <cellStyle name="표준 14 3 2 4 2 2" xfId="35295"/>
    <cellStyle name="표준 14 3 2 4 3" xfId="26557"/>
    <cellStyle name="표준 14 3 2 5" xfId="7213"/>
    <cellStyle name="표준 14 3 2 5 2" xfId="16220"/>
    <cellStyle name="표준 14 3 2 5 2 2" xfId="37096"/>
    <cellStyle name="표준 14 3 2 5 3" xfId="28358"/>
    <cellStyle name="표준 14 3 2 6" xfId="7857"/>
    <cellStyle name="표준 14 3 2 6 2" xfId="16863"/>
    <cellStyle name="표준 14 3 2 6 2 2" xfId="37739"/>
    <cellStyle name="표준 14 3 2 6 3" xfId="29001"/>
    <cellStyle name="표준 14 3 2 7" xfId="8705"/>
    <cellStyle name="표준 14 3 2 7 2" xfId="17710"/>
    <cellStyle name="표준 14 3 2 7 2 2" xfId="38586"/>
    <cellStyle name="표준 14 3 2 7 3" xfId="29848"/>
    <cellStyle name="표준 14 3 2 8" xfId="9530"/>
    <cellStyle name="표준 14 3 2 8 2" xfId="18528"/>
    <cellStyle name="표준 14 3 2 8 2 2" xfId="39404"/>
    <cellStyle name="표준 14 3 2 8 3" xfId="30666"/>
    <cellStyle name="표준 14 3 2 9" xfId="10585"/>
    <cellStyle name="표준 14 3 2 9 2" xfId="19356"/>
    <cellStyle name="표준 14 3 2 9 2 2" xfId="40232"/>
    <cellStyle name="표준 14 3 2 9 3" xfId="31496"/>
    <cellStyle name="표준 14 3 3" xfId="3364"/>
    <cellStyle name="표준 14 3 3 10" xfId="12827"/>
    <cellStyle name="표준 14 3 3 10 2" xfId="33704"/>
    <cellStyle name="표준 14 3 3 11" xfId="24954"/>
    <cellStyle name="표준 14 3 3 2" xfId="4957"/>
    <cellStyle name="표준 14 3 3 2 2" xfId="6784"/>
    <cellStyle name="표준 14 3 3 2 2 2" xfId="15793"/>
    <cellStyle name="표준 14 3 3 2 2 2 2" xfId="36669"/>
    <cellStyle name="표준 14 3 3 2 2 3" xfId="27931"/>
    <cellStyle name="표준 14 3 3 2 3" xfId="13975"/>
    <cellStyle name="표준 14 3 3 2 3 2" xfId="34851"/>
    <cellStyle name="표준 14 3 3 2 4" xfId="26113"/>
    <cellStyle name="표준 14 3 3 3" xfId="5637"/>
    <cellStyle name="표준 14 3 3 3 2" xfId="14646"/>
    <cellStyle name="표준 14 3 3 3 2 2" xfId="35522"/>
    <cellStyle name="표준 14 3 3 3 3" xfId="26784"/>
    <cellStyle name="표준 14 3 3 4" xfId="7430"/>
    <cellStyle name="표준 14 3 3 4 2" xfId="16437"/>
    <cellStyle name="표준 14 3 3 4 2 2" xfId="37313"/>
    <cellStyle name="표준 14 3 3 4 3" xfId="28575"/>
    <cellStyle name="표준 14 3 3 5" xfId="8074"/>
    <cellStyle name="표준 14 3 3 5 2" xfId="17080"/>
    <cellStyle name="표준 14 3 3 5 2 2" xfId="37956"/>
    <cellStyle name="표준 14 3 3 5 3" xfId="29218"/>
    <cellStyle name="표준 14 3 3 6" xfId="8922"/>
    <cellStyle name="표준 14 3 3 6 2" xfId="17927"/>
    <cellStyle name="표준 14 3 3 6 2 2" xfId="38803"/>
    <cellStyle name="표준 14 3 3 6 3" xfId="30065"/>
    <cellStyle name="표준 14 3 3 7" xfId="9747"/>
    <cellStyle name="표준 14 3 3 7 2" xfId="18745"/>
    <cellStyle name="표준 14 3 3 7 2 2" xfId="39621"/>
    <cellStyle name="표준 14 3 3 7 3" xfId="30883"/>
    <cellStyle name="표준 14 3 3 8" xfId="10802"/>
    <cellStyle name="표준 14 3 3 8 2" xfId="19573"/>
    <cellStyle name="표준 14 3 3 8 2 2" xfId="40449"/>
    <cellStyle name="표준 14 3 3 8 3" xfId="31713"/>
    <cellStyle name="표준 14 3 3 9" xfId="11668"/>
    <cellStyle name="표준 14 3 3 9 2" xfId="20434"/>
    <cellStyle name="표준 14 3 3 9 2 2" xfId="41310"/>
    <cellStyle name="표준 14 3 3 9 3" xfId="32574"/>
    <cellStyle name="표준 14 3 4" xfId="4523"/>
    <cellStyle name="표준 14 3 4 2" xfId="6357"/>
    <cellStyle name="표준 14 3 4 2 2" xfId="15366"/>
    <cellStyle name="표준 14 3 4 2 2 2" xfId="36242"/>
    <cellStyle name="표준 14 3 4 2 3" xfId="27504"/>
    <cellStyle name="표준 14 3 4 3" xfId="11020"/>
    <cellStyle name="표준 14 3 4 3 2" xfId="19790"/>
    <cellStyle name="표준 14 3 4 3 2 2" xfId="40666"/>
    <cellStyle name="표준 14 3 4 3 3" xfId="31930"/>
    <cellStyle name="표준 14 3 4 4" xfId="11885"/>
    <cellStyle name="표준 14 3 4 4 2" xfId="20651"/>
    <cellStyle name="표준 14 3 4 4 2 2" xfId="41527"/>
    <cellStyle name="표준 14 3 4 4 3" xfId="32791"/>
    <cellStyle name="표준 14 3 4 5" xfId="13548"/>
    <cellStyle name="표준 14 3 4 5 2" xfId="34424"/>
    <cellStyle name="표준 14 3 4 6" xfId="25686"/>
    <cellStyle name="표준 14 3 5" xfId="5200"/>
    <cellStyle name="표준 14 3 5 2" xfId="14209"/>
    <cellStyle name="표준 14 3 5 2 2" xfId="35085"/>
    <cellStyle name="표준 14 3 5 3" xfId="26347"/>
    <cellStyle name="표준 14 3 6" xfId="7002"/>
    <cellStyle name="표준 14 3 6 2" xfId="16010"/>
    <cellStyle name="표준 14 3 6 2 2" xfId="36886"/>
    <cellStyle name="표준 14 3 6 3" xfId="28148"/>
    <cellStyle name="표준 14 3 7" xfId="7647"/>
    <cellStyle name="표준 14 3 7 2" xfId="16653"/>
    <cellStyle name="표준 14 3 7 2 2" xfId="37529"/>
    <cellStyle name="표준 14 3 7 3" xfId="28791"/>
    <cellStyle name="표준 14 3 8" xfId="8495"/>
    <cellStyle name="표준 14 3 8 2" xfId="17500"/>
    <cellStyle name="표준 14 3 8 2 2" xfId="38376"/>
    <cellStyle name="표준 14 3 8 3" xfId="29638"/>
    <cellStyle name="표준 14 3 9" xfId="9319"/>
    <cellStyle name="표준 14 3 9 2" xfId="18318"/>
    <cellStyle name="표준 14 3 9 2 2" xfId="39194"/>
    <cellStyle name="표준 14 3 9 3" xfId="30456"/>
    <cellStyle name="표준 14 4" xfId="2915"/>
    <cellStyle name="표준 14 4 10" xfId="10376"/>
    <cellStyle name="표준 14 4 10 2" xfId="19147"/>
    <cellStyle name="표준 14 4 10 2 2" xfId="40023"/>
    <cellStyle name="표준 14 4 10 3" xfId="31287"/>
    <cellStyle name="표준 14 4 11" xfId="11242"/>
    <cellStyle name="표준 14 4 11 2" xfId="20008"/>
    <cellStyle name="표준 14 4 11 2 2" xfId="40884"/>
    <cellStyle name="표준 14 4 11 3" xfId="32148"/>
    <cellStyle name="표준 14 4 12" xfId="12390"/>
    <cellStyle name="표준 14 4 12 2" xfId="33268"/>
    <cellStyle name="표준 14 4 13" xfId="24518"/>
    <cellStyle name="표준 14 4 2" xfId="3133"/>
    <cellStyle name="표준 14 4 2 10" xfId="11452"/>
    <cellStyle name="표준 14 4 2 10 2" xfId="20218"/>
    <cellStyle name="표준 14 4 2 10 2 2" xfId="41094"/>
    <cellStyle name="표준 14 4 2 10 3" xfId="32358"/>
    <cellStyle name="표준 14 4 2 11" xfId="12601"/>
    <cellStyle name="표준 14 4 2 11 2" xfId="33478"/>
    <cellStyle name="표준 14 4 2 12" xfId="24728"/>
    <cellStyle name="표준 14 4 2 2" xfId="3575"/>
    <cellStyle name="표준 14 4 2 2 2" xfId="5848"/>
    <cellStyle name="표준 14 4 2 2 2 2" xfId="14857"/>
    <cellStyle name="표준 14 4 2 2 2 2 2" xfId="35733"/>
    <cellStyle name="표준 14 4 2 2 2 3" xfId="26995"/>
    <cellStyle name="표준 14 4 2 2 3" xfId="13038"/>
    <cellStyle name="표준 14 4 2 2 3 2" xfId="33915"/>
    <cellStyle name="표준 14 4 2 2 4" xfId="25165"/>
    <cellStyle name="표준 14 4 2 3" xfId="4736"/>
    <cellStyle name="표준 14 4 2 3 2" xfId="6568"/>
    <cellStyle name="표준 14 4 2 3 2 2" xfId="15577"/>
    <cellStyle name="표준 14 4 2 3 2 2 2" xfId="36453"/>
    <cellStyle name="표준 14 4 2 3 2 3" xfId="27715"/>
    <cellStyle name="표준 14 4 2 3 3" xfId="13759"/>
    <cellStyle name="표준 14 4 2 3 3 2" xfId="34635"/>
    <cellStyle name="표준 14 4 2 3 4" xfId="25897"/>
    <cellStyle name="표준 14 4 2 4" xfId="5411"/>
    <cellStyle name="표준 14 4 2 4 2" xfId="14420"/>
    <cellStyle name="표준 14 4 2 4 2 2" xfId="35296"/>
    <cellStyle name="표준 14 4 2 4 3" xfId="26558"/>
    <cellStyle name="표준 14 4 2 5" xfId="7214"/>
    <cellStyle name="표준 14 4 2 5 2" xfId="16221"/>
    <cellStyle name="표준 14 4 2 5 2 2" xfId="37097"/>
    <cellStyle name="표준 14 4 2 5 3" xfId="28359"/>
    <cellStyle name="표준 14 4 2 6" xfId="7858"/>
    <cellStyle name="표준 14 4 2 6 2" xfId="16864"/>
    <cellStyle name="표준 14 4 2 6 2 2" xfId="37740"/>
    <cellStyle name="표준 14 4 2 6 3" xfId="29002"/>
    <cellStyle name="표준 14 4 2 7" xfId="8706"/>
    <cellStyle name="표준 14 4 2 7 2" xfId="17711"/>
    <cellStyle name="표준 14 4 2 7 2 2" xfId="38587"/>
    <cellStyle name="표준 14 4 2 7 3" xfId="29849"/>
    <cellStyle name="표준 14 4 2 8" xfId="9531"/>
    <cellStyle name="표준 14 4 2 8 2" xfId="18529"/>
    <cellStyle name="표준 14 4 2 8 2 2" xfId="39405"/>
    <cellStyle name="표준 14 4 2 8 3" xfId="30667"/>
    <cellStyle name="표준 14 4 2 9" xfId="10586"/>
    <cellStyle name="표준 14 4 2 9 2" xfId="19357"/>
    <cellStyle name="표준 14 4 2 9 2 2" xfId="40233"/>
    <cellStyle name="표준 14 4 2 9 3" xfId="31497"/>
    <cellStyle name="표준 14 4 3" xfId="3365"/>
    <cellStyle name="표준 14 4 3 10" xfId="12828"/>
    <cellStyle name="표준 14 4 3 10 2" xfId="33705"/>
    <cellStyle name="표준 14 4 3 11" xfId="24955"/>
    <cellStyle name="표준 14 4 3 2" xfId="4958"/>
    <cellStyle name="표준 14 4 3 2 2" xfId="6785"/>
    <cellStyle name="표준 14 4 3 2 2 2" xfId="15794"/>
    <cellStyle name="표준 14 4 3 2 2 2 2" xfId="36670"/>
    <cellStyle name="표준 14 4 3 2 2 3" xfId="27932"/>
    <cellStyle name="표준 14 4 3 2 3" xfId="13976"/>
    <cellStyle name="표준 14 4 3 2 3 2" xfId="34852"/>
    <cellStyle name="표준 14 4 3 2 4" xfId="26114"/>
    <cellStyle name="표준 14 4 3 3" xfId="5638"/>
    <cellStyle name="표준 14 4 3 3 2" xfId="14647"/>
    <cellStyle name="표준 14 4 3 3 2 2" xfId="35523"/>
    <cellStyle name="표준 14 4 3 3 3" xfId="26785"/>
    <cellStyle name="표준 14 4 3 4" xfId="7431"/>
    <cellStyle name="표준 14 4 3 4 2" xfId="16438"/>
    <cellStyle name="표준 14 4 3 4 2 2" xfId="37314"/>
    <cellStyle name="표준 14 4 3 4 3" xfId="28576"/>
    <cellStyle name="표준 14 4 3 5" xfId="8075"/>
    <cellStyle name="표준 14 4 3 5 2" xfId="17081"/>
    <cellStyle name="표준 14 4 3 5 2 2" xfId="37957"/>
    <cellStyle name="표준 14 4 3 5 3" xfId="29219"/>
    <cellStyle name="표준 14 4 3 6" xfId="8923"/>
    <cellStyle name="표준 14 4 3 6 2" xfId="17928"/>
    <cellStyle name="표준 14 4 3 6 2 2" xfId="38804"/>
    <cellStyle name="표준 14 4 3 6 3" xfId="30066"/>
    <cellStyle name="표준 14 4 3 7" xfId="9748"/>
    <cellStyle name="표준 14 4 3 7 2" xfId="18746"/>
    <cellStyle name="표준 14 4 3 7 2 2" xfId="39622"/>
    <cellStyle name="표준 14 4 3 7 3" xfId="30884"/>
    <cellStyle name="표준 14 4 3 8" xfId="10803"/>
    <cellStyle name="표준 14 4 3 8 2" xfId="19574"/>
    <cellStyle name="표준 14 4 3 8 2 2" xfId="40450"/>
    <cellStyle name="표준 14 4 3 8 3" xfId="31714"/>
    <cellStyle name="표준 14 4 3 9" xfId="11669"/>
    <cellStyle name="표준 14 4 3 9 2" xfId="20435"/>
    <cellStyle name="표준 14 4 3 9 2 2" xfId="41311"/>
    <cellStyle name="표준 14 4 3 9 3" xfId="32575"/>
    <cellStyle name="표준 14 4 4" xfId="4524"/>
    <cellStyle name="표준 14 4 4 2" xfId="6358"/>
    <cellStyle name="표준 14 4 4 2 2" xfId="15367"/>
    <cellStyle name="표준 14 4 4 2 2 2" xfId="36243"/>
    <cellStyle name="표준 14 4 4 2 3" xfId="27505"/>
    <cellStyle name="표준 14 4 4 3" xfId="11021"/>
    <cellStyle name="표준 14 4 4 3 2" xfId="19791"/>
    <cellStyle name="표준 14 4 4 3 2 2" xfId="40667"/>
    <cellStyle name="표준 14 4 4 3 3" xfId="31931"/>
    <cellStyle name="표준 14 4 4 4" xfId="11886"/>
    <cellStyle name="표준 14 4 4 4 2" xfId="20652"/>
    <cellStyle name="표준 14 4 4 4 2 2" xfId="41528"/>
    <cellStyle name="표준 14 4 4 4 3" xfId="32792"/>
    <cellStyle name="표준 14 4 4 5" xfId="13549"/>
    <cellStyle name="표준 14 4 4 5 2" xfId="34425"/>
    <cellStyle name="표준 14 4 4 6" xfId="25687"/>
    <cellStyle name="표준 14 4 5" xfId="5201"/>
    <cellStyle name="표준 14 4 5 2" xfId="14210"/>
    <cellStyle name="표준 14 4 5 2 2" xfId="35086"/>
    <cellStyle name="표준 14 4 5 3" xfId="26348"/>
    <cellStyle name="표준 14 4 6" xfId="7003"/>
    <cellStyle name="표준 14 4 6 2" xfId="16011"/>
    <cellStyle name="표준 14 4 6 2 2" xfId="36887"/>
    <cellStyle name="표준 14 4 6 3" xfId="28149"/>
    <cellStyle name="표준 14 4 7" xfId="7648"/>
    <cellStyle name="표준 14 4 7 2" xfId="16654"/>
    <cellStyle name="표준 14 4 7 2 2" xfId="37530"/>
    <cellStyle name="표준 14 4 7 3" xfId="28792"/>
    <cellStyle name="표준 14 4 8" xfId="8496"/>
    <cellStyle name="표준 14 4 8 2" xfId="17501"/>
    <cellStyle name="표준 14 4 8 2 2" xfId="38377"/>
    <cellStyle name="표준 14 4 8 3" xfId="29639"/>
    <cellStyle name="표준 14 4 9" xfId="9320"/>
    <cellStyle name="표준 14 4 9 2" xfId="18319"/>
    <cellStyle name="표준 14 4 9 2 2" xfId="39195"/>
    <cellStyle name="표준 14 4 9 3" xfId="30457"/>
    <cellStyle name="표준 14 5" xfId="2916"/>
    <cellStyle name="표준 14 5 10" xfId="10377"/>
    <cellStyle name="표준 14 5 10 2" xfId="19148"/>
    <cellStyle name="표준 14 5 10 2 2" xfId="40024"/>
    <cellStyle name="표준 14 5 10 3" xfId="31288"/>
    <cellStyle name="표준 14 5 11" xfId="11243"/>
    <cellStyle name="표준 14 5 11 2" xfId="20009"/>
    <cellStyle name="표준 14 5 11 2 2" xfId="40885"/>
    <cellStyle name="표준 14 5 11 3" xfId="32149"/>
    <cellStyle name="표준 14 5 12" xfId="12391"/>
    <cellStyle name="표준 14 5 12 2" xfId="33269"/>
    <cellStyle name="표준 14 5 13" xfId="24519"/>
    <cellStyle name="표준 14 5 2" xfId="3134"/>
    <cellStyle name="표준 14 5 2 10" xfId="11453"/>
    <cellStyle name="표준 14 5 2 10 2" xfId="20219"/>
    <cellStyle name="표준 14 5 2 10 2 2" xfId="41095"/>
    <cellStyle name="표준 14 5 2 10 3" xfId="32359"/>
    <cellStyle name="표준 14 5 2 11" xfId="12602"/>
    <cellStyle name="표준 14 5 2 11 2" xfId="33479"/>
    <cellStyle name="표준 14 5 2 12" xfId="24729"/>
    <cellStyle name="표준 14 5 2 2" xfId="3576"/>
    <cellStyle name="표준 14 5 2 2 2" xfId="5849"/>
    <cellStyle name="표준 14 5 2 2 2 2" xfId="14858"/>
    <cellStyle name="표준 14 5 2 2 2 2 2" xfId="35734"/>
    <cellStyle name="표준 14 5 2 2 2 3" xfId="26996"/>
    <cellStyle name="표준 14 5 2 2 3" xfId="13039"/>
    <cellStyle name="표준 14 5 2 2 3 2" xfId="33916"/>
    <cellStyle name="표준 14 5 2 2 4" xfId="25166"/>
    <cellStyle name="표준 14 5 2 3" xfId="4737"/>
    <cellStyle name="표준 14 5 2 3 2" xfId="6569"/>
    <cellStyle name="표준 14 5 2 3 2 2" xfId="15578"/>
    <cellStyle name="표준 14 5 2 3 2 2 2" xfId="36454"/>
    <cellStyle name="표준 14 5 2 3 2 3" xfId="27716"/>
    <cellStyle name="표준 14 5 2 3 3" xfId="13760"/>
    <cellStyle name="표준 14 5 2 3 3 2" xfId="34636"/>
    <cellStyle name="표준 14 5 2 3 4" xfId="25898"/>
    <cellStyle name="표준 14 5 2 4" xfId="5412"/>
    <cellStyle name="표준 14 5 2 4 2" xfId="14421"/>
    <cellStyle name="표준 14 5 2 4 2 2" xfId="35297"/>
    <cellStyle name="표준 14 5 2 4 3" xfId="26559"/>
    <cellStyle name="표준 14 5 2 5" xfId="7215"/>
    <cellStyle name="표준 14 5 2 5 2" xfId="16222"/>
    <cellStyle name="표준 14 5 2 5 2 2" xfId="37098"/>
    <cellStyle name="표준 14 5 2 5 3" xfId="28360"/>
    <cellStyle name="표준 14 5 2 6" xfId="7859"/>
    <cellStyle name="표준 14 5 2 6 2" xfId="16865"/>
    <cellStyle name="표준 14 5 2 6 2 2" xfId="37741"/>
    <cellStyle name="표준 14 5 2 6 3" xfId="29003"/>
    <cellStyle name="표준 14 5 2 7" xfId="8707"/>
    <cellStyle name="표준 14 5 2 7 2" xfId="17712"/>
    <cellStyle name="표준 14 5 2 7 2 2" xfId="38588"/>
    <cellStyle name="표준 14 5 2 7 3" xfId="29850"/>
    <cellStyle name="표준 14 5 2 8" xfId="9532"/>
    <cellStyle name="표준 14 5 2 8 2" xfId="18530"/>
    <cellStyle name="표준 14 5 2 8 2 2" xfId="39406"/>
    <cellStyle name="표준 14 5 2 8 3" xfId="30668"/>
    <cellStyle name="표준 14 5 2 9" xfId="10587"/>
    <cellStyle name="표준 14 5 2 9 2" xfId="19358"/>
    <cellStyle name="표준 14 5 2 9 2 2" xfId="40234"/>
    <cellStyle name="표준 14 5 2 9 3" xfId="31498"/>
    <cellStyle name="표준 14 5 3" xfId="3366"/>
    <cellStyle name="표준 14 5 3 10" xfId="12829"/>
    <cellStyle name="표준 14 5 3 10 2" xfId="33706"/>
    <cellStyle name="표준 14 5 3 11" xfId="24956"/>
    <cellStyle name="표준 14 5 3 2" xfId="4959"/>
    <cellStyle name="표준 14 5 3 2 2" xfId="6786"/>
    <cellStyle name="표준 14 5 3 2 2 2" xfId="15795"/>
    <cellStyle name="표준 14 5 3 2 2 2 2" xfId="36671"/>
    <cellStyle name="표준 14 5 3 2 2 3" xfId="27933"/>
    <cellStyle name="표준 14 5 3 2 3" xfId="13977"/>
    <cellStyle name="표준 14 5 3 2 3 2" xfId="34853"/>
    <cellStyle name="표준 14 5 3 2 4" xfId="26115"/>
    <cellStyle name="표준 14 5 3 3" xfId="5639"/>
    <cellStyle name="표준 14 5 3 3 2" xfId="14648"/>
    <cellStyle name="표준 14 5 3 3 2 2" xfId="35524"/>
    <cellStyle name="표준 14 5 3 3 3" xfId="26786"/>
    <cellStyle name="표준 14 5 3 4" xfId="7432"/>
    <cellStyle name="표준 14 5 3 4 2" xfId="16439"/>
    <cellStyle name="표준 14 5 3 4 2 2" xfId="37315"/>
    <cellStyle name="표준 14 5 3 4 3" xfId="28577"/>
    <cellStyle name="표준 14 5 3 5" xfId="8076"/>
    <cellStyle name="표준 14 5 3 5 2" xfId="17082"/>
    <cellStyle name="표준 14 5 3 5 2 2" xfId="37958"/>
    <cellStyle name="표준 14 5 3 5 3" xfId="29220"/>
    <cellStyle name="표준 14 5 3 6" xfId="8924"/>
    <cellStyle name="표준 14 5 3 6 2" xfId="17929"/>
    <cellStyle name="표준 14 5 3 6 2 2" xfId="38805"/>
    <cellStyle name="표준 14 5 3 6 3" xfId="30067"/>
    <cellStyle name="표준 14 5 3 7" xfId="9749"/>
    <cellStyle name="표준 14 5 3 7 2" xfId="18747"/>
    <cellStyle name="표준 14 5 3 7 2 2" xfId="39623"/>
    <cellStyle name="표준 14 5 3 7 3" xfId="30885"/>
    <cellStyle name="표준 14 5 3 8" xfId="10804"/>
    <cellStyle name="표준 14 5 3 8 2" xfId="19575"/>
    <cellStyle name="표준 14 5 3 8 2 2" xfId="40451"/>
    <cellStyle name="표준 14 5 3 8 3" xfId="31715"/>
    <cellStyle name="표준 14 5 3 9" xfId="11670"/>
    <cellStyle name="표준 14 5 3 9 2" xfId="20436"/>
    <cellStyle name="표준 14 5 3 9 2 2" xfId="41312"/>
    <cellStyle name="표준 14 5 3 9 3" xfId="32576"/>
    <cellStyle name="표준 14 5 4" xfId="4525"/>
    <cellStyle name="표준 14 5 4 2" xfId="6359"/>
    <cellStyle name="표준 14 5 4 2 2" xfId="15368"/>
    <cellStyle name="표준 14 5 4 2 2 2" xfId="36244"/>
    <cellStyle name="표준 14 5 4 2 3" xfId="27506"/>
    <cellStyle name="표준 14 5 4 3" xfId="11022"/>
    <cellStyle name="표준 14 5 4 3 2" xfId="19792"/>
    <cellStyle name="표준 14 5 4 3 2 2" xfId="40668"/>
    <cellStyle name="표준 14 5 4 3 3" xfId="31932"/>
    <cellStyle name="표준 14 5 4 4" xfId="11887"/>
    <cellStyle name="표준 14 5 4 4 2" xfId="20653"/>
    <cellStyle name="표준 14 5 4 4 2 2" xfId="41529"/>
    <cellStyle name="표준 14 5 4 4 3" xfId="32793"/>
    <cellStyle name="표준 14 5 4 5" xfId="13550"/>
    <cellStyle name="표준 14 5 4 5 2" xfId="34426"/>
    <cellStyle name="표준 14 5 4 6" xfId="25688"/>
    <cellStyle name="표준 14 5 5" xfId="5202"/>
    <cellStyle name="표준 14 5 5 2" xfId="14211"/>
    <cellStyle name="표준 14 5 5 2 2" xfId="35087"/>
    <cellStyle name="표준 14 5 5 3" xfId="26349"/>
    <cellStyle name="표준 14 5 6" xfId="7004"/>
    <cellStyle name="표준 14 5 6 2" xfId="16012"/>
    <cellStyle name="표준 14 5 6 2 2" xfId="36888"/>
    <cellStyle name="표준 14 5 6 3" xfId="28150"/>
    <cellStyle name="표준 14 5 7" xfId="7649"/>
    <cellStyle name="표준 14 5 7 2" xfId="16655"/>
    <cellStyle name="표준 14 5 7 2 2" xfId="37531"/>
    <cellStyle name="표준 14 5 7 3" xfId="28793"/>
    <cellStyle name="표준 14 5 8" xfId="8497"/>
    <cellStyle name="표준 14 5 8 2" xfId="17502"/>
    <cellStyle name="표준 14 5 8 2 2" xfId="38378"/>
    <cellStyle name="표준 14 5 8 3" xfId="29640"/>
    <cellStyle name="표준 14 5 9" xfId="9321"/>
    <cellStyle name="표준 14 5 9 2" xfId="18320"/>
    <cellStyle name="표준 14 5 9 2 2" xfId="39196"/>
    <cellStyle name="표준 14 5 9 3" xfId="30458"/>
    <cellStyle name="표준 14 6" xfId="2917"/>
    <cellStyle name="표준 14 6 10" xfId="10378"/>
    <cellStyle name="표준 14 6 10 2" xfId="19149"/>
    <cellStyle name="표준 14 6 10 2 2" xfId="40025"/>
    <cellStyle name="표준 14 6 10 3" xfId="31289"/>
    <cellStyle name="표준 14 6 11" xfId="11244"/>
    <cellStyle name="표준 14 6 11 2" xfId="20010"/>
    <cellStyle name="표준 14 6 11 2 2" xfId="40886"/>
    <cellStyle name="표준 14 6 11 3" xfId="32150"/>
    <cellStyle name="표준 14 6 12" xfId="12392"/>
    <cellStyle name="표준 14 6 12 2" xfId="33270"/>
    <cellStyle name="표준 14 6 13" xfId="24520"/>
    <cellStyle name="표준 14 6 2" xfId="3135"/>
    <cellStyle name="표준 14 6 2 10" xfId="11454"/>
    <cellStyle name="표준 14 6 2 10 2" xfId="20220"/>
    <cellStyle name="표준 14 6 2 10 2 2" xfId="41096"/>
    <cellStyle name="표준 14 6 2 10 3" xfId="32360"/>
    <cellStyle name="표준 14 6 2 11" xfId="12603"/>
    <cellStyle name="표준 14 6 2 11 2" xfId="33480"/>
    <cellStyle name="표준 14 6 2 12" xfId="24730"/>
    <cellStyle name="표준 14 6 2 2" xfId="3577"/>
    <cellStyle name="표준 14 6 2 2 2" xfId="5850"/>
    <cellStyle name="표준 14 6 2 2 2 2" xfId="14859"/>
    <cellStyle name="표준 14 6 2 2 2 2 2" xfId="35735"/>
    <cellStyle name="표준 14 6 2 2 2 3" xfId="26997"/>
    <cellStyle name="표준 14 6 2 2 3" xfId="13040"/>
    <cellStyle name="표준 14 6 2 2 3 2" xfId="33917"/>
    <cellStyle name="표준 14 6 2 2 4" xfId="25167"/>
    <cellStyle name="표준 14 6 2 3" xfId="4738"/>
    <cellStyle name="표준 14 6 2 3 2" xfId="6570"/>
    <cellStyle name="표준 14 6 2 3 2 2" xfId="15579"/>
    <cellStyle name="표준 14 6 2 3 2 2 2" xfId="36455"/>
    <cellStyle name="표준 14 6 2 3 2 3" xfId="27717"/>
    <cellStyle name="표준 14 6 2 3 3" xfId="13761"/>
    <cellStyle name="표준 14 6 2 3 3 2" xfId="34637"/>
    <cellStyle name="표준 14 6 2 3 4" xfId="25899"/>
    <cellStyle name="표준 14 6 2 4" xfId="5413"/>
    <cellStyle name="표준 14 6 2 4 2" xfId="14422"/>
    <cellStyle name="표준 14 6 2 4 2 2" xfId="35298"/>
    <cellStyle name="표준 14 6 2 4 3" xfId="26560"/>
    <cellStyle name="표준 14 6 2 5" xfId="7216"/>
    <cellStyle name="표준 14 6 2 5 2" xfId="16223"/>
    <cellStyle name="표준 14 6 2 5 2 2" xfId="37099"/>
    <cellStyle name="표준 14 6 2 5 3" xfId="28361"/>
    <cellStyle name="표준 14 6 2 6" xfId="7860"/>
    <cellStyle name="표준 14 6 2 6 2" xfId="16866"/>
    <cellStyle name="표준 14 6 2 6 2 2" xfId="37742"/>
    <cellStyle name="표준 14 6 2 6 3" xfId="29004"/>
    <cellStyle name="표준 14 6 2 7" xfId="8708"/>
    <cellStyle name="표준 14 6 2 7 2" xfId="17713"/>
    <cellStyle name="표준 14 6 2 7 2 2" xfId="38589"/>
    <cellStyle name="표준 14 6 2 7 3" xfId="29851"/>
    <cellStyle name="표준 14 6 2 8" xfId="9533"/>
    <cellStyle name="표준 14 6 2 8 2" xfId="18531"/>
    <cellStyle name="표준 14 6 2 8 2 2" xfId="39407"/>
    <cellStyle name="표준 14 6 2 8 3" xfId="30669"/>
    <cellStyle name="표준 14 6 2 9" xfId="10588"/>
    <cellStyle name="표준 14 6 2 9 2" xfId="19359"/>
    <cellStyle name="표준 14 6 2 9 2 2" xfId="40235"/>
    <cellStyle name="표준 14 6 2 9 3" xfId="31499"/>
    <cellStyle name="표준 14 6 3" xfId="3367"/>
    <cellStyle name="표준 14 6 3 10" xfId="12830"/>
    <cellStyle name="표준 14 6 3 10 2" xfId="33707"/>
    <cellStyle name="표준 14 6 3 11" xfId="24957"/>
    <cellStyle name="표준 14 6 3 2" xfId="4960"/>
    <cellStyle name="표준 14 6 3 2 2" xfId="6787"/>
    <cellStyle name="표준 14 6 3 2 2 2" xfId="15796"/>
    <cellStyle name="표준 14 6 3 2 2 2 2" xfId="36672"/>
    <cellStyle name="표준 14 6 3 2 2 3" xfId="27934"/>
    <cellStyle name="표준 14 6 3 2 3" xfId="13978"/>
    <cellStyle name="표준 14 6 3 2 3 2" xfId="34854"/>
    <cellStyle name="표준 14 6 3 2 4" xfId="26116"/>
    <cellStyle name="표준 14 6 3 3" xfId="5640"/>
    <cellStyle name="표준 14 6 3 3 2" xfId="14649"/>
    <cellStyle name="표준 14 6 3 3 2 2" xfId="35525"/>
    <cellStyle name="표준 14 6 3 3 3" xfId="26787"/>
    <cellStyle name="표준 14 6 3 4" xfId="7433"/>
    <cellStyle name="표준 14 6 3 4 2" xfId="16440"/>
    <cellStyle name="표준 14 6 3 4 2 2" xfId="37316"/>
    <cellStyle name="표준 14 6 3 4 3" xfId="28578"/>
    <cellStyle name="표준 14 6 3 5" xfId="8077"/>
    <cellStyle name="표준 14 6 3 5 2" xfId="17083"/>
    <cellStyle name="표준 14 6 3 5 2 2" xfId="37959"/>
    <cellStyle name="표준 14 6 3 5 3" xfId="29221"/>
    <cellStyle name="표준 14 6 3 6" xfId="8925"/>
    <cellStyle name="표준 14 6 3 6 2" xfId="17930"/>
    <cellStyle name="표준 14 6 3 6 2 2" xfId="38806"/>
    <cellStyle name="표준 14 6 3 6 3" xfId="30068"/>
    <cellStyle name="표준 14 6 3 7" xfId="9750"/>
    <cellStyle name="표준 14 6 3 7 2" xfId="18748"/>
    <cellStyle name="표준 14 6 3 7 2 2" xfId="39624"/>
    <cellStyle name="표준 14 6 3 7 3" xfId="30886"/>
    <cellStyle name="표준 14 6 3 8" xfId="10805"/>
    <cellStyle name="표준 14 6 3 8 2" xfId="19576"/>
    <cellStyle name="표준 14 6 3 8 2 2" xfId="40452"/>
    <cellStyle name="표준 14 6 3 8 3" xfId="31716"/>
    <cellStyle name="표준 14 6 3 9" xfId="11671"/>
    <cellStyle name="표준 14 6 3 9 2" xfId="20437"/>
    <cellStyle name="표준 14 6 3 9 2 2" xfId="41313"/>
    <cellStyle name="표준 14 6 3 9 3" xfId="32577"/>
    <cellStyle name="표준 14 6 4" xfId="4526"/>
    <cellStyle name="표준 14 6 4 2" xfId="6360"/>
    <cellStyle name="표준 14 6 4 2 2" xfId="15369"/>
    <cellStyle name="표준 14 6 4 2 2 2" xfId="36245"/>
    <cellStyle name="표준 14 6 4 2 3" xfId="27507"/>
    <cellStyle name="표준 14 6 4 3" xfId="11023"/>
    <cellStyle name="표준 14 6 4 3 2" xfId="19793"/>
    <cellStyle name="표준 14 6 4 3 2 2" xfId="40669"/>
    <cellStyle name="표준 14 6 4 3 3" xfId="31933"/>
    <cellStyle name="표준 14 6 4 4" xfId="11888"/>
    <cellStyle name="표준 14 6 4 4 2" xfId="20654"/>
    <cellStyle name="표준 14 6 4 4 2 2" xfId="41530"/>
    <cellStyle name="표준 14 6 4 4 3" xfId="32794"/>
    <cellStyle name="표준 14 6 4 5" xfId="13551"/>
    <cellStyle name="표준 14 6 4 5 2" xfId="34427"/>
    <cellStyle name="표준 14 6 4 6" xfId="25689"/>
    <cellStyle name="표준 14 6 5" xfId="5203"/>
    <cellStyle name="표준 14 6 5 2" xfId="14212"/>
    <cellStyle name="표준 14 6 5 2 2" xfId="35088"/>
    <cellStyle name="표준 14 6 5 3" xfId="26350"/>
    <cellStyle name="표준 14 6 6" xfId="7005"/>
    <cellStyle name="표준 14 6 6 2" xfId="16013"/>
    <cellStyle name="표준 14 6 6 2 2" xfId="36889"/>
    <cellStyle name="표준 14 6 6 3" xfId="28151"/>
    <cellStyle name="표준 14 6 7" xfId="7650"/>
    <cellStyle name="표준 14 6 7 2" xfId="16656"/>
    <cellStyle name="표준 14 6 7 2 2" xfId="37532"/>
    <cellStyle name="표준 14 6 7 3" xfId="28794"/>
    <cellStyle name="표준 14 6 8" xfId="8498"/>
    <cellStyle name="표준 14 6 8 2" xfId="17503"/>
    <cellStyle name="표준 14 6 8 2 2" xfId="38379"/>
    <cellStyle name="표준 14 6 8 3" xfId="29641"/>
    <cellStyle name="표준 14 6 9" xfId="9322"/>
    <cellStyle name="표준 14 6 9 2" xfId="18321"/>
    <cellStyle name="표준 14 6 9 2 2" xfId="39197"/>
    <cellStyle name="표준 14 6 9 3" xfId="30459"/>
    <cellStyle name="표준 14 7" xfId="2918"/>
    <cellStyle name="표준 14 7 10" xfId="10379"/>
    <cellStyle name="표준 14 7 10 2" xfId="19150"/>
    <cellStyle name="표준 14 7 10 2 2" xfId="40026"/>
    <cellStyle name="표준 14 7 10 3" xfId="31290"/>
    <cellStyle name="표준 14 7 11" xfId="11245"/>
    <cellStyle name="표준 14 7 11 2" xfId="20011"/>
    <cellStyle name="표준 14 7 11 2 2" xfId="40887"/>
    <cellStyle name="표준 14 7 11 3" xfId="32151"/>
    <cellStyle name="표준 14 7 12" xfId="12393"/>
    <cellStyle name="표준 14 7 12 2" xfId="33271"/>
    <cellStyle name="표준 14 7 13" xfId="24521"/>
    <cellStyle name="표준 14 7 2" xfId="3136"/>
    <cellStyle name="표준 14 7 2 10" xfId="11455"/>
    <cellStyle name="표준 14 7 2 10 2" xfId="20221"/>
    <cellStyle name="표준 14 7 2 10 2 2" xfId="41097"/>
    <cellStyle name="표준 14 7 2 10 3" xfId="32361"/>
    <cellStyle name="표준 14 7 2 11" xfId="12604"/>
    <cellStyle name="표준 14 7 2 11 2" xfId="33481"/>
    <cellStyle name="표준 14 7 2 12" xfId="24731"/>
    <cellStyle name="표준 14 7 2 2" xfId="3578"/>
    <cellStyle name="표준 14 7 2 2 2" xfId="5851"/>
    <cellStyle name="표준 14 7 2 2 2 2" xfId="14860"/>
    <cellStyle name="표준 14 7 2 2 2 2 2" xfId="35736"/>
    <cellStyle name="표준 14 7 2 2 2 3" xfId="26998"/>
    <cellStyle name="표준 14 7 2 2 3" xfId="13041"/>
    <cellStyle name="표준 14 7 2 2 3 2" xfId="33918"/>
    <cellStyle name="표준 14 7 2 2 4" xfId="25168"/>
    <cellStyle name="표준 14 7 2 3" xfId="4739"/>
    <cellStyle name="표준 14 7 2 3 2" xfId="6571"/>
    <cellStyle name="표준 14 7 2 3 2 2" xfId="15580"/>
    <cellStyle name="표준 14 7 2 3 2 2 2" xfId="36456"/>
    <cellStyle name="표준 14 7 2 3 2 3" xfId="27718"/>
    <cellStyle name="표준 14 7 2 3 3" xfId="13762"/>
    <cellStyle name="표준 14 7 2 3 3 2" xfId="34638"/>
    <cellStyle name="표준 14 7 2 3 4" xfId="25900"/>
    <cellStyle name="표준 14 7 2 4" xfId="5414"/>
    <cellStyle name="표준 14 7 2 4 2" xfId="14423"/>
    <cellStyle name="표준 14 7 2 4 2 2" xfId="35299"/>
    <cellStyle name="표준 14 7 2 4 3" xfId="26561"/>
    <cellStyle name="표준 14 7 2 5" xfId="7217"/>
    <cellStyle name="표준 14 7 2 5 2" xfId="16224"/>
    <cellStyle name="표준 14 7 2 5 2 2" xfId="37100"/>
    <cellStyle name="표준 14 7 2 5 3" xfId="28362"/>
    <cellStyle name="표준 14 7 2 6" xfId="7861"/>
    <cellStyle name="표준 14 7 2 6 2" xfId="16867"/>
    <cellStyle name="표준 14 7 2 6 2 2" xfId="37743"/>
    <cellStyle name="표준 14 7 2 6 3" xfId="29005"/>
    <cellStyle name="표준 14 7 2 7" xfId="8709"/>
    <cellStyle name="표준 14 7 2 7 2" xfId="17714"/>
    <cellStyle name="표준 14 7 2 7 2 2" xfId="38590"/>
    <cellStyle name="표준 14 7 2 7 3" xfId="29852"/>
    <cellStyle name="표준 14 7 2 8" xfId="9534"/>
    <cellStyle name="표준 14 7 2 8 2" xfId="18532"/>
    <cellStyle name="표준 14 7 2 8 2 2" xfId="39408"/>
    <cellStyle name="표준 14 7 2 8 3" xfId="30670"/>
    <cellStyle name="표준 14 7 2 9" xfId="10589"/>
    <cellStyle name="표준 14 7 2 9 2" xfId="19360"/>
    <cellStyle name="표준 14 7 2 9 2 2" xfId="40236"/>
    <cellStyle name="표준 14 7 2 9 3" xfId="31500"/>
    <cellStyle name="표준 14 7 3" xfId="3368"/>
    <cellStyle name="표준 14 7 3 10" xfId="12831"/>
    <cellStyle name="표준 14 7 3 10 2" xfId="33708"/>
    <cellStyle name="표준 14 7 3 11" xfId="24958"/>
    <cellStyle name="표준 14 7 3 2" xfId="4961"/>
    <cellStyle name="표준 14 7 3 2 2" xfId="6788"/>
    <cellStyle name="표준 14 7 3 2 2 2" xfId="15797"/>
    <cellStyle name="표준 14 7 3 2 2 2 2" xfId="36673"/>
    <cellStyle name="표준 14 7 3 2 2 3" xfId="27935"/>
    <cellStyle name="표준 14 7 3 2 3" xfId="13979"/>
    <cellStyle name="표준 14 7 3 2 3 2" xfId="34855"/>
    <cellStyle name="표준 14 7 3 2 4" xfId="26117"/>
    <cellStyle name="표준 14 7 3 3" xfId="5641"/>
    <cellStyle name="표준 14 7 3 3 2" xfId="14650"/>
    <cellStyle name="표준 14 7 3 3 2 2" xfId="35526"/>
    <cellStyle name="표준 14 7 3 3 3" xfId="26788"/>
    <cellStyle name="표준 14 7 3 4" xfId="7434"/>
    <cellStyle name="표준 14 7 3 4 2" xfId="16441"/>
    <cellStyle name="표준 14 7 3 4 2 2" xfId="37317"/>
    <cellStyle name="표준 14 7 3 4 3" xfId="28579"/>
    <cellStyle name="표준 14 7 3 5" xfId="8078"/>
    <cellStyle name="표준 14 7 3 5 2" xfId="17084"/>
    <cellStyle name="표준 14 7 3 5 2 2" xfId="37960"/>
    <cellStyle name="표준 14 7 3 5 3" xfId="29222"/>
    <cellStyle name="표준 14 7 3 6" xfId="8926"/>
    <cellStyle name="표준 14 7 3 6 2" xfId="17931"/>
    <cellStyle name="표준 14 7 3 6 2 2" xfId="38807"/>
    <cellStyle name="표준 14 7 3 6 3" xfId="30069"/>
    <cellStyle name="표준 14 7 3 7" xfId="9751"/>
    <cellStyle name="표준 14 7 3 7 2" xfId="18749"/>
    <cellStyle name="표준 14 7 3 7 2 2" xfId="39625"/>
    <cellStyle name="표준 14 7 3 7 3" xfId="30887"/>
    <cellStyle name="표준 14 7 3 8" xfId="10806"/>
    <cellStyle name="표준 14 7 3 8 2" xfId="19577"/>
    <cellStyle name="표준 14 7 3 8 2 2" xfId="40453"/>
    <cellStyle name="표준 14 7 3 8 3" xfId="31717"/>
    <cellStyle name="표준 14 7 3 9" xfId="11672"/>
    <cellStyle name="표준 14 7 3 9 2" xfId="20438"/>
    <cellStyle name="표준 14 7 3 9 2 2" xfId="41314"/>
    <cellStyle name="표준 14 7 3 9 3" xfId="32578"/>
    <cellStyle name="표준 14 7 4" xfId="4527"/>
    <cellStyle name="표준 14 7 4 2" xfId="6361"/>
    <cellStyle name="표준 14 7 4 2 2" xfId="15370"/>
    <cellStyle name="표준 14 7 4 2 2 2" xfId="36246"/>
    <cellStyle name="표준 14 7 4 2 3" xfId="27508"/>
    <cellStyle name="표준 14 7 4 3" xfId="11024"/>
    <cellStyle name="표준 14 7 4 3 2" xfId="19794"/>
    <cellStyle name="표준 14 7 4 3 2 2" xfId="40670"/>
    <cellStyle name="표준 14 7 4 3 3" xfId="31934"/>
    <cellStyle name="표준 14 7 4 4" xfId="11889"/>
    <cellStyle name="표준 14 7 4 4 2" xfId="20655"/>
    <cellStyle name="표준 14 7 4 4 2 2" xfId="41531"/>
    <cellStyle name="표준 14 7 4 4 3" xfId="32795"/>
    <cellStyle name="표준 14 7 4 5" xfId="13552"/>
    <cellStyle name="표준 14 7 4 5 2" xfId="34428"/>
    <cellStyle name="표준 14 7 4 6" xfId="25690"/>
    <cellStyle name="표준 14 7 5" xfId="5204"/>
    <cellStyle name="표준 14 7 5 2" xfId="14213"/>
    <cellStyle name="표준 14 7 5 2 2" xfId="35089"/>
    <cellStyle name="표준 14 7 5 3" xfId="26351"/>
    <cellStyle name="표준 14 7 6" xfId="7006"/>
    <cellStyle name="표준 14 7 6 2" xfId="16014"/>
    <cellStyle name="표준 14 7 6 2 2" xfId="36890"/>
    <cellStyle name="표준 14 7 6 3" xfId="28152"/>
    <cellStyle name="표준 14 7 7" xfId="7651"/>
    <cellStyle name="표준 14 7 7 2" xfId="16657"/>
    <cellStyle name="표준 14 7 7 2 2" xfId="37533"/>
    <cellStyle name="표준 14 7 7 3" xfId="28795"/>
    <cellStyle name="표준 14 7 8" xfId="8499"/>
    <cellStyle name="표준 14 7 8 2" xfId="17504"/>
    <cellStyle name="표준 14 7 8 2 2" xfId="38380"/>
    <cellStyle name="표준 14 7 8 3" xfId="29642"/>
    <cellStyle name="표준 14 7 9" xfId="9323"/>
    <cellStyle name="표준 14 7 9 2" xfId="18322"/>
    <cellStyle name="표준 14 7 9 2 2" xfId="39198"/>
    <cellStyle name="표준 14 7 9 3" xfId="30460"/>
    <cellStyle name="표준 14 8" xfId="3130"/>
    <cellStyle name="표준 14 8 10" xfId="11449"/>
    <cellStyle name="표준 14 8 10 2" xfId="20215"/>
    <cellStyle name="표준 14 8 10 2 2" xfId="41091"/>
    <cellStyle name="표준 14 8 10 3" xfId="32355"/>
    <cellStyle name="표준 14 8 11" xfId="12598"/>
    <cellStyle name="표준 14 8 11 2" xfId="33475"/>
    <cellStyle name="표준 14 8 12" xfId="24725"/>
    <cellStyle name="표준 14 8 2" xfId="3572"/>
    <cellStyle name="표준 14 8 2 2" xfId="5845"/>
    <cellStyle name="표준 14 8 2 2 2" xfId="14854"/>
    <cellStyle name="표준 14 8 2 2 2 2" xfId="35730"/>
    <cellStyle name="표준 14 8 2 2 3" xfId="26992"/>
    <cellStyle name="표준 14 8 2 3" xfId="13035"/>
    <cellStyle name="표준 14 8 2 3 2" xfId="33912"/>
    <cellStyle name="표준 14 8 2 4" xfId="25162"/>
    <cellStyle name="표준 14 8 3" xfId="4733"/>
    <cellStyle name="표준 14 8 3 2" xfId="6565"/>
    <cellStyle name="표준 14 8 3 2 2" xfId="15574"/>
    <cellStyle name="표준 14 8 3 2 2 2" xfId="36450"/>
    <cellStyle name="표준 14 8 3 2 3" xfId="27712"/>
    <cellStyle name="표준 14 8 3 3" xfId="13756"/>
    <cellStyle name="표준 14 8 3 3 2" xfId="34632"/>
    <cellStyle name="표준 14 8 3 4" xfId="25894"/>
    <cellStyle name="표준 14 8 4" xfId="5408"/>
    <cellStyle name="표준 14 8 4 2" xfId="14417"/>
    <cellStyle name="표준 14 8 4 2 2" xfId="35293"/>
    <cellStyle name="표준 14 8 4 3" xfId="26555"/>
    <cellStyle name="표준 14 8 5" xfId="7211"/>
    <cellStyle name="표준 14 8 5 2" xfId="16218"/>
    <cellStyle name="표준 14 8 5 2 2" xfId="37094"/>
    <cellStyle name="표준 14 8 5 3" xfId="28356"/>
    <cellStyle name="표준 14 8 6" xfId="7855"/>
    <cellStyle name="표준 14 8 6 2" xfId="16861"/>
    <cellStyle name="표준 14 8 6 2 2" xfId="37737"/>
    <cellStyle name="표준 14 8 6 3" xfId="28999"/>
    <cellStyle name="표준 14 8 7" xfId="8703"/>
    <cellStyle name="표준 14 8 7 2" xfId="17708"/>
    <cellStyle name="표준 14 8 7 2 2" xfId="38584"/>
    <cellStyle name="표준 14 8 7 3" xfId="29846"/>
    <cellStyle name="표준 14 8 8" xfId="9528"/>
    <cellStyle name="표준 14 8 8 2" xfId="18526"/>
    <cellStyle name="표준 14 8 8 2 2" xfId="39402"/>
    <cellStyle name="표준 14 8 8 3" xfId="30664"/>
    <cellStyle name="표준 14 8 9" xfId="10583"/>
    <cellStyle name="표준 14 8 9 2" xfId="19354"/>
    <cellStyle name="표준 14 8 9 2 2" xfId="40230"/>
    <cellStyle name="표준 14 8 9 3" xfId="31494"/>
    <cellStyle name="표준 14 9" xfId="3362"/>
    <cellStyle name="표준 14 9 10" xfId="12825"/>
    <cellStyle name="표준 14 9 10 2" xfId="33702"/>
    <cellStyle name="표준 14 9 11" xfId="24952"/>
    <cellStyle name="표준 14 9 2" xfId="4955"/>
    <cellStyle name="표준 14 9 2 2" xfId="6782"/>
    <cellStyle name="표준 14 9 2 2 2" xfId="15791"/>
    <cellStyle name="표준 14 9 2 2 2 2" xfId="36667"/>
    <cellStyle name="표준 14 9 2 2 3" xfId="27929"/>
    <cellStyle name="표준 14 9 2 3" xfId="13973"/>
    <cellStyle name="표준 14 9 2 3 2" xfId="34849"/>
    <cellStyle name="표준 14 9 2 4" xfId="26111"/>
    <cellStyle name="표준 14 9 3" xfId="5635"/>
    <cellStyle name="표준 14 9 3 2" xfId="14644"/>
    <cellStyle name="표준 14 9 3 2 2" xfId="35520"/>
    <cellStyle name="표준 14 9 3 3" xfId="26782"/>
    <cellStyle name="표준 14 9 4" xfId="7428"/>
    <cellStyle name="표준 14 9 4 2" xfId="16435"/>
    <cellStyle name="표준 14 9 4 2 2" xfId="37311"/>
    <cellStyle name="표준 14 9 4 3" xfId="28573"/>
    <cellStyle name="표준 14 9 5" xfId="8072"/>
    <cellStyle name="표준 14 9 5 2" xfId="17078"/>
    <cellStyle name="표준 14 9 5 2 2" xfId="37954"/>
    <cellStyle name="표준 14 9 5 3" xfId="29216"/>
    <cellStyle name="표준 14 9 6" xfId="8920"/>
    <cellStyle name="표준 14 9 6 2" xfId="17925"/>
    <cellStyle name="표준 14 9 6 2 2" xfId="38801"/>
    <cellStyle name="표준 14 9 6 3" xfId="30063"/>
    <cellStyle name="표준 14 9 7" xfId="9745"/>
    <cellStyle name="표준 14 9 7 2" xfId="18743"/>
    <cellStyle name="표준 14 9 7 2 2" xfId="39619"/>
    <cellStyle name="표준 14 9 7 3" xfId="30881"/>
    <cellStyle name="표준 14 9 8" xfId="10800"/>
    <cellStyle name="표준 14 9 8 2" xfId="19571"/>
    <cellStyle name="표준 14 9 8 2 2" xfId="40447"/>
    <cellStyle name="표준 14 9 8 3" xfId="31711"/>
    <cellStyle name="표준 14 9 9" xfId="11666"/>
    <cellStyle name="표준 14 9 9 2" xfId="20432"/>
    <cellStyle name="표준 14 9 9 2 2" xfId="41308"/>
    <cellStyle name="표준 14 9 9 3" xfId="32572"/>
    <cellStyle name="표준 15" xfId="2919"/>
    <cellStyle name="표준 15 10" xfId="4528"/>
    <cellStyle name="표준 15 10 2" xfId="6362"/>
    <cellStyle name="표준 15 10 2 2" xfId="15371"/>
    <cellStyle name="표준 15 10 2 2 2" xfId="36247"/>
    <cellStyle name="표준 15 10 2 3" xfId="27509"/>
    <cellStyle name="표준 15 10 3" xfId="11025"/>
    <cellStyle name="표준 15 10 3 2" xfId="19795"/>
    <cellStyle name="표준 15 10 3 2 2" xfId="40671"/>
    <cellStyle name="표준 15 10 3 3" xfId="31935"/>
    <cellStyle name="표준 15 10 4" xfId="11890"/>
    <cellStyle name="표준 15 10 4 2" xfId="20656"/>
    <cellStyle name="표준 15 10 4 2 2" xfId="41532"/>
    <cellStyle name="표준 15 10 4 3" xfId="32796"/>
    <cellStyle name="표준 15 10 5" xfId="13553"/>
    <cellStyle name="표준 15 10 5 2" xfId="34429"/>
    <cellStyle name="표준 15 10 6" xfId="25691"/>
    <cellStyle name="표준 15 11" xfId="5205"/>
    <cellStyle name="표준 15 11 2" xfId="14214"/>
    <cellStyle name="표준 15 11 2 2" xfId="35090"/>
    <cellStyle name="표준 15 11 3" xfId="26352"/>
    <cellStyle name="표준 15 12" xfId="7007"/>
    <cellStyle name="표준 15 12 2" xfId="16015"/>
    <cellStyle name="표준 15 12 2 2" xfId="36891"/>
    <cellStyle name="표준 15 12 3" xfId="28153"/>
    <cellStyle name="표준 15 13" xfId="7652"/>
    <cellStyle name="표준 15 13 2" xfId="16658"/>
    <cellStyle name="표준 15 13 2 2" xfId="37534"/>
    <cellStyle name="표준 15 13 3" xfId="28796"/>
    <cellStyle name="표준 15 14" xfId="8500"/>
    <cellStyle name="표준 15 14 2" xfId="17505"/>
    <cellStyle name="표준 15 14 2 2" xfId="38381"/>
    <cellStyle name="표준 15 14 3" xfId="29643"/>
    <cellStyle name="표준 15 15" xfId="9324"/>
    <cellStyle name="표준 15 15 2" xfId="18323"/>
    <cellStyle name="표준 15 15 2 2" xfId="39199"/>
    <cellStyle name="표준 15 15 3" xfId="30461"/>
    <cellStyle name="표준 15 16" xfId="9975"/>
    <cellStyle name="표준 15 17" xfId="10380"/>
    <cellStyle name="표준 15 17 2" xfId="19151"/>
    <cellStyle name="표준 15 17 2 2" xfId="40027"/>
    <cellStyle name="표준 15 17 3" xfId="31291"/>
    <cellStyle name="표준 15 18" xfId="11246"/>
    <cellStyle name="표준 15 18 2" xfId="20012"/>
    <cellStyle name="표준 15 18 2 2" xfId="40888"/>
    <cellStyle name="표준 15 18 3" xfId="32152"/>
    <cellStyle name="표준 15 19" xfId="12394"/>
    <cellStyle name="표준 15 19 2" xfId="33272"/>
    <cellStyle name="표준 15 2" xfId="2920"/>
    <cellStyle name="표준 15 2 10" xfId="10381"/>
    <cellStyle name="표준 15 2 10 2" xfId="19152"/>
    <cellStyle name="표준 15 2 10 2 2" xfId="40028"/>
    <cellStyle name="표준 15 2 10 3" xfId="31292"/>
    <cellStyle name="표준 15 2 11" xfId="11247"/>
    <cellStyle name="표준 15 2 11 2" xfId="20013"/>
    <cellStyle name="표준 15 2 11 2 2" xfId="40889"/>
    <cellStyle name="표준 15 2 11 3" xfId="32153"/>
    <cellStyle name="표준 15 2 12" xfId="12395"/>
    <cellStyle name="표준 15 2 12 2" xfId="33273"/>
    <cellStyle name="표준 15 2 13" xfId="24523"/>
    <cellStyle name="표준 15 2 2" xfId="3138"/>
    <cellStyle name="표준 15 2 2 10" xfId="11457"/>
    <cellStyle name="표준 15 2 2 10 2" xfId="20223"/>
    <cellStyle name="표준 15 2 2 10 2 2" xfId="41099"/>
    <cellStyle name="표준 15 2 2 10 3" xfId="32363"/>
    <cellStyle name="표준 15 2 2 11" xfId="12606"/>
    <cellStyle name="표준 15 2 2 11 2" xfId="33483"/>
    <cellStyle name="표준 15 2 2 12" xfId="24733"/>
    <cellStyle name="표준 15 2 2 2" xfId="3580"/>
    <cellStyle name="표준 15 2 2 2 2" xfId="5853"/>
    <cellStyle name="표준 15 2 2 2 2 2" xfId="14862"/>
    <cellStyle name="표준 15 2 2 2 2 2 2" xfId="35738"/>
    <cellStyle name="표준 15 2 2 2 2 3" xfId="27000"/>
    <cellStyle name="표준 15 2 2 2 3" xfId="13043"/>
    <cellStyle name="표준 15 2 2 2 3 2" xfId="33920"/>
    <cellStyle name="표준 15 2 2 2 4" xfId="25170"/>
    <cellStyle name="표준 15 2 2 3" xfId="4741"/>
    <cellStyle name="표준 15 2 2 3 2" xfId="6573"/>
    <cellStyle name="표준 15 2 2 3 2 2" xfId="15582"/>
    <cellStyle name="표준 15 2 2 3 2 2 2" xfId="36458"/>
    <cellStyle name="표준 15 2 2 3 2 3" xfId="27720"/>
    <cellStyle name="표준 15 2 2 3 3" xfId="13764"/>
    <cellStyle name="표준 15 2 2 3 3 2" xfId="34640"/>
    <cellStyle name="표준 15 2 2 3 4" xfId="25902"/>
    <cellStyle name="표준 15 2 2 4" xfId="5416"/>
    <cellStyle name="표준 15 2 2 4 2" xfId="14425"/>
    <cellStyle name="표준 15 2 2 4 2 2" xfId="35301"/>
    <cellStyle name="표준 15 2 2 4 3" xfId="26563"/>
    <cellStyle name="표준 15 2 2 5" xfId="7219"/>
    <cellStyle name="표준 15 2 2 5 2" xfId="16226"/>
    <cellStyle name="표준 15 2 2 5 2 2" xfId="37102"/>
    <cellStyle name="표준 15 2 2 5 3" xfId="28364"/>
    <cellStyle name="표준 15 2 2 6" xfId="7863"/>
    <cellStyle name="표준 15 2 2 6 2" xfId="16869"/>
    <cellStyle name="표준 15 2 2 6 2 2" xfId="37745"/>
    <cellStyle name="표준 15 2 2 6 3" xfId="29007"/>
    <cellStyle name="표준 15 2 2 7" xfId="8711"/>
    <cellStyle name="표준 15 2 2 7 2" xfId="17716"/>
    <cellStyle name="표준 15 2 2 7 2 2" xfId="38592"/>
    <cellStyle name="표준 15 2 2 7 3" xfId="29854"/>
    <cellStyle name="표준 15 2 2 8" xfId="9536"/>
    <cellStyle name="표준 15 2 2 8 2" xfId="18534"/>
    <cellStyle name="표준 15 2 2 8 2 2" xfId="39410"/>
    <cellStyle name="표준 15 2 2 8 3" xfId="30672"/>
    <cellStyle name="표준 15 2 2 9" xfId="10591"/>
    <cellStyle name="표준 15 2 2 9 2" xfId="19362"/>
    <cellStyle name="표준 15 2 2 9 2 2" xfId="40238"/>
    <cellStyle name="표준 15 2 2 9 3" xfId="31502"/>
    <cellStyle name="표준 15 2 3" xfId="3370"/>
    <cellStyle name="표준 15 2 3 10" xfId="12833"/>
    <cellStyle name="표준 15 2 3 10 2" xfId="33710"/>
    <cellStyle name="표준 15 2 3 11" xfId="24960"/>
    <cellStyle name="표준 15 2 3 2" xfId="4963"/>
    <cellStyle name="표준 15 2 3 2 2" xfId="6790"/>
    <cellStyle name="표준 15 2 3 2 2 2" xfId="15799"/>
    <cellStyle name="표준 15 2 3 2 2 2 2" xfId="36675"/>
    <cellStyle name="표준 15 2 3 2 2 3" xfId="27937"/>
    <cellStyle name="표준 15 2 3 2 3" xfId="13981"/>
    <cellStyle name="표준 15 2 3 2 3 2" xfId="34857"/>
    <cellStyle name="표준 15 2 3 2 4" xfId="26119"/>
    <cellStyle name="표준 15 2 3 3" xfId="5643"/>
    <cellStyle name="표준 15 2 3 3 2" xfId="14652"/>
    <cellStyle name="표준 15 2 3 3 2 2" xfId="35528"/>
    <cellStyle name="표준 15 2 3 3 3" xfId="26790"/>
    <cellStyle name="표준 15 2 3 4" xfId="7436"/>
    <cellStyle name="표준 15 2 3 4 2" xfId="16443"/>
    <cellStyle name="표준 15 2 3 4 2 2" xfId="37319"/>
    <cellStyle name="표준 15 2 3 4 3" xfId="28581"/>
    <cellStyle name="표준 15 2 3 5" xfId="8080"/>
    <cellStyle name="표준 15 2 3 5 2" xfId="17086"/>
    <cellStyle name="표준 15 2 3 5 2 2" xfId="37962"/>
    <cellStyle name="표준 15 2 3 5 3" xfId="29224"/>
    <cellStyle name="표준 15 2 3 6" xfId="8928"/>
    <cellStyle name="표준 15 2 3 6 2" xfId="17933"/>
    <cellStyle name="표준 15 2 3 6 2 2" xfId="38809"/>
    <cellStyle name="표준 15 2 3 6 3" xfId="30071"/>
    <cellStyle name="표준 15 2 3 7" xfId="9753"/>
    <cellStyle name="표준 15 2 3 7 2" xfId="18751"/>
    <cellStyle name="표준 15 2 3 7 2 2" xfId="39627"/>
    <cellStyle name="표준 15 2 3 7 3" xfId="30889"/>
    <cellStyle name="표준 15 2 3 8" xfId="10808"/>
    <cellStyle name="표준 15 2 3 8 2" xfId="19579"/>
    <cellStyle name="표준 15 2 3 8 2 2" xfId="40455"/>
    <cellStyle name="표준 15 2 3 8 3" xfId="31719"/>
    <cellStyle name="표준 15 2 3 9" xfId="11674"/>
    <cellStyle name="표준 15 2 3 9 2" xfId="20440"/>
    <cellStyle name="표준 15 2 3 9 2 2" xfId="41316"/>
    <cellStyle name="표준 15 2 3 9 3" xfId="32580"/>
    <cellStyle name="표준 15 2 4" xfId="4529"/>
    <cellStyle name="표준 15 2 4 2" xfId="6363"/>
    <cellStyle name="표준 15 2 4 2 2" xfId="15372"/>
    <cellStyle name="표준 15 2 4 2 2 2" xfId="36248"/>
    <cellStyle name="표준 15 2 4 2 3" xfId="27510"/>
    <cellStyle name="표준 15 2 4 3" xfId="11026"/>
    <cellStyle name="표준 15 2 4 3 2" xfId="19796"/>
    <cellStyle name="표준 15 2 4 3 2 2" xfId="40672"/>
    <cellStyle name="표준 15 2 4 3 3" xfId="31936"/>
    <cellStyle name="표준 15 2 4 4" xfId="11891"/>
    <cellStyle name="표준 15 2 4 4 2" xfId="20657"/>
    <cellStyle name="표준 15 2 4 4 2 2" xfId="41533"/>
    <cellStyle name="표준 15 2 4 4 3" xfId="32797"/>
    <cellStyle name="표준 15 2 4 5" xfId="13554"/>
    <cellStyle name="표준 15 2 4 5 2" xfId="34430"/>
    <cellStyle name="표준 15 2 4 6" xfId="25692"/>
    <cellStyle name="표준 15 2 5" xfId="5206"/>
    <cellStyle name="표준 15 2 5 2" xfId="14215"/>
    <cellStyle name="표준 15 2 5 2 2" xfId="35091"/>
    <cellStyle name="표준 15 2 5 3" xfId="26353"/>
    <cellStyle name="표준 15 2 6" xfId="7008"/>
    <cellStyle name="표준 15 2 6 2" xfId="16016"/>
    <cellStyle name="표준 15 2 6 2 2" xfId="36892"/>
    <cellStyle name="표준 15 2 6 3" xfId="28154"/>
    <cellStyle name="표준 15 2 7" xfId="7653"/>
    <cellStyle name="표준 15 2 7 2" xfId="16659"/>
    <cellStyle name="표준 15 2 7 2 2" xfId="37535"/>
    <cellStyle name="표준 15 2 7 3" xfId="28797"/>
    <cellStyle name="표준 15 2 8" xfId="8501"/>
    <cellStyle name="표준 15 2 8 2" xfId="17506"/>
    <cellStyle name="표준 15 2 8 2 2" xfId="38382"/>
    <cellStyle name="표준 15 2 8 3" xfId="29644"/>
    <cellStyle name="표준 15 2 9" xfId="9325"/>
    <cellStyle name="표준 15 2 9 2" xfId="18324"/>
    <cellStyle name="표준 15 2 9 2 2" xfId="39200"/>
    <cellStyle name="표준 15 2 9 3" xfId="30462"/>
    <cellStyle name="표준 15 20" xfId="24522"/>
    <cellStyle name="표준 15 3" xfId="2921"/>
    <cellStyle name="표준 15 3 10" xfId="10382"/>
    <cellStyle name="표준 15 3 10 2" xfId="19153"/>
    <cellStyle name="표준 15 3 10 2 2" xfId="40029"/>
    <cellStyle name="표준 15 3 10 3" xfId="31293"/>
    <cellStyle name="표준 15 3 11" xfId="11248"/>
    <cellStyle name="표준 15 3 11 2" xfId="20014"/>
    <cellStyle name="표준 15 3 11 2 2" xfId="40890"/>
    <cellStyle name="표준 15 3 11 3" xfId="32154"/>
    <cellStyle name="표준 15 3 12" xfId="12396"/>
    <cellStyle name="표준 15 3 12 2" xfId="33274"/>
    <cellStyle name="표준 15 3 13" xfId="24524"/>
    <cellStyle name="표준 15 3 2" xfId="3139"/>
    <cellStyle name="표준 15 3 2 10" xfId="11458"/>
    <cellStyle name="표준 15 3 2 10 2" xfId="20224"/>
    <cellStyle name="표준 15 3 2 10 2 2" xfId="41100"/>
    <cellStyle name="표준 15 3 2 10 3" xfId="32364"/>
    <cellStyle name="표준 15 3 2 11" xfId="12607"/>
    <cellStyle name="표준 15 3 2 11 2" xfId="33484"/>
    <cellStyle name="표준 15 3 2 12" xfId="24734"/>
    <cellStyle name="표준 15 3 2 2" xfId="3581"/>
    <cellStyle name="표준 15 3 2 2 2" xfId="5854"/>
    <cellStyle name="표준 15 3 2 2 2 2" xfId="14863"/>
    <cellStyle name="표준 15 3 2 2 2 2 2" xfId="35739"/>
    <cellStyle name="표준 15 3 2 2 2 3" xfId="27001"/>
    <cellStyle name="표준 15 3 2 2 3" xfId="13044"/>
    <cellStyle name="표준 15 3 2 2 3 2" xfId="33921"/>
    <cellStyle name="표준 15 3 2 2 4" xfId="25171"/>
    <cellStyle name="표준 15 3 2 3" xfId="4742"/>
    <cellStyle name="표준 15 3 2 3 2" xfId="6574"/>
    <cellStyle name="표준 15 3 2 3 2 2" xfId="15583"/>
    <cellStyle name="표준 15 3 2 3 2 2 2" xfId="36459"/>
    <cellStyle name="표준 15 3 2 3 2 3" xfId="27721"/>
    <cellStyle name="표준 15 3 2 3 3" xfId="13765"/>
    <cellStyle name="표준 15 3 2 3 3 2" xfId="34641"/>
    <cellStyle name="표준 15 3 2 3 4" xfId="25903"/>
    <cellStyle name="표준 15 3 2 4" xfId="5417"/>
    <cellStyle name="표준 15 3 2 4 2" xfId="14426"/>
    <cellStyle name="표준 15 3 2 4 2 2" xfId="35302"/>
    <cellStyle name="표준 15 3 2 4 3" xfId="26564"/>
    <cellStyle name="표준 15 3 2 5" xfId="7220"/>
    <cellStyle name="표준 15 3 2 5 2" xfId="16227"/>
    <cellStyle name="표준 15 3 2 5 2 2" xfId="37103"/>
    <cellStyle name="표준 15 3 2 5 3" xfId="28365"/>
    <cellStyle name="표준 15 3 2 6" xfId="7864"/>
    <cellStyle name="표준 15 3 2 6 2" xfId="16870"/>
    <cellStyle name="표준 15 3 2 6 2 2" xfId="37746"/>
    <cellStyle name="표준 15 3 2 6 3" xfId="29008"/>
    <cellStyle name="표준 15 3 2 7" xfId="8712"/>
    <cellStyle name="표준 15 3 2 7 2" xfId="17717"/>
    <cellStyle name="표준 15 3 2 7 2 2" xfId="38593"/>
    <cellStyle name="표준 15 3 2 7 3" xfId="29855"/>
    <cellStyle name="표준 15 3 2 8" xfId="9537"/>
    <cellStyle name="표준 15 3 2 8 2" xfId="18535"/>
    <cellStyle name="표준 15 3 2 8 2 2" xfId="39411"/>
    <cellStyle name="표준 15 3 2 8 3" xfId="30673"/>
    <cellStyle name="표준 15 3 2 9" xfId="10592"/>
    <cellStyle name="표준 15 3 2 9 2" xfId="19363"/>
    <cellStyle name="표준 15 3 2 9 2 2" xfId="40239"/>
    <cellStyle name="표준 15 3 2 9 3" xfId="31503"/>
    <cellStyle name="표준 15 3 3" xfId="3371"/>
    <cellStyle name="표준 15 3 3 10" xfId="12834"/>
    <cellStyle name="표준 15 3 3 10 2" xfId="33711"/>
    <cellStyle name="표준 15 3 3 11" xfId="24961"/>
    <cellStyle name="표준 15 3 3 2" xfId="4964"/>
    <cellStyle name="표준 15 3 3 2 2" xfId="6791"/>
    <cellStyle name="표준 15 3 3 2 2 2" xfId="15800"/>
    <cellStyle name="표준 15 3 3 2 2 2 2" xfId="36676"/>
    <cellStyle name="표준 15 3 3 2 2 3" xfId="27938"/>
    <cellStyle name="표준 15 3 3 2 3" xfId="13982"/>
    <cellStyle name="표준 15 3 3 2 3 2" xfId="34858"/>
    <cellStyle name="표준 15 3 3 2 4" xfId="26120"/>
    <cellStyle name="표준 15 3 3 3" xfId="5644"/>
    <cellStyle name="표준 15 3 3 3 2" xfId="14653"/>
    <cellStyle name="표준 15 3 3 3 2 2" xfId="35529"/>
    <cellStyle name="표준 15 3 3 3 3" xfId="26791"/>
    <cellStyle name="표준 15 3 3 4" xfId="7437"/>
    <cellStyle name="표준 15 3 3 4 2" xfId="16444"/>
    <cellStyle name="표준 15 3 3 4 2 2" xfId="37320"/>
    <cellStyle name="표준 15 3 3 4 3" xfId="28582"/>
    <cellStyle name="표준 15 3 3 5" xfId="8081"/>
    <cellStyle name="표준 15 3 3 5 2" xfId="17087"/>
    <cellStyle name="표준 15 3 3 5 2 2" xfId="37963"/>
    <cellStyle name="표준 15 3 3 5 3" xfId="29225"/>
    <cellStyle name="표준 15 3 3 6" xfId="8929"/>
    <cellStyle name="표준 15 3 3 6 2" xfId="17934"/>
    <cellStyle name="표준 15 3 3 6 2 2" xfId="38810"/>
    <cellStyle name="표준 15 3 3 6 3" xfId="30072"/>
    <cellStyle name="표준 15 3 3 7" xfId="9754"/>
    <cellStyle name="표준 15 3 3 7 2" xfId="18752"/>
    <cellStyle name="표준 15 3 3 7 2 2" xfId="39628"/>
    <cellStyle name="표준 15 3 3 7 3" xfId="30890"/>
    <cellStyle name="표준 15 3 3 8" xfId="10809"/>
    <cellStyle name="표준 15 3 3 8 2" xfId="19580"/>
    <cellStyle name="표준 15 3 3 8 2 2" xfId="40456"/>
    <cellStyle name="표준 15 3 3 8 3" xfId="31720"/>
    <cellStyle name="표준 15 3 3 9" xfId="11675"/>
    <cellStyle name="표준 15 3 3 9 2" xfId="20441"/>
    <cellStyle name="표준 15 3 3 9 2 2" xfId="41317"/>
    <cellStyle name="표준 15 3 3 9 3" xfId="32581"/>
    <cellStyle name="표준 15 3 4" xfId="4530"/>
    <cellStyle name="표준 15 3 4 2" xfId="6364"/>
    <cellStyle name="표준 15 3 4 2 2" xfId="15373"/>
    <cellStyle name="표준 15 3 4 2 2 2" xfId="36249"/>
    <cellStyle name="표준 15 3 4 2 3" xfId="27511"/>
    <cellStyle name="표준 15 3 4 3" xfId="11027"/>
    <cellStyle name="표준 15 3 4 3 2" xfId="19797"/>
    <cellStyle name="표준 15 3 4 3 2 2" xfId="40673"/>
    <cellStyle name="표준 15 3 4 3 3" xfId="31937"/>
    <cellStyle name="표준 15 3 4 4" xfId="11892"/>
    <cellStyle name="표준 15 3 4 4 2" xfId="20658"/>
    <cellStyle name="표준 15 3 4 4 2 2" xfId="41534"/>
    <cellStyle name="표준 15 3 4 4 3" xfId="32798"/>
    <cellStyle name="표준 15 3 4 5" xfId="13555"/>
    <cellStyle name="표준 15 3 4 5 2" xfId="34431"/>
    <cellStyle name="표준 15 3 4 6" xfId="25693"/>
    <cellStyle name="표준 15 3 5" xfId="5207"/>
    <cellStyle name="표준 15 3 5 2" xfId="14216"/>
    <cellStyle name="표준 15 3 5 2 2" xfId="35092"/>
    <cellStyle name="표준 15 3 5 3" xfId="26354"/>
    <cellStyle name="표준 15 3 6" xfId="7009"/>
    <cellStyle name="표준 15 3 6 2" xfId="16017"/>
    <cellStyle name="표준 15 3 6 2 2" xfId="36893"/>
    <cellStyle name="표준 15 3 6 3" xfId="28155"/>
    <cellStyle name="표준 15 3 7" xfId="7654"/>
    <cellStyle name="표준 15 3 7 2" xfId="16660"/>
    <cellStyle name="표준 15 3 7 2 2" xfId="37536"/>
    <cellStyle name="표준 15 3 7 3" xfId="28798"/>
    <cellStyle name="표준 15 3 8" xfId="8502"/>
    <cellStyle name="표준 15 3 8 2" xfId="17507"/>
    <cellStyle name="표준 15 3 8 2 2" xfId="38383"/>
    <cellStyle name="표준 15 3 8 3" xfId="29645"/>
    <cellStyle name="표준 15 3 9" xfId="9326"/>
    <cellStyle name="표준 15 3 9 2" xfId="18325"/>
    <cellStyle name="표준 15 3 9 2 2" xfId="39201"/>
    <cellStyle name="표준 15 3 9 3" xfId="30463"/>
    <cellStyle name="표준 15 4" xfId="2922"/>
    <cellStyle name="표준 15 4 10" xfId="10383"/>
    <cellStyle name="표준 15 4 10 2" xfId="19154"/>
    <cellStyle name="표준 15 4 10 2 2" xfId="40030"/>
    <cellStyle name="표준 15 4 10 3" xfId="31294"/>
    <cellStyle name="표준 15 4 11" xfId="11249"/>
    <cellStyle name="표준 15 4 11 2" xfId="20015"/>
    <cellStyle name="표준 15 4 11 2 2" xfId="40891"/>
    <cellStyle name="표준 15 4 11 3" xfId="32155"/>
    <cellStyle name="표준 15 4 12" xfId="12397"/>
    <cellStyle name="표준 15 4 12 2" xfId="33275"/>
    <cellStyle name="표준 15 4 13" xfId="24525"/>
    <cellStyle name="표준 15 4 2" xfId="3140"/>
    <cellStyle name="표준 15 4 2 10" xfId="11459"/>
    <cellStyle name="표준 15 4 2 10 2" xfId="20225"/>
    <cellStyle name="표준 15 4 2 10 2 2" xfId="41101"/>
    <cellStyle name="표준 15 4 2 10 3" xfId="32365"/>
    <cellStyle name="표준 15 4 2 11" xfId="12608"/>
    <cellStyle name="표준 15 4 2 11 2" xfId="33485"/>
    <cellStyle name="표준 15 4 2 12" xfId="24735"/>
    <cellStyle name="표준 15 4 2 2" xfId="3582"/>
    <cellStyle name="표준 15 4 2 2 2" xfId="5855"/>
    <cellStyle name="표준 15 4 2 2 2 2" xfId="14864"/>
    <cellStyle name="표준 15 4 2 2 2 2 2" xfId="35740"/>
    <cellStyle name="표준 15 4 2 2 2 3" xfId="27002"/>
    <cellStyle name="표준 15 4 2 2 3" xfId="13045"/>
    <cellStyle name="표준 15 4 2 2 3 2" xfId="33922"/>
    <cellStyle name="표준 15 4 2 2 4" xfId="25172"/>
    <cellStyle name="표준 15 4 2 3" xfId="4743"/>
    <cellStyle name="표준 15 4 2 3 2" xfId="6575"/>
    <cellStyle name="표준 15 4 2 3 2 2" xfId="15584"/>
    <cellStyle name="표준 15 4 2 3 2 2 2" xfId="36460"/>
    <cellStyle name="표준 15 4 2 3 2 3" xfId="27722"/>
    <cellStyle name="표준 15 4 2 3 3" xfId="13766"/>
    <cellStyle name="표준 15 4 2 3 3 2" xfId="34642"/>
    <cellStyle name="표준 15 4 2 3 4" xfId="25904"/>
    <cellStyle name="표준 15 4 2 4" xfId="5418"/>
    <cellStyle name="표준 15 4 2 4 2" xfId="14427"/>
    <cellStyle name="표준 15 4 2 4 2 2" xfId="35303"/>
    <cellStyle name="표준 15 4 2 4 3" xfId="26565"/>
    <cellStyle name="표준 15 4 2 5" xfId="7221"/>
    <cellStyle name="표준 15 4 2 5 2" xfId="16228"/>
    <cellStyle name="표준 15 4 2 5 2 2" xfId="37104"/>
    <cellStyle name="표준 15 4 2 5 3" xfId="28366"/>
    <cellStyle name="표준 15 4 2 6" xfId="7865"/>
    <cellStyle name="표준 15 4 2 6 2" xfId="16871"/>
    <cellStyle name="표준 15 4 2 6 2 2" xfId="37747"/>
    <cellStyle name="표준 15 4 2 6 3" xfId="29009"/>
    <cellStyle name="표준 15 4 2 7" xfId="8713"/>
    <cellStyle name="표준 15 4 2 7 2" xfId="17718"/>
    <cellStyle name="표준 15 4 2 7 2 2" xfId="38594"/>
    <cellStyle name="표준 15 4 2 7 3" xfId="29856"/>
    <cellStyle name="표준 15 4 2 8" xfId="9538"/>
    <cellStyle name="표준 15 4 2 8 2" xfId="18536"/>
    <cellStyle name="표준 15 4 2 8 2 2" xfId="39412"/>
    <cellStyle name="표준 15 4 2 8 3" xfId="30674"/>
    <cellStyle name="표준 15 4 2 9" xfId="10593"/>
    <cellStyle name="표준 15 4 2 9 2" xfId="19364"/>
    <cellStyle name="표준 15 4 2 9 2 2" xfId="40240"/>
    <cellStyle name="표준 15 4 2 9 3" xfId="31504"/>
    <cellStyle name="표준 15 4 3" xfId="3372"/>
    <cellStyle name="표준 15 4 3 10" xfId="12835"/>
    <cellStyle name="표준 15 4 3 10 2" xfId="33712"/>
    <cellStyle name="표준 15 4 3 11" xfId="24962"/>
    <cellStyle name="표준 15 4 3 2" xfId="4965"/>
    <cellStyle name="표준 15 4 3 2 2" xfId="6792"/>
    <cellStyle name="표준 15 4 3 2 2 2" xfId="15801"/>
    <cellStyle name="표준 15 4 3 2 2 2 2" xfId="36677"/>
    <cellStyle name="표준 15 4 3 2 2 3" xfId="27939"/>
    <cellStyle name="표준 15 4 3 2 3" xfId="13983"/>
    <cellStyle name="표준 15 4 3 2 3 2" xfId="34859"/>
    <cellStyle name="표준 15 4 3 2 4" xfId="26121"/>
    <cellStyle name="표준 15 4 3 3" xfId="5645"/>
    <cellStyle name="표준 15 4 3 3 2" xfId="14654"/>
    <cellStyle name="표준 15 4 3 3 2 2" xfId="35530"/>
    <cellStyle name="표준 15 4 3 3 3" xfId="26792"/>
    <cellStyle name="표준 15 4 3 4" xfId="7438"/>
    <cellStyle name="표준 15 4 3 4 2" xfId="16445"/>
    <cellStyle name="표준 15 4 3 4 2 2" xfId="37321"/>
    <cellStyle name="표준 15 4 3 4 3" xfId="28583"/>
    <cellStyle name="표준 15 4 3 5" xfId="8082"/>
    <cellStyle name="표준 15 4 3 5 2" xfId="17088"/>
    <cellStyle name="표준 15 4 3 5 2 2" xfId="37964"/>
    <cellStyle name="표준 15 4 3 5 3" xfId="29226"/>
    <cellStyle name="표준 15 4 3 6" xfId="8930"/>
    <cellStyle name="표준 15 4 3 6 2" xfId="17935"/>
    <cellStyle name="표준 15 4 3 6 2 2" xfId="38811"/>
    <cellStyle name="표준 15 4 3 6 3" xfId="30073"/>
    <cellStyle name="표준 15 4 3 7" xfId="9755"/>
    <cellStyle name="표준 15 4 3 7 2" xfId="18753"/>
    <cellStyle name="표준 15 4 3 7 2 2" xfId="39629"/>
    <cellStyle name="표준 15 4 3 7 3" xfId="30891"/>
    <cellStyle name="표준 15 4 3 8" xfId="10810"/>
    <cellStyle name="표준 15 4 3 8 2" xfId="19581"/>
    <cellStyle name="표준 15 4 3 8 2 2" xfId="40457"/>
    <cellStyle name="표준 15 4 3 8 3" xfId="31721"/>
    <cellStyle name="표준 15 4 3 9" xfId="11676"/>
    <cellStyle name="표준 15 4 3 9 2" xfId="20442"/>
    <cellStyle name="표준 15 4 3 9 2 2" xfId="41318"/>
    <cellStyle name="표준 15 4 3 9 3" xfId="32582"/>
    <cellStyle name="표준 15 4 4" xfId="4531"/>
    <cellStyle name="표준 15 4 4 2" xfId="6365"/>
    <cellStyle name="표준 15 4 4 2 2" xfId="15374"/>
    <cellStyle name="표준 15 4 4 2 2 2" xfId="36250"/>
    <cellStyle name="표준 15 4 4 2 3" xfId="27512"/>
    <cellStyle name="표준 15 4 4 3" xfId="11028"/>
    <cellStyle name="표준 15 4 4 3 2" xfId="19798"/>
    <cellStyle name="표준 15 4 4 3 2 2" xfId="40674"/>
    <cellStyle name="표준 15 4 4 3 3" xfId="31938"/>
    <cellStyle name="표준 15 4 4 4" xfId="11893"/>
    <cellStyle name="표준 15 4 4 4 2" xfId="20659"/>
    <cellStyle name="표준 15 4 4 4 2 2" xfId="41535"/>
    <cellStyle name="표준 15 4 4 4 3" xfId="32799"/>
    <cellStyle name="표준 15 4 4 5" xfId="13556"/>
    <cellStyle name="표준 15 4 4 5 2" xfId="34432"/>
    <cellStyle name="표준 15 4 4 6" xfId="25694"/>
    <cellStyle name="표준 15 4 5" xfId="5208"/>
    <cellStyle name="표준 15 4 5 2" xfId="14217"/>
    <cellStyle name="표준 15 4 5 2 2" xfId="35093"/>
    <cellStyle name="표준 15 4 5 3" xfId="26355"/>
    <cellStyle name="표준 15 4 6" xfId="7010"/>
    <cellStyle name="표준 15 4 6 2" xfId="16018"/>
    <cellStyle name="표준 15 4 6 2 2" xfId="36894"/>
    <cellStyle name="표준 15 4 6 3" xfId="28156"/>
    <cellStyle name="표준 15 4 7" xfId="7655"/>
    <cellStyle name="표준 15 4 7 2" xfId="16661"/>
    <cellStyle name="표준 15 4 7 2 2" xfId="37537"/>
    <cellStyle name="표준 15 4 7 3" xfId="28799"/>
    <cellStyle name="표준 15 4 8" xfId="8503"/>
    <cellStyle name="표준 15 4 8 2" xfId="17508"/>
    <cellStyle name="표준 15 4 8 2 2" xfId="38384"/>
    <cellStyle name="표준 15 4 8 3" xfId="29646"/>
    <cellStyle name="표준 15 4 9" xfId="9327"/>
    <cellStyle name="표준 15 4 9 2" xfId="18326"/>
    <cellStyle name="표준 15 4 9 2 2" xfId="39202"/>
    <cellStyle name="표준 15 4 9 3" xfId="30464"/>
    <cellStyle name="표준 15 5" xfId="2923"/>
    <cellStyle name="표준 15 5 10" xfId="10384"/>
    <cellStyle name="표준 15 5 10 2" xfId="19155"/>
    <cellStyle name="표준 15 5 10 2 2" xfId="40031"/>
    <cellStyle name="표준 15 5 10 3" xfId="31295"/>
    <cellStyle name="표준 15 5 11" xfId="11250"/>
    <cellStyle name="표준 15 5 11 2" xfId="20016"/>
    <cellStyle name="표준 15 5 11 2 2" xfId="40892"/>
    <cellStyle name="표준 15 5 11 3" xfId="32156"/>
    <cellStyle name="표준 15 5 12" xfId="12398"/>
    <cellStyle name="표준 15 5 12 2" xfId="33276"/>
    <cellStyle name="표준 15 5 13" xfId="24526"/>
    <cellStyle name="표준 15 5 2" xfId="3141"/>
    <cellStyle name="표준 15 5 2 10" xfId="11460"/>
    <cellStyle name="표준 15 5 2 10 2" xfId="20226"/>
    <cellStyle name="표준 15 5 2 10 2 2" xfId="41102"/>
    <cellStyle name="표준 15 5 2 10 3" xfId="32366"/>
    <cellStyle name="표준 15 5 2 11" xfId="12609"/>
    <cellStyle name="표준 15 5 2 11 2" xfId="33486"/>
    <cellStyle name="표준 15 5 2 12" xfId="24736"/>
    <cellStyle name="표준 15 5 2 2" xfId="3583"/>
    <cellStyle name="표준 15 5 2 2 2" xfId="5856"/>
    <cellStyle name="표준 15 5 2 2 2 2" xfId="14865"/>
    <cellStyle name="표준 15 5 2 2 2 2 2" xfId="35741"/>
    <cellStyle name="표준 15 5 2 2 2 3" xfId="27003"/>
    <cellStyle name="표준 15 5 2 2 3" xfId="13046"/>
    <cellStyle name="표준 15 5 2 2 3 2" xfId="33923"/>
    <cellStyle name="표준 15 5 2 2 4" xfId="25173"/>
    <cellStyle name="표준 15 5 2 3" xfId="4744"/>
    <cellStyle name="표준 15 5 2 3 2" xfId="6576"/>
    <cellStyle name="표준 15 5 2 3 2 2" xfId="15585"/>
    <cellStyle name="표준 15 5 2 3 2 2 2" xfId="36461"/>
    <cellStyle name="표준 15 5 2 3 2 3" xfId="27723"/>
    <cellStyle name="표준 15 5 2 3 3" xfId="13767"/>
    <cellStyle name="표준 15 5 2 3 3 2" xfId="34643"/>
    <cellStyle name="표준 15 5 2 3 4" xfId="25905"/>
    <cellStyle name="표준 15 5 2 4" xfId="5419"/>
    <cellStyle name="표준 15 5 2 4 2" xfId="14428"/>
    <cellStyle name="표준 15 5 2 4 2 2" xfId="35304"/>
    <cellStyle name="표준 15 5 2 4 3" xfId="26566"/>
    <cellStyle name="표준 15 5 2 5" xfId="7222"/>
    <cellStyle name="표준 15 5 2 5 2" xfId="16229"/>
    <cellStyle name="표준 15 5 2 5 2 2" xfId="37105"/>
    <cellStyle name="표준 15 5 2 5 3" xfId="28367"/>
    <cellStyle name="표준 15 5 2 6" xfId="7866"/>
    <cellStyle name="표준 15 5 2 6 2" xfId="16872"/>
    <cellStyle name="표준 15 5 2 6 2 2" xfId="37748"/>
    <cellStyle name="표준 15 5 2 6 3" xfId="29010"/>
    <cellStyle name="표준 15 5 2 7" xfId="8714"/>
    <cellStyle name="표준 15 5 2 7 2" xfId="17719"/>
    <cellStyle name="표준 15 5 2 7 2 2" xfId="38595"/>
    <cellStyle name="표준 15 5 2 7 3" xfId="29857"/>
    <cellStyle name="표준 15 5 2 8" xfId="9539"/>
    <cellStyle name="표준 15 5 2 8 2" xfId="18537"/>
    <cellStyle name="표준 15 5 2 8 2 2" xfId="39413"/>
    <cellStyle name="표준 15 5 2 8 3" xfId="30675"/>
    <cellStyle name="표준 15 5 2 9" xfId="10594"/>
    <cellStyle name="표준 15 5 2 9 2" xfId="19365"/>
    <cellStyle name="표준 15 5 2 9 2 2" xfId="40241"/>
    <cellStyle name="표준 15 5 2 9 3" xfId="31505"/>
    <cellStyle name="표준 15 5 3" xfId="3373"/>
    <cellStyle name="표준 15 5 3 10" xfId="12836"/>
    <cellStyle name="표준 15 5 3 10 2" xfId="33713"/>
    <cellStyle name="표준 15 5 3 11" xfId="24963"/>
    <cellStyle name="표준 15 5 3 2" xfId="4966"/>
    <cellStyle name="표준 15 5 3 2 2" xfId="6793"/>
    <cellStyle name="표준 15 5 3 2 2 2" xfId="15802"/>
    <cellStyle name="표준 15 5 3 2 2 2 2" xfId="36678"/>
    <cellStyle name="표준 15 5 3 2 2 3" xfId="27940"/>
    <cellStyle name="표준 15 5 3 2 3" xfId="13984"/>
    <cellStyle name="표준 15 5 3 2 3 2" xfId="34860"/>
    <cellStyle name="표준 15 5 3 2 4" xfId="26122"/>
    <cellStyle name="표준 15 5 3 3" xfId="5646"/>
    <cellStyle name="표준 15 5 3 3 2" xfId="14655"/>
    <cellStyle name="표준 15 5 3 3 2 2" xfId="35531"/>
    <cellStyle name="표준 15 5 3 3 3" xfId="26793"/>
    <cellStyle name="표준 15 5 3 4" xfId="7439"/>
    <cellStyle name="표준 15 5 3 4 2" xfId="16446"/>
    <cellStyle name="표준 15 5 3 4 2 2" xfId="37322"/>
    <cellStyle name="표준 15 5 3 4 3" xfId="28584"/>
    <cellStyle name="표준 15 5 3 5" xfId="8083"/>
    <cellStyle name="표준 15 5 3 5 2" xfId="17089"/>
    <cellStyle name="표준 15 5 3 5 2 2" xfId="37965"/>
    <cellStyle name="표준 15 5 3 5 3" xfId="29227"/>
    <cellStyle name="표준 15 5 3 6" xfId="8931"/>
    <cellStyle name="표준 15 5 3 6 2" xfId="17936"/>
    <cellStyle name="표준 15 5 3 6 2 2" xfId="38812"/>
    <cellStyle name="표준 15 5 3 6 3" xfId="30074"/>
    <cellStyle name="표준 15 5 3 7" xfId="9756"/>
    <cellStyle name="표준 15 5 3 7 2" xfId="18754"/>
    <cellStyle name="표준 15 5 3 7 2 2" xfId="39630"/>
    <cellStyle name="표준 15 5 3 7 3" xfId="30892"/>
    <cellStyle name="표준 15 5 3 8" xfId="10811"/>
    <cellStyle name="표준 15 5 3 8 2" xfId="19582"/>
    <cellStyle name="표준 15 5 3 8 2 2" xfId="40458"/>
    <cellStyle name="표준 15 5 3 8 3" xfId="31722"/>
    <cellStyle name="표준 15 5 3 9" xfId="11677"/>
    <cellStyle name="표준 15 5 3 9 2" xfId="20443"/>
    <cellStyle name="표준 15 5 3 9 2 2" xfId="41319"/>
    <cellStyle name="표준 15 5 3 9 3" xfId="32583"/>
    <cellStyle name="표준 15 5 4" xfId="4532"/>
    <cellStyle name="표준 15 5 4 2" xfId="6366"/>
    <cellStyle name="표준 15 5 4 2 2" xfId="15375"/>
    <cellStyle name="표준 15 5 4 2 2 2" xfId="36251"/>
    <cellStyle name="표준 15 5 4 2 3" xfId="27513"/>
    <cellStyle name="표준 15 5 4 3" xfId="11029"/>
    <cellStyle name="표준 15 5 4 3 2" xfId="19799"/>
    <cellStyle name="표준 15 5 4 3 2 2" xfId="40675"/>
    <cellStyle name="표준 15 5 4 3 3" xfId="31939"/>
    <cellStyle name="표준 15 5 4 4" xfId="11894"/>
    <cellStyle name="표준 15 5 4 4 2" xfId="20660"/>
    <cellStyle name="표준 15 5 4 4 2 2" xfId="41536"/>
    <cellStyle name="표준 15 5 4 4 3" xfId="32800"/>
    <cellStyle name="표준 15 5 4 5" xfId="13557"/>
    <cellStyle name="표준 15 5 4 5 2" xfId="34433"/>
    <cellStyle name="표준 15 5 4 6" xfId="25695"/>
    <cellStyle name="표준 15 5 5" xfId="5209"/>
    <cellStyle name="표준 15 5 5 2" xfId="14218"/>
    <cellStyle name="표준 15 5 5 2 2" xfId="35094"/>
    <cellStyle name="표준 15 5 5 3" xfId="26356"/>
    <cellStyle name="표준 15 5 6" xfId="7011"/>
    <cellStyle name="표준 15 5 6 2" xfId="16019"/>
    <cellStyle name="표준 15 5 6 2 2" xfId="36895"/>
    <cellStyle name="표준 15 5 6 3" xfId="28157"/>
    <cellStyle name="표준 15 5 7" xfId="7656"/>
    <cellStyle name="표준 15 5 7 2" xfId="16662"/>
    <cellStyle name="표준 15 5 7 2 2" xfId="37538"/>
    <cellStyle name="표준 15 5 7 3" xfId="28800"/>
    <cellStyle name="표준 15 5 8" xfId="8504"/>
    <cellStyle name="표준 15 5 8 2" xfId="17509"/>
    <cellStyle name="표준 15 5 8 2 2" xfId="38385"/>
    <cellStyle name="표준 15 5 8 3" xfId="29647"/>
    <cellStyle name="표준 15 5 9" xfId="9328"/>
    <cellStyle name="표준 15 5 9 2" xfId="18327"/>
    <cellStyle name="표준 15 5 9 2 2" xfId="39203"/>
    <cellStyle name="표준 15 5 9 3" xfId="30465"/>
    <cellStyle name="표준 15 6" xfId="2924"/>
    <cellStyle name="표준 15 6 10" xfId="10385"/>
    <cellStyle name="표준 15 6 10 2" xfId="19156"/>
    <cellStyle name="표준 15 6 10 2 2" xfId="40032"/>
    <cellStyle name="표준 15 6 10 3" xfId="31296"/>
    <cellStyle name="표준 15 6 11" xfId="11251"/>
    <cellStyle name="표준 15 6 11 2" xfId="20017"/>
    <cellStyle name="표준 15 6 11 2 2" xfId="40893"/>
    <cellStyle name="표준 15 6 11 3" xfId="32157"/>
    <cellStyle name="표준 15 6 12" xfId="12399"/>
    <cellStyle name="표준 15 6 12 2" xfId="33277"/>
    <cellStyle name="표준 15 6 13" xfId="24527"/>
    <cellStyle name="표준 15 6 2" xfId="3142"/>
    <cellStyle name="표준 15 6 2 10" xfId="11461"/>
    <cellStyle name="표준 15 6 2 10 2" xfId="20227"/>
    <cellStyle name="표준 15 6 2 10 2 2" xfId="41103"/>
    <cellStyle name="표준 15 6 2 10 3" xfId="32367"/>
    <cellStyle name="표준 15 6 2 11" xfId="12610"/>
    <cellStyle name="표준 15 6 2 11 2" xfId="33487"/>
    <cellStyle name="표준 15 6 2 12" xfId="24737"/>
    <cellStyle name="표준 15 6 2 2" xfId="3584"/>
    <cellStyle name="표준 15 6 2 2 2" xfId="5857"/>
    <cellStyle name="표준 15 6 2 2 2 2" xfId="14866"/>
    <cellStyle name="표준 15 6 2 2 2 2 2" xfId="35742"/>
    <cellStyle name="표준 15 6 2 2 2 3" xfId="27004"/>
    <cellStyle name="표준 15 6 2 2 3" xfId="13047"/>
    <cellStyle name="표준 15 6 2 2 3 2" xfId="33924"/>
    <cellStyle name="표준 15 6 2 2 4" xfId="25174"/>
    <cellStyle name="표준 15 6 2 3" xfId="4745"/>
    <cellStyle name="표준 15 6 2 3 2" xfId="6577"/>
    <cellStyle name="표준 15 6 2 3 2 2" xfId="15586"/>
    <cellStyle name="표준 15 6 2 3 2 2 2" xfId="36462"/>
    <cellStyle name="표준 15 6 2 3 2 3" xfId="27724"/>
    <cellStyle name="표준 15 6 2 3 3" xfId="13768"/>
    <cellStyle name="표준 15 6 2 3 3 2" xfId="34644"/>
    <cellStyle name="표준 15 6 2 3 4" xfId="25906"/>
    <cellStyle name="표준 15 6 2 4" xfId="5420"/>
    <cellStyle name="표준 15 6 2 4 2" xfId="14429"/>
    <cellStyle name="표준 15 6 2 4 2 2" xfId="35305"/>
    <cellStyle name="표준 15 6 2 4 3" xfId="26567"/>
    <cellStyle name="표준 15 6 2 5" xfId="7223"/>
    <cellStyle name="표준 15 6 2 5 2" xfId="16230"/>
    <cellStyle name="표준 15 6 2 5 2 2" xfId="37106"/>
    <cellStyle name="표준 15 6 2 5 3" xfId="28368"/>
    <cellStyle name="표준 15 6 2 6" xfId="7867"/>
    <cellStyle name="표준 15 6 2 6 2" xfId="16873"/>
    <cellStyle name="표준 15 6 2 6 2 2" xfId="37749"/>
    <cellStyle name="표준 15 6 2 6 3" xfId="29011"/>
    <cellStyle name="표준 15 6 2 7" xfId="8715"/>
    <cellStyle name="표준 15 6 2 7 2" xfId="17720"/>
    <cellStyle name="표준 15 6 2 7 2 2" xfId="38596"/>
    <cellStyle name="표준 15 6 2 7 3" xfId="29858"/>
    <cellStyle name="표준 15 6 2 8" xfId="9540"/>
    <cellStyle name="표준 15 6 2 8 2" xfId="18538"/>
    <cellStyle name="표준 15 6 2 8 2 2" xfId="39414"/>
    <cellStyle name="표준 15 6 2 8 3" xfId="30676"/>
    <cellStyle name="표준 15 6 2 9" xfId="10595"/>
    <cellStyle name="표준 15 6 2 9 2" xfId="19366"/>
    <cellStyle name="표준 15 6 2 9 2 2" xfId="40242"/>
    <cellStyle name="표준 15 6 2 9 3" xfId="31506"/>
    <cellStyle name="표준 15 6 3" xfId="3374"/>
    <cellStyle name="표준 15 6 3 10" xfId="12837"/>
    <cellStyle name="표준 15 6 3 10 2" xfId="33714"/>
    <cellStyle name="표준 15 6 3 11" xfId="24964"/>
    <cellStyle name="표준 15 6 3 2" xfId="4967"/>
    <cellStyle name="표준 15 6 3 2 2" xfId="6794"/>
    <cellStyle name="표준 15 6 3 2 2 2" xfId="15803"/>
    <cellStyle name="표준 15 6 3 2 2 2 2" xfId="36679"/>
    <cellStyle name="표준 15 6 3 2 2 3" xfId="27941"/>
    <cellStyle name="표준 15 6 3 2 3" xfId="13985"/>
    <cellStyle name="표준 15 6 3 2 3 2" xfId="34861"/>
    <cellStyle name="표준 15 6 3 2 4" xfId="26123"/>
    <cellStyle name="표준 15 6 3 3" xfId="5647"/>
    <cellStyle name="표준 15 6 3 3 2" xfId="14656"/>
    <cellStyle name="표준 15 6 3 3 2 2" xfId="35532"/>
    <cellStyle name="표준 15 6 3 3 3" xfId="26794"/>
    <cellStyle name="표준 15 6 3 4" xfId="7440"/>
    <cellStyle name="표준 15 6 3 4 2" xfId="16447"/>
    <cellStyle name="표준 15 6 3 4 2 2" xfId="37323"/>
    <cellStyle name="표준 15 6 3 4 3" xfId="28585"/>
    <cellStyle name="표준 15 6 3 5" xfId="8084"/>
    <cellStyle name="표준 15 6 3 5 2" xfId="17090"/>
    <cellStyle name="표준 15 6 3 5 2 2" xfId="37966"/>
    <cellStyle name="표준 15 6 3 5 3" xfId="29228"/>
    <cellStyle name="표준 15 6 3 6" xfId="8932"/>
    <cellStyle name="표준 15 6 3 6 2" xfId="17937"/>
    <cellStyle name="표준 15 6 3 6 2 2" xfId="38813"/>
    <cellStyle name="표준 15 6 3 6 3" xfId="30075"/>
    <cellStyle name="표준 15 6 3 7" xfId="9757"/>
    <cellStyle name="표준 15 6 3 7 2" xfId="18755"/>
    <cellStyle name="표준 15 6 3 7 2 2" xfId="39631"/>
    <cellStyle name="표준 15 6 3 7 3" xfId="30893"/>
    <cellStyle name="표준 15 6 3 8" xfId="10812"/>
    <cellStyle name="표준 15 6 3 8 2" xfId="19583"/>
    <cellStyle name="표준 15 6 3 8 2 2" xfId="40459"/>
    <cellStyle name="표준 15 6 3 8 3" xfId="31723"/>
    <cellStyle name="표준 15 6 3 9" xfId="11678"/>
    <cellStyle name="표준 15 6 3 9 2" xfId="20444"/>
    <cellStyle name="표준 15 6 3 9 2 2" xfId="41320"/>
    <cellStyle name="표준 15 6 3 9 3" xfId="32584"/>
    <cellStyle name="표준 15 6 4" xfId="4533"/>
    <cellStyle name="표준 15 6 4 2" xfId="6367"/>
    <cellStyle name="표준 15 6 4 2 2" xfId="15376"/>
    <cellStyle name="표준 15 6 4 2 2 2" xfId="36252"/>
    <cellStyle name="표준 15 6 4 2 3" xfId="27514"/>
    <cellStyle name="표준 15 6 4 3" xfId="11030"/>
    <cellStyle name="표준 15 6 4 3 2" xfId="19800"/>
    <cellStyle name="표준 15 6 4 3 2 2" xfId="40676"/>
    <cellStyle name="표준 15 6 4 3 3" xfId="31940"/>
    <cellStyle name="표준 15 6 4 4" xfId="11895"/>
    <cellStyle name="표준 15 6 4 4 2" xfId="20661"/>
    <cellStyle name="표준 15 6 4 4 2 2" xfId="41537"/>
    <cellStyle name="표준 15 6 4 4 3" xfId="32801"/>
    <cellStyle name="표준 15 6 4 5" xfId="13558"/>
    <cellStyle name="표준 15 6 4 5 2" xfId="34434"/>
    <cellStyle name="표준 15 6 4 6" xfId="25696"/>
    <cellStyle name="표준 15 6 5" xfId="5210"/>
    <cellStyle name="표준 15 6 5 2" xfId="14219"/>
    <cellStyle name="표준 15 6 5 2 2" xfId="35095"/>
    <cellStyle name="표준 15 6 5 3" xfId="26357"/>
    <cellStyle name="표준 15 6 6" xfId="7012"/>
    <cellStyle name="표준 15 6 6 2" xfId="16020"/>
    <cellStyle name="표준 15 6 6 2 2" xfId="36896"/>
    <cellStyle name="표준 15 6 6 3" xfId="28158"/>
    <cellStyle name="표준 15 6 7" xfId="7657"/>
    <cellStyle name="표준 15 6 7 2" xfId="16663"/>
    <cellStyle name="표준 15 6 7 2 2" xfId="37539"/>
    <cellStyle name="표준 15 6 7 3" xfId="28801"/>
    <cellStyle name="표준 15 6 8" xfId="8505"/>
    <cellStyle name="표준 15 6 8 2" xfId="17510"/>
    <cellStyle name="표준 15 6 8 2 2" xfId="38386"/>
    <cellStyle name="표준 15 6 8 3" xfId="29648"/>
    <cellStyle name="표준 15 6 9" xfId="9329"/>
    <cellStyle name="표준 15 6 9 2" xfId="18328"/>
    <cellStyle name="표준 15 6 9 2 2" xfId="39204"/>
    <cellStyle name="표준 15 6 9 3" xfId="30466"/>
    <cellStyle name="표준 15 7" xfId="2925"/>
    <cellStyle name="표준 15 7 10" xfId="10386"/>
    <cellStyle name="표준 15 7 10 2" xfId="19157"/>
    <cellStyle name="표준 15 7 10 2 2" xfId="40033"/>
    <cellStyle name="표준 15 7 10 3" xfId="31297"/>
    <cellStyle name="표준 15 7 11" xfId="11252"/>
    <cellStyle name="표준 15 7 11 2" xfId="20018"/>
    <cellStyle name="표준 15 7 11 2 2" xfId="40894"/>
    <cellStyle name="표준 15 7 11 3" xfId="32158"/>
    <cellStyle name="표준 15 7 12" xfId="12400"/>
    <cellStyle name="표준 15 7 12 2" xfId="33278"/>
    <cellStyle name="표준 15 7 13" xfId="24528"/>
    <cellStyle name="표준 15 7 2" xfId="3143"/>
    <cellStyle name="표준 15 7 2 10" xfId="11462"/>
    <cellStyle name="표준 15 7 2 10 2" xfId="20228"/>
    <cellStyle name="표준 15 7 2 10 2 2" xfId="41104"/>
    <cellStyle name="표준 15 7 2 10 3" xfId="32368"/>
    <cellStyle name="표준 15 7 2 11" xfId="12611"/>
    <cellStyle name="표준 15 7 2 11 2" xfId="33488"/>
    <cellStyle name="표준 15 7 2 12" xfId="24738"/>
    <cellStyle name="표준 15 7 2 2" xfId="3585"/>
    <cellStyle name="표준 15 7 2 2 2" xfId="5858"/>
    <cellStyle name="표준 15 7 2 2 2 2" xfId="14867"/>
    <cellStyle name="표준 15 7 2 2 2 2 2" xfId="35743"/>
    <cellStyle name="표준 15 7 2 2 2 3" xfId="27005"/>
    <cellStyle name="표준 15 7 2 2 3" xfId="13048"/>
    <cellStyle name="표준 15 7 2 2 3 2" xfId="33925"/>
    <cellStyle name="표준 15 7 2 2 4" xfId="25175"/>
    <cellStyle name="표준 15 7 2 3" xfId="4746"/>
    <cellStyle name="표준 15 7 2 3 2" xfId="6578"/>
    <cellStyle name="표준 15 7 2 3 2 2" xfId="15587"/>
    <cellStyle name="표준 15 7 2 3 2 2 2" xfId="36463"/>
    <cellStyle name="표준 15 7 2 3 2 3" xfId="27725"/>
    <cellStyle name="표준 15 7 2 3 3" xfId="13769"/>
    <cellStyle name="표준 15 7 2 3 3 2" xfId="34645"/>
    <cellStyle name="표준 15 7 2 3 4" xfId="25907"/>
    <cellStyle name="표준 15 7 2 4" xfId="5421"/>
    <cellStyle name="표준 15 7 2 4 2" xfId="14430"/>
    <cellStyle name="표준 15 7 2 4 2 2" xfId="35306"/>
    <cellStyle name="표준 15 7 2 4 3" xfId="26568"/>
    <cellStyle name="표준 15 7 2 5" xfId="7224"/>
    <cellStyle name="표준 15 7 2 5 2" xfId="16231"/>
    <cellStyle name="표준 15 7 2 5 2 2" xfId="37107"/>
    <cellStyle name="표준 15 7 2 5 3" xfId="28369"/>
    <cellStyle name="표준 15 7 2 6" xfId="7868"/>
    <cellStyle name="표준 15 7 2 6 2" xfId="16874"/>
    <cellStyle name="표준 15 7 2 6 2 2" xfId="37750"/>
    <cellStyle name="표준 15 7 2 6 3" xfId="29012"/>
    <cellStyle name="표준 15 7 2 7" xfId="8716"/>
    <cellStyle name="표준 15 7 2 7 2" xfId="17721"/>
    <cellStyle name="표준 15 7 2 7 2 2" xfId="38597"/>
    <cellStyle name="표준 15 7 2 7 3" xfId="29859"/>
    <cellStyle name="표준 15 7 2 8" xfId="9541"/>
    <cellStyle name="표준 15 7 2 8 2" xfId="18539"/>
    <cellStyle name="표준 15 7 2 8 2 2" xfId="39415"/>
    <cellStyle name="표준 15 7 2 8 3" xfId="30677"/>
    <cellStyle name="표준 15 7 2 9" xfId="10596"/>
    <cellStyle name="표준 15 7 2 9 2" xfId="19367"/>
    <cellStyle name="표준 15 7 2 9 2 2" xfId="40243"/>
    <cellStyle name="표준 15 7 2 9 3" xfId="31507"/>
    <cellStyle name="표준 15 7 3" xfId="3375"/>
    <cellStyle name="표준 15 7 3 10" xfId="12838"/>
    <cellStyle name="표준 15 7 3 10 2" xfId="33715"/>
    <cellStyle name="표준 15 7 3 11" xfId="24965"/>
    <cellStyle name="표준 15 7 3 2" xfId="4968"/>
    <cellStyle name="표준 15 7 3 2 2" xfId="6795"/>
    <cellStyle name="표준 15 7 3 2 2 2" xfId="15804"/>
    <cellStyle name="표준 15 7 3 2 2 2 2" xfId="36680"/>
    <cellStyle name="표준 15 7 3 2 2 3" xfId="27942"/>
    <cellStyle name="표준 15 7 3 2 3" xfId="13986"/>
    <cellStyle name="표준 15 7 3 2 3 2" xfId="34862"/>
    <cellStyle name="표준 15 7 3 2 4" xfId="26124"/>
    <cellStyle name="표준 15 7 3 3" xfId="5648"/>
    <cellStyle name="표준 15 7 3 3 2" xfId="14657"/>
    <cellStyle name="표준 15 7 3 3 2 2" xfId="35533"/>
    <cellStyle name="표준 15 7 3 3 3" xfId="26795"/>
    <cellStyle name="표준 15 7 3 4" xfId="7441"/>
    <cellStyle name="표준 15 7 3 4 2" xfId="16448"/>
    <cellStyle name="표준 15 7 3 4 2 2" xfId="37324"/>
    <cellStyle name="표준 15 7 3 4 3" xfId="28586"/>
    <cellStyle name="표준 15 7 3 5" xfId="8085"/>
    <cellStyle name="표준 15 7 3 5 2" xfId="17091"/>
    <cellStyle name="표준 15 7 3 5 2 2" xfId="37967"/>
    <cellStyle name="표준 15 7 3 5 3" xfId="29229"/>
    <cellStyle name="표준 15 7 3 6" xfId="8933"/>
    <cellStyle name="표준 15 7 3 6 2" xfId="17938"/>
    <cellStyle name="표준 15 7 3 6 2 2" xfId="38814"/>
    <cellStyle name="표준 15 7 3 6 3" xfId="30076"/>
    <cellStyle name="표준 15 7 3 7" xfId="9758"/>
    <cellStyle name="표준 15 7 3 7 2" xfId="18756"/>
    <cellStyle name="표준 15 7 3 7 2 2" xfId="39632"/>
    <cellStyle name="표준 15 7 3 7 3" xfId="30894"/>
    <cellStyle name="표준 15 7 3 8" xfId="10813"/>
    <cellStyle name="표준 15 7 3 8 2" xfId="19584"/>
    <cellStyle name="표준 15 7 3 8 2 2" xfId="40460"/>
    <cellStyle name="표준 15 7 3 8 3" xfId="31724"/>
    <cellStyle name="표준 15 7 3 9" xfId="11679"/>
    <cellStyle name="표준 15 7 3 9 2" xfId="20445"/>
    <cellStyle name="표준 15 7 3 9 2 2" xfId="41321"/>
    <cellStyle name="표준 15 7 3 9 3" xfId="32585"/>
    <cellStyle name="표준 15 7 4" xfId="4534"/>
    <cellStyle name="표준 15 7 4 2" xfId="6368"/>
    <cellStyle name="표준 15 7 4 2 2" xfId="15377"/>
    <cellStyle name="표준 15 7 4 2 2 2" xfId="36253"/>
    <cellStyle name="표준 15 7 4 2 3" xfId="27515"/>
    <cellStyle name="표준 15 7 4 3" xfId="11031"/>
    <cellStyle name="표준 15 7 4 3 2" xfId="19801"/>
    <cellStyle name="표준 15 7 4 3 2 2" xfId="40677"/>
    <cellStyle name="표준 15 7 4 3 3" xfId="31941"/>
    <cellStyle name="표준 15 7 4 4" xfId="11896"/>
    <cellStyle name="표준 15 7 4 4 2" xfId="20662"/>
    <cellStyle name="표준 15 7 4 4 2 2" xfId="41538"/>
    <cellStyle name="표준 15 7 4 4 3" xfId="32802"/>
    <cellStyle name="표준 15 7 4 5" xfId="13559"/>
    <cellStyle name="표준 15 7 4 5 2" xfId="34435"/>
    <cellStyle name="표준 15 7 4 6" xfId="25697"/>
    <cellStyle name="표준 15 7 5" xfId="5211"/>
    <cellStyle name="표준 15 7 5 2" xfId="14220"/>
    <cellStyle name="표준 15 7 5 2 2" xfId="35096"/>
    <cellStyle name="표준 15 7 5 3" xfId="26358"/>
    <cellStyle name="표준 15 7 6" xfId="7013"/>
    <cellStyle name="표준 15 7 6 2" xfId="16021"/>
    <cellStyle name="표준 15 7 6 2 2" xfId="36897"/>
    <cellStyle name="표준 15 7 6 3" xfId="28159"/>
    <cellStyle name="표준 15 7 7" xfId="7658"/>
    <cellStyle name="표준 15 7 7 2" xfId="16664"/>
    <cellStyle name="표준 15 7 7 2 2" xfId="37540"/>
    <cellStyle name="표준 15 7 7 3" xfId="28802"/>
    <cellStyle name="표준 15 7 8" xfId="8506"/>
    <cellStyle name="표준 15 7 8 2" xfId="17511"/>
    <cellStyle name="표준 15 7 8 2 2" xfId="38387"/>
    <cellStyle name="표준 15 7 8 3" xfId="29649"/>
    <cellStyle name="표준 15 7 9" xfId="9330"/>
    <cellStyle name="표준 15 7 9 2" xfId="18329"/>
    <cellStyle name="표준 15 7 9 2 2" xfId="39205"/>
    <cellStyle name="표준 15 7 9 3" xfId="30467"/>
    <cellStyle name="표준 15 8" xfId="3137"/>
    <cellStyle name="표준 15 8 10" xfId="11456"/>
    <cellStyle name="표준 15 8 10 2" xfId="20222"/>
    <cellStyle name="표준 15 8 10 2 2" xfId="41098"/>
    <cellStyle name="표준 15 8 10 3" xfId="32362"/>
    <cellStyle name="표준 15 8 11" xfId="12605"/>
    <cellStyle name="표준 15 8 11 2" xfId="33482"/>
    <cellStyle name="표준 15 8 12" xfId="24732"/>
    <cellStyle name="표준 15 8 2" xfId="3579"/>
    <cellStyle name="표준 15 8 2 2" xfId="5852"/>
    <cellStyle name="표준 15 8 2 2 2" xfId="14861"/>
    <cellStyle name="표준 15 8 2 2 2 2" xfId="35737"/>
    <cellStyle name="표준 15 8 2 2 3" xfId="26999"/>
    <cellStyle name="표준 15 8 2 3" xfId="13042"/>
    <cellStyle name="표준 15 8 2 3 2" xfId="33919"/>
    <cellStyle name="표준 15 8 2 4" xfId="25169"/>
    <cellStyle name="표준 15 8 3" xfId="4740"/>
    <cellStyle name="표준 15 8 3 2" xfId="6572"/>
    <cellStyle name="표준 15 8 3 2 2" xfId="15581"/>
    <cellStyle name="표준 15 8 3 2 2 2" xfId="36457"/>
    <cellStyle name="표준 15 8 3 2 3" xfId="27719"/>
    <cellStyle name="표준 15 8 3 3" xfId="13763"/>
    <cellStyle name="표준 15 8 3 3 2" xfId="34639"/>
    <cellStyle name="표준 15 8 3 4" xfId="25901"/>
    <cellStyle name="표준 15 8 4" xfId="5415"/>
    <cellStyle name="표준 15 8 4 2" xfId="14424"/>
    <cellStyle name="표준 15 8 4 2 2" xfId="35300"/>
    <cellStyle name="표준 15 8 4 3" xfId="26562"/>
    <cellStyle name="표준 15 8 5" xfId="7218"/>
    <cellStyle name="표준 15 8 5 2" xfId="16225"/>
    <cellStyle name="표준 15 8 5 2 2" xfId="37101"/>
    <cellStyle name="표준 15 8 5 3" xfId="28363"/>
    <cellStyle name="표준 15 8 6" xfId="7862"/>
    <cellStyle name="표준 15 8 6 2" xfId="16868"/>
    <cellStyle name="표준 15 8 6 2 2" xfId="37744"/>
    <cellStyle name="표준 15 8 6 3" xfId="29006"/>
    <cellStyle name="표준 15 8 7" xfId="8710"/>
    <cellStyle name="표준 15 8 7 2" xfId="17715"/>
    <cellStyle name="표준 15 8 7 2 2" xfId="38591"/>
    <cellStyle name="표준 15 8 7 3" xfId="29853"/>
    <cellStyle name="표준 15 8 8" xfId="9535"/>
    <cellStyle name="표준 15 8 8 2" xfId="18533"/>
    <cellStyle name="표준 15 8 8 2 2" xfId="39409"/>
    <cellStyle name="표준 15 8 8 3" xfId="30671"/>
    <cellStyle name="표준 15 8 9" xfId="10590"/>
    <cellStyle name="표준 15 8 9 2" xfId="19361"/>
    <cellStyle name="표준 15 8 9 2 2" xfId="40237"/>
    <cellStyle name="표준 15 8 9 3" xfId="31501"/>
    <cellStyle name="표준 15 9" xfId="3369"/>
    <cellStyle name="표준 15 9 10" xfId="12832"/>
    <cellStyle name="표준 15 9 10 2" xfId="33709"/>
    <cellStyle name="표준 15 9 11" xfId="24959"/>
    <cellStyle name="표준 15 9 2" xfId="4962"/>
    <cellStyle name="표준 15 9 2 2" xfId="6789"/>
    <cellStyle name="표준 15 9 2 2 2" xfId="15798"/>
    <cellStyle name="표준 15 9 2 2 2 2" xfId="36674"/>
    <cellStyle name="표준 15 9 2 2 3" xfId="27936"/>
    <cellStyle name="표준 15 9 2 3" xfId="13980"/>
    <cellStyle name="표준 15 9 2 3 2" xfId="34856"/>
    <cellStyle name="표준 15 9 2 4" xfId="26118"/>
    <cellStyle name="표준 15 9 3" xfId="5642"/>
    <cellStyle name="표준 15 9 3 2" xfId="14651"/>
    <cellStyle name="표준 15 9 3 2 2" xfId="35527"/>
    <cellStyle name="표준 15 9 3 3" xfId="26789"/>
    <cellStyle name="표준 15 9 4" xfId="7435"/>
    <cellStyle name="표준 15 9 4 2" xfId="16442"/>
    <cellStyle name="표준 15 9 4 2 2" xfId="37318"/>
    <cellStyle name="표준 15 9 4 3" xfId="28580"/>
    <cellStyle name="표준 15 9 5" xfId="8079"/>
    <cellStyle name="표준 15 9 5 2" xfId="17085"/>
    <cellStyle name="표준 15 9 5 2 2" xfId="37961"/>
    <cellStyle name="표준 15 9 5 3" xfId="29223"/>
    <cellStyle name="표준 15 9 6" xfId="8927"/>
    <cellStyle name="표준 15 9 6 2" xfId="17932"/>
    <cellStyle name="표준 15 9 6 2 2" xfId="38808"/>
    <cellStyle name="표준 15 9 6 3" xfId="30070"/>
    <cellStyle name="표준 15 9 7" xfId="9752"/>
    <cellStyle name="표준 15 9 7 2" xfId="18750"/>
    <cellStyle name="표준 15 9 7 2 2" xfId="39626"/>
    <cellStyle name="표준 15 9 7 3" xfId="30888"/>
    <cellStyle name="표준 15 9 8" xfId="10807"/>
    <cellStyle name="표준 15 9 8 2" xfId="19578"/>
    <cellStyle name="표준 15 9 8 2 2" xfId="40454"/>
    <cellStyle name="표준 15 9 8 3" xfId="31718"/>
    <cellStyle name="표준 15 9 9" xfId="11673"/>
    <cellStyle name="표준 15 9 9 2" xfId="20439"/>
    <cellStyle name="표준 15 9 9 2 2" xfId="41315"/>
    <cellStyle name="표준 15 9 9 3" xfId="32579"/>
    <cellStyle name="표준 16" xfId="2926"/>
    <cellStyle name="표준 16 10" xfId="4535"/>
    <cellStyle name="표준 16 10 2" xfId="6369"/>
    <cellStyle name="표준 16 10 2 2" xfId="15378"/>
    <cellStyle name="표준 16 10 2 2 2" xfId="36254"/>
    <cellStyle name="표준 16 10 2 3" xfId="27516"/>
    <cellStyle name="표준 16 10 3" xfId="11032"/>
    <cellStyle name="표준 16 10 3 2" xfId="19802"/>
    <cellStyle name="표준 16 10 3 2 2" xfId="40678"/>
    <cellStyle name="표준 16 10 3 3" xfId="31942"/>
    <cellStyle name="표준 16 10 4" xfId="11897"/>
    <cellStyle name="표준 16 10 4 2" xfId="20663"/>
    <cellStyle name="표준 16 10 4 2 2" xfId="41539"/>
    <cellStyle name="표준 16 10 4 3" xfId="32803"/>
    <cellStyle name="표준 16 10 5" xfId="13560"/>
    <cellStyle name="표준 16 10 5 2" xfId="34436"/>
    <cellStyle name="표준 16 10 6" xfId="25698"/>
    <cellStyle name="표준 16 11" xfId="5212"/>
    <cellStyle name="표준 16 11 2" xfId="14221"/>
    <cellStyle name="표준 16 11 2 2" xfId="35097"/>
    <cellStyle name="표준 16 11 3" xfId="26359"/>
    <cellStyle name="표준 16 12" xfId="7014"/>
    <cellStyle name="표준 16 12 2" xfId="16022"/>
    <cellStyle name="표준 16 12 2 2" xfId="36898"/>
    <cellStyle name="표준 16 12 3" xfId="28160"/>
    <cellStyle name="표준 16 13" xfId="7659"/>
    <cellStyle name="표준 16 13 2" xfId="16665"/>
    <cellStyle name="표준 16 13 2 2" xfId="37541"/>
    <cellStyle name="표준 16 13 3" xfId="28803"/>
    <cellStyle name="표준 16 14" xfId="8507"/>
    <cellStyle name="표준 16 14 2" xfId="17512"/>
    <cellStyle name="표준 16 14 2 2" xfId="38388"/>
    <cellStyle name="표준 16 14 3" xfId="29650"/>
    <cellStyle name="표준 16 15" xfId="9331"/>
    <cellStyle name="표준 16 15 2" xfId="18330"/>
    <cellStyle name="표준 16 15 2 2" xfId="39206"/>
    <cellStyle name="표준 16 15 3" xfId="30468"/>
    <cellStyle name="표준 16 16" xfId="9976"/>
    <cellStyle name="표준 16 17" xfId="10387"/>
    <cellStyle name="표준 16 17 2" xfId="19158"/>
    <cellStyle name="표준 16 17 2 2" xfId="40034"/>
    <cellStyle name="표준 16 17 3" xfId="31298"/>
    <cellStyle name="표준 16 18" xfId="11253"/>
    <cellStyle name="표준 16 18 2" xfId="20019"/>
    <cellStyle name="표준 16 18 2 2" xfId="40895"/>
    <cellStyle name="표준 16 18 3" xfId="32159"/>
    <cellStyle name="표준 16 19" xfId="12401"/>
    <cellStyle name="표준 16 19 2" xfId="33279"/>
    <cellStyle name="표준 16 2" xfId="2927"/>
    <cellStyle name="표준 16 2 10" xfId="10388"/>
    <cellStyle name="표준 16 2 10 2" xfId="19159"/>
    <cellStyle name="표준 16 2 10 2 2" xfId="40035"/>
    <cellStyle name="표준 16 2 10 3" xfId="31299"/>
    <cellStyle name="표준 16 2 11" xfId="11254"/>
    <cellStyle name="표준 16 2 11 2" xfId="20020"/>
    <cellStyle name="표준 16 2 11 2 2" xfId="40896"/>
    <cellStyle name="표준 16 2 11 3" xfId="32160"/>
    <cellStyle name="표준 16 2 12" xfId="12402"/>
    <cellStyle name="표준 16 2 12 2" xfId="33280"/>
    <cellStyle name="표준 16 2 13" xfId="24530"/>
    <cellStyle name="표준 16 2 2" xfId="3145"/>
    <cellStyle name="표준 16 2 2 10" xfId="11464"/>
    <cellStyle name="표준 16 2 2 10 2" xfId="20230"/>
    <cellStyle name="표준 16 2 2 10 2 2" xfId="41106"/>
    <cellStyle name="표준 16 2 2 10 3" xfId="32370"/>
    <cellStyle name="표준 16 2 2 11" xfId="12613"/>
    <cellStyle name="표준 16 2 2 11 2" xfId="33490"/>
    <cellStyle name="표준 16 2 2 12" xfId="24740"/>
    <cellStyle name="표준 16 2 2 2" xfId="3587"/>
    <cellStyle name="표준 16 2 2 2 2" xfId="5860"/>
    <cellStyle name="표준 16 2 2 2 2 2" xfId="14869"/>
    <cellStyle name="표준 16 2 2 2 2 2 2" xfId="35745"/>
    <cellStyle name="표준 16 2 2 2 2 3" xfId="27007"/>
    <cellStyle name="표준 16 2 2 2 3" xfId="13050"/>
    <cellStyle name="표준 16 2 2 2 3 2" xfId="33927"/>
    <cellStyle name="표준 16 2 2 2 4" xfId="25177"/>
    <cellStyle name="표준 16 2 2 3" xfId="4748"/>
    <cellStyle name="표준 16 2 2 3 2" xfId="6580"/>
    <cellStyle name="표준 16 2 2 3 2 2" xfId="15589"/>
    <cellStyle name="표준 16 2 2 3 2 2 2" xfId="36465"/>
    <cellStyle name="표준 16 2 2 3 2 3" xfId="27727"/>
    <cellStyle name="표준 16 2 2 3 3" xfId="13771"/>
    <cellStyle name="표준 16 2 2 3 3 2" xfId="34647"/>
    <cellStyle name="표준 16 2 2 3 4" xfId="25909"/>
    <cellStyle name="표준 16 2 2 4" xfId="5423"/>
    <cellStyle name="표준 16 2 2 4 2" xfId="14432"/>
    <cellStyle name="표준 16 2 2 4 2 2" xfId="35308"/>
    <cellStyle name="표준 16 2 2 4 3" xfId="26570"/>
    <cellStyle name="표준 16 2 2 5" xfId="7226"/>
    <cellStyle name="표준 16 2 2 5 2" xfId="16233"/>
    <cellStyle name="표준 16 2 2 5 2 2" xfId="37109"/>
    <cellStyle name="표준 16 2 2 5 3" xfId="28371"/>
    <cellStyle name="표준 16 2 2 6" xfId="7870"/>
    <cellStyle name="표준 16 2 2 6 2" xfId="16876"/>
    <cellStyle name="표준 16 2 2 6 2 2" xfId="37752"/>
    <cellStyle name="표준 16 2 2 6 3" xfId="29014"/>
    <cellStyle name="표준 16 2 2 7" xfId="8718"/>
    <cellStyle name="표준 16 2 2 7 2" xfId="17723"/>
    <cellStyle name="표준 16 2 2 7 2 2" xfId="38599"/>
    <cellStyle name="표준 16 2 2 7 3" xfId="29861"/>
    <cellStyle name="표준 16 2 2 8" xfId="9543"/>
    <cellStyle name="표준 16 2 2 8 2" xfId="18541"/>
    <cellStyle name="표준 16 2 2 8 2 2" xfId="39417"/>
    <cellStyle name="표준 16 2 2 8 3" xfId="30679"/>
    <cellStyle name="표준 16 2 2 9" xfId="10598"/>
    <cellStyle name="표준 16 2 2 9 2" xfId="19369"/>
    <cellStyle name="표준 16 2 2 9 2 2" xfId="40245"/>
    <cellStyle name="표준 16 2 2 9 3" xfId="31509"/>
    <cellStyle name="표준 16 2 3" xfId="3377"/>
    <cellStyle name="표준 16 2 3 10" xfId="12840"/>
    <cellStyle name="표준 16 2 3 10 2" xfId="33717"/>
    <cellStyle name="표준 16 2 3 11" xfId="24967"/>
    <cellStyle name="표준 16 2 3 2" xfId="4970"/>
    <cellStyle name="표준 16 2 3 2 2" xfId="6797"/>
    <cellStyle name="표준 16 2 3 2 2 2" xfId="15806"/>
    <cellStyle name="표준 16 2 3 2 2 2 2" xfId="36682"/>
    <cellStyle name="표준 16 2 3 2 2 3" xfId="27944"/>
    <cellStyle name="표준 16 2 3 2 3" xfId="13988"/>
    <cellStyle name="표준 16 2 3 2 3 2" xfId="34864"/>
    <cellStyle name="표준 16 2 3 2 4" xfId="26126"/>
    <cellStyle name="표준 16 2 3 3" xfId="5650"/>
    <cellStyle name="표준 16 2 3 3 2" xfId="14659"/>
    <cellStyle name="표준 16 2 3 3 2 2" xfId="35535"/>
    <cellStyle name="표준 16 2 3 3 3" xfId="26797"/>
    <cellStyle name="표준 16 2 3 4" xfId="7443"/>
    <cellStyle name="표준 16 2 3 4 2" xfId="16450"/>
    <cellStyle name="표준 16 2 3 4 2 2" xfId="37326"/>
    <cellStyle name="표준 16 2 3 4 3" xfId="28588"/>
    <cellStyle name="표준 16 2 3 5" xfId="8087"/>
    <cellStyle name="표준 16 2 3 5 2" xfId="17093"/>
    <cellStyle name="표준 16 2 3 5 2 2" xfId="37969"/>
    <cellStyle name="표준 16 2 3 5 3" xfId="29231"/>
    <cellStyle name="표준 16 2 3 6" xfId="8935"/>
    <cellStyle name="표준 16 2 3 6 2" xfId="17940"/>
    <cellStyle name="표준 16 2 3 6 2 2" xfId="38816"/>
    <cellStyle name="표준 16 2 3 6 3" xfId="30078"/>
    <cellStyle name="표준 16 2 3 7" xfId="9760"/>
    <cellStyle name="표준 16 2 3 7 2" xfId="18758"/>
    <cellStyle name="표준 16 2 3 7 2 2" xfId="39634"/>
    <cellStyle name="표준 16 2 3 7 3" xfId="30896"/>
    <cellStyle name="표준 16 2 3 8" xfId="10815"/>
    <cellStyle name="표준 16 2 3 8 2" xfId="19586"/>
    <cellStyle name="표준 16 2 3 8 2 2" xfId="40462"/>
    <cellStyle name="표준 16 2 3 8 3" xfId="31726"/>
    <cellStyle name="표준 16 2 3 9" xfId="11681"/>
    <cellStyle name="표준 16 2 3 9 2" xfId="20447"/>
    <cellStyle name="표준 16 2 3 9 2 2" xfId="41323"/>
    <cellStyle name="표준 16 2 3 9 3" xfId="32587"/>
    <cellStyle name="표준 16 2 4" xfId="4536"/>
    <cellStyle name="표준 16 2 4 2" xfId="6370"/>
    <cellStyle name="표준 16 2 4 2 2" xfId="15379"/>
    <cellStyle name="표준 16 2 4 2 2 2" xfId="36255"/>
    <cellStyle name="표준 16 2 4 2 3" xfId="27517"/>
    <cellStyle name="표준 16 2 4 3" xfId="11033"/>
    <cellStyle name="표준 16 2 4 3 2" xfId="19803"/>
    <cellStyle name="표준 16 2 4 3 2 2" xfId="40679"/>
    <cellStyle name="표준 16 2 4 3 3" xfId="31943"/>
    <cellStyle name="표준 16 2 4 4" xfId="11898"/>
    <cellStyle name="표준 16 2 4 4 2" xfId="20664"/>
    <cellStyle name="표준 16 2 4 4 2 2" xfId="41540"/>
    <cellStyle name="표준 16 2 4 4 3" xfId="32804"/>
    <cellStyle name="표준 16 2 4 5" xfId="13561"/>
    <cellStyle name="표준 16 2 4 5 2" xfId="34437"/>
    <cellStyle name="표준 16 2 4 6" xfId="25699"/>
    <cellStyle name="표준 16 2 5" xfId="5213"/>
    <cellStyle name="표준 16 2 5 2" xfId="14222"/>
    <cellStyle name="표준 16 2 5 2 2" xfId="35098"/>
    <cellStyle name="표준 16 2 5 3" xfId="26360"/>
    <cellStyle name="표준 16 2 6" xfId="7015"/>
    <cellStyle name="표준 16 2 6 2" xfId="16023"/>
    <cellStyle name="표준 16 2 6 2 2" xfId="36899"/>
    <cellStyle name="표준 16 2 6 3" xfId="28161"/>
    <cellStyle name="표준 16 2 7" xfId="7660"/>
    <cellStyle name="표준 16 2 7 2" xfId="16666"/>
    <cellStyle name="표준 16 2 7 2 2" xfId="37542"/>
    <cellStyle name="표준 16 2 7 3" xfId="28804"/>
    <cellStyle name="표준 16 2 8" xfId="8508"/>
    <cellStyle name="표준 16 2 8 2" xfId="17513"/>
    <cellStyle name="표준 16 2 8 2 2" xfId="38389"/>
    <cellStyle name="표준 16 2 8 3" xfId="29651"/>
    <cellStyle name="표준 16 2 9" xfId="9332"/>
    <cellStyle name="표준 16 2 9 2" xfId="18331"/>
    <cellStyle name="표준 16 2 9 2 2" xfId="39207"/>
    <cellStyle name="표준 16 2 9 3" xfId="30469"/>
    <cellStyle name="표준 16 20" xfId="24529"/>
    <cellStyle name="표준 16 3" xfId="2928"/>
    <cellStyle name="표준 16 3 10" xfId="10389"/>
    <cellStyle name="표준 16 3 10 2" xfId="19160"/>
    <cellStyle name="표준 16 3 10 2 2" xfId="40036"/>
    <cellStyle name="표준 16 3 10 3" xfId="31300"/>
    <cellStyle name="표준 16 3 11" xfId="11255"/>
    <cellStyle name="표준 16 3 11 2" xfId="20021"/>
    <cellStyle name="표준 16 3 11 2 2" xfId="40897"/>
    <cellStyle name="표준 16 3 11 3" xfId="32161"/>
    <cellStyle name="표준 16 3 12" xfId="12403"/>
    <cellStyle name="표준 16 3 12 2" xfId="33281"/>
    <cellStyle name="표준 16 3 13" xfId="24531"/>
    <cellStyle name="표준 16 3 2" xfId="3146"/>
    <cellStyle name="표준 16 3 2 10" xfId="11465"/>
    <cellStyle name="표준 16 3 2 10 2" xfId="20231"/>
    <cellStyle name="표준 16 3 2 10 2 2" xfId="41107"/>
    <cellStyle name="표준 16 3 2 10 3" xfId="32371"/>
    <cellStyle name="표준 16 3 2 11" xfId="12614"/>
    <cellStyle name="표준 16 3 2 11 2" xfId="33491"/>
    <cellStyle name="표준 16 3 2 12" xfId="24741"/>
    <cellStyle name="표준 16 3 2 2" xfId="3588"/>
    <cellStyle name="표준 16 3 2 2 2" xfId="5861"/>
    <cellStyle name="표준 16 3 2 2 2 2" xfId="14870"/>
    <cellStyle name="표준 16 3 2 2 2 2 2" xfId="35746"/>
    <cellStyle name="표준 16 3 2 2 2 3" xfId="27008"/>
    <cellStyle name="표준 16 3 2 2 3" xfId="13051"/>
    <cellStyle name="표준 16 3 2 2 3 2" xfId="33928"/>
    <cellStyle name="표준 16 3 2 2 4" xfId="25178"/>
    <cellStyle name="표준 16 3 2 3" xfId="4749"/>
    <cellStyle name="표준 16 3 2 3 2" xfId="6581"/>
    <cellStyle name="표준 16 3 2 3 2 2" xfId="15590"/>
    <cellStyle name="표준 16 3 2 3 2 2 2" xfId="36466"/>
    <cellStyle name="표준 16 3 2 3 2 3" xfId="27728"/>
    <cellStyle name="표준 16 3 2 3 3" xfId="13772"/>
    <cellStyle name="표준 16 3 2 3 3 2" xfId="34648"/>
    <cellStyle name="표준 16 3 2 3 4" xfId="25910"/>
    <cellStyle name="표준 16 3 2 4" xfId="5424"/>
    <cellStyle name="표준 16 3 2 4 2" xfId="14433"/>
    <cellStyle name="표준 16 3 2 4 2 2" xfId="35309"/>
    <cellStyle name="표준 16 3 2 4 3" xfId="26571"/>
    <cellStyle name="표준 16 3 2 5" xfId="7227"/>
    <cellStyle name="표준 16 3 2 5 2" xfId="16234"/>
    <cellStyle name="표준 16 3 2 5 2 2" xfId="37110"/>
    <cellStyle name="표준 16 3 2 5 3" xfId="28372"/>
    <cellStyle name="표준 16 3 2 6" xfId="7871"/>
    <cellStyle name="표준 16 3 2 6 2" xfId="16877"/>
    <cellStyle name="표준 16 3 2 6 2 2" xfId="37753"/>
    <cellStyle name="표준 16 3 2 6 3" xfId="29015"/>
    <cellStyle name="표준 16 3 2 7" xfId="8719"/>
    <cellStyle name="표준 16 3 2 7 2" xfId="17724"/>
    <cellStyle name="표준 16 3 2 7 2 2" xfId="38600"/>
    <cellStyle name="표준 16 3 2 7 3" xfId="29862"/>
    <cellStyle name="표준 16 3 2 8" xfId="9544"/>
    <cellStyle name="표준 16 3 2 8 2" xfId="18542"/>
    <cellStyle name="표준 16 3 2 8 2 2" xfId="39418"/>
    <cellStyle name="표준 16 3 2 8 3" xfId="30680"/>
    <cellStyle name="표준 16 3 2 9" xfId="10599"/>
    <cellStyle name="표준 16 3 2 9 2" xfId="19370"/>
    <cellStyle name="표준 16 3 2 9 2 2" xfId="40246"/>
    <cellStyle name="표준 16 3 2 9 3" xfId="31510"/>
    <cellStyle name="표준 16 3 3" xfId="3378"/>
    <cellStyle name="표준 16 3 3 10" xfId="12841"/>
    <cellStyle name="표준 16 3 3 10 2" xfId="33718"/>
    <cellStyle name="표준 16 3 3 11" xfId="24968"/>
    <cellStyle name="표준 16 3 3 2" xfId="4971"/>
    <cellStyle name="표준 16 3 3 2 2" xfId="6798"/>
    <cellStyle name="표준 16 3 3 2 2 2" xfId="15807"/>
    <cellStyle name="표준 16 3 3 2 2 2 2" xfId="36683"/>
    <cellStyle name="표준 16 3 3 2 2 3" xfId="27945"/>
    <cellStyle name="표준 16 3 3 2 3" xfId="13989"/>
    <cellStyle name="표준 16 3 3 2 3 2" xfId="34865"/>
    <cellStyle name="표준 16 3 3 2 4" xfId="26127"/>
    <cellStyle name="표준 16 3 3 3" xfId="5651"/>
    <cellStyle name="표준 16 3 3 3 2" xfId="14660"/>
    <cellStyle name="표준 16 3 3 3 2 2" xfId="35536"/>
    <cellStyle name="표준 16 3 3 3 3" xfId="26798"/>
    <cellStyle name="표준 16 3 3 4" xfId="7444"/>
    <cellStyle name="표준 16 3 3 4 2" xfId="16451"/>
    <cellStyle name="표준 16 3 3 4 2 2" xfId="37327"/>
    <cellStyle name="표준 16 3 3 4 3" xfId="28589"/>
    <cellStyle name="표준 16 3 3 5" xfId="8088"/>
    <cellStyle name="표준 16 3 3 5 2" xfId="17094"/>
    <cellStyle name="표준 16 3 3 5 2 2" xfId="37970"/>
    <cellStyle name="표준 16 3 3 5 3" xfId="29232"/>
    <cellStyle name="표준 16 3 3 6" xfId="8936"/>
    <cellStyle name="표준 16 3 3 6 2" xfId="17941"/>
    <cellStyle name="표준 16 3 3 6 2 2" xfId="38817"/>
    <cellStyle name="표준 16 3 3 6 3" xfId="30079"/>
    <cellStyle name="표준 16 3 3 7" xfId="9761"/>
    <cellStyle name="표준 16 3 3 7 2" xfId="18759"/>
    <cellStyle name="표준 16 3 3 7 2 2" xfId="39635"/>
    <cellStyle name="표준 16 3 3 7 3" xfId="30897"/>
    <cellStyle name="표준 16 3 3 8" xfId="10816"/>
    <cellStyle name="표준 16 3 3 8 2" xfId="19587"/>
    <cellStyle name="표준 16 3 3 8 2 2" xfId="40463"/>
    <cellStyle name="표준 16 3 3 8 3" xfId="31727"/>
    <cellStyle name="표준 16 3 3 9" xfId="11682"/>
    <cellStyle name="표준 16 3 3 9 2" xfId="20448"/>
    <cellStyle name="표준 16 3 3 9 2 2" xfId="41324"/>
    <cellStyle name="표준 16 3 3 9 3" xfId="32588"/>
    <cellStyle name="표준 16 3 4" xfId="4537"/>
    <cellStyle name="표준 16 3 4 2" xfId="6371"/>
    <cellStyle name="표준 16 3 4 2 2" xfId="15380"/>
    <cellStyle name="표준 16 3 4 2 2 2" xfId="36256"/>
    <cellStyle name="표준 16 3 4 2 3" xfId="27518"/>
    <cellStyle name="표준 16 3 4 3" xfId="11034"/>
    <cellStyle name="표준 16 3 4 3 2" xfId="19804"/>
    <cellStyle name="표준 16 3 4 3 2 2" xfId="40680"/>
    <cellStyle name="표준 16 3 4 3 3" xfId="31944"/>
    <cellStyle name="표준 16 3 4 4" xfId="11899"/>
    <cellStyle name="표준 16 3 4 4 2" xfId="20665"/>
    <cellStyle name="표준 16 3 4 4 2 2" xfId="41541"/>
    <cellStyle name="표준 16 3 4 4 3" xfId="32805"/>
    <cellStyle name="표준 16 3 4 5" xfId="13562"/>
    <cellStyle name="표준 16 3 4 5 2" xfId="34438"/>
    <cellStyle name="표준 16 3 4 6" xfId="25700"/>
    <cellStyle name="표준 16 3 5" xfId="5214"/>
    <cellStyle name="표준 16 3 5 2" xfId="14223"/>
    <cellStyle name="표준 16 3 5 2 2" xfId="35099"/>
    <cellStyle name="표준 16 3 5 3" xfId="26361"/>
    <cellStyle name="표준 16 3 6" xfId="7016"/>
    <cellStyle name="표준 16 3 6 2" xfId="16024"/>
    <cellStyle name="표준 16 3 6 2 2" xfId="36900"/>
    <cellStyle name="표준 16 3 6 3" xfId="28162"/>
    <cellStyle name="표준 16 3 7" xfId="7661"/>
    <cellStyle name="표준 16 3 7 2" xfId="16667"/>
    <cellStyle name="표준 16 3 7 2 2" xfId="37543"/>
    <cellStyle name="표준 16 3 7 3" xfId="28805"/>
    <cellStyle name="표준 16 3 8" xfId="8509"/>
    <cellStyle name="표준 16 3 8 2" xfId="17514"/>
    <cellStyle name="표준 16 3 8 2 2" xfId="38390"/>
    <cellStyle name="표준 16 3 8 3" xfId="29652"/>
    <cellStyle name="표준 16 3 9" xfId="9333"/>
    <cellStyle name="표준 16 3 9 2" xfId="18332"/>
    <cellStyle name="표준 16 3 9 2 2" xfId="39208"/>
    <cellStyle name="표준 16 3 9 3" xfId="30470"/>
    <cellStyle name="표준 16 4" xfId="2929"/>
    <cellStyle name="표준 16 4 10" xfId="10390"/>
    <cellStyle name="표준 16 4 10 2" xfId="19161"/>
    <cellStyle name="표준 16 4 10 2 2" xfId="40037"/>
    <cellStyle name="표준 16 4 10 3" xfId="31301"/>
    <cellStyle name="표준 16 4 11" xfId="11256"/>
    <cellStyle name="표준 16 4 11 2" xfId="20022"/>
    <cellStyle name="표준 16 4 11 2 2" xfId="40898"/>
    <cellStyle name="표준 16 4 11 3" xfId="32162"/>
    <cellStyle name="표준 16 4 12" xfId="12404"/>
    <cellStyle name="표준 16 4 12 2" xfId="33282"/>
    <cellStyle name="표준 16 4 13" xfId="24532"/>
    <cellStyle name="표준 16 4 2" xfId="3147"/>
    <cellStyle name="표준 16 4 2 10" xfId="11466"/>
    <cellStyle name="표준 16 4 2 10 2" xfId="20232"/>
    <cellStyle name="표준 16 4 2 10 2 2" xfId="41108"/>
    <cellStyle name="표준 16 4 2 10 3" xfId="32372"/>
    <cellStyle name="표준 16 4 2 11" xfId="12615"/>
    <cellStyle name="표준 16 4 2 11 2" xfId="33492"/>
    <cellStyle name="표준 16 4 2 12" xfId="24742"/>
    <cellStyle name="표준 16 4 2 2" xfId="3589"/>
    <cellStyle name="표준 16 4 2 2 2" xfId="5862"/>
    <cellStyle name="표준 16 4 2 2 2 2" xfId="14871"/>
    <cellStyle name="표준 16 4 2 2 2 2 2" xfId="35747"/>
    <cellStyle name="표준 16 4 2 2 2 3" xfId="27009"/>
    <cellStyle name="표준 16 4 2 2 3" xfId="13052"/>
    <cellStyle name="표준 16 4 2 2 3 2" xfId="33929"/>
    <cellStyle name="표준 16 4 2 2 4" xfId="25179"/>
    <cellStyle name="표준 16 4 2 3" xfId="4750"/>
    <cellStyle name="표준 16 4 2 3 2" xfId="6582"/>
    <cellStyle name="표준 16 4 2 3 2 2" xfId="15591"/>
    <cellStyle name="표준 16 4 2 3 2 2 2" xfId="36467"/>
    <cellStyle name="표준 16 4 2 3 2 3" xfId="27729"/>
    <cellStyle name="표준 16 4 2 3 3" xfId="13773"/>
    <cellStyle name="표준 16 4 2 3 3 2" xfId="34649"/>
    <cellStyle name="표준 16 4 2 3 4" xfId="25911"/>
    <cellStyle name="표준 16 4 2 4" xfId="5425"/>
    <cellStyle name="표준 16 4 2 4 2" xfId="14434"/>
    <cellStyle name="표준 16 4 2 4 2 2" xfId="35310"/>
    <cellStyle name="표준 16 4 2 4 3" xfId="26572"/>
    <cellStyle name="표준 16 4 2 5" xfId="7228"/>
    <cellStyle name="표준 16 4 2 5 2" xfId="16235"/>
    <cellStyle name="표준 16 4 2 5 2 2" xfId="37111"/>
    <cellStyle name="표준 16 4 2 5 3" xfId="28373"/>
    <cellStyle name="표준 16 4 2 6" xfId="7872"/>
    <cellStyle name="표준 16 4 2 6 2" xfId="16878"/>
    <cellStyle name="표준 16 4 2 6 2 2" xfId="37754"/>
    <cellStyle name="표준 16 4 2 6 3" xfId="29016"/>
    <cellStyle name="표준 16 4 2 7" xfId="8720"/>
    <cellStyle name="표준 16 4 2 7 2" xfId="17725"/>
    <cellStyle name="표준 16 4 2 7 2 2" xfId="38601"/>
    <cellStyle name="표준 16 4 2 7 3" xfId="29863"/>
    <cellStyle name="표준 16 4 2 8" xfId="9545"/>
    <cellStyle name="표준 16 4 2 8 2" xfId="18543"/>
    <cellStyle name="표준 16 4 2 8 2 2" xfId="39419"/>
    <cellStyle name="표준 16 4 2 8 3" xfId="30681"/>
    <cellStyle name="표준 16 4 2 9" xfId="10600"/>
    <cellStyle name="표준 16 4 2 9 2" xfId="19371"/>
    <cellStyle name="표준 16 4 2 9 2 2" xfId="40247"/>
    <cellStyle name="표준 16 4 2 9 3" xfId="31511"/>
    <cellStyle name="표준 16 4 3" xfId="3379"/>
    <cellStyle name="표준 16 4 3 10" xfId="12842"/>
    <cellStyle name="표준 16 4 3 10 2" xfId="33719"/>
    <cellStyle name="표준 16 4 3 11" xfId="24969"/>
    <cellStyle name="표준 16 4 3 2" xfId="4972"/>
    <cellStyle name="표준 16 4 3 2 2" xfId="6799"/>
    <cellStyle name="표준 16 4 3 2 2 2" xfId="15808"/>
    <cellStyle name="표준 16 4 3 2 2 2 2" xfId="36684"/>
    <cellStyle name="표준 16 4 3 2 2 3" xfId="27946"/>
    <cellStyle name="표준 16 4 3 2 3" xfId="13990"/>
    <cellStyle name="표준 16 4 3 2 3 2" xfId="34866"/>
    <cellStyle name="표준 16 4 3 2 4" xfId="26128"/>
    <cellStyle name="표준 16 4 3 3" xfId="5652"/>
    <cellStyle name="표준 16 4 3 3 2" xfId="14661"/>
    <cellStyle name="표준 16 4 3 3 2 2" xfId="35537"/>
    <cellStyle name="표준 16 4 3 3 3" xfId="26799"/>
    <cellStyle name="표준 16 4 3 4" xfId="7445"/>
    <cellStyle name="표준 16 4 3 4 2" xfId="16452"/>
    <cellStyle name="표준 16 4 3 4 2 2" xfId="37328"/>
    <cellStyle name="표준 16 4 3 4 3" xfId="28590"/>
    <cellStyle name="표준 16 4 3 5" xfId="8089"/>
    <cellStyle name="표준 16 4 3 5 2" xfId="17095"/>
    <cellStyle name="표준 16 4 3 5 2 2" xfId="37971"/>
    <cellStyle name="표준 16 4 3 5 3" xfId="29233"/>
    <cellStyle name="표준 16 4 3 6" xfId="8937"/>
    <cellStyle name="표준 16 4 3 6 2" xfId="17942"/>
    <cellStyle name="표준 16 4 3 6 2 2" xfId="38818"/>
    <cellStyle name="표준 16 4 3 6 3" xfId="30080"/>
    <cellStyle name="표준 16 4 3 7" xfId="9762"/>
    <cellStyle name="표준 16 4 3 7 2" xfId="18760"/>
    <cellStyle name="표준 16 4 3 7 2 2" xfId="39636"/>
    <cellStyle name="표준 16 4 3 7 3" xfId="30898"/>
    <cellStyle name="표준 16 4 3 8" xfId="10817"/>
    <cellStyle name="표준 16 4 3 8 2" xfId="19588"/>
    <cellStyle name="표준 16 4 3 8 2 2" xfId="40464"/>
    <cellStyle name="표준 16 4 3 8 3" xfId="31728"/>
    <cellStyle name="표준 16 4 3 9" xfId="11683"/>
    <cellStyle name="표준 16 4 3 9 2" xfId="20449"/>
    <cellStyle name="표준 16 4 3 9 2 2" xfId="41325"/>
    <cellStyle name="표준 16 4 3 9 3" xfId="32589"/>
    <cellStyle name="표준 16 4 4" xfId="4538"/>
    <cellStyle name="표준 16 4 4 2" xfId="6372"/>
    <cellStyle name="표준 16 4 4 2 2" xfId="15381"/>
    <cellStyle name="표준 16 4 4 2 2 2" xfId="36257"/>
    <cellStyle name="표준 16 4 4 2 3" xfId="27519"/>
    <cellStyle name="표준 16 4 4 3" xfId="11035"/>
    <cellStyle name="표준 16 4 4 3 2" xfId="19805"/>
    <cellStyle name="표준 16 4 4 3 2 2" xfId="40681"/>
    <cellStyle name="표준 16 4 4 3 3" xfId="31945"/>
    <cellStyle name="표준 16 4 4 4" xfId="11900"/>
    <cellStyle name="표준 16 4 4 4 2" xfId="20666"/>
    <cellStyle name="표준 16 4 4 4 2 2" xfId="41542"/>
    <cellStyle name="표준 16 4 4 4 3" xfId="32806"/>
    <cellStyle name="표준 16 4 4 5" xfId="13563"/>
    <cellStyle name="표준 16 4 4 5 2" xfId="34439"/>
    <cellStyle name="표준 16 4 4 6" xfId="25701"/>
    <cellStyle name="표준 16 4 5" xfId="5215"/>
    <cellStyle name="표준 16 4 5 2" xfId="14224"/>
    <cellStyle name="표준 16 4 5 2 2" xfId="35100"/>
    <cellStyle name="표준 16 4 5 3" xfId="26362"/>
    <cellStyle name="표준 16 4 6" xfId="7017"/>
    <cellStyle name="표준 16 4 6 2" xfId="16025"/>
    <cellStyle name="표준 16 4 6 2 2" xfId="36901"/>
    <cellStyle name="표준 16 4 6 3" xfId="28163"/>
    <cellStyle name="표준 16 4 7" xfId="7662"/>
    <cellStyle name="표준 16 4 7 2" xfId="16668"/>
    <cellStyle name="표준 16 4 7 2 2" xfId="37544"/>
    <cellStyle name="표준 16 4 7 3" xfId="28806"/>
    <cellStyle name="표준 16 4 8" xfId="8510"/>
    <cellStyle name="표준 16 4 8 2" xfId="17515"/>
    <cellStyle name="표준 16 4 8 2 2" xfId="38391"/>
    <cellStyle name="표준 16 4 8 3" xfId="29653"/>
    <cellStyle name="표준 16 4 9" xfId="9334"/>
    <cellStyle name="표준 16 4 9 2" xfId="18333"/>
    <cellStyle name="표준 16 4 9 2 2" xfId="39209"/>
    <cellStyle name="표준 16 4 9 3" xfId="30471"/>
    <cellStyle name="표준 16 5" xfId="2930"/>
    <cellStyle name="표준 16 5 10" xfId="10391"/>
    <cellStyle name="표준 16 5 10 2" xfId="19162"/>
    <cellStyle name="표준 16 5 10 2 2" xfId="40038"/>
    <cellStyle name="표준 16 5 10 3" xfId="31302"/>
    <cellStyle name="표준 16 5 11" xfId="11257"/>
    <cellStyle name="표준 16 5 11 2" xfId="20023"/>
    <cellStyle name="표준 16 5 11 2 2" xfId="40899"/>
    <cellStyle name="표준 16 5 11 3" xfId="32163"/>
    <cellStyle name="표준 16 5 12" xfId="12405"/>
    <cellStyle name="표준 16 5 12 2" xfId="33283"/>
    <cellStyle name="표준 16 5 13" xfId="24533"/>
    <cellStyle name="표준 16 5 2" xfId="3148"/>
    <cellStyle name="표준 16 5 2 10" xfId="11467"/>
    <cellStyle name="표준 16 5 2 10 2" xfId="20233"/>
    <cellStyle name="표준 16 5 2 10 2 2" xfId="41109"/>
    <cellStyle name="표준 16 5 2 10 3" xfId="32373"/>
    <cellStyle name="표준 16 5 2 11" xfId="12616"/>
    <cellStyle name="표준 16 5 2 11 2" xfId="33493"/>
    <cellStyle name="표준 16 5 2 12" xfId="24743"/>
    <cellStyle name="표준 16 5 2 2" xfId="3590"/>
    <cellStyle name="표준 16 5 2 2 2" xfId="5863"/>
    <cellStyle name="표준 16 5 2 2 2 2" xfId="14872"/>
    <cellStyle name="표준 16 5 2 2 2 2 2" xfId="35748"/>
    <cellStyle name="표준 16 5 2 2 2 3" xfId="27010"/>
    <cellStyle name="표준 16 5 2 2 3" xfId="13053"/>
    <cellStyle name="표준 16 5 2 2 3 2" xfId="33930"/>
    <cellStyle name="표준 16 5 2 2 4" xfId="25180"/>
    <cellStyle name="표준 16 5 2 3" xfId="4751"/>
    <cellStyle name="표준 16 5 2 3 2" xfId="6583"/>
    <cellStyle name="표준 16 5 2 3 2 2" xfId="15592"/>
    <cellStyle name="표준 16 5 2 3 2 2 2" xfId="36468"/>
    <cellStyle name="표준 16 5 2 3 2 3" xfId="27730"/>
    <cellStyle name="표준 16 5 2 3 3" xfId="13774"/>
    <cellStyle name="표준 16 5 2 3 3 2" xfId="34650"/>
    <cellStyle name="표준 16 5 2 3 4" xfId="25912"/>
    <cellStyle name="표준 16 5 2 4" xfId="5426"/>
    <cellStyle name="표준 16 5 2 4 2" xfId="14435"/>
    <cellStyle name="표준 16 5 2 4 2 2" xfId="35311"/>
    <cellStyle name="표준 16 5 2 4 3" xfId="26573"/>
    <cellStyle name="표준 16 5 2 5" xfId="7229"/>
    <cellStyle name="표준 16 5 2 5 2" xfId="16236"/>
    <cellStyle name="표준 16 5 2 5 2 2" xfId="37112"/>
    <cellStyle name="표준 16 5 2 5 3" xfId="28374"/>
    <cellStyle name="표준 16 5 2 6" xfId="7873"/>
    <cellStyle name="표준 16 5 2 6 2" xfId="16879"/>
    <cellStyle name="표준 16 5 2 6 2 2" xfId="37755"/>
    <cellStyle name="표준 16 5 2 6 3" xfId="29017"/>
    <cellStyle name="표준 16 5 2 7" xfId="8721"/>
    <cellStyle name="표준 16 5 2 7 2" xfId="17726"/>
    <cellStyle name="표준 16 5 2 7 2 2" xfId="38602"/>
    <cellStyle name="표준 16 5 2 7 3" xfId="29864"/>
    <cellStyle name="표준 16 5 2 8" xfId="9546"/>
    <cellStyle name="표준 16 5 2 8 2" xfId="18544"/>
    <cellStyle name="표준 16 5 2 8 2 2" xfId="39420"/>
    <cellStyle name="표준 16 5 2 8 3" xfId="30682"/>
    <cellStyle name="표준 16 5 2 9" xfId="10601"/>
    <cellStyle name="표준 16 5 2 9 2" xfId="19372"/>
    <cellStyle name="표준 16 5 2 9 2 2" xfId="40248"/>
    <cellStyle name="표준 16 5 2 9 3" xfId="31512"/>
    <cellStyle name="표준 16 5 3" xfId="3380"/>
    <cellStyle name="표준 16 5 3 10" xfId="12843"/>
    <cellStyle name="표준 16 5 3 10 2" xfId="33720"/>
    <cellStyle name="표준 16 5 3 11" xfId="24970"/>
    <cellStyle name="표준 16 5 3 2" xfId="4973"/>
    <cellStyle name="표준 16 5 3 2 2" xfId="6800"/>
    <cellStyle name="표준 16 5 3 2 2 2" xfId="15809"/>
    <cellStyle name="표준 16 5 3 2 2 2 2" xfId="36685"/>
    <cellStyle name="표준 16 5 3 2 2 3" xfId="27947"/>
    <cellStyle name="표준 16 5 3 2 3" xfId="13991"/>
    <cellStyle name="표준 16 5 3 2 3 2" xfId="34867"/>
    <cellStyle name="표준 16 5 3 2 4" xfId="26129"/>
    <cellStyle name="표준 16 5 3 3" xfId="5653"/>
    <cellStyle name="표준 16 5 3 3 2" xfId="14662"/>
    <cellStyle name="표준 16 5 3 3 2 2" xfId="35538"/>
    <cellStyle name="표준 16 5 3 3 3" xfId="26800"/>
    <cellStyle name="표준 16 5 3 4" xfId="7446"/>
    <cellStyle name="표준 16 5 3 4 2" xfId="16453"/>
    <cellStyle name="표준 16 5 3 4 2 2" xfId="37329"/>
    <cellStyle name="표준 16 5 3 4 3" xfId="28591"/>
    <cellStyle name="표준 16 5 3 5" xfId="8090"/>
    <cellStyle name="표준 16 5 3 5 2" xfId="17096"/>
    <cellStyle name="표준 16 5 3 5 2 2" xfId="37972"/>
    <cellStyle name="표준 16 5 3 5 3" xfId="29234"/>
    <cellStyle name="표준 16 5 3 6" xfId="8938"/>
    <cellStyle name="표준 16 5 3 6 2" xfId="17943"/>
    <cellStyle name="표준 16 5 3 6 2 2" xfId="38819"/>
    <cellStyle name="표준 16 5 3 6 3" xfId="30081"/>
    <cellStyle name="표준 16 5 3 7" xfId="9763"/>
    <cellStyle name="표준 16 5 3 7 2" xfId="18761"/>
    <cellStyle name="표준 16 5 3 7 2 2" xfId="39637"/>
    <cellStyle name="표준 16 5 3 7 3" xfId="30899"/>
    <cellStyle name="표준 16 5 3 8" xfId="10818"/>
    <cellStyle name="표준 16 5 3 8 2" xfId="19589"/>
    <cellStyle name="표준 16 5 3 8 2 2" xfId="40465"/>
    <cellStyle name="표준 16 5 3 8 3" xfId="31729"/>
    <cellStyle name="표준 16 5 3 9" xfId="11684"/>
    <cellStyle name="표준 16 5 3 9 2" xfId="20450"/>
    <cellStyle name="표준 16 5 3 9 2 2" xfId="41326"/>
    <cellStyle name="표준 16 5 3 9 3" xfId="32590"/>
    <cellStyle name="표준 16 5 4" xfId="4539"/>
    <cellStyle name="표준 16 5 4 2" xfId="6373"/>
    <cellStyle name="표준 16 5 4 2 2" xfId="15382"/>
    <cellStyle name="표준 16 5 4 2 2 2" xfId="36258"/>
    <cellStyle name="표준 16 5 4 2 3" xfId="27520"/>
    <cellStyle name="표준 16 5 4 3" xfId="11036"/>
    <cellStyle name="표준 16 5 4 3 2" xfId="19806"/>
    <cellStyle name="표준 16 5 4 3 2 2" xfId="40682"/>
    <cellStyle name="표준 16 5 4 3 3" xfId="31946"/>
    <cellStyle name="표준 16 5 4 4" xfId="11901"/>
    <cellStyle name="표준 16 5 4 4 2" xfId="20667"/>
    <cellStyle name="표준 16 5 4 4 2 2" xfId="41543"/>
    <cellStyle name="표준 16 5 4 4 3" xfId="32807"/>
    <cellStyle name="표준 16 5 4 5" xfId="13564"/>
    <cellStyle name="표준 16 5 4 5 2" xfId="34440"/>
    <cellStyle name="표준 16 5 4 6" xfId="25702"/>
    <cellStyle name="표준 16 5 5" xfId="5216"/>
    <cellStyle name="표준 16 5 5 2" xfId="14225"/>
    <cellStyle name="표준 16 5 5 2 2" xfId="35101"/>
    <cellStyle name="표준 16 5 5 3" xfId="26363"/>
    <cellStyle name="표준 16 5 6" xfId="7018"/>
    <cellStyle name="표준 16 5 6 2" xfId="16026"/>
    <cellStyle name="표준 16 5 6 2 2" xfId="36902"/>
    <cellStyle name="표준 16 5 6 3" xfId="28164"/>
    <cellStyle name="표준 16 5 7" xfId="7663"/>
    <cellStyle name="표준 16 5 7 2" xfId="16669"/>
    <cellStyle name="표준 16 5 7 2 2" xfId="37545"/>
    <cellStyle name="표준 16 5 7 3" xfId="28807"/>
    <cellStyle name="표준 16 5 8" xfId="8511"/>
    <cellStyle name="표준 16 5 8 2" xfId="17516"/>
    <cellStyle name="표준 16 5 8 2 2" xfId="38392"/>
    <cellStyle name="표준 16 5 8 3" xfId="29654"/>
    <cellStyle name="표준 16 5 9" xfId="9335"/>
    <cellStyle name="표준 16 5 9 2" xfId="18334"/>
    <cellStyle name="표준 16 5 9 2 2" xfId="39210"/>
    <cellStyle name="표준 16 5 9 3" xfId="30472"/>
    <cellStyle name="표준 16 6" xfId="2931"/>
    <cellStyle name="표준 16 6 10" xfId="10392"/>
    <cellStyle name="표준 16 6 10 2" xfId="19163"/>
    <cellStyle name="표준 16 6 10 2 2" xfId="40039"/>
    <cellStyle name="표준 16 6 10 3" xfId="31303"/>
    <cellStyle name="표준 16 6 11" xfId="11258"/>
    <cellStyle name="표준 16 6 11 2" xfId="20024"/>
    <cellStyle name="표준 16 6 11 2 2" xfId="40900"/>
    <cellStyle name="표준 16 6 11 3" xfId="32164"/>
    <cellStyle name="표준 16 6 12" xfId="12406"/>
    <cellStyle name="표준 16 6 12 2" xfId="33284"/>
    <cellStyle name="표준 16 6 13" xfId="24534"/>
    <cellStyle name="표준 16 6 2" xfId="3149"/>
    <cellStyle name="표준 16 6 2 10" xfId="11468"/>
    <cellStyle name="표준 16 6 2 10 2" xfId="20234"/>
    <cellStyle name="표준 16 6 2 10 2 2" xfId="41110"/>
    <cellStyle name="표준 16 6 2 10 3" xfId="32374"/>
    <cellStyle name="표준 16 6 2 11" xfId="12617"/>
    <cellStyle name="표준 16 6 2 11 2" xfId="33494"/>
    <cellStyle name="표준 16 6 2 12" xfId="24744"/>
    <cellStyle name="표준 16 6 2 2" xfId="3591"/>
    <cellStyle name="표준 16 6 2 2 2" xfId="5864"/>
    <cellStyle name="표준 16 6 2 2 2 2" xfId="14873"/>
    <cellStyle name="표준 16 6 2 2 2 2 2" xfId="35749"/>
    <cellStyle name="표준 16 6 2 2 2 3" xfId="27011"/>
    <cellStyle name="표준 16 6 2 2 3" xfId="13054"/>
    <cellStyle name="표준 16 6 2 2 3 2" xfId="33931"/>
    <cellStyle name="표준 16 6 2 2 4" xfId="25181"/>
    <cellStyle name="표준 16 6 2 3" xfId="4752"/>
    <cellStyle name="표준 16 6 2 3 2" xfId="6584"/>
    <cellStyle name="표준 16 6 2 3 2 2" xfId="15593"/>
    <cellStyle name="표준 16 6 2 3 2 2 2" xfId="36469"/>
    <cellStyle name="표준 16 6 2 3 2 3" xfId="27731"/>
    <cellStyle name="표준 16 6 2 3 3" xfId="13775"/>
    <cellStyle name="표준 16 6 2 3 3 2" xfId="34651"/>
    <cellStyle name="표준 16 6 2 3 4" xfId="25913"/>
    <cellStyle name="표준 16 6 2 4" xfId="5427"/>
    <cellStyle name="표준 16 6 2 4 2" xfId="14436"/>
    <cellStyle name="표준 16 6 2 4 2 2" xfId="35312"/>
    <cellStyle name="표준 16 6 2 4 3" xfId="26574"/>
    <cellStyle name="표준 16 6 2 5" xfId="7230"/>
    <cellStyle name="표준 16 6 2 5 2" xfId="16237"/>
    <cellStyle name="표준 16 6 2 5 2 2" xfId="37113"/>
    <cellStyle name="표준 16 6 2 5 3" xfId="28375"/>
    <cellStyle name="표준 16 6 2 6" xfId="7874"/>
    <cellStyle name="표준 16 6 2 6 2" xfId="16880"/>
    <cellStyle name="표준 16 6 2 6 2 2" xfId="37756"/>
    <cellStyle name="표준 16 6 2 6 3" xfId="29018"/>
    <cellStyle name="표준 16 6 2 7" xfId="8722"/>
    <cellStyle name="표준 16 6 2 7 2" xfId="17727"/>
    <cellStyle name="표준 16 6 2 7 2 2" xfId="38603"/>
    <cellStyle name="표준 16 6 2 7 3" xfId="29865"/>
    <cellStyle name="표준 16 6 2 8" xfId="9547"/>
    <cellStyle name="표준 16 6 2 8 2" xfId="18545"/>
    <cellStyle name="표준 16 6 2 8 2 2" xfId="39421"/>
    <cellStyle name="표준 16 6 2 8 3" xfId="30683"/>
    <cellStyle name="표준 16 6 2 9" xfId="10602"/>
    <cellStyle name="표준 16 6 2 9 2" xfId="19373"/>
    <cellStyle name="표준 16 6 2 9 2 2" xfId="40249"/>
    <cellStyle name="표준 16 6 2 9 3" xfId="31513"/>
    <cellStyle name="표준 16 6 3" xfId="3381"/>
    <cellStyle name="표준 16 6 3 10" xfId="12844"/>
    <cellStyle name="표준 16 6 3 10 2" xfId="33721"/>
    <cellStyle name="표준 16 6 3 11" xfId="24971"/>
    <cellStyle name="표준 16 6 3 2" xfId="4974"/>
    <cellStyle name="표준 16 6 3 2 2" xfId="6801"/>
    <cellStyle name="표준 16 6 3 2 2 2" xfId="15810"/>
    <cellStyle name="표준 16 6 3 2 2 2 2" xfId="36686"/>
    <cellStyle name="표준 16 6 3 2 2 3" xfId="27948"/>
    <cellStyle name="표준 16 6 3 2 3" xfId="13992"/>
    <cellStyle name="표준 16 6 3 2 3 2" xfId="34868"/>
    <cellStyle name="표준 16 6 3 2 4" xfId="26130"/>
    <cellStyle name="표준 16 6 3 3" xfId="5654"/>
    <cellStyle name="표준 16 6 3 3 2" xfId="14663"/>
    <cellStyle name="표준 16 6 3 3 2 2" xfId="35539"/>
    <cellStyle name="표준 16 6 3 3 3" xfId="26801"/>
    <cellStyle name="표준 16 6 3 4" xfId="7447"/>
    <cellStyle name="표준 16 6 3 4 2" xfId="16454"/>
    <cellStyle name="표준 16 6 3 4 2 2" xfId="37330"/>
    <cellStyle name="표준 16 6 3 4 3" xfId="28592"/>
    <cellStyle name="표준 16 6 3 5" xfId="8091"/>
    <cellStyle name="표준 16 6 3 5 2" xfId="17097"/>
    <cellStyle name="표준 16 6 3 5 2 2" xfId="37973"/>
    <cellStyle name="표준 16 6 3 5 3" xfId="29235"/>
    <cellStyle name="표준 16 6 3 6" xfId="8939"/>
    <cellStyle name="표준 16 6 3 6 2" xfId="17944"/>
    <cellStyle name="표준 16 6 3 6 2 2" xfId="38820"/>
    <cellStyle name="표준 16 6 3 6 3" xfId="30082"/>
    <cellStyle name="표준 16 6 3 7" xfId="9764"/>
    <cellStyle name="표준 16 6 3 7 2" xfId="18762"/>
    <cellStyle name="표준 16 6 3 7 2 2" xfId="39638"/>
    <cellStyle name="표준 16 6 3 7 3" xfId="30900"/>
    <cellStyle name="표준 16 6 3 8" xfId="10819"/>
    <cellStyle name="표준 16 6 3 8 2" xfId="19590"/>
    <cellStyle name="표준 16 6 3 8 2 2" xfId="40466"/>
    <cellStyle name="표준 16 6 3 8 3" xfId="31730"/>
    <cellStyle name="표준 16 6 3 9" xfId="11685"/>
    <cellStyle name="표준 16 6 3 9 2" xfId="20451"/>
    <cellStyle name="표준 16 6 3 9 2 2" xfId="41327"/>
    <cellStyle name="표준 16 6 3 9 3" xfId="32591"/>
    <cellStyle name="표준 16 6 4" xfId="4540"/>
    <cellStyle name="표준 16 6 4 2" xfId="6374"/>
    <cellStyle name="표준 16 6 4 2 2" xfId="15383"/>
    <cellStyle name="표준 16 6 4 2 2 2" xfId="36259"/>
    <cellStyle name="표준 16 6 4 2 3" xfId="27521"/>
    <cellStyle name="표준 16 6 4 3" xfId="11037"/>
    <cellStyle name="표준 16 6 4 3 2" xfId="19807"/>
    <cellStyle name="표준 16 6 4 3 2 2" xfId="40683"/>
    <cellStyle name="표준 16 6 4 3 3" xfId="31947"/>
    <cellStyle name="표준 16 6 4 4" xfId="11902"/>
    <cellStyle name="표준 16 6 4 4 2" xfId="20668"/>
    <cellStyle name="표준 16 6 4 4 2 2" xfId="41544"/>
    <cellStyle name="표준 16 6 4 4 3" xfId="32808"/>
    <cellStyle name="표준 16 6 4 5" xfId="13565"/>
    <cellStyle name="표준 16 6 4 5 2" xfId="34441"/>
    <cellStyle name="표준 16 6 4 6" xfId="25703"/>
    <cellStyle name="표준 16 6 5" xfId="5217"/>
    <cellStyle name="표준 16 6 5 2" xfId="14226"/>
    <cellStyle name="표준 16 6 5 2 2" xfId="35102"/>
    <cellStyle name="표준 16 6 5 3" xfId="26364"/>
    <cellStyle name="표준 16 6 6" xfId="7019"/>
    <cellStyle name="표준 16 6 6 2" xfId="16027"/>
    <cellStyle name="표준 16 6 6 2 2" xfId="36903"/>
    <cellStyle name="표준 16 6 6 3" xfId="28165"/>
    <cellStyle name="표준 16 6 7" xfId="7664"/>
    <cellStyle name="표준 16 6 7 2" xfId="16670"/>
    <cellStyle name="표준 16 6 7 2 2" xfId="37546"/>
    <cellStyle name="표준 16 6 7 3" xfId="28808"/>
    <cellStyle name="표준 16 6 8" xfId="8512"/>
    <cellStyle name="표준 16 6 8 2" xfId="17517"/>
    <cellStyle name="표준 16 6 8 2 2" xfId="38393"/>
    <cellStyle name="표준 16 6 8 3" xfId="29655"/>
    <cellStyle name="표준 16 6 9" xfId="9336"/>
    <cellStyle name="표준 16 6 9 2" xfId="18335"/>
    <cellStyle name="표준 16 6 9 2 2" xfId="39211"/>
    <cellStyle name="표준 16 6 9 3" xfId="30473"/>
    <cellStyle name="표준 16 7" xfId="2932"/>
    <cellStyle name="표준 16 7 10" xfId="10393"/>
    <cellStyle name="표준 16 7 10 2" xfId="19164"/>
    <cellStyle name="표준 16 7 10 2 2" xfId="40040"/>
    <cellStyle name="표준 16 7 10 3" xfId="31304"/>
    <cellStyle name="표준 16 7 11" xfId="11259"/>
    <cellStyle name="표준 16 7 11 2" xfId="20025"/>
    <cellStyle name="표준 16 7 11 2 2" xfId="40901"/>
    <cellStyle name="표준 16 7 11 3" xfId="32165"/>
    <cellStyle name="표준 16 7 12" xfId="12407"/>
    <cellStyle name="표준 16 7 12 2" xfId="33285"/>
    <cellStyle name="표준 16 7 13" xfId="24535"/>
    <cellStyle name="표준 16 7 2" xfId="3150"/>
    <cellStyle name="표준 16 7 2 10" xfId="11469"/>
    <cellStyle name="표준 16 7 2 10 2" xfId="20235"/>
    <cellStyle name="표준 16 7 2 10 2 2" xfId="41111"/>
    <cellStyle name="표준 16 7 2 10 3" xfId="32375"/>
    <cellStyle name="표준 16 7 2 11" xfId="12618"/>
    <cellStyle name="표준 16 7 2 11 2" xfId="33495"/>
    <cellStyle name="표준 16 7 2 12" xfId="24745"/>
    <cellStyle name="표준 16 7 2 2" xfId="3592"/>
    <cellStyle name="표준 16 7 2 2 2" xfId="5865"/>
    <cellStyle name="표준 16 7 2 2 2 2" xfId="14874"/>
    <cellStyle name="표준 16 7 2 2 2 2 2" xfId="35750"/>
    <cellStyle name="표준 16 7 2 2 2 3" xfId="27012"/>
    <cellStyle name="표준 16 7 2 2 3" xfId="13055"/>
    <cellStyle name="표준 16 7 2 2 3 2" xfId="33932"/>
    <cellStyle name="표준 16 7 2 2 4" xfId="25182"/>
    <cellStyle name="표준 16 7 2 3" xfId="4753"/>
    <cellStyle name="표준 16 7 2 3 2" xfId="6585"/>
    <cellStyle name="표준 16 7 2 3 2 2" xfId="15594"/>
    <cellStyle name="표준 16 7 2 3 2 2 2" xfId="36470"/>
    <cellStyle name="표준 16 7 2 3 2 3" xfId="27732"/>
    <cellStyle name="표준 16 7 2 3 3" xfId="13776"/>
    <cellStyle name="표준 16 7 2 3 3 2" xfId="34652"/>
    <cellStyle name="표준 16 7 2 3 4" xfId="25914"/>
    <cellStyle name="표준 16 7 2 4" xfId="5428"/>
    <cellStyle name="표준 16 7 2 4 2" xfId="14437"/>
    <cellStyle name="표준 16 7 2 4 2 2" xfId="35313"/>
    <cellStyle name="표준 16 7 2 4 3" xfId="26575"/>
    <cellStyle name="표준 16 7 2 5" xfId="7231"/>
    <cellStyle name="표준 16 7 2 5 2" xfId="16238"/>
    <cellStyle name="표준 16 7 2 5 2 2" xfId="37114"/>
    <cellStyle name="표준 16 7 2 5 3" xfId="28376"/>
    <cellStyle name="표준 16 7 2 6" xfId="7875"/>
    <cellStyle name="표준 16 7 2 6 2" xfId="16881"/>
    <cellStyle name="표준 16 7 2 6 2 2" xfId="37757"/>
    <cellStyle name="표준 16 7 2 6 3" xfId="29019"/>
    <cellStyle name="표준 16 7 2 7" xfId="8723"/>
    <cellStyle name="표준 16 7 2 7 2" xfId="17728"/>
    <cellStyle name="표준 16 7 2 7 2 2" xfId="38604"/>
    <cellStyle name="표준 16 7 2 7 3" xfId="29866"/>
    <cellStyle name="표준 16 7 2 8" xfId="9548"/>
    <cellStyle name="표준 16 7 2 8 2" xfId="18546"/>
    <cellStyle name="표준 16 7 2 8 2 2" xfId="39422"/>
    <cellStyle name="표준 16 7 2 8 3" xfId="30684"/>
    <cellStyle name="표준 16 7 2 9" xfId="10603"/>
    <cellStyle name="표준 16 7 2 9 2" xfId="19374"/>
    <cellStyle name="표준 16 7 2 9 2 2" xfId="40250"/>
    <cellStyle name="표준 16 7 2 9 3" xfId="31514"/>
    <cellStyle name="표준 16 7 3" xfId="3382"/>
    <cellStyle name="표준 16 7 3 10" xfId="12845"/>
    <cellStyle name="표준 16 7 3 10 2" xfId="33722"/>
    <cellStyle name="표준 16 7 3 11" xfId="24972"/>
    <cellStyle name="표준 16 7 3 2" xfId="4975"/>
    <cellStyle name="표준 16 7 3 2 2" xfId="6802"/>
    <cellStyle name="표준 16 7 3 2 2 2" xfId="15811"/>
    <cellStyle name="표준 16 7 3 2 2 2 2" xfId="36687"/>
    <cellStyle name="표준 16 7 3 2 2 3" xfId="27949"/>
    <cellStyle name="표준 16 7 3 2 3" xfId="13993"/>
    <cellStyle name="표준 16 7 3 2 3 2" xfId="34869"/>
    <cellStyle name="표준 16 7 3 2 4" xfId="26131"/>
    <cellStyle name="표준 16 7 3 3" xfId="5655"/>
    <cellStyle name="표준 16 7 3 3 2" xfId="14664"/>
    <cellStyle name="표준 16 7 3 3 2 2" xfId="35540"/>
    <cellStyle name="표준 16 7 3 3 3" xfId="26802"/>
    <cellStyle name="표준 16 7 3 4" xfId="7448"/>
    <cellStyle name="표준 16 7 3 4 2" xfId="16455"/>
    <cellStyle name="표준 16 7 3 4 2 2" xfId="37331"/>
    <cellStyle name="표준 16 7 3 4 3" xfId="28593"/>
    <cellStyle name="표준 16 7 3 5" xfId="8092"/>
    <cellStyle name="표준 16 7 3 5 2" xfId="17098"/>
    <cellStyle name="표준 16 7 3 5 2 2" xfId="37974"/>
    <cellStyle name="표준 16 7 3 5 3" xfId="29236"/>
    <cellStyle name="표준 16 7 3 6" xfId="8940"/>
    <cellStyle name="표준 16 7 3 6 2" xfId="17945"/>
    <cellStyle name="표준 16 7 3 6 2 2" xfId="38821"/>
    <cellStyle name="표준 16 7 3 6 3" xfId="30083"/>
    <cellStyle name="표준 16 7 3 7" xfId="9765"/>
    <cellStyle name="표준 16 7 3 7 2" xfId="18763"/>
    <cellStyle name="표준 16 7 3 7 2 2" xfId="39639"/>
    <cellStyle name="표준 16 7 3 7 3" xfId="30901"/>
    <cellStyle name="표준 16 7 3 8" xfId="10820"/>
    <cellStyle name="표준 16 7 3 8 2" xfId="19591"/>
    <cellStyle name="표준 16 7 3 8 2 2" xfId="40467"/>
    <cellStyle name="표준 16 7 3 8 3" xfId="31731"/>
    <cellStyle name="표준 16 7 3 9" xfId="11686"/>
    <cellStyle name="표준 16 7 3 9 2" xfId="20452"/>
    <cellStyle name="표준 16 7 3 9 2 2" xfId="41328"/>
    <cellStyle name="표준 16 7 3 9 3" xfId="32592"/>
    <cellStyle name="표준 16 7 4" xfId="4541"/>
    <cellStyle name="표준 16 7 4 2" xfId="6375"/>
    <cellStyle name="표준 16 7 4 2 2" xfId="15384"/>
    <cellStyle name="표준 16 7 4 2 2 2" xfId="36260"/>
    <cellStyle name="표준 16 7 4 2 3" xfId="27522"/>
    <cellStyle name="표준 16 7 4 3" xfId="11038"/>
    <cellStyle name="표준 16 7 4 3 2" xfId="19808"/>
    <cellStyle name="표준 16 7 4 3 2 2" xfId="40684"/>
    <cellStyle name="표준 16 7 4 3 3" xfId="31948"/>
    <cellStyle name="표준 16 7 4 4" xfId="11903"/>
    <cellStyle name="표준 16 7 4 4 2" xfId="20669"/>
    <cellStyle name="표준 16 7 4 4 2 2" xfId="41545"/>
    <cellStyle name="표준 16 7 4 4 3" xfId="32809"/>
    <cellStyle name="표준 16 7 4 5" xfId="13566"/>
    <cellStyle name="표준 16 7 4 5 2" xfId="34442"/>
    <cellStyle name="표준 16 7 4 6" xfId="25704"/>
    <cellStyle name="표준 16 7 5" xfId="5218"/>
    <cellStyle name="표준 16 7 5 2" xfId="14227"/>
    <cellStyle name="표준 16 7 5 2 2" xfId="35103"/>
    <cellStyle name="표준 16 7 5 3" xfId="26365"/>
    <cellStyle name="표준 16 7 6" xfId="7020"/>
    <cellStyle name="표준 16 7 6 2" xfId="16028"/>
    <cellStyle name="표준 16 7 6 2 2" xfId="36904"/>
    <cellStyle name="표준 16 7 6 3" xfId="28166"/>
    <cellStyle name="표준 16 7 7" xfId="7665"/>
    <cellStyle name="표준 16 7 7 2" xfId="16671"/>
    <cellStyle name="표준 16 7 7 2 2" xfId="37547"/>
    <cellStyle name="표준 16 7 7 3" xfId="28809"/>
    <cellStyle name="표준 16 7 8" xfId="8513"/>
    <cellStyle name="표준 16 7 8 2" xfId="17518"/>
    <cellStyle name="표준 16 7 8 2 2" xfId="38394"/>
    <cellStyle name="표준 16 7 8 3" xfId="29656"/>
    <cellStyle name="표준 16 7 9" xfId="9337"/>
    <cellStyle name="표준 16 7 9 2" xfId="18336"/>
    <cellStyle name="표준 16 7 9 2 2" xfId="39212"/>
    <cellStyle name="표준 16 7 9 3" xfId="30474"/>
    <cellStyle name="표준 16 8" xfId="3144"/>
    <cellStyle name="표준 16 8 10" xfId="11463"/>
    <cellStyle name="표준 16 8 10 2" xfId="20229"/>
    <cellStyle name="표준 16 8 10 2 2" xfId="41105"/>
    <cellStyle name="표준 16 8 10 3" xfId="32369"/>
    <cellStyle name="표준 16 8 11" xfId="12612"/>
    <cellStyle name="표준 16 8 11 2" xfId="33489"/>
    <cellStyle name="표준 16 8 12" xfId="24739"/>
    <cellStyle name="표준 16 8 2" xfId="3586"/>
    <cellStyle name="표준 16 8 2 2" xfId="5859"/>
    <cellStyle name="표준 16 8 2 2 2" xfId="14868"/>
    <cellStyle name="표준 16 8 2 2 2 2" xfId="35744"/>
    <cellStyle name="표준 16 8 2 2 3" xfId="27006"/>
    <cellStyle name="표준 16 8 2 3" xfId="13049"/>
    <cellStyle name="표준 16 8 2 3 2" xfId="33926"/>
    <cellStyle name="표준 16 8 2 4" xfId="25176"/>
    <cellStyle name="표준 16 8 3" xfId="4747"/>
    <cellStyle name="표준 16 8 3 2" xfId="6579"/>
    <cellStyle name="표준 16 8 3 2 2" xfId="15588"/>
    <cellStyle name="표준 16 8 3 2 2 2" xfId="36464"/>
    <cellStyle name="표준 16 8 3 2 3" xfId="27726"/>
    <cellStyle name="표준 16 8 3 3" xfId="13770"/>
    <cellStyle name="표준 16 8 3 3 2" xfId="34646"/>
    <cellStyle name="표준 16 8 3 4" xfId="25908"/>
    <cellStyle name="표준 16 8 4" xfId="5422"/>
    <cellStyle name="표준 16 8 4 2" xfId="14431"/>
    <cellStyle name="표준 16 8 4 2 2" xfId="35307"/>
    <cellStyle name="표준 16 8 4 3" xfId="26569"/>
    <cellStyle name="표준 16 8 5" xfId="7225"/>
    <cellStyle name="표준 16 8 5 2" xfId="16232"/>
    <cellStyle name="표준 16 8 5 2 2" xfId="37108"/>
    <cellStyle name="표준 16 8 5 3" xfId="28370"/>
    <cellStyle name="표준 16 8 6" xfId="7869"/>
    <cellStyle name="표준 16 8 6 2" xfId="16875"/>
    <cellStyle name="표준 16 8 6 2 2" xfId="37751"/>
    <cellStyle name="표준 16 8 6 3" xfId="29013"/>
    <cellStyle name="표준 16 8 7" xfId="8717"/>
    <cellStyle name="표준 16 8 7 2" xfId="17722"/>
    <cellStyle name="표준 16 8 7 2 2" xfId="38598"/>
    <cellStyle name="표준 16 8 7 3" xfId="29860"/>
    <cellStyle name="표준 16 8 8" xfId="9542"/>
    <cellStyle name="표준 16 8 8 2" xfId="18540"/>
    <cellStyle name="표준 16 8 8 2 2" xfId="39416"/>
    <cellStyle name="표준 16 8 8 3" xfId="30678"/>
    <cellStyle name="표준 16 8 9" xfId="10597"/>
    <cellStyle name="표준 16 8 9 2" xfId="19368"/>
    <cellStyle name="표준 16 8 9 2 2" xfId="40244"/>
    <cellStyle name="표준 16 8 9 3" xfId="31508"/>
    <cellStyle name="표준 16 9" xfId="3376"/>
    <cellStyle name="표준 16 9 10" xfId="12839"/>
    <cellStyle name="표준 16 9 10 2" xfId="33716"/>
    <cellStyle name="표준 16 9 11" xfId="24966"/>
    <cellStyle name="표준 16 9 2" xfId="4969"/>
    <cellStyle name="표준 16 9 2 2" xfId="6796"/>
    <cellStyle name="표준 16 9 2 2 2" xfId="15805"/>
    <cellStyle name="표준 16 9 2 2 2 2" xfId="36681"/>
    <cellStyle name="표준 16 9 2 2 3" xfId="27943"/>
    <cellStyle name="표준 16 9 2 3" xfId="13987"/>
    <cellStyle name="표준 16 9 2 3 2" xfId="34863"/>
    <cellStyle name="표준 16 9 2 4" xfId="26125"/>
    <cellStyle name="표준 16 9 3" xfId="5649"/>
    <cellStyle name="표준 16 9 3 2" xfId="14658"/>
    <cellStyle name="표준 16 9 3 2 2" xfId="35534"/>
    <cellStyle name="표준 16 9 3 3" xfId="26796"/>
    <cellStyle name="표준 16 9 4" xfId="7442"/>
    <cellStyle name="표준 16 9 4 2" xfId="16449"/>
    <cellStyle name="표준 16 9 4 2 2" xfId="37325"/>
    <cellStyle name="표준 16 9 4 3" xfId="28587"/>
    <cellStyle name="표준 16 9 5" xfId="8086"/>
    <cellStyle name="표준 16 9 5 2" xfId="17092"/>
    <cellStyle name="표준 16 9 5 2 2" xfId="37968"/>
    <cellStyle name="표준 16 9 5 3" xfId="29230"/>
    <cellStyle name="표준 16 9 6" xfId="8934"/>
    <cellStyle name="표준 16 9 6 2" xfId="17939"/>
    <cellStyle name="표준 16 9 6 2 2" xfId="38815"/>
    <cellStyle name="표준 16 9 6 3" xfId="30077"/>
    <cellStyle name="표준 16 9 7" xfId="9759"/>
    <cellStyle name="표준 16 9 7 2" xfId="18757"/>
    <cellStyle name="표준 16 9 7 2 2" xfId="39633"/>
    <cellStyle name="표준 16 9 7 3" xfId="30895"/>
    <cellStyle name="표준 16 9 8" xfId="10814"/>
    <cellStyle name="표준 16 9 8 2" xfId="19585"/>
    <cellStyle name="표준 16 9 8 2 2" xfId="40461"/>
    <cellStyle name="표준 16 9 8 3" xfId="31725"/>
    <cellStyle name="표준 16 9 9" xfId="11680"/>
    <cellStyle name="표준 16 9 9 2" xfId="20446"/>
    <cellStyle name="표준 16 9 9 2 2" xfId="41322"/>
    <cellStyle name="표준 16 9 9 3" xfId="32586"/>
    <cellStyle name="표준 17" xfId="2933"/>
    <cellStyle name="표준 17 10" xfId="4542"/>
    <cellStyle name="표준 17 10 2" xfId="6376"/>
    <cellStyle name="표준 17 10 2 2" xfId="15385"/>
    <cellStyle name="표준 17 10 2 2 2" xfId="36261"/>
    <cellStyle name="표준 17 10 2 3" xfId="27523"/>
    <cellStyle name="표준 17 10 3" xfId="11039"/>
    <cellStyle name="표준 17 10 3 2" xfId="19809"/>
    <cellStyle name="표준 17 10 3 2 2" xfId="40685"/>
    <cellStyle name="표준 17 10 3 3" xfId="31949"/>
    <cellStyle name="표준 17 10 4" xfId="11904"/>
    <cellStyle name="표준 17 10 4 2" xfId="20670"/>
    <cellStyle name="표준 17 10 4 2 2" xfId="41546"/>
    <cellStyle name="표준 17 10 4 3" xfId="32810"/>
    <cellStyle name="표준 17 10 5" xfId="13567"/>
    <cellStyle name="표준 17 10 5 2" xfId="34443"/>
    <cellStyle name="표준 17 10 6" xfId="25705"/>
    <cellStyle name="표준 17 11" xfId="5219"/>
    <cellStyle name="표준 17 11 2" xfId="14228"/>
    <cellStyle name="표준 17 11 2 2" xfId="35104"/>
    <cellStyle name="표준 17 11 3" xfId="26366"/>
    <cellStyle name="표준 17 12" xfId="7021"/>
    <cellStyle name="표준 17 12 2" xfId="16029"/>
    <cellStyle name="표준 17 12 2 2" xfId="36905"/>
    <cellStyle name="표준 17 12 3" xfId="28167"/>
    <cellStyle name="표준 17 13" xfId="7666"/>
    <cellStyle name="표준 17 13 2" xfId="16672"/>
    <cellStyle name="표준 17 13 2 2" xfId="37548"/>
    <cellStyle name="표준 17 13 3" xfId="28810"/>
    <cellStyle name="표준 17 14" xfId="8514"/>
    <cellStyle name="표준 17 14 2" xfId="17519"/>
    <cellStyle name="표준 17 14 2 2" xfId="38395"/>
    <cellStyle name="표준 17 14 3" xfId="29657"/>
    <cellStyle name="표준 17 15" xfId="9338"/>
    <cellStyle name="표준 17 15 2" xfId="18337"/>
    <cellStyle name="표준 17 15 2 2" xfId="39213"/>
    <cellStyle name="표준 17 15 3" xfId="30475"/>
    <cellStyle name="표준 17 16" xfId="10394"/>
    <cellStyle name="표준 17 16 2" xfId="19165"/>
    <cellStyle name="표준 17 16 2 2" xfId="40041"/>
    <cellStyle name="표준 17 16 3" xfId="31305"/>
    <cellStyle name="표준 17 17" xfId="11260"/>
    <cellStyle name="표준 17 17 2" xfId="20026"/>
    <cellStyle name="표준 17 17 2 2" xfId="40902"/>
    <cellStyle name="표준 17 17 3" xfId="32166"/>
    <cellStyle name="표준 17 18" xfId="12408"/>
    <cellStyle name="표준 17 18 2" xfId="33286"/>
    <cellStyle name="표준 17 19" xfId="24232"/>
    <cellStyle name="표준 17 2" xfId="2934"/>
    <cellStyle name="표준 17 2 10" xfId="10395"/>
    <cellStyle name="표준 17 2 10 2" xfId="19166"/>
    <cellStyle name="표준 17 2 10 2 2" xfId="40042"/>
    <cellStyle name="표준 17 2 10 3" xfId="31306"/>
    <cellStyle name="표준 17 2 11" xfId="11261"/>
    <cellStyle name="표준 17 2 11 2" xfId="20027"/>
    <cellStyle name="표준 17 2 11 2 2" xfId="40903"/>
    <cellStyle name="표준 17 2 11 3" xfId="32167"/>
    <cellStyle name="표준 17 2 12" xfId="12409"/>
    <cellStyle name="표준 17 2 12 2" xfId="33287"/>
    <cellStyle name="표준 17 2 13" xfId="24537"/>
    <cellStyle name="표준 17 2 2" xfId="3152"/>
    <cellStyle name="표준 17 2 2 10" xfId="11471"/>
    <cellStyle name="표준 17 2 2 10 2" xfId="20237"/>
    <cellStyle name="표준 17 2 2 10 2 2" xfId="41113"/>
    <cellStyle name="표준 17 2 2 10 3" xfId="32377"/>
    <cellStyle name="표준 17 2 2 11" xfId="12620"/>
    <cellStyle name="표준 17 2 2 11 2" xfId="33497"/>
    <cellStyle name="표준 17 2 2 12" xfId="24747"/>
    <cellStyle name="표준 17 2 2 2" xfId="3594"/>
    <cellStyle name="표준 17 2 2 2 2" xfId="5867"/>
    <cellStyle name="표준 17 2 2 2 2 2" xfId="14876"/>
    <cellStyle name="표준 17 2 2 2 2 2 2" xfId="35752"/>
    <cellStyle name="표준 17 2 2 2 2 3" xfId="27014"/>
    <cellStyle name="표준 17 2 2 2 3" xfId="13057"/>
    <cellStyle name="표준 17 2 2 2 3 2" xfId="33934"/>
    <cellStyle name="표준 17 2 2 2 4" xfId="25184"/>
    <cellStyle name="표준 17 2 2 3" xfId="4755"/>
    <cellStyle name="표준 17 2 2 3 2" xfId="6587"/>
    <cellStyle name="표준 17 2 2 3 2 2" xfId="15596"/>
    <cellStyle name="표준 17 2 2 3 2 2 2" xfId="36472"/>
    <cellStyle name="표준 17 2 2 3 2 3" xfId="27734"/>
    <cellStyle name="표준 17 2 2 3 3" xfId="13778"/>
    <cellStyle name="표준 17 2 2 3 3 2" xfId="34654"/>
    <cellStyle name="표준 17 2 2 3 4" xfId="25916"/>
    <cellStyle name="표준 17 2 2 4" xfId="5430"/>
    <cellStyle name="표준 17 2 2 4 2" xfId="14439"/>
    <cellStyle name="표준 17 2 2 4 2 2" xfId="35315"/>
    <cellStyle name="표준 17 2 2 4 3" xfId="26577"/>
    <cellStyle name="표준 17 2 2 5" xfId="7233"/>
    <cellStyle name="표준 17 2 2 5 2" xfId="16240"/>
    <cellStyle name="표준 17 2 2 5 2 2" xfId="37116"/>
    <cellStyle name="표준 17 2 2 5 3" xfId="28378"/>
    <cellStyle name="표준 17 2 2 6" xfId="7877"/>
    <cellStyle name="표준 17 2 2 6 2" xfId="16883"/>
    <cellStyle name="표준 17 2 2 6 2 2" xfId="37759"/>
    <cellStyle name="표준 17 2 2 6 3" xfId="29021"/>
    <cellStyle name="표준 17 2 2 7" xfId="8725"/>
    <cellStyle name="표준 17 2 2 7 2" xfId="17730"/>
    <cellStyle name="표준 17 2 2 7 2 2" xfId="38606"/>
    <cellStyle name="표준 17 2 2 7 3" xfId="29868"/>
    <cellStyle name="표준 17 2 2 8" xfId="9550"/>
    <cellStyle name="표준 17 2 2 8 2" xfId="18548"/>
    <cellStyle name="표준 17 2 2 8 2 2" xfId="39424"/>
    <cellStyle name="표준 17 2 2 8 3" xfId="30686"/>
    <cellStyle name="표준 17 2 2 9" xfId="10605"/>
    <cellStyle name="표준 17 2 2 9 2" xfId="19376"/>
    <cellStyle name="표준 17 2 2 9 2 2" xfId="40252"/>
    <cellStyle name="표준 17 2 2 9 3" xfId="31516"/>
    <cellStyle name="표준 17 2 3" xfId="3384"/>
    <cellStyle name="표준 17 2 3 10" xfId="12847"/>
    <cellStyle name="표준 17 2 3 10 2" xfId="33724"/>
    <cellStyle name="표준 17 2 3 11" xfId="24974"/>
    <cellStyle name="표준 17 2 3 2" xfId="4977"/>
    <cellStyle name="표준 17 2 3 2 2" xfId="6804"/>
    <cellStyle name="표준 17 2 3 2 2 2" xfId="15813"/>
    <cellStyle name="표준 17 2 3 2 2 2 2" xfId="36689"/>
    <cellStyle name="표준 17 2 3 2 2 3" xfId="27951"/>
    <cellStyle name="표준 17 2 3 2 3" xfId="13995"/>
    <cellStyle name="표준 17 2 3 2 3 2" xfId="34871"/>
    <cellStyle name="표준 17 2 3 2 4" xfId="26133"/>
    <cellStyle name="표준 17 2 3 3" xfId="5657"/>
    <cellStyle name="표준 17 2 3 3 2" xfId="14666"/>
    <cellStyle name="표준 17 2 3 3 2 2" xfId="35542"/>
    <cellStyle name="표준 17 2 3 3 3" xfId="26804"/>
    <cellStyle name="표준 17 2 3 4" xfId="7450"/>
    <cellStyle name="표준 17 2 3 4 2" xfId="16457"/>
    <cellStyle name="표준 17 2 3 4 2 2" xfId="37333"/>
    <cellStyle name="표준 17 2 3 4 3" xfId="28595"/>
    <cellStyle name="표준 17 2 3 5" xfId="8094"/>
    <cellStyle name="표준 17 2 3 5 2" xfId="17100"/>
    <cellStyle name="표준 17 2 3 5 2 2" xfId="37976"/>
    <cellStyle name="표준 17 2 3 5 3" xfId="29238"/>
    <cellStyle name="표준 17 2 3 6" xfId="8942"/>
    <cellStyle name="표준 17 2 3 6 2" xfId="17947"/>
    <cellStyle name="표준 17 2 3 6 2 2" xfId="38823"/>
    <cellStyle name="표준 17 2 3 6 3" xfId="30085"/>
    <cellStyle name="표준 17 2 3 7" xfId="9767"/>
    <cellStyle name="표준 17 2 3 7 2" xfId="18765"/>
    <cellStyle name="표준 17 2 3 7 2 2" xfId="39641"/>
    <cellStyle name="표준 17 2 3 7 3" xfId="30903"/>
    <cellStyle name="표준 17 2 3 8" xfId="10822"/>
    <cellStyle name="표준 17 2 3 8 2" xfId="19593"/>
    <cellStyle name="표준 17 2 3 8 2 2" xfId="40469"/>
    <cellStyle name="표준 17 2 3 8 3" xfId="31733"/>
    <cellStyle name="표준 17 2 3 9" xfId="11688"/>
    <cellStyle name="표준 17 2 3 9 2" xfId="20454"/>
    <cellStyle name="표준 17 2 3 9 2 2" xfId="41330"/>
    <cellStyle name="표준 17 2 3 9 3" xfId="32594"/>
    <cellStyle name="표준 17 2 4" xfId="4543"/>
    <cellStyle name="표준 17 2 4 2" xfId="6377"/>
    <cellStyle name="표준 17 2 4 2 2" xfId="15386"/>
    <cellStyle name="표준 17 2 4 2 2 2" xfId="36262"/>
    <cellStyle name="표준 17 2 4 2 3" xfId="27524"/>
    <cellStyle name="표준 17 2 4 3" xfId="11040"/>
    <cellStyle name="표준 17 2 4 3 2" xfId="19810"/>
    <cellStyle name="표준 17 2 4 3 2 2" xfId="40686"/>
    <cellStyle name="표준 17 2 4 3 3" xfId="31950"/>
    <cellStyle name="표준 17 2 4 4" xfId="11905"/>
    <cellStyle name="표준 17 2 4 4 2" xfId="20671"/>
    <cellStyle name="표준 17 2 4 4 2 2" xfId="41547"/>
    <cellStyle name="표준 17 2 4 4 3" xfId="32811"/>
    <cellStyle name="표준 17 2 4 5" xfId="13568"/>
    <cellStyle name="표준 17 2 4 5 2" xfId="34444"/>
    <cellStyle name="표준 17 2 4 6" xfId="25706"/>
    <cellStyle name="표준 17 2 5" xfId="5220"/>
    <cellStyle name="표준 17 2 5 2" xfId="14229"/>
    <cellStyle name="표준 17 2 5 2 2" xfId="35105"/>
    <cellStyle name="표준 17 2 5 3" xfId="26367"/>
    <cellStyle name="표준 17 2 6" xfId="7022"/>
    <cellStyle name="표준 17 2 6 2" xfId="16030"/>
    <cellStyle name="표준 17 2 6 2 2" xfId="36906"/>
    <cellStyle name="표준 17 2 6 3" xfId="28168"/>
    <cellStyle name="표준 17 2 7" xfId="7667"/>
    <cellStyle name="표준 17 2 7 2" xfId="16673"/>
    <cellStyle name="표준 17 2 7 2 2" xfId="37549"/>
    <cellStyle name="표준 17 2 7 3" xfId="28811"/>
    <cellStyle name="표준 17 2 8" xfId="8515"/>
    <cellStyle name="표준 17 2 8 2" xfId="17520"/>
    <cellStyle name="표준 17 2 8 2 2" xfId="38396"/>
    <cellStyle name="표준 17 2 8 3" xfId="29658"/>
    <cellStyle name="표준 17 2 9" xfId="9339"/>
    <cellStyle name="표준 17 2 9 2" xfId="18338"/>
    <cellStyle name="표준 17 2 9 2 2" xfId="39214"/>
    <cellStyle name="표준 17 2 9 3" xfId="30476"/>
    <cellStyle name="표준 17 20" xfId="24536"/>
    <cellStyle name="표준 17 3" xfId="2935"/>
    <cellStyle name="표준 17 3 10" xfId="10396"/>
    <cellStyle name="표준 17 3 10 2" xfId="19167"/>
    <cellStyle name="표준 17 3 10 2 2" xfId="40043"/>
    <cellStyle name="표준 17 3 10 3" xfId="31307"/>
    <cellStyle name="표준 17 3 11" xfId="11262"/>
    <cellStyle name="표준 17 3 11 2" xfId="20028"/>
    <cellStyle name="표준 17 3 11 2 2" xfId="40904"/>
    <cellStyle name="표준 17 3 11 3" xfId="32168"/>
    <cellStyle name="표준 17 3 12" xfId="12410"/>
    <cellStyle name="표준 17 3 12 2" xfId="33288"/>
    <cellStyle name="표준 17 3 13" xfId="24538"/>
    <cellStyle name="표준 17 3 2" xfId="3153"/>
    <cellStyle name="표준 17 3 2 10" xfId="11472"/>
    <cellStyle name="표준 17 3 2 10 2" xfId="20238"/>
    <cellStyle name="표준 17 3 2 10 2 2" xfId="41114"/>
    <cellStyle name="표준 17 3 2 10 3" xfId="32378"/>
    <cellStyle name="표준 17 3 2 11" xfId="12621"/>
    <cellStyle name="표준 17 3 2 11 2" xfId="33498"/>
    <cellStyle name="표준 17 3 2 12" xfId="24748"/>
    <cellStyle name="표준 17 3 2 2" xfId="3595"/>
    <cellStyle name="표준 17 3 2 2 2" xfId="5868"/>
    <cellStyle name="표준 17 3 2 2 2 2" xfId="14877"/>
    <cellStyle name="표준 17 3 2 2 2 2 2" xfId="35753"/>
    <cellStyle name="표준 17 3 2 2 2 3" xfId="27015"/>
    <cellStyle name="표준 17 3 2 2 3" xfId="13058"/>
    <cellStyle name="표준 17 3 2 2 3 2" xfId="33935"/>
    <cellStyle name="표준 17 3 2 2 4" xfId="25185"/>
    <cellStyle name="표준 17 3 2 3" xfId="4756"/>
    <cellStyle name="표준 17 3 2 3 2" xfId="6588"/>
    <cellStyle name="표준 17 3 2 3 2 2" xfId="15597"/>
    <cellStyle name="표준 17 3 2 3 2 2 2" xfId="36473"/>
    <cellStyle name="표준 17 3 2 3 2 3" xfId="27735"/>
    <cellStyle name="표준 17 3 2 3 3" xfId="13779"/>
    <cellStyle name="표준 17 3 2 3 3 2" xfId="34655"/>
    <cellStyle name="표준 17 3 2 3 4" xfId="25917"/>
    <cellStyle name="표준 17 3 2 4" xfId="5431"/>
    <cellStyle name="표준 17 3 2 4 2" xfId="14440"/>
    <cellStyle name="표준 17 3 2 4 2 2" xfId="35316"/>
    <cellStyle name="표준 17 3 2 4 3" xfId="26578"/>
    <cellStyle name="표준 17 3 2 5" xfId="7234"/>
    <cellStyle name="표준 17 3 2 5 2" xfId="16241"/>
    <cellStyle name="표준 17 3 2 5 2 2" xfId="37117"/>
    <cellStyle name="표준 17 3 2 5 3" xfId="28379"/>
    <cellStyle name="표준 17 3 2 6" xfId="7878"/>
    <cellStyle name="표준 17 3 2 6 2" xfId="16884"/>
    <cellStyle name="표준 17 3 2 6 2 2" xfId="37760"/>
    <cellStyle name="표준 17 3 2 6 3" xfId="29022"/>
    <cellStyle name="표준 17 3 2 7" xfId="8726"/>
    <cellStyle name="표준 17 3 2 7 2" xfId="17731"/>
    <cellStyle name="표준 17 3 2 7 2 2" xfId="38607"/>
    <cellStyle name="표준 17 3 2 7 3" xfId="29869"/>
    <cellStyle name="표준 17 3 2 8" xfId="9551"/>
    <cellStyle name="표준 17 3 2 8 2" xfId="18549"/>
    <cellStyle name="표준 17 3 2 8 2 2" xfId="39425"/>
    <cellStyle name="표준 17 3 2 8 3" xfId="30687"/>
    <cellStyle name="표준 17 3 2 9" xfId="10606"/>
    <cellStyle name="표준 17 3 2 9 2" xfId="19377"/>
    <cellStyle name="표준 17 3 2 9 2 2" xfId="40253"/>
    <cellStyle name="표준 17 3 2 9 3" xfId="31517"/>
    <cellStyle name="표준 17 3 3" xfId="3385"/>
    <cellStyle name="표준 17 3 3 10" xfId="12848"/>
    <cellStyle name="표준 17 3 3 10 2" xfId="33725"/>
    <cellStyle name="표준 17 3 3 11" xfId="24975"/>
    <cellStyle name="표준 17 3 3 2" xfId="4978"/>
    <cellStyle name="표준 17 3 3 2 2" xfId="6805"/>
    <cellStyle name="표준 17 3 3 2 2 2" xfId="15814"/>
    <cellStyle name="표준 17 3 3 2 2 2 2" xfId="36690"/>
    <cellStyle name="표준 17 3 3 2 2 3" xfId="27952"/>
    <cellStyle name="표준 17 3 3 2 3" xfId="13996"/>
    <cellStyle name="표준 17 3 3 2 3 2" xfId="34872"/>
    <cellStyle name="표준 17 3 3 2 4" xfId="26134"/>
    <cellStyle name="표준 17 3 3 3" xfId="5658"/>
    <cellStyle name="표준 17 3 3 3 2" xfId="14667"/>
    <cellStyle name="표준 17 3 3 3 2 2" xfId="35543"/>
    <cellStyle name="표준 17 3 3 3 3" xfId="26805"/>
    <cellStyle name="표준 17 3 3 4" xfId="7451"/>
    <cellStyle name="표준 17 3 3 4 2" xfId="16458"/>
    <cellStyle name="표준 17 3 3 4 2 2" xfId="37334"/>
    <cellStyle name="표준 17 3 3 4 3" xfId="28596"/>
    <cellStyle name="표준 17 3 3 5" xfId="8095"/>
    <cellStyle name="표준 17 3 3 5 2" xfId="17101"/>
    <cellStyle name="표준 17 3 3 5 2 2" xfId="37977"/>
    <cellStyle name="표준 17 3 3 5 3" xfId="29239"/>
    <cellStyle name="표준 17 3 3 6" xfId="8943"/>
    <cellStyle name="표준 17 3 3 6 2" xfId="17948"/>
    <cellStyle name="표준 17 3 3 6 2 2" xfId="38824"/>
    <cellStyle name="표준 17 3 3 6 3" xfId="30086"/>
    <cellStyle name="표준 17 3 3 7" xfId="9768"/>
    <cellStyle name="표준 17 3 3 7 2" xfId="18766"/>
    <cellStyle name="표준 17 3 3 7 2 2" xfId="39642"/>
    <cellStyle name="표준 17 3 3 7 3" xfId="30904"/>
    <cellStyle name="표준 17 3 3 8" xfId="10823"/>
    <cellStyle name="표준 17 3 3 8 2" xfId="19594"/>
    <cellStyle name="표준 17 3 3 8 2 2" xfId="40470"/>
    <cellStyle name="표준 17 3 3 8 3" xfId="31734"/>
    <cellStyle name="표준 17 3 3 9" xfId="11689"/>
    <cellStyle name="표준 17 3 3 9 2" xfId="20455"/>
    <cellStyle name="표준 17 3 3 9 2 2" xfId="41331"/>
    <cellStyle name="표준 17 3 3 9 3" xfId="32595"/>
    <cellStyle name="표준 17 3 4" xfId="4544"/>
    <cellStyle name="표준 17 3 4 2" xfId="6378"/>
    <cellStyle name="표준 17 3 4 2 2" xfId="15387"/>
    <cellStyle name="표준 17 3 4 2 2 2" xfId="36263"/>
    <cellStyle name="표준 17 3 4 2 3" xfId="27525"/>
    <cellStyle name="표준 17 3 4 3" xfId="11041"/>
    <cellStyle name="표준 17 3 4 3 2" xfId="19811"/>
    <cellStyle name="표준 17 3 4 3 2 2" xfId="40687"/>
    <cellStyle name="표준 17 3 4 3 3" xfId="31951"/>
    <cellStyle name="표준 17 3 4 4" xfId="11906"/>
    <cellStyle name="표준 17 3 4 4 2" xfId="20672"/>
    <cellStyle name="표준 17 3 4 4 2 2" xfId="41548"/>
    <cellStyle name="표준 17 3 4 4 3" xfId="32812"/>
    <cellStyle name="표준 17 3 4 5" xfId="13569"/>
    <cellStyle name="표준 17 3 4 5 2" xfId="34445"/>
    <cellStyle name="표준 17 3 4 6" xfId="25707"/>
    <cellStyle name="표준 17 3 5" xfId="5221"/>
    <cellStyle name="표준 17 3 5 2" xfId="14230"/>
    <cellStyle name="표준 17 3 5 2 2" xfId="35106"/>
    <cellStyle name="표준 17 3 5 3" xfId="26368"/>
    <cellStyle name="표준 17 3 6" xfId="7023"/>
    <cellStyle name="표준 17 3 6 2" xfId="16031"/>
    <cellStyle name="표준 17 3 6 2 2" xfId="36907"/>
    <cellStyle name="표준 17 3 6 3" xfId="28169"/>
    <cellStyle name="표준 17 3 7" xfId="7668"/>
    <cellStyle name="표준 17 3 7 2" xfId="16674"/>
    <cellStyle name="표준 17 3 7 2 2" xfId="37550"/>
    <cellStyle name="표준 17 3 7 3" xfId="28812"/>
    <cellStyle name="표준 17 3 8" xfId="8516"/>
    <cellStyle name="표준 17 3 8 2" xfId="17521"/>
    <cellStyle name="표준 17 3 8 2 2" xfId="38397"/>
    <cellStyle name="표준 17 3 8 3" xfId="29659"/>
    <cellStyle name="표준 17 3 9" xfId="9340"/>
    <cellStyle name="표준 17 3 9 2" xfId="18339"/>
    <cellStyle name="표준 17 3 9 2 2" xfId="39215"/>
    <cellStyle name="표준 17 3 9 3" xfId="30477"/>
    <cellStyle name="표준 17 4" xfId="2936"/>
    <cellStyle name="표준 17 4 10" xfId="10397"/>
    <cellStyle name="표준 17 4 10 2" xfId="19168"/>
    <cellStyle name="표준 17 4 10 2 2" xfId="40044"/>
    <cellStyle name="표준 17 4 10 3" xfId="31308"/>
    <cellStyle name="표준 17 4 11" xfId="11263"/>
    <cellStyle name="표준 17 4 11 2" xfId="20029"/>
    <cellStyle name="표준 17 4 11 2 2" xfId="40905"/>
    <cellStyle name="표준 17 4 11 3" xfId="32169"/>
    <cellStyle name="표준 17 4 12" xfId="12411"/>
    <cellStyle name="표준 17 4 12 2" xfId="33289"/>
    <cellStyle name="표준 17 4 13" xfId="24539"/>
    <cellStyle name="표준 17 4 2" xfId="3154"/>
    <cellStyle name="표준 17 4 2 10" xfId="11473"/>
    <cellStyle name="표준 17 4 2 10 2" xfId="20239"/>
    <cellStyle name="표준 17 4 2 10 2 2" xfId="41115"/>
    <cellStyle name="표준 17 4 2 10 3" xfId="32379"/>
    <cellStyle name="표준 17 4 2 11" xfId="12622"/>
    <cellStyle name="표준 17 4 2 11 2" xfId="33499"/>
    <cellStyle name="표준 17 4 2 12" xfId="24749"/>
    <cellStyle name="표준 17 4 2 2" xfId="3596"/>
    <cellStyle name="표준 17 4 2 2 2" xfId="5869"/>
    <cellStyle name="표준 17 4 2 2 2 2" xfId="14878"/>
    <cellStyle name="표준 17 4 2 2 2 2 2" xfId="35754"/>
    <cellStyle name="표준 17 4 2 2 2 3" xfId="27016"/>
    <cellStyle name="표준 17 4 2 2 3" xfId="13059"/>
    <cellStyle name="표준 17 4 2 2 3 2" xfId="33936"/>
    <cellStyle name="표준 17 4 2 2 4" xfId="25186"/>
    <cellStyle name="표준 17 4 2 3" xfId="4757"/>
    <cellStyle name="표준 17 4 2 3 2" xfId="6589"/>
    <cellStyle name="표준 17 4 2 3 2 2" xfId="15598"/>
    <cellStyle name="표준 17 4 2 3 2 2 2" xfId="36474"/>
    <cellStyle name="표준 17 4 2 3 2 3" xfId="27736"/>
    <cellStyle name="표준 17 4 2 3 3" xfId="13780"/>
    <cellStyle name="표준 17 4 2 3 3 2" xfId="34656"/>
    <cellStyle name="표준 17 4 2 3 4" xfId="25918"/>
    <cellStyle name="표준 17 4 2 4" xfId="5432"/>
    <cellStyle name="표준 17 4 2 4 2" xfId="14441"/>
    <cellStyle name="표준 17 4 2 4 2 2" xfId="35317"/>
    <cellStyle name="표준 17 4 2 4 3" xfId="26579"/>
    <cellStyle name="표준 17 4 2 5" xfId="7235"/>
    <cellStyle name="표준 17 4 2 5 2" xfId="16242"/>
    <cellStyle name="표준 17 4 2 5 2 2" xfId="37118"/>
    <cellStyle name="표준 17 4 2 5 3" xfId="28380"/>
    <cellStyle name="표준 17 4 2 6" xfId="7879"/>
    <cellStyle name="표준 17 4 2 6 2" xfId="16885"/>
    <cellStyle name="표준 17 4 2 6 2 2" xfId="37761"/>
    <cellStyle name="표준 17 4 2 6 3" xfId="29023"/>
    <cellStyle name="표준 17 4 2 7" xfId="8727"/>
    <cellStyle name="표준 17 4 2 7 2" xfId="17732"/>
    <cellStyle name="표준 17 4 2 7 2 2" xfId="38608"/>
    <cellStyle name="표준 17 4 2 7 3" xfId="29870"/>
    <cellStyle name="표준 17 4 2 8" xfId="9552"/>
    <cellStyle name="표준 17 4 2 8 2" xfId="18550"/>
    <cellStyle name="표준 17 4 2 8 2 2" xfId="39426"/>
    <cellStyle name="표준 17 4 2 8 3" xfId="30688"/>
    <cellStyle name="표준 17 4 2 9" xfId="10607"/>
    <cellStyle name="표준 17 4 2 9 2" xfId="19378"/>
    <cellStyle name="표준 17 4 2 9 2 2" xfId="40254"/>
    <cellStyle name="표준 17 4 2 9 3" xfId="31518"/>
    <cellStyle name="표준 17 4 3" xfId="3386"/>
    <cellStyle name="표준 17 4 3 10" xfId="12849"/>
    <cellStyle name="표준 17 4 3 10 2" xfId="33726"/>
    <cellStyle name="표준 17 4 3 11" xfId="24976"/>
    <cellStyle name="표준 17 4 3 2" xfId="4979"/>
    <cellStyle name="표준 17 4 3 2 2" xfId="6806"/>
    <cellStyle name="표준 17 4 3 2 2 2" xfId="15815"/>
    <cellStyle name="표준 17 4 3 2 2 2 2" xfId="36691"/>
    <cellStyle name="표준 17 4 3 2 2 3" xfId="27953"/>
    <cellStyle name="표준 17 4 3 2 3" xfId="13997"/>
    <cellStyle name="표준 17 4 3 2 3 2" xfId="34873"/>
    <cellStyle name="표준 17 4 3 2 4" xfId="26135"/>
    <cellStyle name="표준 17 4 3 3" xfId="5659"/>
    <cellStyle name="표준 17 4 3 3 2" xfId="14668"/>
    <cellStyle name="표준 17 4 3 3 2 2" xfId="35544"/>
    <cellStyle name="표준 17 4 3 3 3" xfId="26806"/>
    <cellStyle name="표준 17 4 3 4" xfId="7452"/>
    <cellStyle name="표준 17 4 3 4 2" xfId="16459"/>
    <cellStyle name="표준 17 4 3 4 2 2" xfId="37335"/>
    <cellStyle name="표준 17 4 3 4 3" xfId="28597"/>
    <cellStyle name="표준 17 4 3 5" xfId="8096"/>
    <cellStyle name="표준 17 4 3 5 2" xfId="17102"/>
    <cellStyle name="표준 17 4 3 5 2 2" xfId="37978"/>
    <cellStyle name="표준 17 4 3 5 3" xfId="29240"/>
    <cellStyle name="표준 17 4 3 6" xfId="8944"/>
    <cellStyle name="표준 17 4 3 6 2" xfId="17949"/>
    <cellStyle name="표준 17 4 3 6 2 2" xfId="38825"/>
    <cellStyle name="표준 17 4 3 6 3" xfId="30087"/>
    <cellStyle name="표준 17 4 3 7" xfId="9769"/>
    <cellStyle name="표준 17 4 3 7 2" xfId="18767"/>
    <cellStyle name="표준 17 4 3 7 2 2" xfId="39643"/>
    <cellStyle name="표준 17 4 3 7 3" xfId="30905"/>
    <cellStyle name="표준 17 4 3 8" xfId="10824"/>
    <cellStyle name="표준 17 4 3 8 2" xfId="19595"/>
    <cellStyle name="표준 17 4 3 8 2 2" xfId="40471"/>
    <cellStyle name="표준 17 4 3 8 3" xfId="31735"/>
    <cellStyle name="표준 17 4 3 9" xfId="11690"/>
    <cellStyle name="표준 17 4 3 9 2" xfId="20456"/>
    <cellStyle name="표준 17 4 3 9 2 2" xfId="41332"/>
    <cellStyle name="표준 17 4 3 9 3" xfId="32596"/>
    <cellStyle name="표준 17 4 4" xfId="4545"/>
    <cellStyle name="표준 17 4 4 2" xfId="6379"/>
    <cellStyle name="표준 17 4 4 2 2" xfId="15388"/>
    <cellStyle name="표준 17 4 4 2 2 2" xfId="36264"/>
    <cellStyle name="표준 17 4 4 2 3" xfId="27526"/>
    <cellStyle name="표준 17 4 4 3" xfId="11042"/>
    <cellStyle name="표준 17 4 4 3 2" xfId="19812"/>
    <cellStyle name="표준 17 4 4 3 2 2" xfId="40688"/>
    <cellStyle name="표준 17 4 4 3 3" xfId="31952"/>
    <cellStyle name="표준 17 4 4 4" xfId="11907"/>
    <cellStyle name="표준 17 4 4 4 2" xfId="20673"/>
    <cellStyle name="표준 17 4 4 4 2 2" xfId="41549"/>
    <cellStyle name="표준 17 4 4 4 3" xfId="32813"/>
    <cellStyle name="표준 17 4 4 5" xfId="13570"/>
    <cellStyle name="표준 17 4 4 5 2" xfId="34446"/>
    <cellStyle name="표준 17 4 4 6" xfId="25708"/>
    <cellStyle name="표준 17 4 5" xfId="5222"/>
    <cellStyle name="표준 17 4 5 2" xfId="14231"/>
    <cellStyle name="표준 17 4 5 2 2" xfId="35107"/>
    <cellStyle name="표준 17 4 5 3" xfId="26369"/>
    <cellStyle name="표준 17 4 6" xfId="7024"/>
    <cellStyle name="표준 17 4 6 2" xfId="16032"/>
    <cellStyle name="표준 17 4 6 2 2" xfId="36908"/>
    <cellStyle name="표준 17 4 6 3" xfId="28170"/>
    <cellStyle name="표준 17 4 7" xfId="7669"/>
    <cellStyle name="표준 17 4 7 2" xfId="16675"/>
    <cellStyle name="표준 17 4 7 2 2" xfId="37551"/>
    <cellStyle name="표준 17 4 7 3" xfId="28813"/>
    <cellStyle name="표준 17 4 8" xfId="8517"/>
    <cellStyle name="표준 17 4 8 2" xfId="17522"/>
    <cellStyle name="표준 17 4 8 2 2" xfId="38398"/>
    <cellStyle name="표준 17 4 8 3" xfId="29660"/>
    <cellStyle name="표준 17 4 9" xfId="9341"/>
    <cellStyle name="표준 17 4 9 2" xfId="18340"/>
    <cellStyle name="표준 17 4 9 2 2" xfId="39216"/>
    <cellStyle name="표준 17 4 9 3" xfId="30478"/>
    <cellStyle name="표준 17 5" xfId="2937"/>
    <cellStyle name="표준 17 5 10" xfId="10398"/>
    <cellStyle name="표준 17 5 10 2" xfId="19169"/>
    <cellStyle name="표준 17 5 10 2 2" xfId="40045"/>
    <cellStyle name="표준 17 5 10 3" xfId="31309"/>
    <cellStyle name="표준 17 5 11" xfId="11264"/>
    <cellStyle name="표준 17 5 11 2" xfId="20030"/>
    <cellStyle name="표준 17 5 11 2 2" xfId="40906"/>
    <cellStyle name="표준 17 5 11 3" xfId="32170"/>
    <cellStyle name="표준 17 5 12" xfId="12412"/>
    <cellStyle name="표준 17 5 12 2" xfId="33290"/>
    <cellStyle name="표준 17 5 13" xfId="24540"/>
    <cellStyle name="표준 17 5 2" xfId="3155"/>
    <cellStyle name="표준 17 5 2 10" xfId="11474"/>
    <cellStyle name="표준 17 5 2 10 2" xfId="20240"/>
    <cellStyle name="표준 17 5 2 10 2 2" xfId="41116"/>
    <cellStyle name="표준 17 5 2 10 3" xfId="32380"/>
    <cellStyle name="표준 17 5 2 11" xfId="12623"/>
    <cellStyle name="표준 17 5 2 11 2" xfId="33500"/>
    <cellStyle name="표준 17 5 2 12" xfId="24750"/>
    <cellStyle name="표준 17 5 2 2" xfId="3597"/>
    <cellStyle name="표준 17 5 2 2 2" xfId="5870"/>
    <cellStyle name="표준 17 5 2 2 2 2" xfId="14879"/>
    <cellStyle name="표준 17 5 2 2 2 2 2" xfId="35755"/>
    <cellStyle name="표준 17 5 2 2 2 3" xfId="27017"/>
    <cellStyle name="표준 17 5 2 2 3" xfId="13060"/>
    <cellStyle name="표준 17 5 2 2 3 2" xfId="33937"/>
    <cellStyle name="표준 17 5 2 2 4" xfId="25187"/>
    <cellStyle name="표준 17 5 2 3" xfId="4758"/>
    <cellStyle name="표준 17 5 2 3 2" xfId="6590"/>
    <cellStyle name="표준 17 5 2 3 2 2" xfId="15599"/>
    <cellStyle name="표준 17 5 2 3 2 2 2" xfId="36475"/>
    <cellStyle name="표준 17 5 2 3 2 3" xfId="27737"/>
    <cellStyle name="표준 17 5 2 3 3" xfId="13781"/>
    <cellStyle name="표준 17 5 2 3 3 2" xfId="34657"/>
    <cellStyle name="표준 17 5 2 3 4" xfId="25919"/>
    <cellStyle name="표준 17 5 2 4" xfId="5433"/>
    <cellStyle name="표준 17 5 2 4 2" xfId="14442"/>
    <cellStyle name="표준 17 5 2 4 2 2" xfId="35318"/>
    <cellStyle name="표준 17 5 2 4 3" xfId="26580"/>
    <cellStyle name="표준 17 5 2 5" xfId="7236"/>
    <cellStyle name="표준 17 5 2 5 2" xfId="16243"/>
    <cellStyle name="표준 17 5 2 5 2 2" xfId="37119"/>
    <cellStyle name="표준 17 5 2 5 3" xfId="28381"/>
    <cellStyle name="표준 17 5 2 6" xfId="7880"/>
    <cellStyle name="표준 17 5 2 6 2" xfId="16886"/>
    <cellStyle name="표준 17 5 2 6 2 2" xfId="37762"/>
    <cellStyle name="표준 17 5 2 6 3" xfId="29024"/>
    <cellStyle name="표준 17 5 2 7" xfId="8728"/>
    <cellStyle name="표준 17 5 2 7 2" xfId="17733"/>
    <cellStyle name="표준 17 5 2 7 2 2" xfId="38609"/>
    <cellStyle name="표준 17 5 2 7 3" xfId="29871"/>
    <cellStyle name="표준 17 5 2 8" xfId="9553"/>
    <cellStyle name="표준 17 5 2 8 2" xfId="18551"/>
    <cellStyle name="표준 17 5 2 8 2 2" xfId="39427"/>
    <cellStyle name="표준 17 5 2 8 3" xfId="30689"/>
    <cellStyle name="표준 17 5 2 9" xfId="10608"/>
    <cellStyle name="표준 17 5 2 9 2" xfId="19379"/>
    <cellStyle name="표준 17 5 2 9 2 2" xfId="40255"/>
    <cellStyle name="표준 17 5 2 9 3" xfId="31519"/>
    <cellStyle name="표준 17 5 3" xfId="3387"/>
    <cellStyle name="표준 17 5 3 10" xfId="12850"/>
    <cellStyle name="표준 17 5 3 10 2" xfId="33727"/>
    <cellStyle name="표준 17 5 3 11" xfId="24977"/>
    <cellStyle name="표준 17 5 3 2" xfId="4980"/>
    <cellStyle name="표준 17 5 3 2 2" xfId="6807"/>
    <cellStyle name="표준 17 5 3 2 2 2" xfId="15816"/>
    <cellStyle name="표준 17 5 3 2 2 2 2" xfId="36692"/>
    <cellStyle name="표준 17 5 3 2 2 3" xfId="27954"/>
    <cellStyle name="표준 17 5 3 2 3" xfId="13998"/>
    <cellStyle name="표준 17 5 3 2 3 2" xfId="34874"/>
    <cellStyle name="표준 17 5 3 2 4" xfId="26136"/>
    <cellStyle name="표준 17 5 3 3" xfId="5660"/>
    <cellStyle name="표준 17 5 3 3 2" xfId="14669"/>
    <cellStyle name="표준 17 5 3 3 2 2" xfId="35545"/>
    <cellStyle name="표준 17 5 3 3 3" xfId="26807"/>
    <cellStyle name="표준 17 5 3 4" xfId="7453"/>
    <cellStyle name="표준 17 5 3 4 2" xfId="16460"/>
    <cellStyle name="표준 17 5 3 4 2 2" xfId="37336"/>
    <cellStyle name="표준 17 5 3 4 3" xfId="28598"/>
    <cellStyle name="표준 17 5 3 5" xfId="8097"/>
    <cellStyle name="표준 17 5 3 5 2" xfId="17103"/>
    <cellStyle name="표준 17 5 3 5 2 2" xfId="37979"/>
    <cellStyle name="표준 17 5 3 5 3" xfId="29241"/>
    <cellStyle name="표준 17 5 3 6" xfId="8945"/>
    <cellStyle name="표준 17 5 3 6 2" xfId="17950"/>
    <cellStyle name="표준 17 5 3 6 2 2" xfId="38826"/>
    <cellStyle name="표준 17 5 3 6 3" xfId="30088"/>
    <cellStyle name="표준 17 5 3 7" xfId="9770"/>
    <cellStyle name="표준 17 5 3 7 2" xfId="18768"/>
    <cellStyle name="표준 17 5 3 7 2 2" xfId="39644"/>
    <cellStyle name="표준 17 5 3 7 3" xfId="30906"/>
    <cellStyle name="표준 17 5 3 8" xfId="10825"/>
    <cellStyle name="표준 17 5 3 8 2" xfId="19596"/>
    <cellStyle name="표준 17 5 3 8 2 2" xfId="40472"/>
    <cellStyle name="표준 17 5 3 8 3" xfId="31736"/>
    <cellStyle name="표준 17 5 3 9" xfId="11691"/>
    <cellStyle name="표준 17 5 3 9 2" xfId="20457"/>
    <cellStyle name="표준 17 5 3 9 2 2" xfId="41333"/>
    <cellStyle name="표준 17 5 3 9 3" xfId="32597"/>
    <cellStyle name="표준 17 5 4" xfId="4546"/>
    <cellStyle name="표준 17 5 4 2" xfId="6380"/>
    <cellStyle name="표준 17 5 4 2 2" xfId="15389"/>
    <cellStyle name="표준 17 5 4 2 2 2" xfId="36265"/>
    <cellStyle name="표준 17 5 4 2 3" xfId="27527"/>
    <cellStyle name="표준 17 5 4 3" xfId="11043"/>
    <cellStyle name="표준 17 5 4 3 2" xfId="19813"/>
    <cellStyle name="표준 17 5 4 3 2 2" xfId="40689"/>
    <cellStyle name="표준 17 5 4 3 3" xfId="31953"/>
    <cellStyle name="표준 17 5 4 4" xfId="11908"/>
    <cellStyle name="표준 17 5 4 4 2" xfId="20674"/>
    <cellStyle name="표준 17 5 4 4 2 2" xfId="41550"/>
    <cellStyle name="표준 17 5 4 4 3" xfId="32814"/>
    <cellStyle name="표준 17 5 4 5" xfId="13571"/>
    <cellStyle name="표준 17 5 4 5 2" xfId="34447"/>
    <cellStyle name="표준 17 5 4 6" xfId="25709"/>
    <cellStyle name="표준 17 5 5" xfId="5223"/>
    <cellStyle name="표준 17 5 5 2" xfId="14232"/>
    <cellStyle name="표준 17 5 5 2 2" xfId="35108"/>
    <cellStyle name="표준 17 5 5 3" xfId="26370"/>
    <cellStyle name="표준 17 5 6" xfId="7025"/>
    <cellStyle name="표준 17 5 6 2" xfId="16033"/>
    <cellStyle name="표준 17 5 6 2 2" xfId="36909"/>
    <cellStyle name="표준 17 5 6 3" xfId="28171"/>
    <cellStyle name="표준 17 5 7" xfId="7670"/>
    <cellStyle name="표준 17 5 7 2" xfId="16676"/>
    <cellStyle name="표준 17 5 7 2 2" xfId="37552"/>
    <cellStyle name="표준 17 5 7 3" xfId="28814"/>
    <cellStyle name="표준 17 5 8" xfId="8518"/>
    <cellStyle name="표준 17 5 8 2" xfId="17523"/>
    <cellStyle name="표준 17 5 8 2 2" xfId="38399"/>
    <cellStyle name="표준 17 5 8 3" xfId="29661"/>
    <cellStyle name="표준 17 5 9" xfId="9342"/>
    <cellStyle name="표준 17 5 9 2" xfId="18341"/>
    <cellStyle name="표준 17 5 9 2 2" xfId="39217"/>
    <cellStyle name="표준 17 5 9 3" xfId="30479"/>
    <cellStyle name="표준 17 6" xfId="2938"/>
    <cellStyle name="표준 17 6 10" xfId="10399"/>
    <cellStyle name="표준 17 6 10 2" xfId="19170"/>
    <cellStyle name="표준 17 6 10 2 2" xfId="40046"/>
    <cellStyle name="표준 17 6 10 3" xfId="31310"/>
    <cellStyle name="표준 17 6 11" xfId="11265"/>
    <cellStyle name="표준 17 6 11 2" xfId="20031"/>
    <cellStyle name="표준 17 6 11 2 2" xfId="40907"/>
    <cellStyle name="표준 17 6 11 3" xfId="32171"/>
    <cellStyle name="표준 17 6 12" xfId="12413"/>
    <cellStyle name="표준 17 6 12 2" xfId="33291"/>
    <cellStyle name="표준 17 6 13" xfId="24541"/>
    <cellStyle name="표준 17 6 2" xfId="3156"/>
    <cellStyle name="표준 17 6 2 10" xfId="11475"/>
    <cellStyle name="표준 17 6 2 10 2" xfId="20241"/>
    <cellStyle name="표준 17 6 2 10 2 2" xfId="41117"/>
    <cellStyle name="표준 17 6 2 10 3" xfId="32381"/>
    <cellStyle name="표준 17 6 2 11" xfId="12624"/>
    <cellStyle name="표준 17 6 2 11 2" xfId="33501"/>
    <cellStyle name="표준 17 6 2 12" xfId="24751"/>
    <cellStyle name="표준 17 6 2 2" xfId="3598"/>
    <cellStyle name="표준 17 6 2 2 2" xfId="5871"/>
    <cellStyle name="표준 17 6 2 2 2 2" xfId="14880"/>
    <cellStyle name="표준 17 6 2 2 2 2 2" xfId="35756"/>
    <cellStyle name="표준 17 6 2 2 2 3" xfId="27018"/>
    <cellStyle name="표준 17 6 2 2 3" xfId="13061"/>
    <cellStyle name="표준 17 6 2 2 3 2" xfId="33938"/>
    <cellStyle name="표준 17 6 2 2 4" xfId="25188"/>
    <cellStyle name="표준 17 6 2 3" xfId="4759"/>
    <cellStyle name="표준 17 6 2 3 2" xfId="6591"/>
    <cellStyle name="표준 17 6 2 3 2 2" xfId="15600"/>
    <cellStyle name="표준 17 6 2 3 2 2 2" xfId="36476"/>
    <cellStyle name="표준 17 6 2 3 2 3" xfId="27738"/>
    <cellStyle name="표준 17 6 2 3 3" xfId="13782"/>
    <cellStyle name="표준 17 6 2 3 3 2" xfId="34658"/>
    <cellStyle name="표준 17 6 2 3 4" xfId="25920"/>
    <cellStyle name="표준 17 6 2 4" xfId="5434"/>
    <cellStyle name="표준 17 6 2 4 2" xfId="14443"/>
    <cellStyle name="표준 17 6 2 4 2 2" xfId="35319"/>
    <cellStyle name="표준 17 6 2 4 3" xfId="26581"/>
    <cellStyle name="표준 17 6 2 5" xfId="7237"/>
    <cellStyle name="표준 17 6 2 5 2" xfId="16244"/>
    <cellStyle name="표준 17 6 2 5 2 2" xfId="37120"/>
    <cellStyle name="표준 17 6 2 5 3" xfId="28382"/>
    <cellStyle name="표준 17 6 2 6" xfId="7881"/>
    <cellStyle name="표준 17 6 2 6 2" xfId="16887"/>
    <cellStyle name="표준 17 6 2 6 2 2" xfId="37763"/>
    <cellStyle name="표준 17 6 2 6 3" xfId="29025"/>
    <cellStyle name="표준 17 6 2 7" xfId="8729"/>
    <cellStyle name="표준 17 6 2 7 2" xfId="17734"/>
    <cellStyle name="표준 17 6 2 7 2 2" xfId="38610"/>
    <cellStyle name="표준 17 6 2 7 3" xfId="29872"/>
    <cellStyle name="표준 17 6 2 8" xfId="9554"/>
    <cellStyle name="표준 17 6 2 8 2" xfId="18552"/>
    <cellStyle name="표준 17 6 2 8 2 2" xfId="39428"/>
    <cellStyle name="표준 17 6 2 8 3" xfId="30690"/>
    <cellStyle name="표준 17 6 2 9" xfId="10609"/>
    <cellStyle name="표준 17 6 2 9 2" xfId="19380"/>
    <cellStyle name="표준 17 6 2 9 2 2" xfId="40256"/>
    <cellStyle name="표준 17 6 2 9 3" xfId="31520"/>
    <cellStyle name="표준 17 6 3" xfId="3388"/>
    <cellStyle name="표준 17 6 3 10" xfId="12851"/>
    <cellStyle name="표준 17 6 3 10 2" xfId="33728"/>
    <cellStyle name="표준 17 6 3 11" xfId="24978"/>
    <cellStyle name="표준 17 6 3 2" xfId="4981"/>
    <cellStyle name="표준 17 6 3 2 2" xfId="6808"/>
    <cellStyle name="표준 17 6 3 2 2 2" xfId="15817"/>
    <cellStyle name="표준 17 6 3 2 2 2 2" xfId="36693"/>
    <cellStyle name="표준 17 6 3 2 2 3" xfId="27955"/>
    <cellStyle name="표준 17 6 3 2 3" xfId="13999"/>
    <cellStyle name="표준 17 6 3 2 3 2" xfId="34875"/>
    <cellStyle name="표준 17 6 3 2 4" xfId="26137"/>
    <cellStyle name="표준 17 6 3 3" xfId="5661"/>
    <cellStyle name="표준 17 6 3 3 2" xfId="14670"/>
    <cellStyle name="표준 17 6 3 3 2 2" xfId="35546"/>
    <cellStyle name="표준 17 6 3 3 3" xfId="26808"/>
    <cellStyle name="표준 17 6 3 4" xfId="7454"/>
    <cellStyle name="표준 17 6 3 4 2" xfId="16461"/>
    <cellStyle name="표준 17 6 3 4 2 2" xfId="37337"/>
    <cellStyle name="표준 17 6 3 4 3" xfId="28599"/>
    <cellStyle name="표준 17 6 3 5" xfId="8098"/>
    <cellStyle name="표준 17 6 3 5 2" xfId="17104"/>
    <cellStyle name="표준 17 6 3 5 2 2" xfId="37980"/>
    <cellStyle name="표준 17 6 3 5 3" xfId="29242"/>
    <cellStyle name="표준 17 6 3 6" xfId="8946"/>
    <cellStyle name="표준 17 6 3 6 2" xfId="17951"/>
    <cellStyle name="표준 17 6 3 6 2 2" xfId="38827"/>
    <cellStyle name="표준 17 6 3 6 3" xfId="30089"/>
    <cellStyle name="표준 17 6 3 7" xfId="9771"/>
    <cellStyle name="표준 17 6 3 7 2" xfId="18769"/>
    <cellStyle name="표준 17 6 3 7 2 2" xfId="39645"/>
    <cellStyle name="표준 17 6 3 7 3" xfId="30907"/>
    <cellStyle name="표준 17 6 3 8" xfId="10826"/>
    <cellStyle name="표준 17 6 3 8 2" xfId="19597"/>
    <cellStyle name="표준 17 6 3 8 2 2" xfId="40473"/>
    <cellStyle name="표준 17 6 3 8 3" xfId="31737"/>
    <cellStyle name="표준 17 6 3 9" xfId="11692"/>
    <cellStyle name="표준 17 6 3 9 2" xfId="20458"/>
    <cellStyle name="표준 17 6 3 9 2 2" xfId="41334"/>
    <cellStyle name="표준 17 6 3 9 3" xfId="32598"/>
    <cellStyle name="표준 17 6 4" xfId="4547"/>
    <cellStyle name="표준 17 6 4 2" xfId="6381"/>
    <cellStyle name="표준 17 6 4 2 2" xfId="15390"/>
    <cellStyle name="표준 17 6 4 2 2 2" xfId="36266"/>
    <cellStyle name="표준 17 6 4 2 3" xfId="27528"/>
    <cellStyle name="표준 17 6 4 3" xfId="11044"/>
    <cellStyle name="표준 17 6 4 3 2" xfId="19814"/>
    <cellStyle name="표준 17 6 4 3 2 2" xfId="40690"/>
    <cellStyle name="표준 17 6 4 3 3" xfId="31954"/>
    <cellStyle name="표준 17 6 4 4" xfId="11909"/>
    <cellStyle name="표준 17 6 4 4 2" xfId="20675"/>
    <cellStyle name="표준 17 6 4 4 2 2" xfId="41551"/>
    <cellStyle name="표준 17 6 4 4 3" xfId="32815"/>
    <cellStyle name="표준 17 6 4 5" xfId="13572"/>
    <cellStyle name="표준 17 6 4 5 2" xfId="34448"/>
    <cellStyle name="표준 17 6 4 6" xfId="25710"/>
    <cellStyle name="표준 17 6 5" xfId="5224"/>
    <cellStyle name="표준 17 6 5 2" xfId="14233"/>
    <cellStyle name="표준 17 6 5 2 2" xfId="35109"/>
    <cellStyle name="표준 17 6 5 3" xfId="26371"/>
    <cellStyle name="표준 17 6 6" xfId="7026"/>
    <cellStyle name="표준 17 6 6 2" xfId="16034"/>
    <cellStyle name="표준 17 6 6 2 2" xfId="36910"/>
    <cellStyle name="표준 17 6 6 3" xfId="28172"/>
    <cellStyle name="표준 17 6 7" xfId="7671"/>
    <cellStyle name="표준 17 6 7 2" xfId="16677"/>
    <cellStyle name="표준 17 6 7 2 2" xfId="37553"/>
    <cellStyle name="표준 17 6 7 3" xfId="28815"/>
    <cellStyle name="표준 17 6 8" xfId="8519"/>
    <cellStyle name="표준 17 6 8 2" xfId="17524"/>
    <cellStyle name="표준 17 6 8 2 2" xfId="38400"/>
    <cellStyle name="표준 17 6 8 3" xfId="29662"/>
    <cellStyle name="표준 17 6 9" xfId="9343"/>
    <cellStyle name="표준 17 6 9 2" xfId="18342"/>
    <cellStyle name="표준 17 6 9 2 2" xfId="39218"/>
    <cellStyle name="표준 17 6 9 3" xfId="30480"/>
    <cellStyle name="표준 17 7" xfId="2939"/>
    <cellStyle name="표준 17 7 10" xfId="10400"/>
    <cellStyle name="표준 17 7 10 2" xfId="19171"/>
    <cellStyle name="표준 17 7 10 2 2" xfId="40047"/>
    <cellStyle name="표준 17 7 10 3" xfId="31311"/>
    <cellStyle name="표준 17 7 11" xfId="11266"/>
    <cellStyle name="표준 17 7 11 2" xfId="20032"/>
    <cellStyle name="표준 17 7 11 2 2" xfId="40908"/>
    <cellStyle name="표준 17 7 11 3" xfId="32172"/>
    <cellStyle name="표준 17 7 12" xfId="12414"/>
    <cellStyle name="표준 17 7 12 2" xfId="33292"/>
    <cellStyle name="표준 17 7 13" xfId="24542"/>
    <cellStyle name="표준 17 7 2" xfId="3157"/>
    <cellStyle name="표준 17 7 2 10" xfId="11476"/>
    <cellStyle name="표준 17 7 2 10 2" xfId="20242"/>
    <cellStyle name="표준 17 7 2 10 2 2" xfId="41118"/>
    <cellStyle name="표준 17 7 2 10 3" xfId="32382"/>
    <cellStyle name="표준 17 7 2 11" xfId="12625"/>
    <cellStyle name="표준 17 7 2 11 2" xfId="33502"/>
    <cellStyle name="표준 17 7 2 12" xfId="24752"/>
    <cellStyle name="표준 17 7 2 2" xfId="3599"/>
    <cellStyle name="표준 17 7 2 2 2" xfId="5872"/>
    <cellStyle name="표준 17 7 2 2 2 2" xfId="14881"/>
    <cellStyle name="표준 17 7 2 2 2 2 2" xfId="35757"/>
    <cellStyle name="표준 17 7 2 2 2 3" xfId="27019"/>
    <cellStyle name="표준 17 7 2 2 3" xfId="13062"/>
    <cellStyle name="표준 17 7 2 2 3 2" xfId="33939"/>
    <cellStyle name="표준 17 7 2 2 4" xfId="25189"/>
    <cellStyle name="표준 17 7 2 3" xfId="4760"/>
    <cellStyle name="표준 17 7 2 3 2" xfId="6592"/>
    <cellStyle name="표준 17 7 2 3 2 2" xfId="15601"/>
    <cellStyle name="표준 17 7 2 3 2 2 2" xfId="36477"/>
    <cellStyle name="표준 17 7 2 3 2 3" xfId="27739"/>
    <cellStyle name="표준 17 7 2 3 3" xfId="13783"/>
    <cellStyle name="표준 17 7 2 3 3 2" xfId="34659"/>
    <cellStyle name="표준 17 7 2 3 4" xfId="25921"/>
    <cellStyle name="표준 17 7 2 4" xfId="5435"/>
    <cellStyle name="표준 17 7 2 4 2" xfId="14444"/>
    <cellStyle name="표준 17 7 2 4 2 2" xfId="35320"/>
    <cellStyle name="표준 17 7 2 4 3" xfId="26582"/>
    <cellStyle name="표준 17 7 2 5" xfId="7238"/>
    <cellStyle name="표준 17 7 2 5 2" xfId="16245"/>
    <cellStyle name="표준 17 7 2 5 2 2" xfId="37121"/>
    <cellStyle name="표준 17 7 2 5 3" xfId="28383"/>
    <cellStyle name="표준 17 7 2 6" xfId="7882"/>
    <cellStyle name="표준 17 7 2 6 2" xfId="16888"/>
    <cellStyle name="표준 17 7 2 6 2 2" xfId="37764"/>
    <cellStyle name="표준 17 7 2 6 3" xfId="29026"/>
    <cellStyle name="표준 17 7 2 7" xfId="8730"/>
    <cellStyle name="표준 17 7 2 7 2" xfId="17735"/>
    <cellStyle name="표준 17 7 2 7 2 2" xfId="38611"/>
    <cellStyle name="표준 17 7 2 7 3" xfId="29873"/>
    <cellStyle name="표준 17 7 2 8" xfId="9555"/>
    <cellStyle name="표준 17 7 2 8 2" xfId="18553"/>
    <cellStyle name="표준 17 7 2 8 2 2" xfId="39429"/>
    <cellStyle name="표준 17 7 2 8 3" xfId="30691"/>
    <cellStyle name="표준 17 7 2 9" xfId="10610"/>
    <cellStyle name="표준 17 7 2 9 2" xfId="19381"/>
    <cellStyle name="표준 17 7 2 9 2 2" xfId="40257"/>
    <cellStyle name="표준 17 7 2 9 3" xfId="31521"/>
    <cellStyle name="표준 17 7 3" xfId="3389"/>
    <cellStyle name="표준 17 7 3 10" xfId="12852"/>
    <cellStyle name="표준 17 7 3 10 2" xfId="33729"/>
    <cellStyle name="표준 17 7 3 11" xfId="24979"/>
    <cellStyle name="표준 17 7 3 2" xfId="4982"/>
    <cellStyle name="표준 17 7 3 2 2" xfId="6809"/>
    <cellStyle name="표준 17 7 3 2 2 2" xfId="15818"/>
    <cellStyle name="표준 17 7 3 2 2 2 2" xfId="36694"/>
    <cellStyle name="표준 17 7 3 2 2 3" xfId="27956"/>
    <cellStyle name="표준 17 7 3 2 3" xfId="14000"/>
    <cellStyle name="표준 17 7 3 2 3 2" xfId="34876"/>
    <cellStyle name="표준 17 7 3 2 4" xfId="26138"/>
    <cellStyle name="표준 17 7 3 3" xfId="5662"/>
    <cellStyle name="표준 17 7 3 3 2" xfId="14671"/>
    <cellStyle name="표준 17 7 3 3 2 2" xfId="35547"/>
    <cellStyle name="표준 17 7 3 3 3" xfId="26809"/>
    <cellStyle name="표준 17 7 3 4" xfId="7455"/>
    <cellStyle name="표준 17 7 3 4 2" xfId="16462"/>
    <cellStyle name="표준 17 7 3 4 2 2" xfId="37338"/>
    <cellStyle name="표준 17 7 3 4 3" xfId="28600"/>
    <cellStyle name="표준 17 7 3 5" xfId="8099"/>
    <cellStyle name="표준 17 7 3 5 2" xfId="17105"/>
    <cellStyle name="표준 17 7 3 5 2 2" xfId="37981"/>
    <cellStyle name="표준 17 7 3 5 3" xfId="29243"/>
    <cellStyle name="표준 17 7 3 6" xfId="8947"/>
    <cellStyle name="표준 17 7 3 6 2" xfId="17952"/>
    <cellStyle name="표준 17 7 3 6 2 2" xfId="38828"/>
    <cellStyle name="표준 17 7 3 6 3" xfId="30090"/>
    <cellStyle name="표준 17 7 3 7" xfId="9772"/>
    <cellStyle name="표준 17 7 3 7 2" xfId="18770"/>
    <cellStyle name="표준 17 7 3 7 2 2" xfId="39646"/>
    <cellStyle name="표준 17 7 3 7 3" xfId="30908"/>
    <cellStyle name="표준 17 7 3 8" xfId="10827"/>
    <cellStyle name="표준 17 7 3 8 2" xfId="19598"/>
    <cellStyle name="표준 17 7 3 8 2 2" xfId="40474"/>
    <cellStyle name="표준 17 7 3 8 3" xfId="31738"/>
    <cellStyle name="표준 17 7 3 9" xfId="11693"/>
    <cellStyle name="표준 17 7 3 9 2" xfId="20459"/>
    <cellStyle name="표준 17 7 3 9 2 2" xfId="41335"/>
    <cellStyle name="표준 17 7 3 9 3" xfId="32599"/>
    <cellStyle name="표준 17 7 4" xfId="4548"/>
    <cellStyle name="표준 17 7 4 2" xfId="6382"/>
    <cellStyle name="표준 17 7 4 2 2" xfId="15391"/>
    <cellStyle name="표준 17 7 4 2 2 2" xfId="36267"/>
    <cellStyle name="표준 17 7 4 2 3" xfId="27529"/>
    <cellStyle name="표준 17 7 4 3" xfId="11045"/>
    <cellStyle name="표준 17 7 4 3 2" xfId="19815"/>
    <cellStyle name="표준 17 7 4 3 2 2" xfId="40691"/>
    <cellStyle name="표준 17 7 4 3 3" xfId="31955"/>
    <cellStyle name="표준 17 7 4 4" xfId="11910"/>
    <cellStyle name="표준 17 7 4 4 2" xfId="20676"/>
    <cellStyle name="표준 17 7 4 4 2 2" xfId="41552"/>
    <cellStyle name="표준 17 7 4 4 3" xfId="32816"/>
    <cellStyle name="표준 17 7 4 5" xfId="13573"/>
    <cellStyle name="표준 17 7 4 5 2" xfId="34449"/>
    <cellStyle name="표준 17 7 4 6" xfId="25711"/>
    <cellStyle name="표준 17 7 5" xfId="5225"/>
    <cellStyle name="표준 17 7 5 2" xfId="14234"/>
    <cellStyle name="표준 17 7 5 2 2" xfId="35110"/>
    <cellStyle name="표준 17 7 5 3" xfId="26372"/>
    <cellStyle name="표준 17 7 6" xfId="7027"/>
    <cellStyle name="표준 17 7 6 2" xfId="16035"/>
    <cellStyle name="표준 17 7 6 2 2" xfId="36911"/>
    <cellStyle name="표준 17 7 6 3" xfId="28173"/>
    <cellStyle name="표준 17 7 7" xfId="7672"/>
    <cellStyle name="표준 17 7 7 2" xfId="16678"/>
    <cellStyle name="표준 17 7 7 2 2" xfId="37554"/>
    <cellStyle name="표준 17 7 7 3" xfId="28816"/>
    <cellStyle name="표준 17 7 8" xfId="8520"/>
    <cellStyle name="표준 17 7 8 2" xfId="17525"/>
    <cellStyle name="표준 17 7 8 2 2" xfId="38401"/>
    <cellStyle name="표준 17 7 8 3" xfId="29663"/>
    <cellStyle name="표준 17 7 9" xfId="9344"/>
    <cellStyle name="표준 17 7 9 2" xfId="18343"/>
    <cellStyle name="표준 17 7 9 2 2" xfId="39219"/>
    <cellStyle name="표준 17 7 9 3" xfId="30481"/>
    <cellStyle name="표준 17 8" xfId="3151"/>
    <cellStyle name="표준 17 8 10" xfId="11470"/>
    <cellStyle name="표준 17 8 10 2" xfId="20236"/>
    <cellStyle name="표준 17 8 10 2 2" xfId="41112"/>
    <cellStyle name="표준 17 8 10 3" xfId="32376"/>
    <cellStyle name="표준 17 8 11" xfId="12619"/>
    <cellStyle name="표준 17 8 11 2" xfId="33496"/>
    <cellStyle name="표준 17 8 12" xfId="24746"/>
    <cellStyle name="표준 17 8 2" xfId="3593"/>
    <cellStyle name="표준 17 8 2 2" xfId="5866"/>
    <cellStyle name="표준 17 8 2 2 2" xfId="14875"/>
    <cellStyle name="표준 17 8 2 2 2 2" xfId="35751"/>
    <cellStyle name="표준 17 8 2 2 3" xfId="27013"/>
    <cellStyle name="표준 17 8 2 3" xfId="13056"/>
    <cellStyle name="표준 17 8 2 3 2" xfId="33933"/>
    <cellStyle name="표준 17 8 2 4" xfId="25183"/>
    <cellStyle name="표준 17 8 3" xfId="4754"/>
    <cellStyle name="표준 17 8 3 2" xfId="6586"/>
    <cellStyle name="표준 17 8 3 2 2" xfId="15595"/>
    <cellStyle name="표준 17 8 3 2 2 2" xfId="36471"/>
    <cellStyle name="표준 17 8 3 2 3" xfId="27733"/>
    <cellStyle name="표준 17 8 3 3" xfId="13777"/>
    <cellStyle name="표준 17 8 3 3 2" xfId="34653"/>
    <cellStyle name="표준 17 8 3 4" xfId="25915"/>
    <cellStyle name="표준 17 8 4" xfId="5429"/>
    <cellStyle name="표준 17 8 4 2" xfId="14438"/>
    <cellStyle name="표준 17 8 4 2 2" xfId="35314"/>
    <cellStyle name="표준 17 8 4 3" xfId="26576"/>
    <cellStyle name="표준 17 8 5" xfId="7232"/>
    <cellStyle name="표준 17 8 5 2" xfId="16239"/>
    <cellStyle name="표준 17 8 5 2 2" xfId="37115"/>
    <cellStyle name="표준 17 8 5 3" xfId="28377"/>
    <cellStyle name="표준 17 8 6" xfId="7876"/>
    <cellStyle name="표준 17 8 6 2" xfId="16882"/>
    <cellStyle name="표준 17 8 6 2 2" xfId="37758"/>
    <cellStyle name="표준 17 8 6 3" xfId="29020"/>
    <cellStyle name="표준 17 8 7" xfId="8724"/>
    <cellStyle name="표준 17 8 7 2" xfId="17729"/>
    <cellStyle name="표준 17 8 7 2 2" xfId="38605"/>
    <cellStyle name="표준 17 8 7 3" xfId="29867"/>
    <cellStyle name="표준 17 8 8" xfId="9549"/>
    <cellStyle name="표준 17 8 8 2" xfId="18547"/>
    <cellStyle name="표준 17 8 8 2 2" xfId="39423"/>
    <cellStyle name="표준 17 8 8 3" xfId="30685"/>
    <cellStyle name="표준 17 8 9" xfId="10604"/>
    <cellStyle name="표준 17 8 9 2" xfId="19375"/>
    <cellStyle name="표준 17 8 9 2 2" xfId="40251"/>
    <cellStyle name="표준 17 8 9 3" xfId="31515"/>
    <cellStyle name="표준 17 9" xfId="3383"/>
    <cellStyle name="표준 17 9 10" xfId="12846"/>
    <cellStyle name="표준 17 9 10 2" xfId="33723"/>
    <cellStyle name="표준 17 9 11" xfId="24973"/>
    <cellStyle name="표준 17 9 2" xfId="4976"/>
    <cellStyle name="표준 17 9 2 2" xfId="6803"/>
    <cellStyle name="표준 17 9 2 2 2" xfId="15812"/>
    <cellStyle name="표준 17 9 2 2 2 2" xfId="36688"/>
    <cellStyle name="표준 17 9 2 2 3" xfId="27950"/>
    <cellStyle name="표준 17 9 2 3" xfId="13994"/>
    <cellStyle name="표준 17 9 2 3 2" xfId="34870"/>
    <cellStyle name="표준 17 9 2 4" xfId="26132"/>
    <cellStyle name="표준 17 9 3" xfId="5656"/>
    <cellStyle name="표준 17 9 3 2" xfId="14665"/>
    <cellStyle name="표준 17 9 3 2 2" xfId="35541"/>
    <cellStyle name="표준 17 9 3 3" xfId="26803"/>
    <cellStyle name="표준 17 9 4" xfId="7449"/>
    <cellStyle name="표준 17 9 4 2" xfId="16456"/>
    <cellStyle name="표준 17 9 4 2 2" xfId="37332"/>
    <cellStyle name="표준 17 9 4 3" xfId="28594"/>
    <cellStyle name="표준 17 9 5" xfId="8093"/>
    <cellStyle name="표준 17 9 5 2" xfId="17099"/>
    <cellStyle name="표준 17 9 5 2 2" xfId="37975"/>
    <cellStyle name="표준 17 9 5 3" xfId="29237"/>
    <cellStyle name="표준 17 9 6" xfId="8941"/>
    <cellStyle name="표준 17 9 6 2" xfId="17946"/>
    <cellStyle name="표준 17 9 6 2 2" xfId="38822"/>
    <cellStyle name="표준 17 9 6 3" xfId="30084"/>
    <cellStyle name="표준 17 9 7" xfId="9766"/>
    <cellStyle name="표준 17 9 7 2" xfId="18764"/>
    <cellStyle name="표준 17 9 7 2 2" xfId="39640"/>
    <cellStyle name="표준 17 9 7 3" xfId="30902"/>
    <cellStyle name="표준 17 9 8" xfId="10821"/>
    <cellStyle name="표준 17 9 8 2" xfId="19592"/>
    <cellStyle name="표준 17 9 8 2 2" xfId="40468"/>
    <cellStyle name="표준 17 9 8 3" xfId="31732"/>
    <cellStyle name="표준 17 9 9" xfId="11687"/>
    <cellStyle name="표준 17 9 9 2" xfId="20453"/>
    <cellStyle name="표준 17 9 9 2 2" xfId="41329"/>
    <cellStyle name="표준 17 9 9 3" xfId="32593"/>
    <cellStyle name="표준 18" xfId="2940"/>
    <cellStyle name="표준 18 10" xfId="4549"/>
    <cellStyle name="표준 18 10 2" xfId="6383"/>
    <cellStyle name="표준 18 10 2 2" xfId="15392"/>
    <cellStyle name="표준 18 10 2 2 2" xfId="36268"/>
    <cellStyle name="표준 18 10 2 3" xfId="27530"/>
    <cellStyle name="표준 18 10 3" xfId="11046"/>
    <cellStyle name="표준 18 10 3 2" xfId="19816"/>
    <cellStyle name="표준 18 10 3 2 2" xfId="40692"/>
    <cellStyle name="표준 18 10 3 3" xfId="31956"/>
    <cellStyle name="표준 18 10 4" xfId="11911"/>
    <cellStyle name="표준 18 10 4 2" xfId="20677"/>
    <cellStyle name="표준 18 10 4 2 2" xfId="41553"/>
    <cellStyle name="표준 18 10 4 3" xfId="32817"/>
    <cellStyle name="표준 18 10 5" xfId="13574"/>
    <cellStyle name="표준 18 10 5 2" xfId="34450"/>
    <cellStyle name="표준 18 10 6" xfId="25712"/>
    <cellStyle name="표준 18 11" xfId="5226"/>
    <cellStyle name="표준 18 11 2" xfId="14235"/>
    <cellStyle name="표준 18 11 2 2" xfId="35111"/>
    <cellStyle name="표준 18 11 3" xfId="26373"/>
    <cellStyle name="표준 18 12" xfId="7028"/>
    <cellStyle name="표준 18 12 2" xfId="16036"/>
    <cellStyle name="표준 18 12 2 2" xfId="36912"/>
    <cellStyle name="표준 18 12 3" xfId="28174"/>
    <cellStyle name="표준 18 13" xfId="7673"/>
    <cellStyle name="표준 18 13 2" xfId="16679"/>
    <cellStyle name="표준 18 13 2 2" xfId="37555"/>
    <cellStyle name="표준 18 13 3" xfId="28817"/>
    <cellStyle name="표준 18 14" xfId="8521"/>
    <cellStyle name="표준 18 14 2" xfId="17526"/>
    <cellStyle name="표준 18 14 2 2" xfId="38402"/>
    <cellStyle name="표준 18 14 3" xfId="29664"/>
    <cellStyle name="표준 18 15" xfId="9345"/>
    <cellStyle name="표준 18 15 2" xfId="18344"/>
    <cellStyle name="표준 18 15 2 2" xfId="39220"/>
    <cellStyle name="표준 18 15 3" xfId="30482"/>
    <cellStyle name="표준 18 16" xfId="10401"/>
    <cellStyle name="표준 18 16 2" xfId="19172"/>
    <cellStyle name="표준 18 16 2 2" xfId="40048"/>
    <cellStyle name="표준 18 16 3" xfId="31312"/>
    <cellStyle name="표준 18 17" xfId="11267"/>
    <cellStyle name="표준 18 17 2" xfId="20033"/>
    <cellStyle name="표준 18 17 2 2" xfId="40909"/>
    <cellStyle name="표준 18 17 3" xfId="32173"/>
    <cellStyle name="표준 18 18" xfId="12415"/>
    <cellStyle name="표준 18 18 2" xfId="33293"/>
    <cellStyle name="표준 18 19" xfId="24233"/>
    <cellStyle name="표준 18 2" xfId="2941"/>
    <cellStyle name="표준 18 2 10" xfId="10402"/>
    <cellStyle name="표준 18 2 10 2" xfId="19173"/>
    <cellStyle name="표준 18 2 10 2 2" xfId="40049"/>
    <cellStyle name="표준 18 2 10 3" xfId="31313"/>
    <cellStyle name="표준 18 2 11" xfId="11268"/>
    <cellStyle name="표준 18 2 11 2" xfId="20034"/>
    <cellStyle name="표준 18 2 11 2 2" xfId="40910"/>
    <cellStyle name="표준 18 2 11 3" xfId="32174"/>
    <cellStyle name="표준 18 2 12" xfId="12416"/>
    <cellStyle name="표준 18 2 12 2" xfId="33294"/>
    <cellStyle name="표준 18 2 13" xfId="24544"/>
    <cellStyle name="표준 18 2 2" xfId="3159"/>
    <cellStyle name="표준 18 2 2 10" xfId="11478"/>
    <cellStyle name="표준 18 2 2 10 2" xfId="20244"/>
    <cellStyle name="표준 18 2 2 10 2 2" xfId="41120"/>
    <cellStyle name="표준 18 2 2 10 3" xfId="32384"/>
    <cellStyle name="표준 18 2 2 11" xfId="12627"/>
    <cellStyle name="표준 18 2 2 11 2" xfId="33504"/>
    <cellStyle name="표준 18 2 2 12" xfId="24754"/>
    <cellStyle name="표준 18 2 2 2" xfId="3601"/>
    <cellStyle name="표준 18 2 2 2 2" xfId="5874"/>
    <cellStyle name="표준 18 2 2 2 2 2" xfId="14883"/>
    <cellStyle name="표준 18 2 2 2 2 2 2" xfId="35759"/>
    <cellStyle name="표준 18 2 2 2 2 3" xfId="27021"/>
    <cellStyle name="표준 18 2 2 2 3" xfId="13064"/>
    <cellStyle name="표준 18 2 2 2 3 2" xfId="33941"/>
    <cellStyle name="표준 18 2 2 2 4" xfId="25191"/>
    <cellStyle name="표준 18 2 2 3" xfId="4762"/>
    <cellStyle name="표준 18 2 2 3 2" xfId="6594"/>
    <cellStyle name="표준 18 2 2 3 2 2" xfId="15603"/>
    <cellStyle name="표준 18 2 2 3 2 2 2" xfId="36479"/>
    <cellStyle name="표준 18 2 2 3 2 3" xfId="27741"/>
    <cellStyle name="표준 18 2 2 3 3" xfId="13785"/>
    <cellStyle name="표준 18 2 2 3 3 2" xfId="34661"/>
    <cellStyle name="표준 18 2 2 3 4" xfId="25923"/>
    <cellStyle name="표준 18 2 2 4" xfId="5437"/>
    <cellStyle name="표준 18 2 2 4 2" xfId="14446"/>
    <cellStyle name="표준 18 2 2 4 2 2" xfId="35322"/>
    <cellStyle name="표준 18 2 2 4 3" xfId="26584"/>
    <cellStyle name="표준 18 2 2 5" xfId="7240"/>
    <cellStyle name="표준 18 2 2 5 2" xfId="16247"/>
    <cellStyle name="표준 18 2 2 5 2 2" xfId="37123"/>
    <cellStyle name="표준 18 2 2 5 3" xfId="28385"/>
    <cellStyle name="표준 18 2 2 6" xfId="7884"/>
    <cellStyle name="표준 18 2 2 6 2" xfId="16890"/>
    <cellStyle name="표준 18 2 2 6 2 2" xfId="37766"/>
    <cellStyle name="표준 18 2 2 6 3" xfId="29028"/>
    <cellStyle name="표준 18 2 2 7" xfId="8732"/>
    <cellStyle name="표준 18 2 2 7 2" xfId="17737"/>
    <cellStyle name="표준 18 2 2 7 2 2" xfId="38613"/>
    <cellStyle name="표준 18 2 2 7 3" xfId="29875"/>
    <cellStyle name="표준 18 2 2 8" xfId="9557"/>
    <cellStyle name="표준 18 2 2 8 2" xfId="18555"/>
    <cellStyle name="표준 18 2 2 8 2 2" xfId="39431"/>
    <cellStyle name="표준 18 2 2 8 3" xfId="30693"/>
    <cellStyle name="표준 18 2 2 9" xfId="10612"/>
    <cellStyle name="표준 18 2 2 9 2" xfId="19383"/>
    <cellStyle name="표준 18 2 2 9 2 2" xfId="40259"/>
    <cellStyle name="표준 18 2 2 9 3" xfId="31523"/>
    <cellStyle name="표준 18 2 3" xfId="3391"/>
    <cellStyle name="표준 18 2 3 10" xfId="12854"/>
    <cellStyle name="표준 18 2 3 10 2" xfId="33731"/>
    <cellStyle name="표준 18 2 3 11" xfId="24981"/>
    <cellStyle name="표준 18 2 3 2" xfId="4984"/>
    <cellStyle name="표준 18 2 3 2 2" xfId="6811"/>
    <cellStyle name="표준 18 2 3 2 2 2" xfId="15820"/>
    <cellStyle name="표준 18 2 3 2 2 2 2" xfId="36696"/>
    <cellStyle name="표준 18 2 3 2 2 3" xfId="27958"/>
    <cellStyle name="표준 18 2 3 2 3" xfId="14002"/>
    <cellStyle name="표준 18 2 3 2 3 2" xfId="34878"/>
    <cellStyle name="표준 18 2 3 2 4" xfId="26140"/>
    <cellStyle name="표준 18 2 3 3" xfId="5664"/>
    <cellStyle name="표준 18 2 3 3 2" xfId="14673"/>
    <cellStyle name="표준 18 2 3 3 2 2" xfId="35549"/>
    <cellStyle name="표준 18 2 3 3 3" xfId="26811"/>
    <cellStyle name="표준 18 2 3 4" xfId="7457"/>
    <cellStyle name="표준 18 2 3 4 2" xfId="16464"/>
    <cellStyle name="표준 18 2 3 4 2 2" xfId="37340"/>
    <cellStyle name="표준 18 2 3 4 3" xfId="28602"/>
    <cellStyle name="표준 18 2 3 5" xfId="8101"/>
    <cellStyle name="표준 18 2 3 5 2" xfId="17107"/>
    <cellStyle name="표준 18 2 3 5 2 2" xfId="37983"/>
    <cellStyle name="표준 18 2 3 5 3" xfId="29245"/>
    <cellStyle name="표준 18 2 3 6" xfId="8949"/>
    <cellStyle name="표준 18 2 3 6 2" xfId="17954"/>
    <cellStyle name="표준 18 2 3 6 2 2" xfId="38830"/>
    <cellStyle name="표준 18 2 3 6 3" xfId="30092"/>
    <cellStyle name="표준 18 2 3 7" xfId="9774"/>
    <cellStyle name="표준 18 2 3 7 2" xfId="18772"/>
    <cellStyle name="표준 18 2 3 7 2 2" xfId="39648"/>
    <cellStyle name="표준 18 2 3 7 3" xfId="30910"/>
    <cellStyle name="표준 18 2 3 8" xfId="10829"/>
    <cellStyle name="표준 18 2 3 8 2" xfId="19600"/>
    <cellStyle name="표준 18 2 3 8 2 2" xfId="40476"/>
    <cellStyle name="표준 18 2 3 8 3" xfId="31740"/>
    <cellStyle name="표준 18 2 3 9" xfId="11695"/>
    <cellStyle name="표준 18 2 3 9 2" xfId="20461"/>
    <cellStyle name="표준 18 2 3 9 2 2" xfId="41337"/>
    <cellStyle name="표준 18 2 3 9 3" xfId="32601"/>
    <cellStyle name="표준 18 2 4" xfId="4550"/>
    <cellStyle name="표준 18 2 4 2" xfId="6384"/>
    <cellStyle name="표준 18 2 4 2 2" xfId="15393"/>
    <cellStyle name="표준 18 2 4 2 2 2" xfId="36269"/>
    <cellStyle name="표준 18 2 4 2 3" xfId="27531"/>
    <cellStyle name="표준 18 2 4 3" xfId="11047"/>
    <cellStyle name="표준 18 2 4 3 2" xfId="19817"/>
    <cellStyle name="표준 18 2 4 3 2 2" xfId="40693"/>
    <cellStyle name="표준 18 2 4 3 3" xfId="31957"/>
    <cellStyle name="표준 18 2 4 4" xfId="11912"/>
    <cellStyle name="표준 18 2 4 4 2" xfId="20678"/>
    <cellStyle name="표준 18 2 4 4 2 2" xfId="41554"/>
    <cellStyle name="표준 18 2 4 4 3" xfId="32818"/>
    <cellStyle name="표준 18 2 4 5" xfId="13575"/>
    <cellStyle name="표준 18 2 4 5 2" xfId="34451"/>
    <cellStyle name="표준 18 2 4 6" xfId="25713"/>
    <cellStyle name="표준 18 2 5" xfId="5227"/>
    <cellStyle name="표준 18 2 5 2" xfId="14236"/>
    <cellStyle name="표준 18 2 5 2 2" xfId="35112"/>
    <cellStyle name="표준 18 2 5 3" xfId="26374"/>
    <cellStyle name="표준 18 2 6" xfId="7029"/>
    <cellStyle name="표준 18 2 6 2" xfId="16037"/>
    <cellStyle name="표준 18 2 6 2 2" xfId="36913"/>
    <cellStyle name="표준 18 2 6 3" xfId="28175"/>
    <cellStyle name="표준 18 2 7" xfId="7674"/>
    <cellStyle name="표준 18 2 7 2" xfId="16680"/>
    <cellStyle name="표준 18 2 7 2 2" xfId="37556"/>
    <cellStyle name="표준 18 2 7 3" xfId="28818"/>
    <cellStyle name="표준 18 2 8" xfId="8522"/>
    <cellStyle name="표준 18 2 8 2" xfId="17527"/>
    <cellStyle name="표준 18 2 8 2 2" xfId="38403"/>
    <cellStyle name="표준 18 2 8 3" xfId="29665"/>
    <cellStyle name="표준 18 2 9" xfId="9346"/>
    <cellStyle name="표준 18 2 9 2" xfId="18345"/>
    <cellStyle name="표준 18 2 9 2 2" xfId="39221"/>
    <cellStyle name="표준 18 2 9 3" xfId="30483"/>
    <cellStyle name="표준 18 20" xfId="24543"/>
    <cellStyle name="표준 18 3" xfId="2942"/>
    <cellStyle name="표준 18 3 10" xfId="10403"/>
    <cellStyle name="표준 18 3 10 2" xfId="19174"/>
    <cellStyle name="표준 18 3 10 2 2" xfId="40050"/>
    <cellStyle name="표준 18 3 10 3" xfId="31314"/>
    <cellStyle name="표준 18 3 11" xfId="11269"/>
    <cellStyle name="표준 18 3 11 2" xfId="20035"/>
    <cellStyle name="표준 18 3 11 2 2" xfId="40911"/>
    <cellStyle name="표준 18 3 11 3" xfId="32175"/>
    <cellStyle name="표준 18 3 12" xfId="12417"/>
    <cellStyle name="표준 18 3 12 2" xfId="33295"/>
    <cellStyle name="표준 18 3 13" xfId="24545"/>
    <cellStyle name="표준 18 3 2" xfId="3160"/>
    <cellStyle name="표준 18 3 2 10" xfId="11479"/>
    <cellStyle name="표준 18 3 2 10 2" xfId="20245"/>
    <cellStyle name="표준 18 3 2 10 2 2" xfId="41121"/>
    <cellStyle name="표준 18 3 2 10 3" xfId="32385"/>
    <cellStyle name="표준 18 3 2 11" xfId="12628"/>
    <cellStyle name="표준 18 3 2 11 2" xfId="33505"/>
    <cellStyle name="표준 18 3 2 12" xfId="24755"/>
    <cellStyle name="표준 18 3 2 2" xfId="3602"/>
    <cellStyle name="표준 18 3 2 2 2" xfId="5875"/>
    <cellStyle name="표준 18 3 2 2 2 2" xfId="14884"/>
    <cellStyle name="표준 18 3 2 2 2 2 2" xfId="35760"/>
    <cellStyle name="표준 18 3 2 2 2 3" xfId="27022"/>
    <cellStyle name="표준 18 3 2 2 3" xfId="13065"/>
    <cellStyle name="표준 18 3 2 2 3 2" xfId="33942"/>
    <cellStyle name="표준 18 3 2 2 4" xfId="25192"/>
    <cellStyle name="표준 18 3 2 3" xfId="4763"/>
    <cellStyle name="표준 18 3 2 3 2" xfId="6595"/>
    <cellStyle name="표준 18 3 2 3 2 2" xfId="15604"/>
    <cellStyle name="표준 18 3 2 3 2 2 2" xfId="36480"/>
    <cellStyle name="표준 18 3 2 3 2 3" xfId="27742"/>
    <cellStyle name="표준 18 3 2 3 3" xfId="13786"/>
    <cellStyle name="표준 18 3 2 3 3 2" xfId="34662"/>
    <cellStyle name="표준 18 3 2 3 4" xfId="25924"/>
    <cellStyle name="표준 18 3 2 4" xfId="5438"/>
    <cellStyle name="표준 18 3 2 4 2" xfId="14447"/>
    <cellStyle name="표준 18 3 2 4 2 2" xfId="35323"/>
    <cellStyle name="표준 18 3 2 4 3" xfId="26585"/>
    <cellStyle name="표준 18 3 2 5" xfId="7241"/>
    <cellStyle name="표준 18 3 2 5 2" xfId="16248"/>
    <cellStyle name="표준 18 3 2 5 2 2" xfId="37124"/>
    <cellStyle name="표준 18 3 2 5 3" xfId="28386"/>
    <cellStyle name="표준 18 3 2 6" xfId="7885"/>
    <cellStyle name="표준 18 3 2 6 2" xfId="16891"/>
    <cellStyle name="표준 18 3 2 6 2 2" xfId="37767"/>
    <cellStyle name="표준 18 3 2 6 3" xfId="29029"/>
    <cellStyle name="표준 18 3 2 7" xfId="8733"/>
    <cellStyle name="표준 18 3 2 7 2" xfId="17738"/>
    <cellStyle name="표준 18 3 2 7 2 2" xfId="38614"/>
    <cellStyle name="표준 18 3 2 7 3" xfId="29876"/>
    <cellStyle name="표준 18 3 2 8" xfId="9558"/>
    <cellStyle name="표준 18 3 2 8 2" xfId="18556"/>
    <cellStyle name="표준 18 3 2 8 2 2" xfId="39432"/>
    <cellStyle name="표준 18 3 2 8 3" xfId="30694"/>
    <cellStyle name="표준 18 3 2 9" xfId="10613"/>
    <cellStyle name="표준 18 3 2 9 2" xfId="19384"/>
    <cellStyle name="표준 18 3 2 9 2 2" xfId="40260"/>
    <cellStyle name="표준 18 3 2 9 3" xfId="31524"/>
    <cellStyle name="표준 18 3 3" xfId="3392"/>
    <cellStyle name="표준 18 3 3 10" xfId="12855"/>
    <cellStyle name="표준 18 3 3 10 2" xfId="33732"/>
    <cellStyle name="표준 18 3 3 11" xfId="24982"/>
    <cellStyle name="표준 18 3 3 2" xfId="4985"/>
    <cellStyle name="표준 18 3 3 2 2" xfId="6812"/>
    <cellStyle name="표준 18 3 3 2 2 2" xfId="15821"/>
    <cellStyle name="표준 18 3 3 2 2 2 2" xfId="36697"/>
    <cellStyle name="표준 18 3 3 2 2 3" xfId="27959"/>
    <cellStyle name="표준 18 3 3 2 3" xfId="14003"/>
    <cellStyle name="표준 18 3 3 2 3 2" xfId="34879"/>
    <cellStyle name="표준 18 3 3 2 4" xfId="26141"/>
    <cellStyle name="표준 18 3 3 3" xfId="5665"/>
    <cellStyle name="표준 18 3 3 3 2" xfId="14674"/>
    <cellStyle name="표준 18 3 3 3 2 2" xfId="35550"/>
    <cellStyle name="표준 18 3 3 3 3" xfId="26812"/>
    <cellStyle name="표준 18 3 3 4" xfId="7458"/>
    <cellStyle name="표준 18 3 3 4 2" xfId="16465"/>
    <cellStyle name="표준 18 3 3 4 2 2" xfId="37341"/>
    <cellStyle name="표준 18 3 3 4 3" xfId="28603"/>
    <cellStyle name="표준 18 3 3 5" xfId="8102"/>
    <cellStyle name="표준 18 3 3 5 2" xfId="17108"/>
    <cellStyle name="표준 18 3 3 5 2 2" xfId="37984"/>
    <cellStyle name="표준 18 3 3 5 3" xfId="29246"/>
    <cellStyle name="표준 18 3 3 6" xfId="8950"/>
    <cellStyle name="표준 18 3 3 6 2" xfId="17955"/>
    <cellStyle name="표준 18 3 3 6 2 2" xfId="38831"/>
    <cellStyle name="표준 18 3 3 6 3" xfId="30093"/>
    <cellStyle name="표준 18 3 3 7" xfId="9775"/>
    <cellStyle name="표준 18 3 3 7 2" xfId="18773"/>
    <cellStyle name="표준 18 3 3 7 2 2" xfId="39649"/>
    <cellStyle name="표준 18 3 3 7 3" xfId="30911"/>
    <cellStyle name="표준 18 3 3 8" xfId="10830"/>
    <cellStyle name="표준 18 3 3 8 2" xfId="19601"/>
    <cellStyle name="표준 18 3 3 8 2 2" xfId="40477"/>
    <cellStyle name="표준 18 3 3 8 3" xfId="31741"/>
    <cellStyle name="표준 18 3 3 9" xfId="11696"/>
    <cellStyle name="표준 18 3 3 9 2" xfId="20462"/>
    <cellStyle name="표준 18 3 3 9 2 2" xfId="41338"/>
    <cellStyle name="표준 18 3 3 9 3" xfId="32602"/>
    <cellStyle name="표준 18 3 4" xfId="4551"/>
    <cellStyle name="표준 18 3 4 2" xfId="6385"/>
    <cellStyle name="표준 18 3 4 2 2" xfId="15394"/>
    <cellStyle name="표준 18 3 4 2 2 2" xfId="36270"/>
    <cellStyle name="표준 18 3 4 2 3" xfId="27532"/>
    <cellStyle name="표준 18 3 4 3" xfId="11048"/>
    <cellStyle name="표준 18 3 4 3 2" xfId="19818"/>
    <cellStyle name="표준 18 3 4 3 2 2" xfId="40694"/>
    <cellStyle name="표준 18 3 4 3 3" xfId="31958"/>
    <cellStyle name="표준 18 3 4 4" xfId="11913"/>
    <cellStyle name="표준 18 3 4 4 2" xfId="20679"/>
    <cellStyle name="표준 18 3 4 4 2 2" xfId="41555"/>
    <cellStyle name="표준 18 3 4 4 3" xfId="32819"/>
    <cellStyle name="표준 18 3 4 5" xfId="13576"/>
    <cellStyle name="표준 18 3 4 5 2" xfId="34452"/>
    <cellStyle name="표준 18 3 4 6" xfId="25714"/>
    <cellStyle name="표준 18 3 5" xfId="5228"/>
    <cellStyle name="표준 18 3 5 2" xfId="14237"/>
    <cellStyle name="표준 18 3 5 2 2" xfId="35113"/>
    <cellStyle name="표준 18 3 5 3" xfId="26375"/>
    <cellStyle name="표준 18 3 6" xfId="7030"/>
    <cellStyle name="표준 18 3 6 2" xfId="16038"/>
    <cellStyle name="표준 18 3 6 2 2" xfId="36914"/>
    <cellStyle name="표준 18 3 6 3" xfId="28176"/>
    <cellStyle name="표준 18 3 7" xfId="7675"/>
    <cellStyle name="표준 18 3 7 2" xfId="16681"/>
    <cellStyle name="표준 18 3 7 2 2" xfId="37557"/>
    <cellStyle name="표준 18 3 7 3" xfId="28819"/>
    <cellStyle name="표준 18 3 8" xfId="8523"/>
    <cellStyle name="표준 18 3 8 2" xfId="17528"/>
    <cellStyle name="표준 18 3 8 2 2" xfId="38404"/>
    <cellStyle name="표준 18 3 8 3" xfId="29666"/>
    <cellStyle name="표준 18 3 9" xfId="9347"/>
    <cellStyle name="표준 18 3 9 2" xfId="18346"/>
    <cellStyle name="표준 18 3 9 2 2" xfId="39222"/>
    <cellStyle name="표준 18 3 9 3" xfId="30484"/>
    <cellStyle name="표준 18 4" xfId="2943"/>
    <cellStyle name="표준 18 4 10" xfId="10404"/>
    <cellStyle name="표준 18 4 10 2" xfId="19175"/>
    <cellStyle name="표준 18 4 10 2 2" xfId="40051"/>
    <cellStyle name="표준 18 4 10 3" xfId="31315"/>
    <cellStyle name="표준 18 4 11" xfId="11270"/>
    <cellStyle name="표준 18 4 11 2" xfId="20036"/>
    <cellStyle name="표준 18 4 11 2 2" xfId="40912"/>
    <cellStyle name="표준 18 4 11 3" xfId="32176"/>
    <cellStyle name="표준 18 4 12" xfId="12418"/>
    <cellStyle name="표준 18 4 12 2" xfId="33296"/>
    <cellStyle name="표준 18 4 13" xfId="24546"/>
    <cellStyle name="표준 18 4 2" xfId="3161"/>
    <cellStyle name="표준 18 4 2 10" xfId="11480"/>
    <cellStyle name="표준 18 4 2 10 2" xfId="20246"/>
    <cellStyle name="표준 18 4 2 10 2 2" xfId="41122"/>
    <cellStyle name="표준 18 4 2 10 3" xfId="32386"/>
    <cellStyle name="표준 18 4 2 11" xfId="12629"/>
    <cellStyle name="표준 18 4 2 11 2" xfId="33506"/>
    <cellStyle name="표준 18 4 2 12" xfId="24756"/>
    <cellStyle name="표준 18 4 2 2" xfId="3603"/>
    <cellStyle name="표준 18 4 2 2 2" xfId="5876"/>
    <cellStyle name="표준 18 4 2 2 2 2" xfId="14885"/>
    <cellStyle name="표준 18 4 2 2 2 2 2" xfId="35761"/>
    <cellStyle name="표준 18 4 2 2 2 3" xfId="27023"/>
    <cellStyle name="표준 18 4 2 2 3" xfId="13066"/>
    <cellStyle name="표준 18 4 2 2 3 2" xfId="33943"/>
    <cellStyle name="표준 18 4 2 2 4" xfId="25193"/>
    <cellStyle name="표준 18 4 2 3" xfId="4764"/>
    <cellStyle name="표준 18 4 2 3 2" xfId="6596"/>
    <cellStyle name="표준 18 4 2 3 2 2" xfId="15605"/>
    <cellStyle name="표준 18 4 2 3 2 2 2" xfId="36481"/>
    <cellStyle name="표준 18 4 2 3 2 3" xfId="27743"/>
    <cellStyle name="표준 18 4 2 3 3" xfId="13787"/>
    <cellStyle name="표준 18 4 2 3 3 2" xfId="34663"/>
    <cellStyle name="표준 18 4 2 3 4" xfId="25925"/>
    <cellStyle name="표준 18 4 2 4" xfId="5439"/>
    <cellStyle name="표준 18 4 2 4 2" xfId="14448"/>
    <cellStyle name="표준 18 4 2 4 2 2" xfId="35324"/>
    <cellStyle name="표준 18 4 2 4 3" xfId="26586"/>
    <cellStyle name="표준 18 4 2 5" xfId="7242"/>
    <cellStyle name="표준 18 4 2 5 2" xfId="16249"/>
    <cellStyle name="표준 18 4 2 5 2 2" xfId="37125"/>
    <cellStyle name="표준 18 4 2 5 3" xfId="28387"/>
    <cellStyle name="표준 18 4 2 6" xfId="7886"/>
    <cellStyle name="표준 18 4 2 6 2" xfId="16892"/>
    <cellStyle name="표준 18 4 2 6 2 2" xfId="37768"/>
    <cellStyle name="표준 18 4 2 6 3" xfId="29030"/>
    <cellStyle name="표준 18 4 2 7" xfId="8734"/>
    <cellStyle name="표준 18 4 2 7 2" xfId="17739"/>
    <cellStyle name="표준 18 4 2 7 2 2" xfId="38615"/>
    <cellStyle name="표준 18 4 2 7 3" xfId="29877"/>
    <cellStyle name="표준 18 4 2 8" xfId="9559"/>
    <cellStyle name="표준 18 4 2 8 2" xfId="18557"/>
    <cellStyle name="표준 18 4 2 8 2 2" xfId="39433"/>
    <cellStyle name="표준 18 4 2 8 3" xfId="30695"/>
    <cellStyle name="표준 18 4 2 9" xfId="10614"/>
    <cellStyle name="표준 18 4 2 9 2" xfId="19385"/>
    <cellStyle name="표준 18 4 2 9 2 2" xfId="40261"/>
    <cellStyle name="표준 18 4 2 9 3" xfId="31525"/>
    <cellStyle name="표준 18 4 3" xfId="3393"/>
    <cellStyle name="표준 18 4 3 10" xfId="12856"/>
    <cellStyle name="표준 18 4 3 10 2" xfId="33733"/>
    <cellStyle name="표준 18 4 3 11" xfId="24983"/>
    <cellStyle name="표준 18 4 3 2" xfId="4986"/>
    <cellStyle name="표준 18 4 3 2 2" xfId="6813"/>
    <cellStyle name="표준 18 4 3 2 2 2" xfId="15822"/>
    <cellStyle name="표준 18 4 3 2 2 2 2" xfId="36698"/>
    <cellStyle name="표준 18 4 3 2 2 3" xfId="27960"/>
    <cellStyle name="표준 18 4 3 2 3" xfId="14004"/>
    <cellStyle name="표준 18 4 3 2 3 2" xfId="34880"/>
    <cellStyle name="표준 18 4 3 2 4" xfId="26142"/>
    <cellStyle name="표준 18 4 3 3" xfId="5666"/>
    <cellStyle name="표준 18 4 3 3 2" xfId="14675"/>
    <cellStyle name="표준 18 4 3 3 2 2" xfId="35551"/>
    <cellStyle name="표준 18 4 3 3 3" xfId="26813"/>
    <cellStyle name="표준 18 4 3 4" xfId="7459"/>
    <cellStyle name="표준 18 4 3 4 2" xfId="16466"/>
    <cellStyle name="표준 18 4 3 4 2 2" xfId="37342"/>
    <cellStyle name="표준 18 4 3 4 3" xfId="28604"/>
    <cellStyle name="표준 18 4 3 5" xfId="8103"/>
    <cellStyle name="표준 18 4 3 5 2" xfId="17109"/>
    <cellStyle name="표준 18 4 3 5 2 2" xfId="37985"/>
    <cellStyle name="표준 18 4 3 5 3" xfId="29247"/>
    <cellStyle name="표준 18 4 3 6" xfId="8951"/>
    <cellStyle name="표준 18 4 3 6 2" xfId="17956"/>
    <cellStyle name="표준 18 4 3 6 2 2" xfId="38832"/>
    <cellStyle name="표준 18 4 3 6 3" xfId="30094"/>
    <cellStyle name="표준 18 4 3 7" xfId="9776"/>
    <cellStyle name="표준 18 4 3 7 2" xfId="18774"/>
    <cellStyle name="표준 18 4 3 7 2 2" xfId="39650"/>
    <cellStyle name="표준 18 4 3 7 3" xfId="30912"/>
    <cellStyle name="표준 18 4 3 8" xfId="10831"/>
    <cellStyle name="표준 18 4 3 8 2" xfId="19602"/>
    <cellStyle name="표준 18 4 3 8 2 2" xfId="40478"/>
    <cellStyle name="표준 18 4 3 8 3" xfId="31742"/>
    <cellStyle name="표준 18 4 3 9" xfId="11697"/>
    <cellStyle name="표준 18 4 3 9 2" xfId="20463"/>
    <cellStyle name="표준 18 4 3 9 2 2" xfId="41339"/>
    <cellStyle name="표준 18 4 3 9 3" xfId="32603"/>
    <cellStyle name="표준 18 4 4" xfId="4552"/>
    <cellStyle name="표준 18 4 4 2" xfId="6386"/>
    <cellStyle name="표준 18 4 4 2 2" xfId="15395"/>
    <cellStyle name="표준 18 4 4 2 2 2" xfId="36271"/>
    <cellStyle name="표준 18 4 4 2 3" xfId="27533"/>
    <cellStyle name="표준 18 4 4 3" xfId="11049"/>
    <cellStyle name="표준 18 4 4 3 2" xfId="19819"/>
    <cellStyle name="표준 18 4 4 3 2 2" xfId="40695"/>
    <cellStyle name="표준 18 4 4 3 3" xfId="31959"/>
    <cellStyle name="표준 18 4 4 4" xfId="11914"/>
    <cellStyle name="표준 18 4 4 4 2" xfId="20680"/>
    <cellStyle name="표준 18 4 4 4 2 2" xfId="41556"/>
    <cellStyle name="표준 18 4 4 4 3" xfId="32820"/>
    <cellStyle name="표준 18 4 4 5" xfId="13577"/>
    <cellStyle name="표준 18 4 4 5 2" xfId="34453"/>
    <cellStyle name="표준 18 4 4 6" xfId="25715"/>
    <cellStyle name="표준 18 4 5" xfId="5229"/>
    <cellStyle name="표준 18 4 5 2" xfId="14238"/>
    <cellStyle name="표준 18 4 5 2 2" xfId="35114"/>
    <cellStyle name="표준 18 4 5 3" xfId="26376"/>
    <cellStyle name="표준 18 4 6" xfId="7031"/>
    <cellStyle name="표준 18 4 6 2" xfId="16039"/>
    <cellStyle name="표준 18 4 6 2 2" xfId="36915"/>
    <cellStyle name="표준 18 4 6 3" xfId="28177"/>
    <cellStyle name="표준 18 4 7" xfId="7676"/>
    <cellStyle name="표준 18 4 7 2" xfId="16682"/>
    <cellStyle name="표준 18 4 7 2 2" xfId="37558"/>
    <cellStyle name="표준 18 4 7 3" xfId="28820"/>
    <cellStyle name="표준 18 4 8" xfId="8524"/>
    <cellStyle name="표준 18 4 8 2" xfId="17529"/>
    <cellStyle name="표준 18 4 8 2 2" xfId="38405"/>
    <cellStyle name="표준 18 4 8 3" xfId="29667"/>
    <cellStyle name="표준 18 4 9" xfId="9348"/>
    <cellStyle name="표준 18 4 9 2" xfId="18347"/>
    <cellStyle name="표준 18 4 9 2 2" xfId="39223"/>
    <cellStyle name="표준 18 4 9 3" xfId="30485"/>
    <cellStyle name="표준 18 5" xfId="2944"/>
    <cellStyle name="표준 18 5 10" xfId="10405"/>
    <cellStyle name="표준 18 5 10 2" xfId="19176"/>
    <cellStyle name="표준 18 5 10 2 2" xfId="40052"/>
    <cellStyle name="표준 18 5 10 3" xfId="31316"/>
    <cellStyle name="표준 18 5 11" xfId="11271"/>
    <cellStyle name="표준 18 5 11 2" xfId="20037"/>
    <cellStyle name="표준 18 5 11 2 2" xfId="40913"/>
    <cellStyle name="표준 18 5 11 3" xfId="32177"/>
    <cellStyle name="표준 18 5 12" xfId="12419"/>
    <cellStyle name="표준 18 5 12 2" xfId="33297"/>
    <cellStyle name="표준 18 5 13" xfId="24547"/>
    <cellStyle name="표준 18 5 2" xfId="3162"/>
    <cellStyle name="표준 18 5 2 10" xfId="11481"/>
    <cellStyle name="표준 18 5 2 10 2" xfId="20247"/>
    <cellStyle name="표준 18 5 2 10 2 2" xfId="41123"/>
    <cellStyle name="표준 18 5 2 10 3" xfId="32387"/>
    <cellStyle name="표준 18 5 2 11" xfId="12630"/>
    <cellStyle name="표준 18 5 2 11 2" xfId="33507"/>
    <cellStyle name="표준 18 5 2 12" xfId="24757"/>
    <cellStyle name="표준 18 5 2 2" xfId="3604"/>
    <cellStyle name="표준 18 5 2 2 2" xfId="5877"/>
    <cellStyle name="표준 18 5 2 2 2 2" xfId="14886"/>
    <cellStyle name="표준 18 5 2 2 2 2 2" xfId="35762"/>
    <cellStyle name="표준 18 5 2 2 2 3" xfId="27024"/>
    <cellStyle name="표준 18 5 2 2 3" xfId="13067"/>
    <cellStyle name="표준 18 5 2 2 3 2" xfId="33944"/>
    <cellStyle name="표준 18 5 2 2 4" xfId="25194"/>
    <cellStyle name="표준 18 5 2 3" xfId="4765"/>
    <cellStyle name="표준 18 5 2 3 2" xfId="6597"/>
    <cellStyle name="표준 18 5 2 3 2 2" xfId="15606"/>
    <cellStyle name="표준 18 5 2 3 2 2 2" xfId="36482"/>
    <cellStyle name="표준 18 5 2 3 2 3" xfId="27744"/>
    <cellStyle name="표준 18 5 2 3 3" xfId="13788"/>
    <cellStyle name="표준 18 5 2 3 3 2" xfId="34664"/>
    <cellStyle name="표준 18 5 2 3 4" xfId="25926"/>
    <cellStyle name="표준 18 5 2 4" xfId="5440"/>
    <cellStyle name="표준 18 5 2 4 2" xfId="14449"/>
    <cellStyle name="표준 18 5 2 4 2 2" xfId="35325"/>
    <cellStyle name="표준 18 5 2 4 3" xfId="26587"/>
    <cellStyle name="표준 18 5 2 5" xfId="7243"/>
    <cellStyle name="표준 18 5 2 5 2" xfId="16250"/>
    <cellStyle name="표준 18 5 2 5 2 2" xfId="37126"/>
    <cellStyle name="표준 18 5 2 5 3" xfId="28388"/>
    <cellStyle name="표준 18 5 2 6" xfId="7887"/>
    <cellStyle name="표준 18 5 2 6 2" xfId="16893"/>
    <cellStyle name="표준 18 5 2 6 2 2" xfId="37769"/>
    <cellStyle name="표준 18 5 2 6 3" xfId="29031"/>
    <cellStyle name="표준 18 5 2 7" xfId="8735"/>
    <cellStyle name="표준 18 5 2 7 2" xfId="17740"/>
    <cellStyle name="표준 18 5 2 7 2 2" xfId="38616"/>
    <cellStyle name="표준 18 5 2 7 3" xfId="29878"/>
    <cellStyle name="표준 18 5 2 8" xfId="9560"/>
    <cellStyle name="표준 18 5 2 8 2" xfId="18558"/>
    <cellStyle name="표준 18 5 2 8 2 2" xfId="39434"/>
    <cellStyle name="표준 18 5 2 8 3" xfId="30696"/>
    <cellStyle name="표준 18 5 2 9" xfId="10615"/>
    <cellStyle name="표준 18 5 2 9 2" xfId="19386"/>
    <cellStyle name="표준 18 5 2 9 2 2" xfId="40262"/>
    <cellStyle name="표준 18 5 2 9 3" xfId="31526"/>
    <cellStyle name="표준 18 5 3" xfId="3394"/>
    <cellStyle name="표준 18 5 3 10" xfId="12857"/>
    <cellStyle name="표준 18 5 3 10 2" xfId="33734"/>
    <cellStyle name="표준 18 5 3 11" xfId="24984"/>
    <cellStyle name="표준 18 5 3 2" xfId="4987"/>
    <cellStyle name="표준 18 5 3 2 2" xfId="6814"/>
    <cellStyle name="표준 18 5 3 2 2 2" xfId="15823"/>
    <cellStyle name="표준 18 5 3 2 2 2 2" xfId="36699"/>
    <cellStyle name="표준 18 5 3 2 2 3" xfId="27961"/>
    <cellStyle name="표준 18 5 3 2 3" xfId="14005"/>
    <cellStyle name="표준 18 5 3 2 3 2" xfId="34881"/>
    <cellStyle name="표준 18 5 3 2 4" xfId="26143"/>
    <cellStyle name="표준 18 5 3 3" xfId="5667"/>
    <cellStyle name="표준 18 5 3 3 2" xfId="14676"/>
    <cellStyle name="표준 18 5 3 3 2 2" xfId="35552"/>
    <cellStyle name="표준 18 5 3 3 3" xfId="26814"/>
    <cellStyle name="표준 18 5 3 4" xfId="7460"/>
    <cellStyle name="표준 18 5 3 4 2" xfId="16467"/>
    <cellStyle name="표준 18 5 3 4 2 2" xfId="37343"/>
    <cellStyle name="표준 18 5 3 4 3" xfId="28605"/>
    <cellStyle name="표준 18 5 3 5" xfId="8104"/>
    <cellStyle name="표준 18 5 3 5 2" xfId="17110"/>
    <cellStyle name="표준 18 5 3 5 2 2" xfId="37986"/>
    <cellStyle name="표준 18 5 3 5 3" xfId="29248"/>
    <cellStyle name="표준 18 5 3 6" xfId="8952"/>
    <cellStyle name="표준 18 5 3 6 2" xfId="17957"/>
    <cellStyle name="표준 18 5 3 6 2 2" xfId="38833"/>
    <cellStyle name="표준 18 5 3 6 3" xfId="30095"/>
    <cellStyle name="표준 18 5 3 7" xfId="9777"/>
    <cellStyle name="표준 18 5 3 7 2" xfId="18775"/>
    <cellStyle name="표준 18 5 3 7 2 2" xfId="39651"/>
    <cellStyle name="표준 18 5 3 7 3" xfId="30913"/>
    <cellStyle name="표준 18 5 3 8" xfId="10832"/>
    <cellStyle name="표준 18 5 3 8 2" xfId="19603"/>
    <cellStyle name="표준 18 5 3 8 2 2" xfId="40479"/>
    <cellStyle name="표준 18 5 3 8 3" xfId="31743"/>
    <cellStyle name="표준 18 5 3 9" xfId="11698"/>
    <cellStyle name="표준 18 5 3 9 2" xfId="20464"/>
    <cellStyle name="표준 18 5 3 9 2 2" xfId="41340"/>
    <cellStyle name="표준 18 5 3 9 3" xfId="32604"/>
    <cellStyle name="표준 18 5 4" xfId="4553"/>
    <cellStyle name="표준 18 5 4 2" xfId="6387"/>
    <cellStyle name="표준 18 5 4 2 2" xfId="15396"/>
    <cellStyle name="표준 18 5 4 2 2 2" xfId="36272"/>
    <cellStyle name="표준 18 5 4 2 3" xfId="27534"/>
    <cellStyle name="표준 18 5 4 3" xfId="11050"/>
    <cellStyle name="표준 18 5 4 3 2" xfId="19820"/>
    <cellStyle name="표준 18 5 4 3 2 2" xfId="40696"/>
    <cellStyle name="표준 18 5 4 3 3" xfId="31960"/>
    <cellStyle name="표준 18 5 4 4" xfId="11915"/>
    <cellStyle name="표준 18 5 4 4 2" xfId="20681"/>
    <cellStyle name="표준 18 5 4 4 2 2" xfId="41557"/>
    <cellStyle name="표준 18 5 4 4 3" xfId="32821"/>
    <cellStyle name="표준 18 5 4 5" xfId="13578"/>
    <cellStyle name="표준 18 5 4 5 2" xfId="34454"/>
    <cellStyle name="표준 18 5 4 6" xfId="25716"/>
    <cellStyle name="표준 18 5 5" xfId="5230"/>
    <cellStyle name="표준 18 5 5 2" xfId="14239"/>
    <cellStyle name="표준 18 5 5 2 2" xfId="35115"/>
    <cellStyle name="표준 18 5 5 3" xfId="26377"/>
    <cellStyle name="표준 18 5 6" xfId="7032"/>
    <cellStyle name="표준 18 5 6 2" xfId="16040"/>
    <cellStyle name="표준 18 5 6 2 2" xfId="36916"/>
    <cellStyle name="표준 18 5 6 3" xfId="28178"/>
    <cellStyle name="표준 18 5 7" xfId="7677"/>
    <cellStyle name="표준 18 5 7 2" xfId="16683"/>
    <cellStyle name="표준 18 5 7 2 2" xfId="37559"/>
    <cellStyle name="표준 18 5 7 3" xfId="28821"/>
    <cellStyle name="표준 18 5 8" xfId="8525"/>
    <cellStyle name="표준 18 5 8 2" xfId="17530"/>
    <cellStyle name="표준 18 5 8 2 2" xfId="38406"/>
    <cellStyle name="표준 18 5 8 3" xfId="29668"/>
    <cellStyle name="표준 18 5 9" xfId="9349"/>
    <cellStyle name="표준 18 5 9 2" xfId="18348"/>
    <cellStyle name="표준 18 5 9 2 2" xfId="39224"/>
    <cellStyle name="표준 18 5 9 3" xfId="30486"/>
    <cellStyle name="표준 18 6" xfId="2945"/>
    <cellStyle name="표준 18 6 10" xfId="10406"/>
    <cellStyle name="표준 18 6 10 2" xfId="19177"/>
    <cellStyle name="표준 18 6 10 2 2" xfId="40053"/>
    <cellStyle name="표준 18 6 10 3" xfId="31317"/>
    <cellStyle name="표준 18 6 11" xfId="11272"/>
    <cellStyle name="표준 18 6 11 2" xfId="20038"/>
    <cellStyle name="표준 18 6 11 2 2" xfId="40914"/>
    <cellStyle name="표준 18 6 11 3" xfId="32178"/>
    <cellStyle name="표준 18 6 12" xfId="12420"/>
    <cellStyle name="표준 18 6 12 2" xfId="33298"/>
    <cellStyle name="표준 18 6 13" xfId="24548"/>
    <cellStyle name="표준 18 6 2" xfId="3163"/>
    <cellStyle name="표준 18 6 2 10" xfId="11482"/>
    <cellStyle name="표준 18 6 2 10 2" xfId="20248"/>
    <cellStyle name="표준 18 6 2 10 2 2" xfId="41124"/>
    <cellStyle name="표준 18 6 2 10 3" xfId="32388"/>
    <cellStyle name="표준 18 6 2 11" xfId="12631"/>
    <cellStyle name="표준 18 6 2 11 2" xfId="33508"/>
    <cellStyle name="표준 18 6 2 12" xfId="24758"/>
    <cellStyle name="표준 18 6 2 2" xfId="3605"/>
    <cellStyle name="표준 18 6 2 2 2" xfId="5878"/>
    <cellStyle name="표준 18 6 2 2 2 2" xfId="14887"/>
    <cellStyle name="표준 18 6 2 2 2 2 2" xfId="35763"/>
    <cellStyle name="표준 18 6 2 2 2 3" xfId="27025"/>
    <cellStyle name="표준 18 6 2 2 3" xfId="13068"/>
    <cellStyle name="표준 18 6 2 2 3 2" xfId="33945"/>
    <cellStyle name="표준 18 6 2 2 4" xfId="25195"/>
    <cellStyle name="표준 18 6 2 3" xfId="4766"/>
    <cellStyle name="표준 18 6 2 3 2" xfId="6598"/>
    <cellStyle name="표준 18 6 2 3 2 2" xfId="15607"/>
    <cellStyle name="표준 18 6 2 3 2 2 2" xfId="36483"/>
    <cellStyle name="표준 18 6 2 3 2 3" xfId="27745"/>
    <cellStyle name="표준 18 6 2 3 3" xfId="13789"/>
    <cellStyle name="표준 18 6 2 3 3 2" xfId="34665"/>
    <cellStyle name="표준 18 6 2 3 4" xfId="25927"/>
    <cellStyle name="표준 18 6 2 4" xfId="5441"/>
    <cellStyle name="표준 18 6 2 4 2" xfId="14450"/>
    <cellStyle name="표준 18 6 2 4 2 2" xfId="35326"/>
    <cellStyle name="표준 18 6 2 4 3" xfId="26588"/>
    <cellStyle name="표준 18 6 2 5" xfId="7244"/>
    <cellStyle name="표준 18 6 2 5 2" xfId="16251"/>
    <cellStyle name="표준 18 6 2 5 2 2" xfId="37127"/>
    <cellStyle name="표준 18 6 2 5 3" xfId="28389"/>
    <cellStyle name="표준 18 6 2 6" xfId="7888"/>
    <cellStyle name="표준 18 6 2 6 2" xfId="16894"/>
    <cellStyle name="표준 18 6 2 6 2 2" xfId="37770"/>
    <cellStyle name="표준 18 6 2 6 3" xfId="29032"/>
    <cellStyle name="표준 18 6 2 7" xfId="8736"/>
    <cellStyle name="표준 18 6 2 7 2" xfId="17741"/>
    <cellStyle name="표준 18 6 2 7 2 2" xfId="38617"/>
    <cellStyle name="표준 18 6 2 7 3" xfId="29879"/>
    <cellStyle name="표준 18 6 2 8" xfId="9561"/>
    <cellStyle name="표준 18 6 2 8 2" xfId="18559"/>
    <cellStyle name="표준 18 6 2 8 2 2" xfId="39435"/>
    <cellStyle name="표준 18 6 2 8 3" xfId="30697"/>
    <cellStyle name="표준 18 6 2 9" xfId="10616"/>
    <cellStyle name="표준 18 6 2 9 2" xfId="19387"/>
    <cellStyle name="표준 18 6 2 9 2 2" xfId="40263"/>
    <cellStyle name="표준 18 6 2 9 3" xfId="31527"/>
    <cellStyle name="표준 18 6 3" xfId="3395"/>
    <cellStyle name="표준 18 6 3 10" xfId="12858"/>
    <cellStyle name="표준 18 6 3 10 2" xfId="33735"/>
    <cellStyle name="표준 18 6 3 11" xfId="24985"/>
    <cellStyle name="표준 18 6 3 2" xfId="4988"/>
    <cellStyle name="표준 18 6 3 2 2" xfId="6815"/>
    <cellStyle name="표준 18 6 3 2 2 2" xfId="15824"/>
    <cellStyle name="표준 18 6 3 2 2 2 2" xfId="36700"/>
    <cellStyle name="표준 18 6 3 2 2 3" xfId="27962"/>
    <cellStyle name="표준 18 6 3 2 3" xfId="14006"/>
    <cellStyle name="표준 18 6 3 2 3 2" xfId="34882"/>
    <cellStyle name="표준 18 6 3 2 4" xfId="26144"/>
    <cellStyle name="표준 18 6 3 3" xfId="5668"/>
    <cellStyle name="표준 18 6 3 3 2" xfId="14677"/>
    <cellStyle name="표준 18 6 3 3 2 2" xfId="35553"/>
    <cellStyle name="표준 18 6 3 3 3" xfId="26815"/>
    <cellStyle name="표준 18 6 3 4" xfId="7461"/>
    <cellStyle name="표준 18 6 3 4 2" xfId="16468"/>
    <cellStyle name="표준 18 6 3 4 2 2" xfId="37344"/>
    <cellStyle name="표준 18 6 3 4 3" xfId="28606"/>
    <cellStyle name="표준 18 6 3 5" xfId="8105"/>
    <cellStyle name="표준 18 6 3 5 2" xfId="17111"/>
    <cellStyle name="표준 18 6 3 5 2 2" xfId="37987"/>
    <cellStyle name="표준 18 6 3 5 3" xfId="29249"/>
    <cellStyle name="표준 18 6 3 6" xfId="8953"/>
    <cellStyle name="표준 18 6 3 6 2" xfId="17958"/>
    <cellStyle name="표준 18 6 3 6 2 2" xfId="38834"/>
    <cellStyle name="표준 18 6 3 6 3" xfId="30096"/>
    <cellStyle name="표준 18 6 3 7" xfId="9778"/>
    <cellStyle name="표준 18 6 3 7 2" xfId="18776"/>
    <cellStyle name="표준 18 6 3 7 2 2" xfId="39652"/>
    <cellStyle name="표준 18 6 3 7 3" xfId="30914"/>
    <cellStyle name="표준 18 6 3 8" xfId="10833"/>
    <cellStyle name="표준 18 6 3 8 2" xfId="19604"/>
    <cellStyle name="표준 18 6 3 8 2 2" xfId="40480"/>
    <cellStyle name="표준 18 6 3 8 3" xfId="31744"/>
    <cellStyle name="표준 18 6 3 9" xfId="11699"/>
    <cellStyle name="표준 18 6 3 9 2" xfId="20465"/>
    <cellStyle name="표준 18 6 3 9 2 2" xfId="41341"/>
    <cellStyle name="표준 18 6 3 9 3" xfId="32605"/>
    <cellStyle name="표준 18 6 4" xfId="4554"/>
    <cellStyle name="표준 18 6 4 2" xfId="6388"/>
    <cellStyle name="표준 18 6 4 2 2" xfId="15397"/>
    <cellStyle name="표준 18 6 4 2 2 2" xfId="36273"/>
    <cellStyle name="표준 18 6 4 2 3" xfId="27535"/>
    <cellStyle name="표준 18 6 4 3" xfId="11051"/>
    <cellStyle name="표준 18 6 4 3 2" xfId="19821"/>
    <cellStyle name="표준 18 6 4 3 2 2" xfId="40697"/>
    <cellStyle name="표준 18 6 4 3 3" xfId="31961"/>
    <cellStyle name="표준 18 6 4 4" xfId="11916"/>
    <cellStyle name="표준 18 6 4 4 2" xfId="20682"/>
    <cellStyle name="표준 18 6 4 4 2 2" xfId="41558"/>
    <cellStyle name="표준 18 6 4 4 3" xfId="32822"/>
    <cellStyle name="표준 18 6 4 5" xfId="13579"/>
    <cellStyle name="표준 18 6 4 5 2" xfId="34455"/>
    <cellStyle name="표준 18 6 4 6" xfId="25717"/>
    <cellStyle name="표준 18 6 5" xfId="5231"/>
    <cellStyle name="표준 18 6 5 2" xfId="14240"/>
    <cellStyle name="표준 18 6 5 2 2" xfId="35116"/>
    <cellStyle name="표준 18 6 5 3" xfId="26378"/>
    <cellStyle name="표준 18 6 6" xfId="7033"/>
    <cellStyle name="표준 18 6 6 2" xfId="16041"/>
    <cellStyle name="표준 18 6 6 2 2" xfId="36917"/>
    <cellStyle name="표준 18 6 6 3" xfId="28179"/>
    <cellStyle name="표준 18 6 7" xfId="7678"/>
    <cellStyle name="표준 18 6 7 2" xfId="16684"/>
    <cellStyle name="표준 18 6 7 2 2" xfId="37560"/>
    <cellStyle name="표준 18 6 7 3" xfId="28822"/>
    <cellStyle name="표준 18 6 8" xfId="8526"/>
    <cellStyle name="표준 18 6 8 2" xfId="17531"/>
    <cellStyle name="표준 18 6 8 2 2" xfId="38407"/>
    <cellStyle name="표준 18 6 8 3" xfId="29669"/>
    <cellStyle name="표준 18 6 9" xfId="9350"/>
    <cellStyle name="표준 18 6 9 2" xfId="18349"/>
    <cellStyle name="표준 18 6 9 2 2" xfId="39225"/>
    <cellStyle name="표준 18 6 9 3" xfId="30487"/>
    <cellStyle name="표준 18 7" xfId="2946"/>
    <cellStyle name="표준 18 7 10" xfId="10407"/>
    <cellStyle name="표준 18 7 10 2" xfId="19178"/>
    <cellStyle name="표준 18 7 10 2 2" xfId="40054"/>
    <cellStyle name="표준 18 7 10 3" xfId="31318"/>
    <cellStyle name="표준 18 7 11" xfId="11273"/>
    <cellStyle name="표준 18 7 11 2" xfId="20039"/>
    <cellStyle name="표준 18 7 11 2 2" xfId="40915"/>
    <cellStyle name="표준 18 7 11 3" xfId="32179"/>
    <cellStyle name="표준 18 7 12" xfId="12421"/>
    <cellStyle name="표준 18 7 12 2" xfId="33299"/>
    <cellStyle name="표준 18 7 13" xfId="24549"/>
    <cellStyle name="표준 18 7 2" xfId="3164"/>
    <cellStyle name="표준 18 7 2 10" xfId="11483"/>
    <cellStyle name="표준 18 7 2 10 2" xfId="20249"/>
    <cellStyle name="표준 18 7 2 10 2 2" xfId="41125"/>
    <cellStyle name="표준 18 7 2 10 3" xfId="32389"/>
    <cellStyle name="표준 18 7 2 11" xfId="12632"/>
    <cellStyle name="표준 18 7 2 11 2" xfId="33509"/>
    <cellStyle name="표준 18 7 2 12" xfId="24759"/>
    <cellStyle name="표준 18 7 2 2" xfId="3606"/>
    <cellStyle name="표준 18 7 2 2 2" xfId="5879"/>
    <cellStyle name="표준 18 7 2 2 2 2" xfId="14888"/>
    <cellStyle name="표준 18 7 2 2 2 2 2" xfId="35764"/>
    <cellStyle name="표준 18 7 2 2 2 3" xfId="27026"/>
    <cellStyle name="표준 18 7 2 2 3" xfId="13069"/>
    <cellStyle name="표준 18 7 2 2 3 2" xfId="33946"/>
    <cellStyle name="표준 18 7 2 2 4" xfId="25196"/>
    <cellStyle name="표준 18 7 2 3" xfId="4767"/>
    <cellStyle name="표준 18 7 2 3 2" xfId="6599"/>
    <cellStyle name="표준 18 7 2 3 2 2" xfId="15608"/>
    <cellStyle name="표준 18 7 2 3 2 2 2" xfId="36484"/>
    <cellStyle name="표준 18 7 2 3 2 3" xfId="27746"/>
    <cellStyle name="표준 18 7 2 3 3" xfId="13790"/>
    <cellStyle name="표준 18 7 2 3 3 2" xfId="34666"/>
    <cellStyle name="표준 18 7 2 3 4" xfId="25928"/>
    <cellStyle name="표준 18 7 2 4" xfId="5442"/>
    <cellStyle name="표준 18 7 2 4 2" xfId="14451"/>
    <cellStyle name="표준 18 7 2 4 2 2" xfId="35327"/>
    <cellStyle name="표준 18 7 2 4 3" xfId="26589"/>
    <cellStyle name="표준 18 7 2 5" xfId="7245"/>
    <cellStyle name="표준 18 7 2 5 2" xfId="16252"/>
    <cellStyle name="표준 18 7 2 5 2 2" xfId="37128"/>
    <cellStyle name="표준 18 7 2 5 3" xfId="28390"/>
    <cellStyle name="표준 18 7 2 6" xfId="7889"/>
    <cellStyle name="표준 18 7 2 6 2" xfId="16895"/>
    <cellStyle name="표준 18 7 2 6 2 2" xfId="37771"/>
    <cellStyle name="표준 18 7 2 6 3" xfId="29033"/>
    <cellStyle name="표준 18 7 2 7" xfId="8737"/>
    <cellStyle name="표준 18 7 2 7 2" xfId="17742"/>
    <cellStyle name="표준 18 7 2 7 2 2" xfId="38618"/>
    <cellStyle name="표준 18 7 2 7 3" xfId="29880"/>
    <cellStyle name="표준 18 7 2 8" xfId="9562"/>
    <cellStyle name="표준 18 7 2 8 2" xfId="18560"/>
    <cellStyle name="표준 18 7 2 8 2 2" xfId="39436"/>
    <cellStyle name="표준 18 7 2 8 3" xfId="30698"/>
    <cellStyle name="표준 18 7 2 9" xfId="10617"/>
    <cellStyle name="표준 18 7 2 9 2" xfId="19388"/>
    <cellStyle name="표준 18 7 2 9 2 2" xfId="40264"/>
    <cellStyle name="표준 18 7 2 9 3" xfId="31528"/>
    <cellStyle name="표준 18 7 3" xfId="3396"/>
    <cellStyle name="표준 18 7 3 10" xfId="12859"/>
    <cellStyle name="표준 18 7 3 10 2" xfId="33736"/>
    <cellStyle name="표준 18 7 3 11" xfId="24986"/>
    <cellStyle name="표준 18 7 3 2" xfId="4989"/>
    <cellStyle name="표준 18 7 3 2 2" xfId="6816"/>
    <cellStyle name="표준 18 7 3 2 2 2" xfId="15825"/>
    <cellStyle name="표준 18 7 3 2 2 2 2" xfId="36701"/>
    <cellStyle name="표준 18 7 3 2 2 3" xfId="27963"/>
    <cellStyle name="표준 18 7 3 2 3" xfId="14007"/>
    <cellStyle name="표준 18 7 3 2 3 2" xfId="34883"/>
    <cellStyle name="표준 18 7 3 2 4" xfId="26145"/>
    <cellStyle name="표준 18 7 3 3" xfId="5669"/>
    <cellStyle name="표준 18 7 3 3 2" xfId="14678"/>
    <cellStyle name="표준 18 7 3 3 2 2" xfId="35554"/>
    <cellStyle name="표준 18 7 3 3 3" xfId="26816"/>
    <cellStyle name="표준 18 7 3 4" xfId="7462"/>
    <cellStyle name="표준 18 7 3 4 2" xfId="16469"/>
    <cellStyle name="표준 18 7 3 4 2 2" xfId="37345"/>
    <cellStyle name="표준 18 7 3 4 3" xfId="28607"/>
    <cellStyle name="표준 18 7 3 5" xfId="8106"/>
    <cellStyle name="표준 18 7 3 5 2" xfId="17112"/>
    <cellStyle name="표준 18 7 3 5 2 2" xfId="37988"/>
    <cellStyle name="표준 18 7 3 5 3" xfId="29250"/>
    <cellStyle name="표준 18 7 3 6" xfId="8954"/>
    <cellStyle name="표준 18 7 3 6 2" xfId="17959"/>
    <cellStyle name="표준 18 7 3 6 2 2" xfId="38835"/>
    <cellStyle name="표준 18 7 3 6 3" xfId="30097"/>
    <cellStyle name="표준 18 7 3 7" xfId="9779"/>
    <cellStyle name="표준 18 7 3 7 2" xfId="18777"/>
    <cellStyle name="표준 18 7 3 7 2 2" xfId="39653"/>
    <cellStyle name="표준 18 7 3 7 3" xfId="30915"/>
    <cellStyle name="표준 18 7 3 8" xfId="10834"/>
    <cellStyle name="표준 18 7 3 8 2" xfId="19605"/>
    <cellStyle name="표준 18 7 3 8 2 2" xfId="40481"/>
    <cellStyle name="표준 18 7 3 8 3" xfId="31745"/>
    <cellStyle name="표준 18 7 3 9" xfId="11700"/>
    <cellStyle name="표준 18 7 3 9 2" xfId="20466"/>
    <cellStyle name="표준 18 7 3 9 2 2" xfId="41342"/>
    <cellStyle name="표준 18 7 3 9 3" xfId="32606"/>
    <cellStyle name="표준 18 7 4" xfId="4555"/>
    <cellStyle name="표준 18 7 4 2" xfId="6389"/>
    <cellStyle name="표준 18 7 4 2 2" xfId="15398"/>
    <cellStyle name="표준 18 7 4 2 2 2" xfId="36274"/>
    <cellStyle name="표준 18 7 4 2 3" xfId="27536"/>
    <cellStyle name="표준 18 7 4 3" xfId="11052"/>
    <cellStyle name="표준 18 7 4 3 2" xfId="19822"/>
    <cellStyle name="표준 18 7 4 3 2 2" xfId="40698"/>
    <cellStyle name="표준 18 7 4 3 3" xfId="31962"/>
    <cellStyle name="표준 18 7 4 4" xfId="11917"/>
    <cellStyle name="표준 18 7 4 4 2" xfId="20683"/>
    <cellStyle name="표준 18 7 4 4 2 2" xfId="41559"/>
    <cellStyle name="표준 18 7 4 4 3" xfId="32823"/>
    <cellStyle name="표준 18 7 4 5" xfId="13580"/>
    <cellStyle name="표준 18 7 4 5 2" xfId="34456"/>
    <cellStyle name="표준 18 7 4 6" xfId="25718"/>
    <cellStyle name="표준 18 7 5" xfId="5232"/>
    <cellStyle name="표준 18 7 5 2" xfId="14241"/>
    <cellStyle name="표준 18 7 5 2 2" xfId="35117"/>
    <cellStyle name="표준 18 7 5 3" xfId="26379"/>
    <cellStyle name="표준 18 7 6" xfId="7034"/>
    <cellStyle name="표준 18 7 6 2" xfId="16042"/>
    <cellStyle name="표준 18 7 6 2 2" xfId="36918"/>
    <cellStyle name="표준 18 7 6 3" xfId="28180"/>
    <cellStyle name="표준 18 7 7" xfId="7679"/>
    <cellStyle name="표준 18 7 7 2" xfId="16685"/>
    <cellStyle name="표준 18 7 7 2 2" xfId="37561"/>
    <cellStyle name="표준 18 7 7 3" xfId="28823"/>
    <cellStyle name="표준 18 7 8" xfId="8527"/>
    <cellStyle name="표준 18 7 8 2" xfId="17532"/>
    <cellStyle name="표준 18 7 8 2 2" xfId="38408"/>
    <cellStyle name="표준 18 7 8 3" xfId="29670"/>
    <cellStyle name="표준 18 7 9" xfId="9351"/>
    <cellStyle name="표준 18 7 9 2" xfId="18350"/>
    <cellStyle name="표준 18 7 9 2 2" xfId="39226"/>
    <cellStyle name="표준 18 7 9 3" xfId="30488"/>
    <cellStyle name="표준 18 8" xfId="3158"/>
    <cellStyle name="표준 18 8 10" xfId="11477"/>
    <cellStyle name="표준 18 8 10 2" xfId="20243"/>
    <cellStyle name="표준 18 8 10 2 2" xfId="41119"/>
    <cellStyle name="표준 18 8 10 3" xfId="32383"/>
    <cellStyle name="표준 18 8 11" xfId="12626"/>
    <cellStyle name="표준 18 8 11 2" xfId="33503"/>
    <cellStyle name="표준 18 8 12" xfId="24753"/>
    <cellStyle name="표준 18 8 2" xfId="3600"/>
    <cellStyle name="표준 18 8 2 2" xfId="5873"/>
    <cellStyle name="표준 18 8 2 2 2" xfId="14882"/>
    <cellStyle name="표준 18 8 2 2 2 2" xfId="35758"/>
    <cellStyle name="표준 18 8 2 2 3" xfId="27020"/>
    <cellStyle name="표준 18 8 2 3" xfId="13063"/>
    <cellStyle name="표준 18 8 2 3 2" xfId="33940"/>
    <cellStyle name="표준 18 8 2 4" xfId="25190"/>
    <cellStyle name="표준 18 8 3" xfId="4761"/>
    <cellStyle name="표준 18 8 3 2" xfId="6593"/>
    <cellStyle name="표준 18 8 3 2 2" xfId="15602"/>
    <cellStyle name="표준 18 8 3 2 2 2" xfId="36478"/>
    <cellStyle name="표준 18 8 3 2 3" xfId="27740"/>
    <cellStyle name="표준 18 8 3 3" xfId="13784"/>
    <cellStyle name="표준 18 8 3 3 2" xfId="34660"/>
    <cellStyle name="표준 18 8 3 4" xfId="25922"/>
    <cellStyle name="표준 18 8 4" xfId="5436"/>
    <cellStyle name="표준 18 8 4 2" xfId="14445"/>
    <cellStyle name="표준 18 8 4 2 2" xfId="35321"/>
    <cellStyle name="표준 18 8 4 3" xfId="26583"/>
    <cellStyle name="표준 18 8 5" xfId="7239"/>
    <cellStyle name="표준 18 8 5 2" xfId="16246"/>
    <cellStyle name="표준 18 8 5 2 2" xfId="37122"/>
    <cellStyle name="표준 18 8 5 3" xfId="28384"/>
    <cellStyle name="표준 18 8 6" xfId="7883"/>
    <cellStyle name="표준 18 8 6 2" xfId="16889"/>
    <cellStyle name="표준 18 8 6 2 2" xfId="37765"/>
    <cellStyle name="표준 18 8 6 3" xfId="29027"/>
    <cellStyle name="표준 18 8 7" xfId="8731"/>
    <cellStyle name="표준 18 8 7 2" xfId="17736"/>
    <cellStyle name="표준 18 8 7 2 2" xfId="38612"/>
    <cellStyle name="표준 18 8 7 3" xfId="29874"/>
    <cellStyle name="표준 18 8 8" xfId="9556"/>
    <cellStyle name="표준 18 8 8 2" xfId="18554"/>
    <cellStyle name="표준 18 8 8 2 2" xfId="39430"/>
    <cellStyle name="표준 18 8 8 3" xfId="30692"/>
    <cellStyle name="표준 18 8 9" xfId="10611"/>
    <cellStyle name="표준 18 8 9 2" xfId="19382"/>
    <cellStyle name="표준 18 8 9 2 2" xfId="40258"/>
    <cellStyle name="표준 18 8 9 3" xfId="31522"/>
    <cellStyle name="표준 18 9" xfId="3390"/>
    <cellStyle name="표준 18 9 10" xfId="12853"/>
    <cellStyle name="표준 18 9 10 2" xfId="33730"/>
    <cellStyle name="표준 18 9 11" xfId="24980"/>
    <cellStyle name="표준 18 9 2" xfId="4983"/>
    <cellStyle name="표준 18 9 2 2" xfId="6810"/>
    <cellStyle name="표준 18 9 2 2 2" xfId="15819"/>
    <cellStyle name="표준 18 9 2 2 2 2" xfId="36695"/>
    <cellStyle name="표준 18 9 2 2 3" xfId="27957"/>
    <cellStyle name="표준 18 9 2 3" xfId="14001"/>
    <cellStyle name="표준 18 9 2 3 2" xfId="34877"/>
    <cellStyle name="표준 18 9 2 4" xfId="26139"/>
    <cellStyle name="표준 18 9 3" xfId="5663"/>
    <cellStyle name="표준 18 9 3 2" xfId="14672"/>
    <cellStyle name="표준 18 9 3 2 2" xfId="35548"/>
    <cellStyle name="표준 18 9 3 3" xfId="26810"/>
    <cellStyle name="표준 18 9 4" xfId="7456"/>
    <cellStyle name="표준 18 9 4 2" xfId="16463"/>
    <cellStyle name="표준 18 9 4 2 2" xfId="37339"/>
    <cellStyle name="표준 18 9 4 3" xfId="28601"/>
    <cellStyle name="표준 18 9 5" xfId="8100"/>
    <cellStyle name="표준 18 9 5 2" xfId="17106"/>
    <cellStyle name="표준 18 9 5 2 2" xfId="37982"/>
    <cellStyle name="표준 18 9 5 3" xfId="29244"/>
    <cellStyle name="표준 18 9 6" xfId="8948"/>
    <cellStyle name="표준 18 9 6 2" xfId="17953"/>
    <cellStyle name="표준 18 9 6 2 2" xfId="38829"/>
    <cellStyle name="표준 18 9 6 3" xfId="30091"/>
    <cellStyle name="표준 18 9 7" xfId="9773"/>
    <cellStyle name="표준 18 9 7 2" xfId="18771"/>
    <cellStyle name="표준 18 9 7 2 2" xfId="39647"/>
    <cellStyle name="표준 18 9 7 3" xfId="30909"/>
    <cellStyle name="표준 18 9 8" xfId="10828"/>
    <cellStyle name="표준 18 9 8 2" xfId="19599"/>
    <cellStyle name="표준 18 9 8 2 2" xfId="40475"/>
    <cellStyle name="표준 18 9 8 3" xfId="31739"/>
    <cellStyle name="표준 18 9 9" xfId="11694"/>
    <cellStyle name="표준 18 9 9 2" xfId="20460"/>
    <cellStyle name="표준 18 9 9 2 2" xfId="41336"/>
    <cellStyle name="표준 18 9 9 3" xfId="32600"/>
    <cellStyle name="표준 19" xfId="2947"/>
    <cellStyle name="표준 19 10" xfId="4556"/>
    <cellStyle name="표준 19 10 2" xfId="6390"/>
    <cellStyle name="표준 19 10 2 2" xfId="15399"/>
    <cellStyle name="표준 19 10 2 2 2" xfId="36275"/>
    <cellStyle name="표준 19 10 2 3" xfId="27537"/>
    <cellStyle name="표준 19 10 3" xfId="11053"/>
    <cellStyle name="표준 19 10 3 2" xfId="19823"/>
    <cellStyle name="표준 19 10 3 2 2" xfId="40699"/>
    <cellStyle name="표준 19 10 3 3" xfId="31963"/>
    <cellStyle name="표준 19 10 4" xfId="11918"/>
    <cellStyle name="표준 19 10 4 2" xfId="20684"/>
    <cellStyle name="표준 19 10 4 2 2" xfId="41560"/>
    <cellStyle name="표준 19 10 4 3" xfId="32824"/>
    <cellStyle name="표준 19 10 5" xfId="13581"/>
    <cellStyle name="표준 19 10 5 2" xfId="34457"/>
    <cellStyle name="표준 19 10 6" xfId="25719"/>
    <cellStyle name="표준 19 11" xfId="5233"/>
    <cellStyle name="표준 19 11 2" xfId="14242"/>
    <cellStyle name="표준 19 11 2 2" xfId="35118"/>
    <cellStyle name="표준 19 11 3" xfId="26380"/>
    <cellStyle name="표준 19 12" xfId="7035"/>
    <cellStyle name="표준 19 12 2" xfId="16043"/>
    <cellStyle name="표준 19 12 2 2" xfId="36919"/>
    <cellStyle name="표준 19 12 3" xfId="28181"/>
    <cellStyle name="표준 19 13" xfId="7680"/>
    <cellStyle name="표준 19 13 2" xfId="16686"/>
    <cellStyle name="표준 19 13 2 2" xfId="37562"/>
    <cellStyle name="표준 19 13 3" xfId="28824"/>
    <cellStyle name="표준 19 14" xfId="8528"/>
    <cellStyle name="표준 19 14 2" xfId="17533"/>
    <cellStyle name="표준 19 14 2 2" xfId="38409"/>
    <cellStyle name="표준 19 14 3" xfId="29671"/>
    <cellStyle name="표준 19 15" xfId="9352"/>
    <cellStyle name="표준 19 15 2" xfId="18351"/>
    <cellStyle name="표준 19 15 2 2" xfId="39227"/>
    <cellStyle name="표준 19 15 3" xfId="30489"/>
    <cellStyle name="표준 19 16" xfId="10408"/>
    <cellStyle name="표준 19 16 2" xfId="19179"/>
    <cellStyle name="표준 19 16 2 2" xfId="40055"/>
    <cellStyle name="표준 19 16 3" xfId="31319"/>
    <cellStyle name="표준 19 17" xfId="11274"/>
    <cellStyle name="표준 19 17 2" xfId="20040"/>
    <cellStyle name="표준 19 17 2 2" xfId="40916"/>
    <cellStyle name="표준 19 17 3" xfId="32180"/>
    <cellStyle name="표준 19 18" xfId="12422"/>
    <cellStyle name="표준 19 18 2" xfId="33300"/>
    <cellStyle name="표준 19 19" xfId="24550"/>
    <cellStyle name="표준 19 2" xfId="2948"/>
    <cellStyle name="표준 19 2 10" xfId="10409"/>
    <cellStyle name="표준 19 2 10 2" xfId="19180"/>
    <cellStyle name="표준 19 2 10 2 2" xfId="40056"/>
    <cellStyle name="표준 19 2 10 3" xfId="31320"/>
    <cellStyle name="표준 19 2 11" xfId="11275"/>
    <cellStyle name="표준 19 2 11 2" xfId="20041"/>
    <cellStyle name="표준 19 2 11 2 2" xfId="40917"/>
    <cellStyle name="표준 19 2 11 3" xfId="32181"/>
    <cellStyle name="표준 19 2 12" xfId="12423"/>
    <cellStyle name="표준 19 2 12 2" xfId="33301"/>
    <cellStyle name="표준 19 2 13" xfId="24551"/>
    <cellStyle name="표준 19 2 2" xfId="3166"/>
    <cellStyle name="표준 19 2 2 10" xfId="11485"/>
    <cellStyle name="표준 19 2 2 10 2" xfId="20251"/>
    <cellStyle name="표준 19 2 2 10 2 2" xfId="41127"/>
    <cellStyle name="표준 19 2 2 10 3" xfId="32391"/>
    <cellStyle name="표준 19 2 2 11" xfId="12634"/>
    <cellStyle name="표준 19 2 2 11 2" xfId="33511"/>
    <cellStyle name="표준 19 2 2 12" xfId="24761"/>
    <cellStyle name="표준 19 2 2 2" xfId="3608"/>
    <cellStyle name="표준 19 2 2 2 2" xfId="5881"/>
    <cellStyle name="표준 19 2 2 2 2 2" xfId="14890"/>
    <cellStyle name="표준 19 2 2 2 2 2 2" xfId="35766"/>
    <cellStyle name="표준 19 2 2 2 2 3" xfId="27028"/>
    <cellStyle name="표준 19 2 2 2 3" xfId="13071"/>
    <cellStyle name="표준 19 2 2 2 3 2" xfId="33948"/>
    <cellStyle name="표준 19 2 2 2 4" xfId="25198"/>
    <cellStyle name="표준 19 2 2 3" xfId="4769"/>
    <cellStyle name="표준 19 2 2 3 2" xfId="6601"/>
    <cellStyle name="표준 19 2 2 3 2 2" xfId="15610"/>
    <cellStyle name="표준 19 2 2 3 2 2 2" xfId="36486"/>
    <cellStyle name="표준 19 2 2 3 2 3" xfId="27748"/>
    <cellStyle name="표준 19 2 2 3 3" xfId="13792"/>
    <cellStyle name="표준 19 2 2 3 3 2" xfId="34668"/>
    <cellStyle name="표준 19 2 2 3 4" xfId="25930"/>
    <cellStyle name="표준 19 2 2 4" xfId="5444"/>
    <cellStyle name="표준 19 2 2 4 2" xfId="14453"/>
    <cellStyle name="표준 19 2 2 4 2 2" xfId="35329"/>
    <cellStyle name="표준 19 2 2 4 3" xfId="26591"/>
    <cellStyle name="표준 19 2 2 5" xfId="7247"/>
    <cellStyle name="표준 19 2 2 5 2" xfId="16254"/>
    <cellStyle name="표준 19 2 2 5 2 2" xfId="37130"/>
    <cellStyle name="표준 19 2 2 5 3" xfId="28392"/>
    <cellStyle name="표준 19 2 2 6" xfId="7891"/>
    <cellStyle name="표준 19 2 2 6 2" xfId="16897"/>
    <cellStyle name="표준 19 2 2 6 2 2" xfId="37773"/>
    <cellStyle name="표준 19 2 2 6 3" xfId="29035"/>
    <cellStyle name="표준 19 2 2 7" xfId="8739"/>
    <cellStyle name="표준 19 2 2 7 2" xfId="17744"/>
    <cellStyle name="표준 19 2 2 7 2 2" xfId="38620"/>
    <cellStyle name="표준 19 2 2 7 3" xfId="29882"/>
    <cellStyle name="표준 19 2 2 8" xfId="9564"/>
    <cellStyle name="표준 19 2 2 8 2" xfId="18562"/>
    <cellStyle name="표준 19 2 2 8 2 2" xfId="39438"/>
    <cellStyle name="표준 19 2 2 8 3" xfId="30700"/>
    <cellStyle name="표준 19 2 2 9" xfId="10619"/>
    <cellStyle name="표준 19 2 2 9 2" xfId="19390"/>
    <cellStyle name="표준 19 2 2 9 2 2" xfId="40266"/>
    <cellStyle name="표준 19 2 2 9 3" xfId="31530"/>
    <cellStyle name="표준 19 2 3" xfId="3398"/>
    <cellStyle name="표준 19 2 3 10" xfId="12861"/>
    <cellStyle name="표준 19 2 3 10 2" xfId="33738"/>
    <cellStyle name="표준 19 2 3 11" xfId="24988"/>
    <cellStyle name="표준 19 2 3 2" xfId="4991"/>
    <cellStyle name="표준 19 2 3 2 2" xfId="6818"/>
    <cellStyle name="표준 19 2 3 2 2 2" xfId="15827"/>
    <cellStyle name="표준 19 2 3 2 2 2 2" xfId="36703"/>
    <cellStyle name="표준 19 2 3 2 2 3" xfId="27965"/>
    <cellStyle name="표준 19 2 3 2 3" xfId="14009"/>
    <cellStyle name="표준 19 2 3 2 3 2" xfId="34885"/>
    <cellStyle name="표준 19 2 3 2 4" xfId="26147"/>
    <cellStyle name="표준 19 2 3 3" xfId="5671"/>
    <cellStyle name="표준 19 2 3 3 2" xfId="14680"/>
    <cellStyle name="표준 19 2 3 3 2 2" xfId="35556"/>
    <cellStyle name="표준 19 2 3 3 3" xfId="26818"/>
    <cellStyle name="표준 19 2 3 4" xfId="7464"/>
    <cellStyle name="표준 19 2 3 4 2" xfId="16471"/>
    <cellStyle name="표준 19 2 3 4 2 2" xfId="37347"/>
    <cellStyle name="표준 19 2 3 4 3" xfId="28609"/>
    <cellStyle name="표준 19 2 3 5" xfId="8108"/>
    <cellStyle name="표준 19 2 3 5 2" xfId="17114"/>
    <cellStyle name="표준 19 2 3 5 2 2" xfId="37990"/>
    <cellStyle name="표준 19 2 3 5 3" xfId="29252"/>
    <cellStyle name="표준 19 2 3 6" xfId="8956"/>
    <cellStyle name="표준 19 2 3 6 2" xfId="17961"/>
    <cellStyle name="표준 19 2 3 6 2 2" xfId="38837"/>
    <cellStyle name="표준 19 2 3 6 3" xfId="30099"/>
    <cellStyle name="표준 19 2 3 7" xfId="9781"/>
    <cellStyle name="표준 19 2 3 7 2" xfId="18779"/>
    <cellStyle name="표준 19 2 3 7 2 2" xfId="39655"/>
    <cellStyle name="표준 19 2 3 7 3" xfId="30917"/>
    <cellStyle name="표준 19 2 3 8" xfId="10836"/>
    <cellStyle name="표준 19 2 3 8 2" xfId="19607"/>
    <cellStyle name="표준 19 2 3 8 2 2" xfId="40483"/>
    <cellStyle name="표준 19 2 3 8 3" xfId="31747"/>
    <cellStyle name="표준 19 2 3 9" xfId="11702"/>
    <cellStyle name="표준 19 2 3 9 2" xfId="20468"/>
    <cellStyle name="표준 19 2 3 9 2 2" xfId="41344"/>
    <cellStyle name="표준 19 2 3 9 3" xfId="32608"/>
    <cellStyle name="표준 19 2 4" xfId="4557"/>
    <cellStyle name="표준 19 2 4 2" xfId="6391"/>
    <cellStyle name="표준 19 2 4 2 2" xfId="15400"/>
    <cellStyle name="표준 19 2 4 2 2 2" xfId="36276"/>
    <cellStyle name="표준 19 2 4 2 3" xfId="27538"/>
    <cellStyle name="표준 19 2 4 3" xfId="11054"/>
    <cellStyle name="표준 19 2 4 3 2" xfId="19824"/>
    <cellStyle name="표준 19 2 4 3 2 2" xfId="40700"/>
    <cellStyle name="표준 19 2 4 3 3" xfId="31964"/>
    <cellStyle name="표준 19 2 4 4" xfId="11919"/>
    <cellStyle name="표준 19 2 4 4 2" xfId="20685"/>
    <cellStyle name="표준 19 2 4 4 2 2" xfId="41561"/>
    <cellStyle name="표준 19 2 4 4 3" xfId="32825"/>
    <cellStyle name="표준 19 2 4 5" xfId="13582"/>
    <cellStyle name="표준 19 2 4 5 2" xfId="34458"/>
    <cellStyle name="표준 19 2 4 6" xfId="25720"/>
    <cellStyle name="표준 19 2 5" xfId="5234"/>
    <cellStyle name="표준 19 2 5 2" xfId="14243"/>
    <cellStyle name="표준 19 2 5 2 2" xfId="35119"/>
    <cellStyle name="표준 19 2 5 3" xfId="26381"/>
    <cellStyle name="표준 19 2 6" xfId="7036"/>
    <cellStyle name="표준 19 2 6 2" xfId="16044"/>
    <cellStyle name="표준 19 2 6 2 2" xfId="36920"/>
    <cellStyle name="표준 19 2 6 3" xfId="28182"/>
    <cellStyle name="표준 19 2 7" xfId="7681"/>
    <cellStyle name="표준 19 2 7 2" xfId="16687"/>
    <cellStyle name="표준 19 2 7 2 2" xfId="37563"/>
    <cellStyle name="표준 19 2 7 3" xfId="28825"/>
    <cellStyle name="표준 19 2 8" xfId="8529"/>
    <cellStyle name="표준 19 2 8 2" xfId="17534"/>
    <cellStyle name="표준 19 2 8 2 2" xfId="38410"/>
    <cellStyle name="표준 19 2 8 3" xfId="29672"/>
    <cellStyle name="표준 19 2 9" xfId="9353"/>
    <cellStyle name="표준 19 2 9 2" xfId="18352"/>
    <cellStyle name="표준 19 2 9 2 2" xfId="39228"/>
    <cellStyle name="표준 19 2 9 3" xfId="30490"/>
    <cellStyle name="표준 19 3" xfId="2949"/>
    <cellStyle name="표준 19 3 10" xfId="10410"/>
    <cellStyle name="표준 19 3 10 2" xfId="19181"/>
    <cellStyle name="표준 19 3 10 2 2" xfId="40057"/>
    <cellStyle name="표준 19 3 10 3" xfId="31321"/>
    <cellStyle name="표준 19 3 11" xfId="11276"/>
    <cellStyle name="표준 19 3 11 2" xfId="20042"/>
    <cellStyle name="표준 19 3 11 2 2" xfId="40918"/>
    <cellStyle name="표준 19 3 11 3" xfId="32182"/>
    <cellStyle name="표준 19 3 12" xfId="12424"/>
    <cellStyle name="표준 19 3 12 2" xfId="33302"/>
    <cellStyle name="표준 19 3 13" xfId="24552"/>
    <cellStyle name="표준 19 3 2" xfId="3167"/>
    <cellStyle name="표준 19 3 2 10" xfId="11486"/>
    <cellStyle name="표준 19 3 2 10 2" xfId="20252"/>
    <cellStyle name="표준 19 3 2 10 2 2" xfId="41128"/>
    <cellStyle name="표준 19 3 2 10 3" xfId="32392"/>
    <cellStyle name="표준 19 3 2 11" xfId="12635"/>
    <cellStyle name="표준 19 3 2 11 2" xfId="33512"/>
    <cellStyle name="표준 19 3 2 12" xfId="24762"/>
    <cellStyle name="표준 19 3 2 2" xfId="3609"/>
    <cellStyle name="표준 19 3 2 2 2" xfId="5882"/>
    <cellStyle name="표준 19 3 2 2 2 2" xfId="14891"/>
    <cellStyle name="표준 19 3 2 2 2 2 2" xfId="35767"/>
    <cellStyle name="표준 19 3 2 2 2 3" xfId="27029"/>
    <cellStyle name="표준 19 3 2 2 3" xfId="13072"/>
    <cellStyle name="표준 19 3 2 2 3 2" xfId="33949"/>
    <cellStyle name="표준 19 3 2 2 4" xfId="25199"/>
    <cellStyle name="표준 19 3 2 3" xfId="4770"/>
    <cellStyle name="표준 19 3 2 3 2" xfId="6602"/>
    <cellStyle name="표준 19 3 2 3 2 2" xfId="15611"/>
    <cellStyle name="표준 19 3 2 3 2 2 2" xfId="36487"/>
    <cellStyle name="표준 19 3 2 3 2 3" xfId="27749"/>
    <cellStyle name="표준 19 3 2 3 3" xfId="13793"/>
    <cellStyle name="표준 19 3 2 3 3 2" xfId="34669"/>
    <cellStyle name="표준 19 3 2 3 4" xfId="25931"/>
    <cellStyle name="표준 19 3 2 4" xfId="5445"/>
    <cellStyle name="표준 19 3 2 4 2" xfId="14454"/>
    <cellStyle name="표준 19 3 2 4 2 2" xfId="35330"/>
    <cellStyle name="표준 19 3 2 4 3" xfId="26592"/>
    <cellStyle name="표준 19 3 2 5" xfId="7248"/>
    <cellStyle name="표준 19 3 2 5 2" xfId="16255"/>
    <cellStyle name="표준 19 3 2 5 2 2" xfId="37131"/>
    <cellStyle name="표준 19 3 2 5 3" xfId="28393"/>
    <cellStyle name="표준 19 3 2 6" xfId="7892"/>
    <cellStyle name="표준 19 3 2 6 2" xfId="16898"/>
    <cellStyle name="표준 19 3 2 6 2 2" xfId="37774"/>
    <cellStyle name="표준 19 3 2 6 3" xfId="29036"/>
    <cellStyle name="표준 19 3 2 7" xfId="8740"/>
    <cellStyle name="표준 19 3 2 7 2" xfId="17745"/>
    <cellStyle name="표준 19 3 2 7 2 2" xfId="38621"/>
    <cellStyle name="표준 19 3 2 7 3" xfId="29883"/>
    <cellStyle name="표준 19 3 2 8" xfId="9565"/>
    <cellStyle name="표준 19 3 2 8 2" xfId="18563"/>
    <cellStyle name="표준 19 3 2 8 2 2" xfId="39439"/>
    <cellStyle name="표준 19 3 2 8 3" xfId="30701"/>
    <cellStyle name="표준 19 3 2 9" xfId="10620"/>
    <cellStyle name="표준 19 3 2 9 2" xfId="19391"/>
    <cellStyle name="표준 19 3 2 9 2 2" xfId="40267"/>
    <cellStyle name="표준 19 3 2 9 3" xfId="31531"/>
    <cellStyle name="표준 19 3 3" xfId="3399"/>
    <cellStyle name="표준 19 3 3 10" xfId="12862"/>
    <cellStyle name="표준 19 3 3 10 2" xfId="33739"/>
    <cellStyle name="표준 19 3 3 11" xfId="24989"/>
    <cellStyle name="표준 19 3 3 2" xfId="4992"/>
    <cellStyle name="표준 19 3 3 2 2" xfId="6819"/>
    <cellStyle name="표준 19 3 3 2 2 2" xfId="15828"/>
    <cellStyle name="표준 19 3 3 2 2 2 2" xfId="36704"/>
    <cellStyle name="표준 19 3 3 2 2 3" xfId="27966"/>
    <cellStyle name="표준 19 3 3 2 3" xfId="14010"/>
    <cellStyle name="표준 19 3 3 2 3 2" xfId="34886"/>
    <cellStyle name="표준 19 3 3 2 4" xfId="26148"/>
    <cellStyle name="표준 19 3 3 3" xfId="5672"/>
    <cellStyle name="표준 19 3 3 3 2" xfId="14681"/>
    <cellStyle name="표준 19 3 3 3 2 2" xfId="35557"/>
    <cellStyle name="표준 19 3 3 3 3" xfId="26819"/>
    <cellStyle name="표준 19 3 3 4" xfId="7465"/>
    <cellStyle name="표준 19 3 3 4 2" xfId="16472"/>
    <cellStyle name="표준 19 3 3 4 2 2" xfId="37348"/>
    <cellStyle name="표준 19 3 3 4 3" xfId="28610"/>
    <cellStyle name="표준 19 3 3 5" xfId="8109"/>
    <cellStyle name="표준 19 3 3 5 2" xfId="17115"/>
    <cellStyle name="표준 19 3 3 5 2 2" xfId="37991"/>
    <cellStyle name="표준 19 3 3 5 3" xfId="29253"/>
    <cellStyle name="표준 19 3 3 6" xfId="8957"/>
    <cellStyle name="표준 19 3 3 6 2" xfId="17962"/>
    <cellStyle name="표준 19 3 3 6 2 2" xfId="38838"/>
    <cellStyle name="표준 19 3 3 6 3" xfId="30100"/>
    <cellStyle name="표준 19 3 3 7" xfId="9782"/>
    <cellStyle name="표준 19 3 3 7 2" xfId="18780"/>
    <cellStyle name="표준 19 3 3 7 2 2" xfId="39656"/>
    <cellStyle name="표준 19 3 3 7 3" xfId="30918"/>
    <cellStyle name="표준 19 3 3 8" xfId="10837"/>
    <cellStyle name="표준 19 3 3 8 2" xfId="19608"/>
    <cellStyle name="표준 19 3 3 8 2 2" xfId="40484"/>
    <cellStyle name="표준 19 3 3 8 3" xfId="31748"/>
    <cellStyle name="표준 19 3 3 9" xfId="11703"/>
    <cellStyle name="표준 19 3 3 9 2" xfId="20469"/>
    <cellStyle name="표준 19 3 3 9 2 2" xfId="41345"/>
    <cellStyle name="표준 19 3 3 9 3" xfId="32609"/>
    <cellStyle name="표준 19 3 4" xfId="4558"/>
    <cellStyle name="표준 19 3 4 2" xfId="6392"/>
    <cellStyle name="표준 19 3 4 2 2" xfId="15401"/>
    <cellStyle name="표준 19 3 4 2 2 2" xfId="36277"/>
    <cellStyle name="표준 19 3 4 2 3" xfId="27539"/>
    <cellStyle name="표준 19 3 4 3" xfId="11055"/>
    <cellStyle name="표준 19 3 4 3 2" xfId="19825"/>
    <cellStyle name="표준 19 3 4 3 2 2" xfId="40701"/>
    <cellStyle name="표준 19 3 4 3 3" xfId="31965"/>
    <cellStyle name="표준 19 3 4 4" xfId="11920"/>
    <cellStyle name="표준 19 3 4 4 2" xfId="20686"/>
    <cellStyle name="표준 19 3 4 4 2 2" xfId="41562"/>
    <cellStyle name="표준 19 3 4 4 3" xfId="32826"/>
    <cellStyle name="표준 19 3 4 5" xfId="13583"/>
    <cellStyle name="표준 19 3 4 5 2" xfId="34459"/>
    <cellStyle name="표준 19 3 4 6" xfId="25721"/>
    <cellStyle name="표준 19 3 5" xfId="5235"/>
    <cellStyle name="표준 19 3 5 2" xfId="14244"/>
    <cellStyle name="표준 19 3 5 2 2" xfId="35120"/>
    <cellStyle name="표준 19 3 5 3" xfId="26382"/>
    <cellStyle name="표준 19 3 6" xfId="7037"/>
    <cellStyle name="표준 19 3 6 2" xfId="16045"/>
    <cellStyle name="표준 19 3 6 2 2" xfId="36921"/>
    <cellStyle name="표준 19 3 6 3" xfId="28183"/>
    <cellStyle name="표준 19 3 7" xfId="7682"/>
    <cellStyle name="표준 19 3 7 2" xfId="16688"/>
    <cellStyle name="표준 19 3 7 2 2" xfId="37564"/>
    <cellStyle name="표준 19 3 7 3" xfId="28826"/>
    <cellStyle name="표준 19 3 8" xfId="8530"/>
    <cellStyle name="표준 19 3 8 2" xfId="17535"/>
    <cellStyle name="표준 19 3 8 2 2" xfId="38411"/>
    <cellStyle name="표준 19 3 8 3" xfId="29673"/>
    <cellStyle name="표준 19 3 9" xfId="9354"/>
    <cellStyle name="표준 19 3 9 2" xfId="18353"/>
    <cellStyle name="표준 19 3 9 2 2" xfId="39229"/>
    <cellStyle name="표준 19 3 9 3" xfId="30491"/>
    <cellStyle name="표준 19 4" xfId="2950"/>
    <cellStyle name="표준 19 4 10" xfId="10411"/>
    <cellStyle name="표준 19 4 10 2" xfId="19182"/>
    <cellStyle name="표준 19 4 10 2 2" xfId="40058"/>
    <cellStyle name="표준 19 4 10 3" xfId="31322"/>
    <cellStyle name="표준 19 4 11" xfId="11277"/>
    <cellStyle name="표준 19 4 11 2" xfId="20043"/>
    <cellStyle name="표준 19 4 11 2 2" xfId="40919"/>
    <cellStyle name="표준 19 4 11 3" xfId="32183"/>
    <cellStyle name="표준 19 4 12" xfId="12425"/>
    <cellStyle name="표준 19 4 12 2" xfId="33303"/>
    <cellStyle name="표준 19 4 13" xfId="24553"/>
    <cellStyle name="표준 19 4 2" xfId="3168"/>
    <cellStyle name="표준 19 4 2 10" xfId="11487"/>
    <cellStyle name="표준 19 4 2 10 2" xfId="20253"/>
    <cellStyle name="표준 19 4 2 10 2 2" xfId="41129"/>
    <cellStyle name="표준 19 4 2 10 3" xfId="32393"/>
    <cellStyle name="표준 19 4 2 11" xfId="12636"/>
    <cellStyle name="표준 19 4 2 11 2" xfId="33513"/>
    <cellStyle name="표준 19 4 2 12" xfId="24763"/>
    <cellStyle name="표준 19 4 2 2" xfId="3610"/>
    <cellStyle name="표준 19 4 2 2 2" xfId="5883"/>
    <cellStyle name="표준 19 4 2 2 2 2" xfId="14892"/>
    <cellStyle name="표준 19 4 2 2 2 2 2" xfId="35768"/>
    <cellStyle name="표준 19 4 2 2 2 3" xfId="27030"/>
    <cellStyle name="표준 19 4 2 2 3" xfId="13073"/>
    <cellStyle name="표준 19 4 2 2 3 2" xfId="33950"/>
    <cellStyle name="표준 19 4 2 2 4" xfId="25200"/>
    <cellStyle name="표준 19 4 2 3" xfId="4771"/>
    <cellStyle name="표준 19 4 2 3 2" xfId="6603"/>
    <cellStyle name="표준 19 4 2 3 2 2" xfId="15612"/>
    <cellStyle name="표준 19 4 2 3 2 2 2" xfId="36488"/>
    <cellStyle name="표준 19 4 2 3 2 3" xfId="27750"/>
    <cellStyle name="표준 19 4 2 3 3" xfId="13794"/>
    <cellStyle name="표준 19 4 2 3 3 2" xfId="34670"/>
    <cellStyle name="표준 19 4 2 3 4" xfId="25932"/>
    <cellStyle name="표준 19 4 2 4" xfId="5446"/>
    <cellStyle name="표준 19 4 2 4 2" xfId="14455"/>
    <cellStyle name="표준 19 4 2 4 2 2" xfId="35331"/>
    <cellStyle name="표준 19 4 2 4 3" xfId="26593"/>
    <cellStyle name="표준 19 4 2 5" xfId="7249"/>
    <cellStyle name="표준 19 4 2 5 2" xfId="16256"/>
    <cellStyle name="표준 19 4 2 5 2 2" xfId="37132"/>
    <cellStyle name="표준 19 4 2 5 3" xfId="28394"/>
    <cellStyle name="표준 19 4 2 6" xfId="7893"/>
    <cellStyle name="표준 19 4 2 6 2" xfId="16899"/>
    <cellStyle name="표준 19 4 2 6 2 2" xfId="37775"/>
    <cellStyle name="표준 19 4 2 6 3" xfId="29037"/>
    <cellStyle name="표준 19 4 2 7" xfId="8741"/>
    <cellStyle name="표준 19 4 2 7 2" xfId="17746"/>
    <cellStyle name="표준 19 4 2 7 2 2" xfId="38622"/>
    <cellStyle name="표준 19 4 2 7 3" xfId="29884"/>
    <cellStyle name="표준 19 4 2 8" xfId="9566"/>
    <cellStyle name="표준 19 4 2 8 2" xfId="18564"/>
    <cellStyle name="표준 19 4 2 8 2 2" xfId="39440"/>
    <cellStyle name="표준 19 4 2 8 3" xfId="30702"/>
    <cellStyle name="표준 19 4 2 9" xfId="10621"/>
    <cellStyle name="표준 19 4 2 9 2" xfId="19392"/>
    <cellStyle name="표준 19 4 2 9 2 2" xfId="40268"/>
    <cellStyle name="표준 19 4 2 9 3" xfId="31532"/>
    <cellStyle name="표준 19 4 3" xfId="3400"/>
    <cellStyle name="표준 19 4 3 10" xfId="12863"/>
    <cellStyle name="표준 19 4 3 10 2" xfId="33740"/>
    <cellStyle name="표준 19 4 3 11" xfId="24990"/>
    <cellStyle name="표준 19 4 3 2" xfId="4993"/>
    <cellStyle name="표준 19 4 3 2 2" xfId="6820"/>
    <cellStyle name="표준 19 4 3 2 2 2" xfId="15829"/>
    <cellStyle name="표준 19 4 3 2 2 2 2" xfId="36705"/>
    <cellStyle name="표준 19 4 3 2 2 3" xfId="27967"/>
    <cellStyle name="표준 19 4 3 2 3" xfId="14011"/>
    <cellStyle name="표준 19 4 3 2 3 2" xfId="34887"/>
    <cellStyle name="표준 19 4 3 2 4" xfId="26149"/>
    <cellStyle name="표준 19 4 3 3" xfId="5673"/>
    <cellStyle name="표준 19 4 3 3 2" xfId="14682"/>
    <cellStyle name="표준 19 4 3 3 2 2" xfId="35558"/>
    <cellStyle name="표준 19 4 3 3 3" xfId="26820"/>
    <cellStyle name="표준 19 4 3 4" xfId="7466"/>
    <cellStyle name="표준 19 4 3 4 2" xfId="16473"/>
    <cellStyle name="표준 19 4 3 4 2 2" xfId="37349"/>
    <cellStyle name="표준 19 4 3 4 3" xfId="28611"/>
    <cellStyle name="표준 19 4 3 5" xfId="8110"/>
    <cellStyle name="표준 19 4 3 5 2" xfId="17116"/>
    <cellStyle name="표준 19 4 3 5 2 2" xfId="37992"/>
    <cellStyle name="표준 19 4 3 5 3" xfId="29254"/>
    <cellStyle name="표준 19 4 3 6" xfId="8958"/>
    <cellStyle name="표준 19 4 3 6 2" xfId="17963"/>
    <cellStyle name="표준 19 4 3 6 2 2" xfId="38839"/>
    <cellStyle name="표준 19 4 3 6 3" xfId="30101"/>
    <cellStyle name="표준 19 4 3 7" xfId="9783"/>
    <cellStyle name="표준 19 4 3 7 2" xfId="18781"/>
    <cellStyle name="표준 19 4 3 7 2 2" xfId="39657"/>
    <cellStyle name="표준 19 4 3 7 3" xfId="30919"/>
    <cellStyle name="표준 19 4 3 8" xfId="10838"/>
    <cellStyle name="표준 19 4 3 8 2" xfId="19609"/>
    <cellStyle name="표준 19 4 3 8 2 2" xfId="40485"/>
    <cellStyle name="표준 19 4 3 8 3" xfId="31749"/>
    <cellStyle name="표준 19 4 3 9" xfId="11704"/>
    <cellStyle name="표준 19 4 3 9 2" xfId="20470"/>
    <cellStyle name="표준 19 4 3 9 2 2" xfId="41346"/>
    <cellStyle name="표준 19 4 3 9 3" xfId="32610"/>
    <cellStyle name="표준 19 4 4" xfId="4559"/>
    <cellStyle name="표준 19 4 4 2" xfId="6393"/>
    <cellStyle name="표준 19 4 4 2 2" xfId="15402"/>
    <cellStyle name="표준 19 4 4 2 2 2" xfId="36278"/>
    <cellStyle name="표준 19 4 4 2 3" xfId="27540"/>
    <cellStyle name="표준 19 4 4 3" xfId="11056"/>
    <cellStyle name="표준 19 4 4 3 2" xfId="19826"/>
    <cellStyle name="표준 19 4 4 3 2 2" xfId="40702"/>
    <cellStyle name="표준 19 4 4 3 3" xfId="31966"/>
    <cellStyle name="표준 19 4 4 4" xfId="11921"/>
    <cellStyle name="표준 19 4 4 4 2" xfId="20687"/>
    <cellStyle name="표준 19 4 4 4 2 2" xfId="41563"/>
    <cellStyle name="표준 19 4 4 4 3" xfId="32827"/>
    <cellStyle name="표준 19 4 4 5" xfId="13584"/>
    <cellStyle name="표준 19 4 4 5 2" xfId="34460"/>
    <cellStyle name="표준 19 4 4 6" xfId="25722"/>
    <cellStyle name="표준 19 4 5" xfId="5236"/>
    <cellStyle name="표준 19 4 5 2" xfId="14245"/>
    <cellStyle name="표준 19 4 5 2 2" xfId="35121"/>
    <cellStyle name="표준 19 4 5 3" xfId="26383"/>
    <cellStyle name="표준 19 4 6" xfId="7038"/>
    <cellStyle name="표준 19 4 6 2" xfId="16046"/>
    <cellStyle name="표준 19 4 6 2 2" xfId="36922"/>
    <cellStyle name="표준 19 4 6 3" xfId="28184"/>
    <cellStyle name="표준 19 4 7" xfId="7683"/>
    <cellStyle name="표준 19 4 7 2" xfId="16689"/>
    <cellStyle name="표준 19 4 7 2 2" xfId="37565"/>
    <cellStyle name="표준 19 4 7 3" xfId="28827"/>
    <cellStyle name="표준 19 4 8" xfId="8531"/>
    <cellStyle name="표준 19 4 8 2" xfId="17536"/>
    <cellStyle name="표준 19 4 8 2 2" xfId="38412"/>
    <cellStyle name="표준 19 4 8 3" xfId="29674"/>
    <cellStyle name="표준 19 4 9" xfId="9355"/>
    <cellStyle name="표준 19 4 9 2" xfId="18354"/>
    <cellStyle name="표준 19 4 9 2 2" xfId="39230"/>
    <cellStyle name="표준 19 4 9 3" xfId="30492"/>
    <cellStyle name="표준 19 5" xfId="2951"/>
    <cellStyle name="표준 19 5 10" xfId="10412"/>
    <cellStyle name="표준 19 5 10 2" xfId="19183"/>
    <cellStyle name="표준 19 5 10 2 2" xfId="40059"/>
    <cellStyle name="표준 19 5 10 3" xfId="31323"/>
    <cellStyle name="표준 19 5 11" xfId="11278"/>
    <cellStyle name="표준 19 5 11 2" xfId="20044"/>
    <cellStyle name="표준 19 5 11 2 2" xfId="40920"/>
    <cellStyle name="표준 19 5 11 3" xfId="32184"/>
    <cellStyle name="표준 19 5 12" xfId="12426"/>
    <cellStyle name="표준 19 5 12 2" xfId="33304"/>
    <cellStyle name="표준 19 5 13" xfId="24554"/>
    <cellStyle name="표준 19 5 2" xfId="3169"/>
    <cellStyle name="표준 19 5 2 10" xfId="11488"/>
    <cellStyle name="표준 19 5 2 10 2" xfId="20254"/>
    <cellStyle name="표준 19 5 2 10 2 2" xfId="41130"/>
    <cellStyle name="표준 19 5 2 10 3" xfId="32394"/>
    <cellStyle name="표준 19 5 2 11" xfId="12637"/>
    <cellStyle name="표준 19 5 2 11 2" xfId="33514"/>
    <cellStyle name="표준 19 5 2 12" xfId="24764"/>
    <cellStyle name="표준 19 5 2 2" xfId="3611"/>
    <cellStyle name="표준 19 5 2 2 2" xfId="5884"/>
    <cellStyle name="표준 19 5 2 2 2 2" xfId="14893"/>
    <cellStyle name="표준 19 5 2 2 2 2 2" xfId="35769"/>
    <cellStyle name="표준 19 5 2 2 2 3" xfId="27031"/>
    <cellStyle name="표준 19 5 2 2 3" xfId="13074"/>
    <cellStyle name="표준 19 5 2 2 3 2" xfId="33951"/>
    <cellStyle name="표준 19 5 2 2 4" xfId="25201"/>
    <cellStyle name="표준 19 5 2 3" xfId="4772"/>
    <cellStyle name="표준 19 5 2 3 2" xfId="6604"/>
    <cellStyle name="표준 19 5 2 3 2 2" xfId="15613"/>
    <cellStyle name="표준 19 5 2 3 2 2 2" xfId="36489"/>
    <cellStyle name="표준 19 5 2 3 2 3" xfId="27751"/>
    <cellStyle name="표준 19 5 2 3 3" xfId="13795"/>
    <cellStyle name="표준 19 5 2 3 3 2" xfId="34671"/>
    <cellStyle name="표준 19 5 2 3 4" xfId="25933"/>
    <cellStyle name="표준 19 5 2 4" xfId="5447"/>
    <cellStyle name="표준 19 5 2 4 2" xfId="14456"/>
    <cellStyle name="표준 19 5 2 4 2 2" xfId="35332"/>
    <cellStyle name="표준 19 5 2 4 3" xfId="26594"/>
    <cellStyle name="표준 19 5 2 5" xfId="7250"/>
    <cellStyle name="표준 19 5 2 5 2" xfId="16257"/>
    <cellStyle name="표준 19 5 2 5 2 2" xfId="37133"/>
    <cellStyle name="표준 19 5 2 5 3" xfId="28395"/>
    <cellStyle name="표준 19 5 2 6" xfId="7894"/>
    <cellStyle name="표준 19 5 2 6 2" xfId="16900"/>
    <cellStyle name="표준 19 5 2 6 2 2" xfId="37776"/>
    <cellStyle name="표준 19 5 2 6 3" xfId="29038"/>
    <cellStyle name="표준 19 5 2 7" xfId="8742"/>
    <cellStyle name="표준 19 5 2 7 2" xfId="17747"/>
    <cellStyle name="표준 19 5 2 7 2 2" xfId="38623"/>
    <cellStyle name="표준 19 5 2 7 3" xfId="29885"/>
    <cellStyle name="표준 19 5 2 8" xfId="9567"/>
    <cellStyle name="표준 19 5 2 8 2" xfId="18565"/>
    <cellStyle name="표준 19 5 2 8 2 2" xfId="39441"/>
    <cellStyle name="표준 19 5 2 8 3" xfId="30703"/>
    <cellStyle name="표준 19 5 2 9" xfId="10622"/>
    <cellStyle name="표준 19 5 2 9 2" xfId="19393"/>
    <cellStyle name="표준 19 5 2 9 2 2" xfId="40269"/>
    <cellStyle name="표준 19 5 2 9 3" xfId="31533"/>
    <cellStyle name="표준 19 5 3" xfId="3401"/>
    <cellStyle name="표준 19 5 3 10" xfId="12864"/>
    <cellStyle name="표준 19 5 3 10 2" xfId="33741"/>
    <cellStyle name="표준 19 5 3 11" xfId="24991"/>
    <cellStyle name="표준 19 5 3 2" xfId="4994"/>
    <cellStyle name="표준 19 5 3 2 2" xfId="6821"/>
    <cellStyle name="표준 19 5 3 2 2 2" xfId="15830"/>
    <cellStyle name="표준 19 5 3 2 2 2 2" xfId="36706"/>
    <cellStyle name="표준 19 5 3 2 2 3" xfId="27968"/>
    <cellStyle name="표준 19 5 3 2 3" xfId="14012"/>
    <cellStyle name="표준 19 5 3 2 3 2" xfId="34888"/>
    <cellStyle name="표준 19 5 3 2 4" xfId="26150"/>
    <cellStyle name="표준 19 5 3 3" xfId="5674"/>
    <cellStyle name="표준 19 5 3 3 2" xfId="14683"/>
    <cellStyle name="표준 19 5 3 3 2 2" xfId="35559"/>
    <cellStyle name="표준 19 5 3 3 3" xfId="26821"/>
    <cellStyle name="표준 19 5 3 4" xfId="7467"/>
    <cellStyle name="표준 19 5 3 4 2" xfId="16474"/>
    <cellStyle name="표준 19 5 3 4 2 2" xfId="37350"/>
    <cellStyle name="표준 19 5 3 4 3" xfId="28612"/>
    <cellStyle name="표준 19 5 3 5" xfId="8111"/>
    <cellStyle name="표준 19 5 3 5 2" xfId="17117"/>
    <cellStyle name="표준 19 5 3 5 2 2" xfId="37993"/>
    <cellStyle name="표준 19 5 3 5 3" xfId="29255"/>
    <cellStyle name="표준 19 5 3 6" xfId="8959"/>
    <cellStyle name="표준 19 5 3 6 2" xfId="17964"/>
    <cellStyle name="표준 19 5 3 6 2 2" xfId="38840"/>
    <cellStyle name="표준 19 5 3 6 3" xfId="30102"/>
    <cellStyle name="표준 19 5 3 7" xfId="9784"/>
    <cellStyle name="표준 19 5 3 7 2" xfId="18782"/>
    <cellStyle name="표준 19 5 3 7 2 2" xfId="39658"/>
    <cellStyle name="표준 19 5 3 7 3" xfId="30920"/>
    <cellStyle name="표준 19 5 3 8" xfId="10839"/>
    <cellStyle name="표준 19 5 3 8 2" xfId="19610"/>
    <cellStyle name="표준 19 5 3 8 2 2" xfId="40486"/>
    <cellStyle name="표준 19 5 3 8 3" xfId="31750"/>
    <cellStyle name="표준 19 5 3 9" xfId="11705"/>
    <cellStyle name="표준 19 5 3 9 2" xfId="20471"/>
    <cellStyle name="표준 19 5 3 9 2 2" xfId="41347"/>
    <cellStyle name="표준 19 5 3 9 3" xfId="32611"/>
    <cellStyle name="표준 19 5 4" xfId="4560"/>
    <cellStyle name="표준 19 5 4 2" xfId="6394"/>
    <cellStyle name="표준 19 5 4 2 2" xfId="15403"/>
    <cellStyle name="표준 19 5 4 2 2 2" xfId="36279"/>
    <cellStyle name="표준 19 5 4 2 3" xfId="27541"/>
    <cellStyle name="표준 19 5 4 3" xfId="11057"/>
    <cellStyle name="표준 19 5 4 3 2" xfId="19827"/>
    <cellStyle name="표준 19 5 4 3 2 2" xfId="40703"/>
    <cellStyle name="표준 19 5 4 3 3" xfId="31967"/>
    <cellStyle name="표준 19 5 4 4" xfId="11922"/>
    <cellStyle name="표준 19 5 4 4 2" xfId="20688"/>
    <cellStyle name="표준 19 5 4 4 2 2" xfId="41564"/>
    <cellStyle name="표준 19 5 4 4 3" xfId="32828"/>
    <cellStyle name="표준 19 5 4 5" xfId="13585"/>
    <cellStyle name="표준 19 5 4 5 2" xfId="34461"/>
    <cellStyle name="표준 19 5 4 6" xfId="25723"/>
    <cellStyle name="표준 19 5 5" xfId="5237"/>
    <cellStyle name="표준 19 5 5 2" xfId="14246"/>
    <cellStyle name="표준 19 5 5 2 2" xfId="35122"/>
    <cellStyle name="표준 19 5 5 3" xfId="26384"/>
    <cellStyle name="표준 19 5 6" xfId="7039"/>
    <cellStyle name="표준 19 5 6 2" xfId="16047"/>
    <cellStyle name="표준 19 5 6 2 2" xfId="36923"/>
    <cellStyle name="표준 19 5 6 3" xfId="28185"/>
    <cellStyle name="표준 19 5 7" xfId="7684"/>
    <cellStyle name="표준 19 5 7 2" xfId="16690"/>
    <cellStyle name="표준 19 5 7 2 2" xfId="37566"/>
    <cellStyle name="표준 19 5 7 3" xfId="28828"/>
    <cellStyle name="표준 19 5 8" xfId="8532"/>
    <cellStyle name="표준 19 5 8 2" xfId="17537"/>
    <cellStyle name="표준 19 5 8 2 2" xfId="38413"/>
    <cellStyle name="표준 19 5 8 3" xfId="29675"/>
    <cellStyle name="표준 19 5 9" xfId="9356"/>
    <cellStyle name="표준 19 5 9 2" xfId="18355"/>
    <cellStyle name="표준 19 5 9 2 2" xfId="39231"/>
    <cellStyle name="표준 19 5 9 3" xfId="30493"/>
    <cellStyle name="표준 19 6" xfId="2952"/>
    <cellStyle name="표준 19 6 10" xfId="10413"/>
    <cellStyle name="표준 19 6 10 2" xfId="19184"/>
    <cellStyle name="표준 19 6 10 2 2" xfId="40060"/>
    <cellStyle name="표준 19 6 10 3" xfId="31324"/>
    <cellStyle name="표준 19 6 11" xfId="11279"/>
    <cellStyle name="표준 19 6 11 2" xfId="20045"/>
    <cellStyle name="표준 19 6 11 2 2" xfId="40921"/>
    <cellStyle name="표준 19 6 11 3" xfId="32185"/>
    <cellStyle name="표준 19 6 12" xfId="12427"/>
    <cellStyle name="표준 19 6 12 2" xfId="33305"/>
    <cellStyle name="표준 19 6 13" xfId="24555"/>
    <cellStyle name="표준 19 6 2" xfId="3170"/>
    <cellStyle name="표준 19 6 2 10" xfId="11489"/>
    <cellStyle name="표준 19 6 2 10 2" xfId="20255"/>
    <cellStyle name="표준 19 6 2 10 2 2" xfId="41131"/>
    <cellStyle name="표준 19 6 2 10 3" xfId="32395"/>
    <cellStyle name="표준 19 6 2 11" xfId="12638"/>
    <cellStyle name="표준 19 6 2 11 2" xfId="33515"/>
    <cellStyle name="표준 19 6 2 12" xfId="24765"/>
    <cellStyle name="표준 19 6 2 2" xfId="3612"/>
    <cellStyle name="표준 19 6 2 2 2" xfId="5885"/>
    <cellStyle name="표준 19 6 2 2 2 2" xfId="14894"/>
    <cellStyle name="표준 19 6 2 2 2 2 2" xfId="35770"/>
    <cellStyle name="표준 19 6 2 2 2 3" xfId="27032"/>
    <cellStyle name="표준 19 6 2 2 3" xfId="13075"/>
    <cellStyle name="표준 19 6 2 2 3 2" xfId="33952"/>
    <cellStyle name="표준 19 6 2 2 4" xfId="25202"/>
    <cellStyle name="표준 19 6 2 3" xfId="4773"/>
    <cellStyle name="표준 19 6 2 3 2" xfId="6605"/>
    <cellStyle name="표준 19 6 2 3 2 2" xfId="15614"/>
    <cellStyle name="표준 19 6 2 3 2 2 2" xfId="36490"/>
    <cellStyle name="표준 19 6 2 3 2 3" xfId="27752"/>
    <cellStyle name="표준 19 6 2 3 3" xfId="13796"/>
    <cellStyle name="표준 19 6 2 3 3 2" xfId="34672"/>
    <cellStyle name="표준 19 6 2 3 4" xfId="25934"/>
    <cellStyle name="표준 19 6 2 4" xfId="5448"/>
    <cellStyle name="표준 19 6 2 4 2" xfId="14457"/>
    <cellStyle name="표준 19 6 2 4 2 2" xfId="35333"/>
    <cellStyle name="표준 19 6 2 4 3" xfId="26595"/>
    <cellStyle name="표준 19 6 2 5" xfId="7251"/>
    <cellStyle name="표준 19 6 2 5 2" xfId="16258"/>
    <cellStyle name="표준 19 6 2 5 2 2" xfId="37134"/>
    <cellStyle name="표준 19 6 2 5 3" xfId="28396"/>
    <cellStyle name="표준 19 6 2 6" xfId="7895"/>
    <cellStyle name="표준 19 6 2 6 2" xfId="16901"/>
    <cellStyle name="표준 19 6 2 6 2 2" xfId="37777"/>
    <cellStyle name="표준 19 6 2 6 3" xfId="29039"/>
    <cellStyle name="표준 19 6 2 7" xfId="8743"/>
    <cellStyle name="표준 19 6 2 7 2" xfId="17748"/>
    <cellStyle name="표준 19 6 2 7 2 2" xfId="38624"/>
    <cellStyle name="표준 19 6 2 7 3" xfId="29886"/>
    <cellStyle name="표준 19 6 2 8" xfId="9568"/>
    <cellStyle name="표준 19 6 2 8 2" xfId="18566"/>
    <cellStyle name="표준 19 6 2 8 2 2" xfId="39442"/>
    <cellStyle name="표준 19 6 2 8 3" xfId="30704"/>
    <cellStyle name="표준 19 6 2 9" xfId="10623"/>
    <cellStyle name="표준 19 6 2 9 2" xfId="19394"/>
    <cellStyle name="표준 19 6 2 9 2 2" xfId="40270"/>
    <cellStyle name="표준 19 6 2 9 3" xfId="31534"/>
    <cellStyle name="표준 19 6 3" xfId="3402"/>
    <cellStyle name="표준 19 6 3 10" xfId="12865"/>
    <cellStyle name="표준 19 6 3 10 2" xfId="33742"/>
    <cellStyle name="표준 19 6 3 11" xfId="24992"/>
    <cellStyle name="표준 19 6 3 2" xfId="4995"/>
    <cellStyle name="표준 19 6 3 2 2" xfId="6822"/>
    <cellStyle name="표준 19 6 3 2 2 2" xfId="15831"/>
    <cellStyle name="표준 19 6 3 2 2 2 2" xfId="36707"/>
    <cellStyle name="표준 19 6 3 2 2 3" xfId="27969"/>
    <cellStyle name="표준 19 6 3 2 3" xfId="14013"/>
    <cellStyle name="표준 19 6 3 2 3 2" xfId="34889"/>
    <cellStyle name="표준 19 6 3 2 4" xfId="26151"/>
    <cellStyle name="표준 19 6 3 3" xfId="5675"/>
    <cellStyle name="표준 19 6 3 3 2" xfId="14684"/>
    <cellStyle name="표준 19 6 3 3 2 2" xfId="35560"/>
    <cellStyle name="표준 19 6 3 3 3" xfId="26822"/>
    <cellStyle name="표준 19 6 3 4" xfId="7468"/>
    <cellStyle name="표준 19 6 3 4 2" xfId="16475"/>
    <cellStyle name="표준 19 6 3 4 2 2" xfId="37351"/>
    <cellStyle name="표준 19 6 3 4 3" xfId="28613"/>
    <cellStyle name="표준 19 6 3 5" xfId="8112"/>
    <cellStyle name="표준 19 6 3 5 2" xfId="17118"/>
    <cellStyle name="표준 19 6 3 5 2 2" xfId="37994"/>
    <cellStyle name="표준 19 6 3 5 3" xfId="29256"/>
    <cellStyle name="표준 19 6 3 6" xfId="8960"/>
    <cellStyle name="표준 19 6 3 6 2" xfId="17965"/>
    <cellStyle name="표준 19 6 3 6 2 2" xfId="38841"/>
    <cellStyle name="표준 19 6 3 6 3" xfId="30103"/>
    <cellStyle name="표준 19 6 3 7" xfId="9785"/>
    <cellStyle name="표준 19 6 3 7 2" xfId="18783"/>
    <cellStyle name="표준 19 6 3 7 2 2" xfId="39659"/>
    <cellStyle name="표준 19 6 3 7 3" xfId="30921"/>
    <cellStyle name="표준 19 6 3 8" xfId="10840"/>
    <cellStyle name="표준 19 6 3 8 2" xfId="19611"/>
    <cellStyle name="표준 19 6 3 8 2 2" xfId="40487"/>
    <cellStyle name="표준 19 6 3 8 3" xfId="31751"/>
    <cellStyle name="표준 19 6 3 9" xfId="11706"/>
    <cellStyle name="표준 19 6 3 9 2" xfId="20472"/>
    <cellStyle name="표준 19 6 3 9 2 2" xfId="41348"/>
    <cellStyle name="표준 19 6 3 9 3" xfId="32612"/>
    <cellStyle name="표준 19 6 4" xfId="4561"/>
    <cellStyle name="표준 19 6 4 2" xfId="6395"/>
    <cellStyle name="표준 19 6 4 2 2" xfId="15404"/>
    <cellStyle name="표준 19 6 4 2 2 2" xfId="36280"/>
    <cellStyle name="표준 19 6 4 2 3" xfId="27542"/>
    <cellStyle name="표준 19 6 4 3" xfId="11058"/>
    <cellStyle name="표준 19 6 4 3 2" xfId="19828"/>
    <cellStyle name="표준 19 6 4 3 2 2" xfId="40704"/>
    <cellStyle name="표준 19 6 4 3 3" xfId="31968"/>
    <cellStyle name="표준 19 6 4 4" xfId="11923"/>
    <cellStyle name="표준 19 6 4 4 2" xfId="20689"/>
    <cellStyle name="표준 19 6 4 4 2 2" xfId="41565"/>
    <cellStyle name="표준 19 6 4 4 3" xfId="32829"/>
    <cellStyle name="표준 19 6 4 5" xfId="13586"/>
    <cellStyle name="표준 19 6 4 5 2" xfId="34462"/>
    <cellStyle name="표준 19 6 4 6" xfId="25724"/>
    <cellStyle name="표준 19 6 5" xfId="5238"/>
    <cellStyle name="표준 19 6 5 2" xfId="14247"/>
    <cellStyle name="표준 19 6 5 2 2" xfId="35123"/>
    <cellStyle name="표준 19 6 5 3" xfId="26385"/>
    <cellStyle name="표준 19 6 6" xfId="7040"/>
    <cellStyle name="표준 19 6 6 2" xfId="16048"/>
    <cellStyle name="표준 19 6 6 2 2" xfId="36924"/>
    <cellStyle name="표준 19 6 6 3" xfId="28186"/>
    <cellStyle name="표준 19 6 7" xfId="7685"/>
    <cellStyle name="표준 19 6 7 2" xfId="16691"/>
    <cellStyle name="표준 19 6 7 2 2" xfId="37567"/>
    <cellStyle name="표준 19 6 7 3" xfId="28829"/>
    <cellStyle name="표준 19 6 8" xfId="8533"/>
    <cellStyle name="표준 19 6 8 2" xfId="17538"/>
    <cellStyle name="표준 19 6 8 2 2" xfId="38414"/>
    <cellStyle name="표준 19 6 8 3" xfId="29676"/>
    <cellStyle name="표준 19 6 9" xfId="9357"/>
    <cellStyle name="표준 19 6 9 2" xfId="18356"/>
    <cellStyle name="표준 19 6 9 2 2" xfId="39232"/>
    <cellStyle name="표준 19 6 9 3" xfId="30494"/>
    <cellStyle name="표준 19 7" xfId="2953"/>
    <cellStyle name="표준 19 7 10" xfId="10414"/>
    <cellStyle name="표준 19 7 10 2" xfId="19185"/>
    <cellStyle name="표준 19 7 10 2 2" xfId="40061"/>
    <cellStyle name="표준 19 7 10 3" xfId="31325"/>
    <cellStyle name="표준 19 7 11" xfId="11280"/>
    <cellStyle name="표준 19 7 11 2" xfId="20046"/>
    <cellStyle name="표준 19 7 11 2 2" xfId="40922"/>
    <cellStyle name="표준 19 7 11 3" xfId="32186"/>
    <cellStyle name="표준 19 7 12" xfId="12428"/>
    <cellStyle name="표준 19 7 12 2" xfId="33306"/>
    <cellStyle name="표준 19 7 13" xfId="24556"/>
    <cellStyle name="표준 19 7 2" xfId="3171"/>
    <cellStyle name="표준 19 7 2 10" xfId="11490"/>
    <cellStyle name="표준 19 7 2 10 2" xfId="20256"/>
    <cellStyle name="표준 19 7 2 10 2 2" xfId="41132"/>
    <cellStyle name="표준 19 7 2 10 3" xfId="32396"/>
    <cellStyle name="표준 19 7 2 11" xfId="12639"/>
    <cellStyle name="표준 19 7 2 11 2" xfId="33516"/>
    <cellStyle name="표준 19 7 2 12" xfId="24766"/>
    <cellStyle name="표준 19 7 2 2" xfId="3613"/>
    <cellStyle name="표준 19 7 2 2 2" xfId="5886"/>
    <cellStyle name="표준 19 7 2 2 2 2" xfId="14895"/>
    <cellStyle name="표준 19 7 2 2 2 2 2" xfId="35771"/>
    <cellStyle name="표준 19 7 2 2 2 3" xfId="27033"/>
    <cellStyle name="표준 19 7 2 2 3" xfId="13076"/>
    <cellStyle name="표준 19 7 2 2 3 2" xfId="33953"/>
    <cellStyle name="표준 19 7 2 2 4" xfId="25203"/>
    <cellStyle name="표준 19 7 2 3" xfId="4774"/>
    <cellStyle name="표준 19 7 2 3 2" xfId="6606"/>
    <cellStyle name="표준 19 7 2 3 2 2" xfId="15615"/>
    <cellStyle name="표준 19 7 2 3 2 2 2" xfId="36491"/>
    <cellStyle name="표준 19 7 2 3 2 3" xfId="27753"/>
    <cellStyle name="표준 19 7 2 3 3" xfId="13797"/>
    <cellStyle name="표준 19 7 2 3 3 2" xfId="34673"/>
    <cellStyle name="표준 19 7 2 3 4" xfId="25935"/>
    <cellStyle name="표준 19 7 2 4" xfId="5449"/>
    <cellStyle name="표준 19 7 2 4 2" xfId="14458"/>
    <cellStyle name="표준 19 7 2 4 2 2" xfId="35334"/>
    <cellStyle name="표준 19 7 2 4 3" xfId="26596"/>
    <cellStyle name="표준 19 7 2 5" xfId="7252"/>
    <cellStyle name="표준 19 7 2 5 2" xfId="16259"/>
    <cellStyle name="표준 19 7 2 5 2 2" xfId="37135"/>
    <cellStyle name="표준 19 7 2 5 3" xfId="28397"/>
    <cellStyle name="표준 19 7 2 6" xfId="7896"/>
    <cellStyle name="표준 19 7 2 6 2" xfId="16902"/>
    <cellStyle name="표준 19 7 2 6 2 2" xfId="37778"/>
    <cellStyle name="표준 19 7 2 6 3" xfId="29040"/>
    <cellStyle name="표준 19 7 2 7" xfId="8744"/>
    <cellStyle name="표준 19 7 2 7 2" xfId="17749"/>
    <cellStyle name="표준 19 7 2 7 2 2" xfId="38625"/>
    <cellStyle name="표준 19 7 2 7 3" xfId="29887"/>
    <cellStyle name="표준 19 7 2 8" xfId="9569"/>
    <cellStyle name="표준 19 7 2 8 2" xfId="18567"/>
    <cellStyle name="표준 19 7 2 8 2 2" xfId="39443"/>
    <cellStyle name="표준 19 7 2 8 3" xfId="30705"/>
    <cellStyle name="표준 19 7 2 9" xfId="10624"/>
    <cellStyle name="표준 19 7 2 9 2" xfId="19395"/>
    <cellStyle name="표준 19 7 2 9 2 2" xfId="40271"/>
    <cellStyle name="표준 19 7 2 9 3" xfId="31535"/>
    <cellStyle name="표준 19 7 3" xfId="3403"/>
    <cellStyle name="표준 19 7 3 10" xfId="12866"/>
    <cellStyle name="표준 19 7 3 10 2" xfId="33743"/>
    <cellStyle name="표준 19 7 3 11" xfId="24993"/>
    <cellStyle name="표준 19 7 3 2" xfId="4996"/>
    <cellStyle name="표준 19 7 3 2 2" xfId="6823"/>
    <cellStyle name="표준 19 7 3 2 2 2" xfId="15832"/>
    <cellStyle name="표준 19 7 3 2 2 2 2" xfId="36708"/>
    <cellStyle name="표준 19 7 3 2 2 3" xfId="27970"/>
    <cellStyle name="표준 19 7 3 2 3" xfId="14014"/>
    <cellStyle name="표준 19 7 3 2 3 2" xfId="34890"/>
    <cellStyle name="표준 19 7 3 2 4" xfId="26152"/>
    <cellStyle name="표준 19 7 3 3" xfId="5676"/>
    <cellStyle name="표준 19 7 3 3 2" xfId="14685"/>
    <cellStyle name="표준 19 7 3 3 2 2" xfId="35561"/>
    <cellStyle name="표준 19 7 3 3 3" xfId="26823"/>
    <cellStyle name="표준 19 7 3 4" xfId="7469"/>
    <cellStyle name="표준 19 7 3 4 2" xfId="16476"/>
    <cellStyle name="표준 19 7 3 4 2 2" xfId="37352"/>
    <cellStyle name="표준 19 7 3 4 3" xfId="28614"/>
    <cellStyle name="표준 19 7 3 5" xfId="8113"/>
    <cellStyle name="표준 19 7 3 5 2" xfId="17119"/>
    <cellStyle name="표준 19 7 3 5 2 2" xfId="37995"/>
    <cellStyle name="표준 19 7 3 5 3" xfId="29257"/>
    <cellStyle name="표준 19 7 3 6" xfId="8961"/>
    <cellStyle name="표준 19 7 3 6 2" xfId="17966"/>
    <cellStyle name="표준 19 7 3 6 2 2" xfId="38842"/>
    <cellStyle name="표준 19 7 3 6 3" xfId="30104"/>
    <cellStyle name="표준 19 7 3 7" xfId="9786"/>
    <cellStyle name="표준 19 7 3 7 2" xfId="18784"/>
    <cellStyle name="표준 19 7 3 7 2 2" xfId="39660"/>
    <cellStyle name="표준 19 7 3 7 3" xfId="30922"/>
    <cellStyle name="표준 19 7 3 8" xfId="10841"/>
    <cellStyle name="표준 19 7 3 8 2" xfId="19612"/>
    <cellStyle name="표준 19 7 3 8 2 2" xfId="40488"/>
    <cellStyle name="표준 19 7 3 8 3" xfId="31752"/>
    <cellStyle name="표준 19 7 3 9" xfId="11707"/>
    <cellStyle name="표준 19 7 3 9 2" xfId="20473"/>
    <cellStyle name="표준 19 7 3 9 2 2" xfId="41349"/>
    <cellStyle name="표준 19 7 3 9 3" xfId="32613"/>
    <cellStyle name="표준 19 7 4" xfId="4562"/>
    <cellStyle name="표준 19 7 4 2" xfId="6396"/>
    <cellStyle name="표준 19 7 4 2 2" xfId="15405"/>
    <cellStyle name="표준 19 7 4 2 2 2" xfId="36281"/>
    <cellStyle name="표준 19 7 4 2 3" xfId="27543"/>
    <cellStyle name="표준 19 7 4 3" xfId="11059"/>
    <cellStyle name="표준 19 7 4 3 2" xfId="19829"/>
    <cellStyle name="표준 19 7 4 3 2 2" xfId="40705"/>
    <cellStyle name="표준 19 7 4 3 3" xfId="31969"/>
    <cellStyle name="표준 19 7 4 4" xfId="11924"/>
    <cellStyle name="표준 19 7 4 4 2" xfId="20690"/>
    <cellStyle name="표준 19 7 4 4 2 2" xfId="41566"/>
    <cellStyle name="표준 19 7 4 4 3" xfId="32830"/>
    <cellStyle name="표준 19 7 4 5" xfId="13587"/>
    <cellStyle name="표준 19 7 4 5 2" xfId="34463"/>
    <cellStyle name="표준 19 7 4 6" xfId="25725"/>
    <cellStyle name="표준 19 7 5" xfId="5239"/>
    <cellStyle name="표준 19 7 5 2" xfId="14248"/>
    <cellStyle name="표준 19 7 5 2 2" xfId="35124"/>
    <cellStyle name="표준 19 7 5 3" xfId="26386"/>
    <cellStyle name="표준 19 7 6" xfId="7041"/>
    <cellStyle name="표준 19 7 6 2" xfId="16049"/>
    <cellStyle name="표준 19 7 6 2 2" xfId="36925"/>
    <cellStyle name="표준 19 7 6 3" xfId="28187"/>
    <cellStyle name="표준 19 7 7" xfId="7686"/>
    <cellStyle name="표준 19 7 7 2" xfId="16692"/>
    <cellStyle name="표준 19 7 7 2 2" xfId="37568"/>
    <cellStyle name="표준 19 7 7 3" xfId="28830"/>
    <cellStyle name="표준 19 7 8" xfId="8534"/>
    <cellStyle name="표준 19 7 8 2" xfId="17539"/>
    <cellStyle name="표준 19 7 8 2 2" xfId="38415"/>
    <cellStyle name="표준 19 7 8 3" xfId="29677"/>
    <cellStyle name="표준 19 7 9" xfId="9358"/>
    <cellStyle name="표준 19 7 9 2" xfId="18357"/>
    <cellStyle name="표준 19 7 9 2 2" xfId="39233"/>
    <cellStyle name="표준 19 7 9 3" xfId="30495"/>
    <cellStyle name="표준 19 8" xfId="3165"/>
    <cellStyle name="표준 19 8 10" xfId="11484"/>
    <cellStyle name="표준 19 8 10 2" xfId="20250"/>
    <cellStyle name="표준 19 8 10 2 2" xfId="41126"/>
    <cellStyle name="표준 19 8 10 3" xfId="32390"/>
    <cellStyle name="표준 19 8 11" xfId="12633"/>
    <cellStyle name="표준 19 8 11 2" xfId="33510"/>
    <cellStyle name="표준 19 8 12" xfId="24760"/>
    <cellStyle name="표준 19 8 2" xfId="3607"/>
    <cellStyle name="표준 19 8 2 2" xfId="5880"/>
    <cellStyle name="표준 19 8 2 2 2" xfId="14889"/>
    <cellStyle name="표준 19 8 2 2 2 2" xfId="35765"/>
    <cellStyle name="표준 19 8 2 2 3" xfId="27027"/>
    <cellStyle name="표준 19 8 2 3" xfId="13070"/>
    <cellStyle name="표준 19 8 2 3 2" xfId="33947"/>
    <cellStyle name="표준 19 8 2 4" xfId="25197"/>
    <cellStyle name="표준 19 8 3" xfId="4768"/>
    <cellStyle name="표준 19 8 3 2" xfId="6600"/>
    <cellStyle name="표준 19 8 3 2 2" xfId="15609"/>
    <cellStyle name="표준 19 8 3 2 2 2" xfId="36485"/>
    <cellStyle name="표준 19 8 3 2 3" xfId="27747"/>
    <cellStyle name="표준 19 8 3 3" xfId="13791"/>
    <cellStyle name="표준 19 8 3 3 2" xfId="34667"/>
    <cellStyle name="표준 19 8 3 4" xfId="25929"/>
    <cellStyle name="표준 19 8 4" xfId="5443"/>
    <cellStyle name="표준 19 8 4 2" xfId="14452"/>
    <cellStyle name="표준 19 8 4 2 2" xfId="35328"/>
    <cellStyle name="표준 19 8 4 3" xfId="26590"/>
    <cellStyle name="표준 19 8 5" xfId="7246"/>
    <cellStyle name="표준 19 8 5 2" xfId="16253"/>
    <cellStyle name="표준 19 8 5 2 2" xfId="37129"/>
    <cellStyle name="표준 19 8 5 3" xfId="28391"/>
    <cellStyle name="표준 19 8 6" xfId="7890"/>
    <cellStyle name="표준 19 8 6 2" xfId="16896"/>
    <cellStyle name="표준 19 8 6 2 2" xfId="37772"/>
    <cellStyle name="표준 19 8 6 3" xfId="29034"/>
    <cellStyle name="표준 19 8 7" xfId="8738"/>
    <cellStyle name="표준 19 8 7 2" xfId="17743"/>
    <cellStyle name="표준 19 8 7 2 2" xfId="38619"/>
    <cellStyle name="표준 19 8 7 3" xfId="29881"/>
    <cellStyle name="표준 19 8 8" xfId="9563"/>
    <cellStyle name="표준 19 8 8 2" xfId="18561"/>
    <cellStyle name="표준 19 8 8 2 2" xfId="39437"/>
    <cellStyle name="표준 19 8 8 3" xfId="30699"/>
    <cellStyle name="표준 19 8 9" xfId="10618"/>
    <cellStyle name="표준 19 8 9 2" xfId="19389"/>
    <cellStyle name="표준 19 8 9 2 2" xfId="40265"/>
    <cellStyle name="표준 19 8 9 3" xfId="31529"/>
    <cellStyle name="표준 19 9" xfId="3397"/>
    <cellStyle name="표준 19 9 10" xfId="12860"/>
    <cellStyle name="표준 19 9 10 2" xfId="33737"/>
    <cellStyle name="표준 19 9 11" xfId="24987"/>
    <cellStyle name="표준 19 9 2" xfId="4990"/>
    <cellStyle name="표준 19 9 2 2" xfId="6817"/>
    <cellStyle name="표준 19 9 2 2 2" xfId="15826"/>
    <cellStyle name="표준 19 9 2 2 2 2" xfId="36702"/>
    <cellStyle name="표준 19 9 2 2 3" xfId="27964"/>
    <cellStyle name="표준 19 9 2 3" xfId="14008"/>
    <cellStyle name="표준 19 9 2 3 2" xfId="34884"/>
    <cellStyle name="표준 19 9 2 4" xfId="26146"/>
    <cellStyle name="표준 19 9 3" xfId="5670"/>
    <cellStyle name="표준 19 9 3 2" xfId="14679"/>
    <cellStyle name="표준 19 9 3 2 2" xfId="35555"/>
    <cellStyle name="표준 19 9 3 3" xfId="26817"/>
    <cellStyle name="표준 19 9 4" xfId="7463"/>
    <cellStyle name="표준 19 9 4 2" xfId="16470"/>
    <cellStyle name="표준 19 9 4 2 2" xfId="37346"/>
    <cellStyle name="표준 19 9 4 3" xfId="28608"/>
    <cellStyle name="표준 19 9 5" xfId="8107"/>
    <cellStyle name="표준 19 9 5 2" xfId="17113"/>
    <cellStyle name="표준 19 9 5 2 2" xfId="37989"/>
    <cellStyle name="표준 19 9 5 3" xfId="29251"/>
    <cellStyle name="표준 19 9 6" xfId="8955"/>
    <cellStyle name="표준 19 9 6 2" xfId="17960"/>
    <cellStyle name="표준 19 9 6 2 2" xfId="38836"/>
    <cellStyle name="표준 19 9 6 3" xfId="30098"/>
    <cellStyle name="표준 19 9 7" xfId="9780"/>
    <cellStyle name="표준 19 9 7 2" xfId="18778"/>
    <cellStyle name="표준 19 9 7 2 2" xfId="39654"/>
    <cellStyle name="표준 19 9 7 3" xfId="30916"/>
    <cellStyle name="표준 19 9 8" xfId="10835"/>
    <cellStyle name="표준 19 9 8 2" xfId="19606"/>
    <cellStyle name="표준 19 9 8 2 2" xfId="40482"/>
    <cellStyle name="표준 19 9 8 3" xfId="31746"/>
    <cellStyle name="표준 19 9 9" xfId="11701"/>
    <cellStyle name="표준 19 9 9 2" xfId="20467"/>
    <cellStyle name="표준 19 9 9 2 2" xfId="41343"/>
    <cellStyle name="표준 19 9 9 3" xfId="32607"/>
    <cellStyle name="표준 2" xfId="5"/>
    <cellStyle name="표준 2 10" xfId="3989"/>
    <cellStyle name="표준 2 10 2" xfId="6141"/>
    <cellStyle name="표준 2 10 2 2" xfId="9978"/>
    <cellStyle name="표준 2 10 2 3" xfId="15150"/>
    <cellStyle name="표준 2 10 2 3 2" xfId="36026"/>
    <cellStyle name="표준 2 10 2 4" xfId="27288"/>
    <cellStyle name="표준 2 10 3" xfId="9118"/>
    <cellStyle name="표준 2 10 3 2" xfId="18122"/>
    <cellStyle name="표준 2 10 3 2 2" xfId="38998"/>
    <cellStyle name="표준 2 10 3 3" xfId="30260"/>
    <cellStyle name="표준 2 10 4" xfId="9935"/>
    <cellStyle name="표준 2 10 4 2" xfId="18932"/>
    <cellStyle name="표준 2 10 4 2 2" xfId="39808"/>
    <cellStyle name="표준 2 10 4 3" xfId="31070"/>
    <cellStyle name="표준 2 10 5" xfId="9977"/>
    <cellStyle name="표준 2 10 6" xfId="13332"/>
    <cellStyle name="표준 2 10 6 2" xfId="34208"/>
    <cellStyle name="표준 2 10 7" xfId="25470"/>
    <cellStyle name="표준 2 11" xfId="3988"/>
    <cellStyle name="표준 2 11 2" xfId="6140"/>
    <cellStyle name="표준 2 11 2 2" xfId="9980"/>
    <cellStyle name="표준 2 11 2 3" xfId="15149"/>
    <cellStyle name="표준 2 11 2 3 2" xfId="36025"/>
    <cellStyle name="표준 2 11 2 4" xfId="27287"/>
    <cellStyle name="표준 2 11 3" xfId="9119"/>
    <cellStyle name="표준 2 11 3 2" xfId="18123"/>
    <cellStyle name="표준 2 11 3 2 2" xfId="38999"/>
    <cellStyle name="표준 2 11 3 3" xfId="30261"/>
    <cellStyle name="표준 2 11 4" xfId="9934"/>
    <cellStyle name="표준 2 11 4 2" xfId="18931"/>
    <cellStyle name="표준 2 11 4 2 2" xfId="39807"/>
    <cellStyle name="표준 2 11 4 3" xfId="31069"/>
    <cellStyle name="표준 2 11 5" xfId="9979"/>
    <cellStyle name="표준 2 11 6" xfId="13331"/>
    <cellStyle name="표준 2 11 6 2" xfId="34207"/>
    <cellStyle name="표준 2 11 7" xfId="25469"/>
    <cellStyle name="표준 2 12" xfId="3987"/>
    <cellStyle name="표준 2 12 2" xfId="6139"/>
    <cellStyle name="표준 2 12 2 2" xfId="9982"/>
    <cellStyle name="표준 2 12 2 3" xfId="15148"/>
    <cellStyle name="표준 2 12 2 3 2" xfId="36024"/>
    <cellStyle name="표준 2 12 2 4" xfId="27286"/>
    <cellStyle name="표준 2 12 3" xfId="9120"/>
    <cellStyle name="표준 2 12 3 2" xfId="18124"/>
    <cellStyle name="표준 2 12 3 2 2" xfId="39000"/>
    <cellStyle name="표준 2 12 3 3" xfId="30262"/>
    <cellStyle name="표준 2 12 4" xfId="9933"/>
    <cellStyle name="표준 2 12 4 2" xfId="18930"/>
    <cellStyle name="표준 2 12 4 2 2" xfId="39806"/>
    <cellStyle name="표준 2 12 4 3" xfId="31068"/>
    <cellStyle name="표준 2 12 5" xfId="9981"/>
    <cellStyle name="표준 2 12 6" xfId="13330"/>
    <cellStyle name="표준 2 12 6 2" xfId="34206"/>
    <cellStyle name="표준 2 12 7" xfId="25468"/>
    <cellStyle name="표준 2 13" xfId="3986"/>
    <cellStyle name="표준 2 13 2" xfId="3985"/>
    <cellStyle name="표준 2 13 2 10" xfId="9209"/>
    <cellStyle name="표준 2 13 2 10 2" xfId="18211"/>
    <cellStyle name="표준 2 13 2 10 2 2" xfId="39087"/>
    <cellStyle name="표준 2 13 2 10 3" xfId="30349"/>
    <cellStyle name="표준 2 13 2 11" xfId="9983"/>
    <cellStyle name="표준 2 13 2 12" xfId="13329"/>
    <cellStyle name="표준 2 13 2 12 2" xfId="34205"/>
    <cellStyle name="표준 2 13 2 13" xfId="25467"/>
    <cellStyle name="표준 2 13 2 2" xfId="3984"/>
    <cellStyle name="표준 2 13 2 3" xfId="3983"/>
    <cellStyle name="표준 2 13 2 4" xfId="3982"/>
    <cellStyle name="표준 2 13 2 5" xfId="3981"/>
    <cellStyle name="표준 2 13 2 6" xfId="3980"/>
    <cellStyle name="표준 2 13 2 7" xfId="3979"/>
    <cellStyle name="표준 2 13 2 8" xfId="6138"/>
    <cellStyle name="표준 2 13 2 8 2" xfId="9984"/>
    <cellStyle name="표준 2 13 2 8 3" xfId="15147"/>
    <cellStyle name="표준 2 13 2 8 3 2" xfId="36023"/>
    <cellStyle name="표준 2 13 2 8 4" xfId="27285"/>
    <cellStyle name="표준 2 13 2 9" xfId="9121"/>
    <cellStyle name="표준 2 13 2 9 2" xfId="18125"/>
    <cellStyle name="표준 2 13 2 9 2 2" xfId="39001"/>
    <cellStyle name="표준 2 13 2 9 3" xfId="30263"/>
    <cellStyle name="표준 2 13 3" xfId="3978"/>
    <cellStyle name="표준 2 13 4" xfId="3977"/>
    <cellStyle name="표준 2 13 5" xfId="3976"/>
    <cellStyle name="표준 2 13 5 2" xfId="6137"/>
    <cellStyle name="표준 2 13 5 2 2" xfId="9986"/>
    <cellStyle name="표준 2 13 5 2 3" xfId="15146"/>
    <cellStyle name="표준 2 13 5 2 3 2" xfId="36022"/>
    <cellStyle name="표준 2 13 5 2 4" xfId="27284"/>
    <cellStyle name="표준 2 13 5 3" xfId="9122"/>
    <cellStyle name="표준 2 13 5 3 2" xfId="18126"/>
    <cellStyle name="표준 2 13 5 3 2 2" xfId="39002"/>
    <cellStyle name="표준 2 13 5 3 3" xfId="30264"/>
    <cellStyle name="표준 2 13 5 4" xfId="9210"/>
    <cellStyle name="표준 2 13 5 4 2" xfId="18212"/>
    <cellStyle name="표준 2 13 5 4 2 2" xfId="39088"/>
    <cellStyle name="표준 2 13 5 4 3" xfId="30350"/>
    <cellStyle name="표준 2 13 5 5" xfId="9985"/>
    <cellStyle name="표준 2 13 5 6" xfId="13328"/>
    <cellStyle name="표준 2 13 5 6 2" xfId="34204"/>
    <cellStyle name="표준 2 13 5 7" xfId="25466"/>
    <cellStyle name="표준 2 13 6" xfId="3975"/>
    <cellStyle name="표준 2 13 6 2" xfId="6136"/>
    <cellStyle name="표준 2 13 6 2 2" xfId="9988"/>
    <cellStyle name="표준 2 13 6 2 3" xfId="15145"/>
    <cellStyle name="표준 2 13 6 2 3 2" xfId="36021"/>
    <cellStyle name="표준 2 13 6 2 4" xfId="27283"/>
    <cellStyle name="표준 2 13 6 3" xfId="9123"/>
    <cellStyle name="표준 2 13 6 3 2" xfId="18127"/>
    <cellStyle name="표준 2 13 6 3 2 2" xfId="39003"/>
    <cellStyle name="표준 2 13 6 3 3" xfId="30265"/>
    <cellStyle name="표준 2 13 6 4" xfId="9211"/>
    <cellStyle name="표준 2 13 6 4 2" xfId="18213"/>
    <cellStyle name="표준 2 13 6 4 2 2" xfId="39089"/>
    <cellStyle name="표준 2 13 6 4 3" xfId="30351"/>
    <cellStyle name="표준 2 13 6 5" xfId="9987"/>
    <cellStyle name="표준 2 13 6 6" xfId="13327"/>
    <cellStyle name="표준 2 13 6 6 2" xfId="34203"/>
    <cellStyle name="표준 2 13 6 7" xfId="25465"/>
    <cellStyle name="표준 2 13 7" xfId="3974"/>
    <cellStyle name="표준 2 13 7 2" xfId="6135"/>
    <cellStyle name="표준 2 13 7 2 2" xfId="9990"/>
    <cellStyle name="표준 2 13 7 2 3" xfId="15144"/>
    <cellStyle name="표준 2 13 7 2 3 2" xfId="36020"/>
    <cellStyle name="표준 2 13 7 2 4" xfId="27282"/>
    <cellStyle name="표준 2 13 7 3" xfId="9124"/>
    <cellStyle name="표준 2 13 7 3 2" xfId="18128"/>
    <cellStyle name="표준 2 13 7 3 2 2" xfId="39004"/>
    <cellStyle name="표준 2 13 7 3 3" xfId="30266"/>
    <cellStyle name="표준 2 13 7 4" xfId="9212"/>
    <cellStyle name="표준 2 13 7 4 2" xfId="18214"/>
    <cellStyle name="표준 2 13 7 4 2 2" xfId="39090"/>
    <cellStyle name="표준 2 13 7 4 3" xfId="30352"/>
    <cellStyle name="표준 2 13 7 5" xfId="9989"/>
    <cellStyle name="표준 2 13 7 6" xfId="13326"/>
    <cellStyle name="표준 2 13 7 6 2" xfId="34202"/>
    <cellStyle name="표준 2 13 7 7" xfId="25464"/>
    <cellStyle name="표준 2 13 8" xfId="3973"/>
    <cellStyle name="표준 2 13 8 2" xfId="6134"/>
    <cellStyle name="표준 2 13 8 2 2" xfId="9992"/>
    <cellStyle name="표준 2 13 8 2 3" xfId="15143"/>
    <cellStyle name="표준 2 13 8 2 3 2" xfId="36019"/>
    <cellStyle name="표준 2 13 8 2 4" xfId="27281"/>
    <cellStyle name="표준 2 13 8 3" xfId="9125"/>
    <cellStyle name="표준 2 13 8 3 2" xfId="18129"/>
    <cellStyle name="표준 2 13 8 3 2 2" xfId="39005"/>
    <cellStyle name="표준 2 13 8 3 3" xfId="30267"/>
    <cellStyle name="표준 2 13 8 4" xfId="9213"/>
    <cellStyle name="표준 2 13 8 4 2" xfId="18215"/>
    <cellStyle name="표준 2 13 8 4 2 2" xfId="39091"/>
    <cellStyle name="표준 2 13 8 4 3" xfId="30353"/>
    <cellStyle name="표준 2 13 8 5" xfId="9991"/>
    <cellStyle name="표준 2 13 8 6" xfId="13325"/>
    <cellStyle name="표준 2 13 8 6 2" xfId="34201"/>
    <cellStyle name="표준 2 13 8 7" xfId="25463"/>
    <cellStyle name="표준 2 13 9" xfId="3972"/>
    <cellStyle name="표준 2 13 9 2" xfId="6133"/>
    <cellStyle name="표준 2 13 9 2 2" xfId="9994"/>
    <cellStyle name="표준 2 13 9 2 3" xfId="15142"/>
    <cellStyle name="표준 2 13 9 2 3 2" xfId="36018"/>
    <cellStyle name="표준 2 13 9 2 4" xfId="27280"/>
    <cellStyle name="표준 2 13 9 3" xfId="9126"/>
    <cellStyle name="표준 2 13 9 3 2" xfId="18130"/>
    <cellStyle name="표준 2 13 9 3 2 2" xfId="39006"/>
    <cellStyle name="표준 2 13 9 3 3" xfId="30268"/>
    <cellStyle name="표준 2 13 9 4" xfId="9214"/>
    <cellStyle name="표준 2 13 9 4 2" xfId="18216"/>
    <cellStyle name="표준 2 13 9 4 2 2" xfId="39092"/>
    <cellStyle name="표준 2 13 9 4 3" xfId="30354"/>
    <cellStyle name="표준 2 13 9 5" xfId="9993"/>
    <cellStyle name="표준 2 13 9 6" xfId="13324"/>
    <cellStyle name="표준 2 13 9 6 2" xfId="34200"/>
    <cellStyle name="표준 2 13 9 7" xfId="25462"/>
    <cellStyle name="표준 2 14" xfId="3971"/>
    <cellStyle name="표준 2 15" xfId="3970"/>
    <cellStyle name="표준 2 16" xfId="3969"/>
    <cellStyle name="표준 2 17" xfId="3968"/>
    <cellStyle name="표준 2 18" xfId="3967"/>
    <cellStyle name="표준 2 19" xfId="3966"/>
    <cellStyle name="표준 2 19 2" xfId="6132"/>
    <cellStyle name="표준 2 19 2 2" xfId="9996"/>
    <cellStyle name="표준 2 19 2 3" xfId="15141"/>
    <cellStyle name="표준 2 19 2 3 2" xfId="36017"/>
    <cellStyle name="표준 2 19 2 4" xfId="27279"/>
    <cellStyle name="표준 2 19 3" xfId="9127"/>
    <cellStyle name="표준 2 19 3 2" xfId="18131"/>
    <cellStyle name="표준 2 19 3 2 2" xfId="39007"/>
    <cellStyle name="표준 2 19 3 3" xfId="30269"/>
    <cellStyle name="표준 2 19 4" xfId="9215"/>
    <cellStyle name="표준 2 19 4 2" xfId="18217"/>
    <cellStyle name="표준 2 19 4 2 2" xfId="39093"/>
    <cellStyle name="표준 2 19 4 3" xfId="30355"/>
    <cellStyle name="표준 2 19 5" xfId="9995"/>
    <cellStyle name="표준 2 19 6" xfId="13323"/>
    <cellStyle name="표준 2 19 6 2" xfId="34199"/>
    <cellStyle name="표준 2 19 7" xfId="25461"/>
    <cellStyle name="표준 2 2" xfId="1191"/>
    <cellStyle name="표준 2 2 10" xfId="3965"/>
    <cellStyle name="표준 2 2 10 2" xfId="6131"/>
    <cellStyle name="표준 2 2 10 2 2" xfId="9998"/>
    <cellStyle name="표준 2 2 10 2 3" xfId="15140"/>
    <cellStyle name="표준 2 2 10 2 3 2" xfId="36016"/>
    <cellStyle name="표준 2 2 10 2 4" xfId="27278"/>
    <cellStyle name="표준 2 2 10 3" xfId="9128"/>
    <cellStyle name="표준 2 2 10 3 2" xfId="18132"/>
    <cellStyle name="표준 2 2 10 3 2 2" xfId="39008"/>
    <cellStyle name="표준 2 2 10 3 3" xfId="30270"/>
    <cellStyle name="표준 2 2 10 4" xfId="9216"/>
    <cellStyle name="표준 2 2 10 4 2" xfId="18218"/>
    <cellStyle name="표준 2 2 10 4 2 2" xfId="39094"/>
    <cellStyle name="표준 2 2 10 4 3" xfId="30356"/>
    <cellStyle name="표준 2 2 10 5" xfId="9997"/>
    <cellStyle name="표준 2 2 10 6" xfId="13322"/>
    <cellStyle name="표준 2 2 10 6 2" xfId="34198"/>
    <cellStyle name="표준 2 2 10 7" xfId="25460"/>
    <cellStyle name="표준 2 2 11" xfId="3964"/>
    <cellStyle name="표준 2 2 11 2" xfId="6130"/>
    <cellStyle name="표준 2 2 11 2 2" xfId="10000"/>
    <cellStyle name="표준 2 2 11 2 3" xfId="15139"/>
    <cellStyle name="표준 2 2 11 2 3 2" xfId="36015"/>
    <cellStyle name="표준 2 2 11 2 4" xfId="27277"/>
    <cellStyle name="표준 2 2 11 3" xfId="9129"/>
    <cellStyle name="표준 2 2 11 3 2" xfId="18133"/>
    <cellStyle name="표준 2 2 11 3 2 2" xfId="39009"/>
    <cellStyle name="표준 2 2 11 3 3" xfId="30271"/>
    <cellStyle name="표준 2 2 11 4" xfId="9217"/>
    <cellStyle name="표준 2 2 11 4 2" xfId="18219"/>
    <cellStyle name="표준 2 2 11 4 2 2" xfId="39095"/>
    <cellStyle name="표준 2 2 11 4 3" xfId="30357"/>
    <cellStyle name="표준 2 2 11 5" xfId="9999"/>
    <cellStyle name="표준 2 2 11 6" xfId="13321"/>
    <cellStyle name="표준 2 2 11 6 2" xfId="34197"/>
    <cellStyle name="표준 2 2 11 7" xfId="25459"/>
    <cellStyle name="표준 2 2 12" xfId="3963"/>
    <cellStyle name="표준 2 2 12 2" xfId="6129"/>
    <cellStyle name="표준 2 2 12 2 2" xfId="10002"/>
    <cellStyle name="표준 2 2 12 2 3" xfId="15138"/>
    <cellStyle name="표준 2 2 12 2 3 2" xfId="36014"/>
    <cellStyle name="표준 2 2 12 2 4" xfId="27276"/>
    <cellStyle name="표준 2 2 12 3" xfId="9130"/>
    <cellStyle name="표준 2 2 12 3 2" xfId="18134"/>
    <cellStyle name="표준 2 2 12 3 2 2" xfId="39010"/>
    <cellStyle name="표준 2 2 12 3 3" xfId="30272"/>
    <cellStyle name="표준 2 2 12 4" xfId="9218"/>
    <cellStyle name="표준 2 2 12 4 2" xfId="18220"/>
    <cellStyle name="표준 2 2 12 4 2 2" xfId="39096"/>
    <cellStyle name="표준 2 2 12 4 3" xfId="30358"/>
    <cellStyle name="표준 2 2 12 5" xfId="10001"/>
    <cellStyle name="표준 2 2 12 6" xfId="13320"/>
    <cellStyle name="표준 2 2 12 6 2" xfId="34196"/>
    <cellStyle name="표준 2 2 12 7" xfId="25458"/>
    <cellStyle name="표준 2 2 13" xfId="3962"/>
    <cellStyle name="표준 2 2 13 2" xfId="6128"/>
    <cellStyle name="표준 2 2 13 2 2" xfId="10004"/>
    <cellStyle name="표준 2 2 13 2 3" xfId="15137"/>
    <cellStyle name="표준 2 2 13 2 3 2" xfId="36013"/>
    <cellStyle name="표준 2 2 13 2 4" xfId="27275"/>
    <cellStyle name="표준 2 2 13 3" xfId="9131"/>
    <cellStyle name="표준 2 2 13 3 2" xfId="18135"/>
    <cellStyle name="표준 2 2 13 3 2 2" xfId="39011"/>
    <cellStyle name="표준 2 2 13 3 3" xfId="30273"/>
    <cellStyle name="표준 2 2 13 4" xfId="9219"/>
    <cellStyle name="표준 2 2 13 4 2" xfId="18221"/>
    <cellStyle name="표준 2 2 13 4 2 2" xfId="39097"/>
    <cellStyle name="표준 2 2 13 4 3" xfId="30359"/>
    <cellStyle name="표준 2 2 13 5" xfId="10003"/>
    <cellStyle name="표준 2 2 13 6" xfId="13319"/>
    <cellStyle name="표준 2 2 13 6 2" xfId="34195"/>
    <cellStyle name="표준 2 2 13 7" xfId="25457"/>
    <cellStyle name="표준 2 2 14" xfId="3961"/>
    <cellStyle name="표준 2 2 14 2" xfId="6127"/>
    <cellStyle name="표준 2 2 14 2 2" xfId="10006"/>
    <cellStyle name="표준 2 2 14 2 3" xfId="15136"/>
    <cellStyle name="표준 2 2 14 2 3 2" xfId="36012"/>
    <cellStyle name="표준 2 2 14 2 4" xfId="27274"/>
    <cellStyle name="표준 2 2 14 3" xfId="9132"/>
    <cellStyle name="표준 2 2 14 3 2" xfId="18136"/>
    <cellStyle name="표준 2 2 14 3 2 2" xfId="39012"/>
    <cellStyle name="표준 2 2 14 3 3" xfId="30274"/>
    <cellStyle name="표준 2 2 14 4" xfId="9220"/>
    <cellStyle name="표준 2 2 14 4 2" xfId="18222"/>
    <cellStyle name="표준 2 2 14 4 2 2" xfId="39098"/>
    <cellStyle name="표준 2 2 14 4 3" xfId="30360"/>
    <cellStyle name="표준 2 2 14 5" xfId="10005"/>
    <cellStyle name="표준 2 2 14 6" xfId="13318"/>
    <cellStyle name="표준 2 2 14 6 2" xfId="34194"/>
    <cellStyle name="표준 2 2 14 7" xfId="25456"/>
    <cellStyle name="표준 2 2 15" xfId="3960"/>
    <cellStyle name="표준 2 2 15 10" xfId="9221"/>
    <cellStyle name="표준 2 2 15 10 2" xfId="18223"/>
    <cellStyle name="표준 2 2 15 10 2 2" xfId="39099"/>
    <cellStyle name="표준 2 2 15 10 3" xfId="30361"/>
    <cellStyle name="표준 2 2 15 11" xfId="10007"/>
    <cellStyle name="표준 2 2 15 12" xfId="13317"/>
    <cellStyle name="표준 2 2 15 12 2" xfId="34193"/>
    <cellStyle name="표준 2 2 15 13" xfId="25455"/>
    <cellStyle name="표준 2 2 15 2" xfId="3959"/>
    <cellStyle name="표준 2 2 15 3" xfId="3958"/>
    <cellStyle name="표준 2 2 15 4" xfId="3957"/>
    <cellStyle name="표준 2 2 15 5" xfId="3956"/>
    <cellStyle name="표준 2 2 15 6" xfId="3955"/>
    <cellStyle name="표준 2 2 15 7" xfId="3954"/>
    <cellStyle name="표준 2 2 15 8" xfId="6126"/>
    <cellStyle name="표준 2 2 15 8 2" xfId="10008"/>
    <cellStyle name="표준 2 2 15 8 3" xfId="15135"/>
    <cellStyle name="표준 2 2 15 8 3 2" xfId="36011"/>
    <cellStyle name="표준 2 2 15 8 4" xfId="27273"/>
    <cellStyle name="표준 2 2 15 9" xfId="9133"/>
    <cellStyle name="표준 2 2 15 9 2" xfId="18137"/>
    <cellStyle name="표준 2 2 15 9 2 2" xfId="39013"/>
    <cellStyle name="표준 2 2 15 9 3" xfId="30275"/>
    <cellStyle name="표준 2 2 16" xfId="3953"/>
    <cellStyle name="표준 2 2 17" xfId="3952"/>
    <cellStyle name="표준 2 2 17 2" xfId="6125"/>
    <cellStyle name="표준 2 2 17 2 2" xfId="10010"/>
    <cellStyle name="표준 2 2 17 2 3" xfId="15134"/>
    <cellStyle name="표준 2 2 17 2 3 2" xfId="36010"/>
    <cellStyle name="표준 2 2 17 2 4" xfId="27272"/>
    <cellStyle name="표준 2 2 17 3" xfId="9134"/>
    <cellStyle name="표준 2 2 17 3 2" xfId="18138"/>
    <cellStyle name="표준 2 2 17 3 2 2" xfId="39014"/>
    <cellStyle name="표준 2 2 17 3 3" xfId="30276"/>
    <cellStyle name="표준 2 2 17 4" xfId="9222"/>
    <cellStyle name="표준 2 2 17 4 2" xfId="18224"/>
    <cellStyle name="표준 2 2 17 4 2 2" xfId="39100"/>
    <cellStyle name="표준 2 2 17 4 3" xfId="30362"/>
    <cellStyle name="표준 2 2 17 5" xfId="10009"/>
    <cellStyle name="표준 2 2 17 6" xfId="13316"/>
    <cellStyle name="표준 2 2 17 6 2" xfId="34192"/>
    <cellStyle name="표준 2 2 17 7" xfId="25454"/>
    <cellStyle name="표준 2 2 18" xfId="3951"/>
    <cellStyle name="표준 2 2 18 2" xfId="6124"/>
    <cellStyle name="표준 2 2 18 2 2" xfId="10012"/>
    <cellStyle name="표준 2 2 18 2 3" xfId="15133"/>
    <cellStyle name="표준 2 2 18 2 3 2" xfId="36009"/>
    <cellStyle name="표준 2 2 18 2 4" xfId="27271"/>
    <cellStyle name="표준 2 2 18 3" xfId="9135"/>
    <cellStyle name="표준 2 2 18 3 2" xfId="18139"/>
    <cellStyle name="표준 2 2 18 3 2 2" xfId="39015"/>
    <cellStyle name="표준 2 2 18 3 3" xfId="30277"/>
    <cellStyle name="표준 2 2 18 4" xfId="9223"/>
    <cellStyle name="표준 2 2 18 4 2" xfId="18225"/>
    <cellStyle name="표준 2 2 18 4 2 2" xfId="39101"/>
    <cellStyle name="표준 2 2 18 4 3" xfId="30363"/>
    <cellStyle name="표준 2 2 18 5" xfId="10011"/>
    <cellStyle name="표준 2 2 18 6" xfId="13315"/>
    <cellStyle name="표준 2 2 18 6 2" xfId="34191"/>
    <cellStyle name="표준 2 2 18 7" xfId="25453"/>
    <cellStyle name="표준 2 2 19" xfId="3950"/>
    <cellStyle name="표준 2 2 19 2" xfId="6123"/>
    <cellStyle name="표준 2 2 19 2 2" xfId="10014"/>
    <cellStyle name="표준 2 2 19 2 3" xfId="15132"/>
    <cellStyle name="표준 2 2 19 2 3 2" xfId="36008"/>
    <cellStyle name="표준 2 2 19 2 4" xfId="27270"/>
    <cellStyle name="표준 2 2 19 3" xfId="9136"/>
    <cellStyle name="표준 2 2 19 3 2" xfId="18140"/>
    <cellStyle name="표준 2 2 19 3 2 2" xfId="39016"/>
    <cellStyle name="표준 2 2 19 3 3" xfId="30278"/>
    <cellStyle name="표준 2 2 19 4" xfId="9224"/>
    <cellStyle name="표준 2 2 19 4 2" xfId="18226"/>
    <cellStyle name="표준 2 2 19 4 2 2" xfId="39102"/>
    <cellStyle name="표준 2 2 19 4 3" xfId="30364"/>
    <cellStyle name="표준 2 2 19 5" xfId="10013"/>
    <cellStyle name="표준 2 2 19 6" xfId="13314"/>
    <cellStyle name="표준 2 2 19 6 2" xfId="34190"/>
    <cellStyle name="표준 2 2 19 7" xfId="25452"/>
    <cellStyle name="표준 2 2 2" xfId="3173"/>
    <cellStyle name="표준 2 2 2 10" xfId="3949"/>
    <cellStyle name="표준 2 2 2 10 2" xfId="6122"/>
    <cellStyle name="표준 2 2 2 10 2 2" xfId="10017"/>
    <cellStyle name="표준 2 2 2 10 2 3" xfId="15131"/>
    <cellStyle name="표준 2 2 2 10 2 3 2" xfId="36007"/>
    <cellStyle name="표준 2 2 2 10 2 4" xfId="27269"/>
    <cellStyle name="표준 2 2 2 10 3" xfId="9138"/>
    <cellStyle name="표준 2 2 2 10 3 2" xfId="18142"/>
    <cellStyle name="표준 2 2 2 10 3 2 2" xfId="39018"/>
    <cellStyle name="표준 2 2 2 10 3 3" xfId="30280"/>
    <cellStyle name="표준 2 2 2 10 4" xfId="9225"/>
    <cellStyle name="표준 2 2 2 10 4 2" xfId="18227"/>
    <cellStyle name="표준 2 2 2 10 4 2 2" xfId="39103"/>
    <cellStyle name="표준 2 2 2 10 4 3" xfId="30365"/>
    <cellStyle name="표준 2 2 2 10 5" xfId="10016"/>
    <cellStyle name="표준 2 2 2 10 6" xfId="13313"/>
    <cellStyle name="표준 2 2 2 10 6 2" xfId="34189"/>
    <cellStyle name="표준 2 2 2 10 7" xfId="25451"/>
    <cellStyle name="표준 2 2 2 11" xfId="3948"/>
    <cellStyle name="표준 2 2 2 12" xfId="3947"/>
    <cellStyle name="표준 2 2 2 13" xfId="3946"/>
    <cellStyle name="표준 2 2 2 14" xfId="3945"/>
    <cellStyle name="표준 2 2 2 15" xfId="3944"/>
    <cellStyle name="표준 2 2 2 16" xfId="5451"/>
    <cellStyle name="표준 2 2 2 16 2" xfId="10018"/>
    <cellStyle name="표준 2 2 2 16 3" xfId="14460"/>
    <cellStyle name="표준 2 2 2 16 3 2" xfId="35336"/>
    <cellStyle name="표준 2 2 2 16 4" xfId="26598"/>
    <cellStyle name="표준 2 2 2 17" xfId="7254"/>
    <cellStyle name="표준 2 2 2 17 2" xfId="16261"/>
    <cellStyle name="표준 2 2 2 17 2 2" xfId="37137"/>
    <cellStyle name="표준 2 2 2 17 3" xfId="28399"/>
    <cellStyle name="표준 2 2 2 18" xfId="7898"/>
    <cellStyle name="표준 2 2 2 18 2" xfId="16904"/>
    <cellStyle name="표준 2 2 2 18 2 2" xfId="37780"/>
    <cellStyle name="표준 2 2 2 18 3" xfId="29042"/>
    <cellStyle name="표준 2 2 2 19" xfId="8746"/>
    <cellStyle name="표준 2 2 2 19 2" xfId="17751"/>
    <cellStyle name="표준 2 2 2 19 2 2" xfId="38627"/>
    <cellStyle name="표준 2 2 2 19 3" xfId="29889"/>
    <cellStyle name="표준 2 2 2 2" xfId="3615"/>
    <cellStyle name="표준 2 2 2 2 10" xfId="3943"/>
    <cellStyle name="표준 2 2 2 2 11" xfId="5888"/>
    <cellStyle name="표준 2 2 2 2 11 2" xfId="14897"/>
    <cellStyle name="표준 2 2 2 2 11 2 2" xfId="35773"/>
    <cellStyle name="표준 2 2 2 2 11 3" xfId="27035"/>
    <cellStyle name="표준 2 2 2 2 12" xfId="13078"/>
    <cellStyle name="표준 2 2 2 2 12 2" xfId="33955"/>
    <cellStyle name="표준 2 2 2 2 13" xfId="25205"/>
    <cellStyle name="표준 2 2 2 2 2" xfId="3942"/>
    <cellStyle name="표준 2 2 2 2 2 10" xfId="9226"/>
    <cellStyle name="표준 2 2 2 2 2 10 2" xfId="18228"/>
    <cellStyle name="표준 2 2 2 2 2 10 2 2" xfId="39104"/>
    <cellStyle name="표준 2 2 2 2 2 10 3" xfId="30366"/>
    <cellStyle name="표준 2 2 2 2 2 11" xfId="10019"/>
    <cellStyle name="표준 2 2 2 2 2 12" xfId="13312"/>
    <cellStyle name="표준 2 2 2 2 2 12 2" xfId="34188"/>
    <cellStyle name="표준 2 2 2 2 2 13" xfId="25450"/>
    <cellStyle name="표준 2 2 2 2 2 2" xfId="3941"/>
    <cellStyle name="표준 2 2 2 2 2 3" xfId="3940"/>
    <cellStyle name="표준 2 2 2 2 2 4" xfId="3939"/>
    <cellStyle name="표준 2 2 2 2 2 5" xfId="3938"/>
    <cellStyle name="표준 2 2 2 2 2 6" xfId="3937"/>
    <cellStyle name="표준 2 2 2 2 2 7" xfId="3936"/>
    <cellStyle name="표준 2 2 2 2 2 8" xfId="6121"/>
    <cellStyle name="표준 2 2 2 2 2 8 2" xfId="10020"/>
    <cellStyle name="표준 2 2 2 2 2 8 3" xfId="15130"/>
    <cellStyle name="표준 2 2 2 2 2 8 3 2" xfId="36006"/>
    <cellStyle name="표준 2 2 2 2 2 8 4" xfId="27268"/>
    <cellStyle name="표준 2 2 2 2 2 9" xfId="9139"/>
    <cellStyle name="표준 2 2 2 2 2 9 2" xfId="18143"/>
    <cellStyle name="표준 2 2 2 2 2 9 2 2" xfId="39019"/>
    <cellStyle name="표준 2 2 2 2 2 9 3" xfId="30281"/>
    <cellStyle name="표준 2 2 2 2 3" xfId="3935"/>
    <cellStyle name="표준 2 2 2 2 4" xfId="3934"/>
    <cellStyle name="표준 2 2 2 2 5" xfId="3933"/>
    <cellStyle name="표준 2 2 2 2 5 2" xfId="6120"/>
    <cellStyle name="표준 2 2 2 2 5 2 2" xfId="10022"/>
    <cellStyle name="표준 2 2 2 2 5 2 3" xfId="15129"/>
    <cellStyle name="표준 2 2 2 2 5 2 3 2" xfId="36005"/>
    <cellStyle name="표준 2 2 2 2 5 2 4" xfId="27267"/>
    <cellStyle name="표준 2 2 2 2 5 3" xfId="9140"/>
    <cellStyle name="표준 2 2 2 2 5 3 2" xfId="18144"/>
    <cellStyle name="표준 2 2 2 2 5 3 2 2" xfId="39020"/>
    <cellStyle name="표준 2 2 2 2 5 3 3" xfId="30282"/>
    <cellStyle name="표준 2 2 2 2 5 4" xfId="9228"/>
    <cellStyle name="표준 2 2 2 2 5 4 2" xfId="18229"/>
    <cellStyle name="표준 2 2 2 2 5 4 2 2" xfId="39105"/>
    <cellStyle name="표준 2 2 2 2 5 4 3" xfId="30367"/>
    <cellStyle name="표준 2 2 2 2 5 5" xfId="10021"/>
    <cellStyle name="표준 2 2 2 2 5 6" xfId="13311"/>
    <cellStyle name="표준 2 2 2 2 5 6 2" xfId="34187"/>
    <cellStyle name="표준 2 2 2 2 5 7" xfId="25449"/>
    <cellStyle name="표준 2 2 2 2 6" xfId="3932"/>
    <cellStyle name="표준 2 2 2 2 6 2" xfId="6119"/>
    <cellStyle name="표준 2 2 2 2 6 2 2" xfId="10024"/>
    <cellStyle name="표준 2 2 2 2 6 2 3" xfId="15128"/>
    <cellStyle name="표준 2 2 2 2 6 2 3 2" xfId="36004"/>
    <cellStyle name="표준 2 2 2 2 6 2 4" xfId="27266"/>
    <cellStyle name="표준 2 2 2 2 6 3" xfId="9141"/>
    <cellStyle name="표준 2 2 2 2 6 3 2" xfId="18145"/>
    <cellStyle name="표준 2 2 2 2 6 3 2 2" xfId="39021"/>
    <cellStyle name="표준 2 2 2 2 6 3 3" xfId="30283"/>
    <cellStyle name="표준 2 2 2 2 6 4" xfId="9229"/>
    <cellStyle name="표준 2 2 2 2 6 4 2" xfId="18230"/>
    <cellStyle name="표준 2 2 2 2 6 4 2 2" xfId="39106"/>
    <cellStyle name="표준 2 2 2 2 6 4 3" xfId="30368"/>
    <cellStyle name="표준 2 2 2 2 6 5" xfId="10023"/>
    <cellStyle name="표준 2 2 2 2 6 6" xfId="13310"/>
    <cellStyle name="표준 2 2 2 2 6 6 2" xfId="34186"/>
    <cellStyle name="표준 2 2 2 2 6 7" xfId="25448"/>
    <cellStyle name="표준 2 2 2 2 7" xfId="3931"/>
    <cellStyle name="표준 2 2 2 2 7 2" xfId="6118"/>
    <cellStyle name="표준 2 2 2 2 7 2 2" xfId="10026"/>
    <cellStyle name="표준 2 2 2 2 7 2 3" xfId="15127"/>
    <cellStyle name="표준 2 2 2 2 7 2 3 2" xfId="36003"/>
    <cellStyle name="표준 2 2 2 2 7 2 4" xfId="27265"/>
    <cellStyle name="표준 2 2 2 2 7 3" xfId="9142"/>
    <cellStyle name="표준 2 2 2 2 7 3 2" xfId="18146"/>
    <cellStyle name="표준 2 2 2 2 7 3 2 2" xfId="39022"/>
    <cellStyle name="표준 2 2 2 2 7 3 3" xfId="30284"/>
    <cellStyle name="표준 2 2 2 2 7 4" xfId="9230"/>
    <cellStyle name="표준 2 2 2 2 7 4 2" xfId="18231"/>
    <cellStyle name="표준 2 2 2 2 7 4 2 2" xfId="39107"/>
    <cellStyle name="표준 2 2 2 2 7 4 3" xfId="30369"/>
    <cellStyle name="표준 2 2 2 2 7 5" xfId="10025"/>
    <cellStyle name="표준 2 2 2 2 7 6" xfId="13309"/>
    <cellStyle name="표준 2 2 2 2 7 6 2" xfId="34185"/>
    <cellStyle name="표준 2 2 2 2 7 7" xfId="25447"/>
    <cellStyle name="표준 2 2 2 2 8" xfId="3930"/>
    <cellStyle name="표준 2 2 2 2 8 2" xfId="6117"/>
    <cellStyle name="표준 2 2 2 2 8 2 2" xfId="10028"/>
    <cellStyle name="표준 2 2 2 2 8 2 3" xfId="15126"/>
    <cellStyle name="표준 2 2 2 2 8 2 3 2" xfId="36002"/>
    <cellStyle name="표준 2 2 2 2 8 2 4" xfId="27264"/>
    <cellStyle name="표준 2 2 2 2 8 3" xfId="9143"/>
    <cellStyle name="표준 2 2 2 2 8 3 2" xfId="18147"/>
    <cellStyle name="표준 2 2 2 2 8 3 2 2" xfId="39023"/>
    <cellStyle name="표준 2 2 2 2 8 3 3" xfId="30285"/>
    <cellStyle name="표준 2 2 2 2 8 4" xfId="9231"/>
    <cellStyle name="표준 2 2 2 2 8 4 2" xfId="18232"/>
    <cellStyle name="표준 2 2 2 2 8 4 2 2" xfId="39108"/>
    <cellStyle name="표준 2 2 2 2 8 4 3" xfId="30370"/>
    <cellStyle name="표준 2 2 2 2 8 5" xfId="10027"/>
    <cellStyle name="표준 2 2 2 2 8 6" xfId="13308"/>
    <cellStyle name="표준 2 2 2 2 8 6 2" xfId="34184"/>
    <cellStyle name="표준 2 2 2 2 8 7" xfId="25446"/>
    <cellStyle name="표준 2 2 2 2 9" xfId="3929"/>
    <cellStyle name="표준 2 2 2 2 9 2" xfId="6116"/>
    <cellStyle name="표준 2 2 2 2 9 2 2" xfId="10030"/>
    <cellStyle name="표준 2 2 2 2 9 2 3" xfId="15125"/>
    <cellStyle name="표준 2 2 2 2 9 2 3 2" xfId="36001"/>
    <cellStyle name="표준 2 2 2 2 9 2 4" xfId="27263"/>
    <cellStyle name="표준 2 2 2 2 9 3" xfId="9144"/>
    <cellStyle name="표준 2 2 2 2 9 3 2" xfId="18148"/>
    <cellStyle name="표준 2 2 2 2 9 3 2 2" xfId="39024"/>
    <cellStyle name="표준 2 2 2 2 9 3 3" xfId="30286"/>
    <cellStyle name="표준 2 2 2 2 9 4" xfId="9232"/>
    <cellStyle name="표준 2 2 2 2 9 4 2" xfId="18233"/>
    <cellStyle name="표준 2 2 2 2 9 4 2 2" xfId="39109"/>
    <cellStyle name="표준 2 2 2 2 9 4 3" xfId="30371"/>
    <cellStyle name="표준 2 2 2 2 9 5" xfId="10029"/>
    <cellStyle name="표준 2 2 2 2 9 6" xfId="13307"/>
    <cellStyle name="표준 2 2 2 2 9 6 2" xfId="34183"/>
    <cellStyle name="표준 2 2 2 2 9 7" xfId="25445"/>
    <cellStyle name="표준 2 2 2 20" xfId="9137"/>
    <cellStyle name="표준 2 2 2 20 2" xfId="18141"/>
    <cellStyle name="표준 2 2 2 20 2 2" xfId="39017"/>
    <cellStyle name="표준 2 2 2 20 3" xfId="30279"/>
    <cellStyle name="표준 2 2 2 21" xfId="9571"/>
    <cellStyle name="표준 2 2 2 21 2" xfId="18569"/>
    <cellStyle name="표준 2 2 2 21 2 2" xfId="39445"/>
    <cellStyle name="표준 2 2 2 21 3" xfId="30707"/>
    <cellStyle name="표준 2 2 2 22" xfId="10015"/>
    <cellStyle name="표준 2 2 2 23" xfId="10626"/>
    <cellStyle name="표준 2 2 2 23 2" xfId="19397"/>
    <cellStyle name="표준 2 2 2 23 2 2" xfId="40273"/>
    <cellStyle name="표준 2 2 2 23 3" xfId="31537"/>
    <cellStyle name="표준 2 2 2 24" xfId="11492"/>
    <cellStyle name="표준 2 2 2 24 2" xfId="20258"/>
    <cellStyle name="표준 2 2 2 24 2 2" xfId="41134"/>
    <cellStyle name="표준 2 2 2 24 3" xfId="32398"/>
    <cellStyle name="표준 2 2 2 25" xfId="12641"/>
    <cellStyle name="표준 2 2 2 25 2" xfId="33518"/>
    <cellStyle name="표준 2 2 2 26" xfId="24768"/>
    <cellStyle name="표준 2 2 2 3" xfId="4776"/>
    <cellStyle name="표준 2 2 2 3 2" xfId="3928"/>
    <cellStyle name="표준 2 2 2 3 3" xfId="6608"/>
    <cellStyle name="표준 2 2 2 3 3 2" xfId="15617"/>
    <cellStyle name="표준 2 2 2 3 3 2 2" xfId="36493"/>
    <cellStyle name="표준 2 2 2 3 3 3" xfId="27755"/>
    <cellStyle name="표준 2 2 2 3 4" xfId="13799"/>
    <cellStyle name="표준 2 2 2 3 4 2" xfId="34675"/>
    <cellStyle name="표준 2 2 2 3 5" xfId="25937"/>
    <cellStyle name="표준 2 2 2 4" xfId="3927"/>
    <cellStyle name="표준 2 2 2 5" xfId="3926"/>
    <cellStyle name="표준 2 2 2 6" xfId="3925"/>
    <cellStyle name="표준 2 2 2 7" xfId="3924"/>
    <cellStyle name="표준 2 2 2 8" xfId="3923"/>
    <cellStyle name="표준 2 2 2 9" xfId="3922"/>
    <cellStyle name="표준 2 2 2 9 2" xfId="3921"/>
    <cellStyle name="표준 2 2 2 9 2 2" xfId="6115"/>
    <cellStyle name="표준 2 2 2 9 2 2 2" xfId="10032"/>
    <cellStyle name="표준 2 2 2 9 2 2 3" xfId="15124"/>
    <cellStyle name="표준 2 2 2 9 2 2 3 2" xfId="36000"/>
    <cellStyle name="표준 2 2 2 9 2 2 4" xfId="27262"/>
    <cellStyle name="표준 2 2 2 9 2 3" xfId="9145"/>
    <cellStyle name="표준 2 2 2 9 2 3 2" xfId="18149"/>
    <cellStyle name="표준 2 2 2 9 2 3 2 2" xfId="39025"/>
    <cellStyle name="표준 2 2 2 9 2 3 3" xfId="30287"/>
    <cellStyle name="표준 2 2 2 9 2 4" xfId="9234"/>
    <cellStyle name="표준 2 2 2 9 2 4 2" xfId="18234"/>
    <cellStyle name="표준 2 2 2 9 2 4 2 2" xfId="39110"/>
    <cellStyle name="표준 2 2 2 9 2 4 3" xfId="30372"/>
    <cellStyle name="표준 2 2 2 9 2 5" xfId="10031"/>
    <cellStyle name="표준 2 2 2 9 2 6" xfId="13306"/>
    <cellStyle name="표준 2 2 2 9 2 6 2" xfId="34182"/>
    <cellStyle name="표준 2 2 2 9 2 7" xfId="25444"/>
    <cellStyle name="표준 2 2 2 9 3" xfId="3920"/>
    <cellStyle name="표준 2 2 2 9 3 2" xfId="6114"/>
    <cellStyle name="표준 2 2 2 9 3 2 2" xfId="10034"/>
    <cellStyle name="표준 2 2 2 9 3 2 3" xfId="15123"/>
    <cellStyle name="표준 2 2 2 9 3 2 3 2" xfId="35999"/>
    <cellStyle name="표준 2 2 2 9 3 2 4" xfId="27261"/>
    <cellStyle name="표준 2 2 2 9 3 3" xfId="9146"/>
    <cellStyle name="표준 2 2 2 9 3 3 2" xfId="18150"/>
    <cellStyle name="표준 2 2 2 9 3 3 2 2" xfId="39026"/>
    <cellStyle name="표준 2 2 2 9 3 3 3" xfId="30288"/>
    <cellStyle name="표준 2 2 2 9 3 4" xfId="9235"/>
    <cellStyle name="표준 2 2 2 9 3 4 2" xfId="18235"/>
    <cellStyle name="표준 2 2 2 9 3 4 2 2" xfId="39111"/>
    <cellStyle name="표준 2 2 2 9 3 4 3" xfId="30373"/>
    <cellStyle name="표준 2 2 2 9 3 5" xfId="10033"/>
    <cellStyle name="표준 2 2 2 9 3 6" xfId="13305"/>
    <cellStyle name="표준 2 2 2 9 3 6 2" xfId="34181"/>
    <cellStyle name="표준 2 2 2 9 3 7" xfId="25443"/>
    <cellStyle name="표준 2 2 2 9 4" xfId="3919"/>
    <cellStyle name="표준 2 2 2 9 4 2" xfId="6113"/>
    <cellStyle name="표준 2 2 2 9 4 2 2" xfId="10036"/>
    <cellStyle name="표준 2 2 2 9 4 2 3" xfId="15122"/>
    <cellStyle name="표준 2 2 2 9 4 2 3 2" xfId="35998"/>
    <cellStyle name="표준 2 2 2 9 4 2 4" xfId="27260"/>
    <cellStyle name="표준 2 2 2 9 4 3" xfId="9147"/>
    <cellStyle name="표준 2 2 2 9 4 3 2" xfId="18151"/>
    <cellStyle name="표준 2 2 2 9 4 3 2 2" xfId="39027"/>
    <cellStyle name="표준 2 2 2 9 4 3 3" xfId="30289"/>
    <cellStyle name="표준 2 2 2 9 4 4" xfId="9236"/>
    <cellStyle name="표준 2 2 2 9 4 4 2" xfId="18236"/>
    <cellStyle name="표준 2 2 2 9 4 4 2 2" xfId="39112"/>
    <cellStyle name="표준 2 2 2 9 4 4 3" xfId="30374"/>
    <cellStyle name="표준 2 2 2 9 4 5" xfId="10035"/>
    <cellStyle name="표준 2 2 2 9 4 6" xfId="13304"/>
    <cellStyle name="표준 2 2 2 9 4 6 2" xfId="34180"/>
    <cellStyle name="표준 2 2 2 9 4 7" xfId="25442"/>
    <cellStyle name="표준 2 2 2 9 5" xfId="3918"/>
    <cellStyle name="표준 2 2 2 9 5 2" xfId="6112"/>
    <cellStyle name="표준 2 2 2 9 5 2 2" xfId="10038"/>
    <cellStyle name="표준 2 2 2 9 5 2 3" xfId="15121"/>
    <cellStyle name="표준 2 2 2 9 5 2 3 2" xfId="35997"/>
    <cellStyle name="표준 2 2 2 9 5 2 4" xfId="27259"/>
    <cellStyle name="표준 2 2 2 9 5 3" xfId="9148"/>
    <cellStyle name="표준 2 2 2 9 5 3 2" xfId="18152"/>
    <cellStyle name="표준 2 2 2 9 5 3 2 2" xfId="39028"/>
    <cellStyle name="표준 2 2 2 9 5 3 3" xfId="30290"/>
    <cellStyle name="표준 2 2 2 9 5 4" xfId="9237"/>
    <cellStyle name="표준 2 2 2 9 5 4 2" xfId="18237"/>
    <cellStyle name="표준 2 2 2 9 5 4 2 2" xfId="39113"/>
    <cellStyle name="표준 2 2 2 9 5 4 3" xfId="30375"/>
    <cellStyle name="표준 2 2 2 9 5 5" xfId="10037"/>
    <cellStyle name="표준 2 2 2 9 5 6" xfId="13303"/>
    <cellStyle name="표준 2 2 2 9 5 6 2" xfId="34179"/>
    <cellStyle name="표준 2 2 2 9 5 7" xfId="25441"/>
    <cellStyle name="표준 2 2 2 9 6" xfId="3917"/>
    <cellStyle name="표준 2 2 2 9 6 2" xfId="6111"/>
    <cellStyle name="표준 2 2 2 9 6 2 2" xfId="10040"/>
    <cellStyle name="표준 2 2 2 9 6 2 3" xfId="15120"/>
    <cellStyle name="표준 2 2 2 9 6 2 3 2" xfId="35996"/>
    <cellStyle name="표준 2 2 2 9 6 2 4" xfId="27258"/>
    <cellStyle name="표준 2 2 2 9 6 3" xfId="9149"/>
    <cellStyle name="표준 2 2 2 9 6 3 2" xfId="18153"/>
    <cellStyle name="표준 2 2 2 9 6 3 2 2" xfId="39029"/>
    <cellStyle name="표준 2 2 2 9 6 3 3" xfId="30291"/>
    <cellStyle name="표준 2 2 2 9 6 4" xfId="9238"/>
    <cellStyle name="표준 2 2 2 9 6 4 2" xfId="18238"/>
    <cellStyle name="표준 2 2 2 9 6 4 2 2" xfId="39114"/>
    <cellStyle name="표준 2 2 2 9 6 4 3" xfId="30376"/>
    <cellStyle name="표준 2 2 2 9 6 5" xfId="10039"/>
    <cellStyle name="표준 2 2 2 9 6 6" xfId="13302"/>
    <cellStyle name="표준 2 2 2 9 6 6 2" xfId="34178"/>
    <cellStyle name="표준 2 2 2 9 6 7" xfId="25440"/>
    <cellStyle name="표준 2 2 2 9 7" xfId="3916"/>
    <cellStyle name="표준 2 2 2 9 7 2" xfId="6110"/>
    <cellStyle name="표준 2 2 2 9 7 2 2" xfId="10042"/>
    <cellStyle name="표준 2 2 2 9 7 2 3" xfId="15119"/>
    <cellStyle name="표준 2 2 2 9 7 2 3 2" xfId="35995"/>
    <cellStyle name="표준 2 2 2 9 7 2 4" xfId="27257"/>
    <cellStyle name="표준 2 2 2 9 7 3" xfId="9150"/>
    <cellStyle name="표준 2 2 2 9 7 3 2" xfId="18154"/>
    <cellStyle name="표준 2 2 2 9 7 3 2 2" xfId="39030"/>
    <cellStyle name="표준 2 2 2 9 7 3 3" xfId="30292"/>
    <cellStyle name="표준 2 2 2 9 7 4" xfId="9239"/>
    <cellStyle name="표준 2 2 2 9 7 4 2" xfId="18239"/>
    <cellStyle name="표준 2 2 2 9 7 4 2 2" xfId="39115"/>
    <cellStyle name="표준 2 2 2 9 7 4 3" xfId="30377"/>
    <cellStyle name="표준 2 2 2 9 7 5" xfId="10041"/>
    <cellStyle name="표준 2 2 2 9 7 6" xfId="13301"/>
    <cellStyle name="표준 2 2 2 9 7 6 2" xfId="34177"/>
    <cellStyle name="표준 2 2 2 9 7 7" xfId="25439"/>
    <cellStyle name="표준 2 2 20" xfId="3915"/>
    <cellStyle name="표준 2 2 20 2" xfId="6109"/>
    <cellStyle name="표준 2 2 20 2 2" xfId="10044"/>
    <cellStyle name="표준 2 2 20 2 3" xfId="15118"/>
    <cellStyle name="표준 2 2 20 2 3 2" xfId="35994"/>
    <cellStyle name="표준 2 2 20 2 4" xfId="27256"/>
    <cellStyle name="표준 2 2 20 3" xfId="9151"/>
    <cellStyle name="표준 2 2 20 3 2" xfId="18155"/>
    <cellStyle name="표준 2 2 20 3 2 2" xfId="39031"/>
    <cellStyle name="표준 2 2 20 3 3" xfId="30293"/>
    <cellStyle name="표준 2 2 20 4" xfId="9240"/>
    <cellStyle name="표준 2 2 20 4 2" xfId="18240"/>
    <cellStyle name="표준 2 2 20 4 2 2" xfId="39116"/>
    <cellStyle name="표준 2 2 20 4 3" xfId="30378"/>
    <cellStyle name="표준 2 2 20 5" xfId="10043"/>
    <cellStyle name="표준 2 2 20 6" xfId="13300"/>
    <cellStyle name="표준 2 2 20 6 2" xfId="34176"/>
    <cellStyle name="표준 2 2 20 7" xfId="25438"/>
    <cellStyle name="표준 2 2 21" xfId="3914"/>
    <cellStyle name="표준 2 2 21 2" xfId="6108"/>
    <cellStyle name="표준 2 2 21 2 2" xfId="10046"/>
    <cellStyle name="표준 2 2 21 2 3" xfId="15117"/>
    <cellStyle name="표준 2 2 21 2 3 2" xfId="35993"/>
    <cellStyle name="표준 2 2 21 2 4" xfId="27255"/>
    <cellStyle name="표준 2 2 21 3" xfId="9152"/>
    <cellStyle name="표준 2 2 21 3 2" xfId="18156"/>
    <cellStyle name="표준 2 2 21 3 2 2" xfId="39032"/>
    <cellStyle name="표준 2 2 21 3 3" xfId="30294"/>
    <cellStyle name="표준 2 2 21 4" xfId="9241"/>
    <cellStyle name="표준 2 2 21 4 2" xfId="18241"/>
    <cellStyle name="표준 2 2 21 4 2 2" xfId="39117"/>
    <cellStyle name="표준 2 2 21 4 3" xfId="30379"/>
    <cellStyle name="표준 2 2 21 5" xfId="10045"/>
    <cellStyle name="표준 2 2 21 6" xfId="13299"/>
    <cellStyle name="표준 2 2 21 6 2" xfId="34175"/>
    <cellStyle name="표준 2 2 21 7" xfId="25437"/>
    <cellStyle name="표준 2 2 22" xfId="4923"/>
    <cellStyle name="표준 2 2 23" xfId="7043"/>
    <cellStyle name="표준 2 2 23 2" xfId="16051"/>
    <cellStyle name="표준 2 2 23 2 2" xfId="36927"/>
    <cellStyle name="표준 2 2 23 3" xfId="28189"/>
    <cellStyle name="표준 2 2 24" xfId="7688"/>
    <cellStyle name="표준 2 2 24 2" xfId="16694"/>
    <cellStyle name="표준 2 2 24 2 2" xfId="37570"/>
    <cellStyle name="표준 2 2 24 3" xfId="28832"/>
    <cellStyle name="표준 2 2 25" xfId="8536"/>
    <cellStyle name="표준 2 2 25 2" xfId="17541"/>
    <cellStyle name="표준 2 2 25 2 2" xfId="38417"/>
    <cellStyle name="표준 2 2 25 3" xfId="29679"/>
    <cellStyle name="표준 2 2 26" xfId="9360"/>
    <cellStyle name="표준 2 2 26 2" xfId="18359"/>
    <cellStyle name="표준 2 2 26 2 2" xfId="39235"/>
    <cellStyle name="표준 2 2 26 3" xfId="30497"/>
    <cellStyle name="표준 2 2 27" xfId="10416"/>
    <cellStyle name="표준 2 2 27 2" xfId="19187"/>
    <cellStyle name="표준 2 2 27 2 2" xfId="40063"/>
    <cellStyle name="표준 2 2 27 3" xfId="31327"/>
    <cellStyle name="표준 2 2 28" xfId="11282"/>
    <cellStyle name="표준 2 2 28 2" xfId="20048"/>
    <cellStyle name="표준 2 2 28 2 2" xfId="40924"/>
    <cellStyle name="표준 2 2 28 3" xfId="32188"/>
    <cellStyle name="표준 2 2 29" xfId="12192"/>
    <cellStyle name="표준 2 2 3" xfId="2955"/>
    <cellStyle name="표준 2 2 3 10" xfId="11709"/>
    <cellStyle name="표준 2 2 3 10 2" xfId="20475"/>
    <cellStyle name="표준 2 2 3 10 2 2" xfId="41351"/>
    <cellStyle name="표준 2 2 3 10 3" xfId="32615"/>
    <cellStyle name="표준 2 2 3 11" xfId="12430"/>
    <cellStyle name="표준 2 2 3 11 2" xfId="33308"/>
    <cellStyle name="표준 2 2 3 12" xfId="24558"/>
    <cellStyle name="표준 2 2 3 2" xfId="4998"/>
    <cellStyle name="표준 2 2 3 2 2" xfId="6825"/>
    <cellStyle name="표준 2 2 3 2 2 2" xfId="15834"/>
    <cellStyle name="표준 2 2 3 2 2 2 2" xfId="36710"/>
    <cellStyle name="표준 2 2 3 2 2 3" xfId="27972"/>
    <cellStyle name="표준 2 2 3 2 3" xfId="14016"/>
    <cellStyle name="표준 2 2 3 2 3 2" xfId="34892"/>
    <cellStyle name="표준 2 2 3 2 4" xfId="26154"/>
    <cellStyle name="표준 2 2 3 3" xfId="3913"/>
    <cellStyle name="표준 2 2 3 4" xfId="5241"/>
    <cellStyle name="표준 2 2 3 4 2" xfId="14250"/>
    <cellStyle name="표준 2 2 3 4 2 2" xfId="35126"/>
    <cellStyle name="표준 2 2 3 4 3" xfId="26388"/>
    <cellStyle name="표준 2 2 3 5" xfId="7471"/>
    <cellStyle name="표준 2 2 3 5 2" xfId="16478"/>
    <cellStyle name="표준 2 2 3 5 2 2" xfId="37354"/>
    <cellStyle name="표준 2 2 3 5 3" xfId="28616"/>
    <cellStyle name="표준 2 2 3 6" xfId="8115"/>
    <cellStyle name="표준 2 2 3 6 2" xfId="17121"/>
    <cellStyle name="표준 2 2 3 6 2 2" xfId="37997"/>
    <cellStyle name="표준 2 2 3 6 3" xfId="29259"/>
    <cellStyle name="표준 2 2 3 7" xfId="8963"/>
    <cellStyle name="표준 2 2 3 7 2" xfId="17968"/>
    <cellStyle name="표준 2 2 3 7 2 2" xfId="38844"/>
    <cellStyle name="표준 2 2 3 7 3" xfId="30106"/>
    <cellStyle name="표준 2 2 3 8" xfId="9788"/>
    <cellStyle name="표준 2 2 3 8 2" xfId="18786"/>
    <cellStyle name="표준 2 2 3 8 2 2" xfId="39662"/>
    <cellStyle name="표준 2 2 3 8 3" xfId="30924"/>
    <cellStyle name="표준 2 2 3 9" xfId="10843"/>
    <cellStyle name="표준 2 2 3 9 2" xfId="19614"/>
    <cellStyle name="표준 2 2 3 9 2 2" xfId="40490"/>
    <cellStyle name="표준 2 2 3 9 3" xfId="31754"/>
    <cellStyle name="표준 2 2 4" xfId="3405"/>
    <cellStyle name="표준 2 2 4 2" xfId="3912"/>
    <cellStyle name="표준 2 2 4 3" xfId="5678"/>
    <cellStyle name="표준 2 2 4 3 2" xfId="14687"/>
    <cellStyle name="표준 2 2 4 3 2 2" xfId="35563"/>
    <cellStyle name="표준 2 2 4 3 3" xfId="26825"/>
    <cellStyle name="표준 2 2 4 4" xfId="11061"/>
    <cellStyle name="표준 2 2 4 4 2" xfId="19831"/>
    <cellStyle name="표준 2 2 4 4 2 2" xfId="40707"/>
    <cellStyle name="표준 2 2 4 4 3" xfId="31971"/>
    <cellStyle name="표준 2 2 4 5" xfId="11926"/>
    <cellStyle name="표준 2 2 4 5 2" xfId="20692"/>
    <cellStyle name="표준 2 2 4 5 2 2" xfId="41568"/>
    <cellStyle name="표준 2 2 4 5 3" xfId="32832"/>
    <cellStyle name="표준 2 2 4 6" xfId="12868"/>
    <cellStyle name="표준 2 2 4 6 2" xfId="33745"/>
    <cellStyle name="표준 2 2 4 7" xfId="24995"/>
    <cellStyle name="표준 2 2 5" xfId="4564"/>
    <cellStyle name="표준 2 2 5 2" xfId="3911"/>
    <cellStyle name="표준 2 2 5 3" xfId="6398"/>
    <cellStyle name="표준 2 2 5 3 2" xfId="15407"/>
    <cellStyle name="표준 2 2 5 3 2 2" xfId="36283"/>
    <cellStyle name="표준 2 2 5 3 3" xfId="27545"/>
    <cellStyle name="표준 2 2 5 4" xfId="13589"/>
    <cellStyle name="표준 2 2 5 4 2" xfId="34465"/>
    <cellStyle name="표준 2 2 5 5" xfId="25727"/>
    <cellStyle name="표준 2 2 6" xfId="3910"/>
    <cellStyle name="표준 2 2 7" xfId="3909"/>
    <cellStyle name="표준 2 2 8" xfId="3908"/>
    <cellStyle name="표준 2 2 9" xfId="3907"/>
    <cellStyle name="표준 2 2 9 10" xfId="6107"/>
    <cellStyle name="표준 2 2 9 10 2" xfId="10048"/>
    <cellStyle name="표준 2 2 9 10 3" xfId="15116"/>
    <cellStyle name="표준 2 2 9 10 3 2" xfId="35992"/>
    <cellStyle name="표준 2 2 9 10 4" xfId="27254"/>
    <cellStyle name="표준 2 2 9 11" xfId="9153"/>
    <cellStyle name="표준 2 2 9 11 2" xfId="18157"/>
    <cellStyle name="표준 2 2 9 11 2 2" xfId="39033"/>
    <cellStyle name="표준 2 2 9 11 3" xfId="30295"/>
    <cellStyle name="표준 2 2 9 12" xfId="9242"/>
    <cellStyle name="표준 2 2 9 12 2" xfId="18242"/>
    <cellStyle name="표준 2 2 9 12 2 2" xfId="39118"/>
    <cellStyle name="표준 2 2 9 12 3" xfId="30380"/>
    <cellStyle name="표준 2 2 9 13" xfId="10047"/>
    <cellStyle name="표준 2 2 9 14" xfId="13298"/>
    <cellStyle name="표준 2 2 9 14 2" xfId="34174"/>
    <cellStyle name="표준 2 2 9 15" xfId="25436"/>
    <cellStyle name="표준 2 2 9 2" xfId="3906"/>
    <cellStyle name="표준 2 2 9 2 2" xfId="3905"/>
    <cellStyle name="표준 2 2 9 2 2 2" xfId="6106"/>
    <cellStyle name="표준 2 2 9 2 2 2 2" xfId="10050"/>
    <cellStyle name="표준 2 2 9 2 2 2 3" xfId="15115"/>
    <cellStyle name="표준 2 2 9 2 2 2 3 2" xfId="35991"/>
    <cellStyle name="표준 2 2 9 2 2 2 4" xfId="27253"/>
    <cellStyle name="표준 2 2 9 2 2 3" xfId="9154"/>
    <cellStyle name="표준 2 2 9 2 2 3 2" xfId="18158"/>
    <cellStyle name="표준 2 2 9 2 2 3 2 2" xfId="39034"/>
    <cellStyle name="표준 2 2 9 2 2 3 3" xfId="30296"/>
    <cellStyle name="표준 2 2 9 2 2 4" xfId="9243"/>
    <cellStyle name="표준 2 2 9 2 2 4 2" xfId="18243"/>
    <cellStyle name="표준 2 2 9 2 2 4 2 2" xfId="39119"/>
    <cellStyle name="표준 2 2 9 2 2 4 3" xfId="30381"/>
    <cellStyle name="표준 2 2 9 2 2 5" xfId="10049"/>
    <cellStyle name="표준 2 2 9 2 2 6" xfId="13297"/>
    <cellStyle name="표준 2 2 9 2 2 6 2" xfId="34173"/>
    <cellStyle name="표준 2 2 9 2 2 7" xfId="25435"/>
    <cellStyle name="표준 2 2 9 2 3" xfId="3904"/>
    <cellStyle name="표준 2 2 9 2 3 2" xfId="6105"/>
    <cellStyle name="표준 2 2 9 2 3 2 2" xfId="10052"/>
    <cellStyle name="표준 2 2 9 2 3 2 3" xfId="15114"/>
    <cellStyle name="표준 2 2 9 2 3 2 3 2" xfId="35990"/>
    <cellStyle name="표준 2 2 9 2 3 2 4" xfId="27252"/>
    <cellStyle name="표준 2 2 9 2 3 3" xfId="9155"/>
    <cellStyle name="표준 2 2 9 2 3 3 2" xfId="18159"/>
    <cellStyle name="표준 2 2 9 2 3 3 2 2" xfId="39035"/>
    <cellStyle name="표준 2 2 9 2 3 3 3" xfId="30297"/>
    <cellStyle name="표준 2 2 9 2 3 4" xfId="9244"/>
    <cellStyle name="표준 2 2 9 2 3 4 2" xfId="18244"/>
    <cellStyle name="표준 2 2 9 2 3 4 2 2" xfId="39120"/>
    <cellStyle name="표준 2 2 9 2 3 4 3" xfId="30382"/>
    <cellStyle name="표준 2 2 9 2 3 5" xfId="10051"/>
    <cellStyle name="표준 2 2 9 2 3 6" xfId="13296"/>
    <cellStyle name="표준 2 2 9 2 3 6 2" xfId="34172"/>
    <cellStyle name="표준 2 2 9 2 3 7" xfId="25434"/>
    <cellStyle name="표준 2 2 9 2 4" xfId="3903"/>
    <cellStyle name="표준 2 2 9 2 4 2" xfId="6104"/>
    <cellStyle name="표준 2 2 9 2 4 2 2" xfId="10054"/>
    <cellStyle name="표준 2 2 9 2 4 2 3" xfId="15113"/>
    <cellStyle name="표준 2 2 9 2 4 2 3 2" xfId="35989"/>
    <cellStyle name="표준 2 2 9 2 4 2 4" xfId="27251"/>
    <cellStyle name="표준 2 2 9 2 4 3" xfId="9156"/>
    <cellStyle name="표준 2 2 9 2 4 3 2" xfId="18160"/>
    <cellStyle name="표준 2 2 9 2 4 3 2 2" xfId="39036"/>
    <cellStyle name="표준 2 2 9 2 4 3 3" xfId="30298"/>
    <cellStyle name="표준 2 2 9 2 4 4" xfId="9245"/>
    <cellStyle name="표준 2 2 9 2 4 4 2" xfId="18245"/>
    <cellStyle name="표준 2 2 9 2 4 4 2 2" xfId="39121"/>
    <cellStyle name="표준 2 2 9 2 4 4 3" xfId="30383"/>
    <cellStyle name="표준 2 2 9 2 4 5" xfId="10053"/>
    <cellStyle name="표준 2 2 9 2 4 6" xfId="13295"/>
    <cellStyle name="표준 2 2 9 2 4 6 2" xfId="34171"/>
    <cellStyle name="표준 2 2 9 2 4 7" xfId="25433"/>
    <cellStyle name="표준 2 2 9 2 5" xfId="3902"/>
    <cellStyle name="표준 2 2 9 2 5 2" xfId="6103"/>
    <cellStyle name="표준 2 2 9 2 5 2 2" xfId="10056"/>
    <cellStyle name="표준 2 2 9 2 5 2 3" xfId="15112"/>
    <cellStyle name="표준 2 2 9 2 5 2 3 2" xfId="35988"/>
    <cellStyle name="표준 2 2 9 2 5 2 4" xfId="27250"/>
    <cellStyle name="표준 2 2 9 2 5 3" xfId="9157"/>
    <cellStyle name="표준 2 2 9 2 5 3 2" xfId="18161"/>
    <cellStyle name="표준 2 2 9 2 5 3 2 2" xfId="39037"/>
    <cellStyle name="표준 2 2 9 2 5 3 3" xfId="30299"/>
    <cellStyle name="표준 2 2 9 2 5 4" xfId="9246"/>
    <cellStyle name="표준 2 2 9 2 5 4 2" xfId="18246"/>
    <cellStyle name="표준 2 2 9 2 5 4 2 2" xfId="39122"/>
    <cellStyle name="표준 2 2 9 2 5 4 3" xfId="30384"/>
    <cellStyle name="표준 2 2 9 2 5 5" xfId="10055"/>
    <cellStyle name="표준 2 2 9 2 5 6" xfId="13294"/>
    <cellStyle name="표준 2 2 9 2 5 6 2" xfId="34170"/>
    <cellStyle name="표준 2 2 9 2 5 7" xfId="25432"/>
    <cellStyle name="표준 2 2 9 2 6" xfId="3901"/>
    <cellStyle name="표준 2 2 9 2 6 2" xfId="6102"/>
    <cellStyle name="표준 2 2 9 2 6 2 2" xfId="10058"/>
    <cellStyle name="표준 2 2 9 2 6 2 3" xfId="15111"/>
    <cellStyle name="표준 2 2 9 2 6 2 3 2" xfId="35987"/>
    <cellStyle name="표준 2 2 9 2 6 2 4" xfId="27249"/>
    <cellStyle name="표준 2 2 9 2 6 3" xfId="9158"/>
    <cellStyle name="표준 2 2 9 2 6 3 2" xfId="18162"/>
    <cellStyle name="표준 2 2 9 2 6 3 2 2" xfId="39038"/>
    <cellStyle name="표준 2 2 9 2 6 3 3" xfId="30300"/>
    <cellStyle name="표준 2 2 9 2 6 4" xfId="9247"/>
    <cellStyle name="표준 2 2 9 2 6 4 2" xfId="18247"/>
    <cellStyle name="표준 2 2 9 2 6 4 2 2" xfId="39123"/>
    <cellStyle name="표준 2 2 9 2 6 4 3" xfId="30385"/>
    <cellStyle name="표준 2 2 9 2 6 5" xfId="10057"/>
    <cellStyle name="표준 2 2 9 2 6 6" xfId="13293"/>
    <cellStyle name="표준 2 2 9 2 6 6 2" xfId="34169"/>
    <cellStyle name="표준 2 2 9 2 6 7" xfId="25431"/>
    <cellStyle name="표준 2 2 9 2 7" xfId="3900"/>
    <cellStyle name="표준 2 2 9 2 7 2" xfId="6101"/>
    <cellStyle name="표준 2 2 9 2 7 2 2" xfId="10060"/>
    <cellStyle name="표준 2 2 9 2 7 2 3" xfId="15110"/>
    <cellStyle name="표준 2 2 9 2 7 2 3 2" xfId="35986"/>
    <cellStyle name="표준 2 2 9 2 7 2 4" xfId="27248"/>
    <cellStyle name="표준 2 2 9 2 7 3" xfId="9159"/>
    <cellStyle name="표준 2 2 9 2 7 3 2" xfId="18163"/>
    <cellStyle name="표준 2 2 9 2 7 3 2 2" xfId="39039"/>
    <cellStyle name="표준 2 2 9 2 7 3 3" xfId="30301"/>
    <cellStyle name="표준 2 2 9 2 7 4" xfId="9248"/>
    <cellStyle name="표준 2 2 9 2 7 4 2" xfId="18248"/>
    <cellStyle name="표준 2 2 9 2 7 4 2 2" xfId="39124"/>
    <cellStyle name="표준 2 2 9 2 7 4 3" xfId="30386"/>
    <cellStyle name="표준 2 2 9 2 7 5" xfId="10059"/>
    <cellStyle name="표준 2 2 9 2 7 6" xfId="13292"/>
    <cellStyle name="표준 2 2 9 2 7 6 2" xfId="34168"/>
    <cellStyle name="표준 2 2 9 2 7 7" xfId="25430"/>
    <cellStyle name="표준 2 2 9 3" xfId="3899"/>
    <cellStyle name="표준 2 2 9 3 2" xfId="6100"/>
    <cellStyle name="표준 2 2 9 3 2 2" xfId="10062"/>
    <cellStyle name="표준 2 2 9 3 2 3" xfId="15109"/>
    <cellStyle name="표준 2 2 9 3 2 3 2" xfId="35985"/>
    <cellStyle name="표준 2 2 9 3 2 4" xfId="27247"/>
    <cellStyle name="표준 2 2 9 3 3" xfId="9160"/>
    <cellStyle name="표준 2 2 9 3 3 2" xfId="18164"/>
    <cellStyle name="표준 2 2 9 3 3 2 2" xfId="39040"/>
    <cellStyle name="표준 2 2 9 3 3 3" xfId="30302"/>
    <cellStyle name="표준 2 2 9 3 4" xfId="9249"/>
    <cellStyle name="표준 2 2 9 3 4 2" xfId="18249"/>
    <cellStyle name="표준 2 2 9 3 4 2 2" xfId="39125"/>
    <cellStyle name="표준 2 2 9 3 4 3" xfId="30387"/>
    <cellStyle name="표준 2 2 9 3 5" xfId="10061"/>
    <cellStyle name="표준 2 2 9 3 6" xfId="13291"/>
    <cellStyle name="표준 2 2 9 3 6 2" xfId="34167"/>
    <cellStyle name="표준 2 2 9 3 7" xfId="25429"/>
    <cellStyle name="표준 2 2 9 4" xfId="3898"/>
    <cellStyle name="표준 2 2 9 4 2" xfId="6099"/>
    <cellStyle name="표준 2 2 9 4 2 2" xfId="10064"/>
    <cellStyle name="표준 2 2 9 4 2 3" xfId="15108"/>
    <cellStyle name="표준 2 2 9 4 2 3 2" xfId="35984"/>
    <cellStyle name="표준 2 2 9 4 2 4" xfId="27246"/>
    <cellStyle name="표준 2 2 9 4 3" xfId="9161"/>
    <cellStyle name="표준 2 2 9 4 3 2" xfId="18165"/>
    <cellStyle name="표준 2 2 9 4 3 2 2" xfId="39041"/>
    <cellStyle name="표준 2 2 9 4 3 3" xfId="30303"/>
    <cellStyle name="표준 2 2 9 4 4" xfId="9250"/>
    <cellStyle name="표준 2 2 9 4 4 2" xfId="18250"/>
    <cellStyle name="표준 2 2 9 4 4 2 2" xfId="39126"/>
    <cellStyle name="표준 2 2 9 4 4 3" xfId="30388"/>
    <cellStyle name="표준 2 2 9 4 5" xfId="10063"/>
    <cellStyle name="표준 2 2 9 4 6" xfId="13290"/>
    <cellStyle name="표준 2 2 9 4 6 2" xfId="34166"/>
    <cellStyle name="표준 2 2 9 4 7" xfId="25428"/>
    <cellStyle name="표준 2 2 9 5" xfId="3897"/>
    <cellStyle name="표준 2 2 9 6" xfId="3896"/>
    <cellStyle name="표준 2 2 9 7" xfId="3895"/>
    <cellStyle name="표준 2 2 9 8" xfId="3894"/>
    <cellStyle name="표준 2 2 9 9" xfId="3893"/>
    <cellStyle name="표준 2 20" xfId="3892"/>
    <cellStyle name="표준 2 20 2" xfId="6098"/>
    <cellStyle name="표준 2 20 2 2" xfId="10066"/>
    <cellStyle name="표준 2 20 2 3" xfId="15107"/>
    <cellStyle name="표준 2 20 2 3 2" xfId="35983"/>
    <cellStyle name="표준 2 20 2 4" xfId="27245"/>
    <cellStyle name="표준 2 20 3" xfId="9162"/>
    <cellStyle name="표준 2 20 3 2" xfId="18166"/>
    <cellStyle name="표준 2 20 3 2 2" xfId="39042"/>
    <cellStyle name="표준 2 20 3 3" xfId="30304"/>
    <cellStyle name="표준 2 20 4" xfId="9251"/>
    <cellStyle name="표준 2 20 4 2" xfId="18251"/>
    <cellStyle name="표준 2 20 4 2 2" xfId="39127"/>
    <cellStyle name="표준 2 20 4 3" xfId="30389"/>
    <cellStyle name="표준 2 20 5" xfId="10065"/>
    <cellStyle name="표준 2 20 6" xfId="13289"/>
    <cellStyle name="표준 2 20 6 2" xfId="34165"/>
    <cellStyle name="표준 2 20 7" xfId="25427"/>
    <cellStyle name="표준 2 21" xfId="3846"/>
    <cellStyle name="표준 2 22" xfId="4873"/>
    <cellStyle name="표준 2 23" xfId="7042"/>
    <cellStyle name="표준 2 23 2" xfId="10067"/>
    <cellStyle name="표준 2 23 3" xfId="16050"/>
    <cellStyle name="표준 2 23 3 2" xfId="36926"/>
    <cellStyle name="표준 2 23 4" xfId="28188"/>
    <cellStyle name="표준 2 24" xfId="7687"/>
    <cellStyle name="표준 2 24 2" xfId="16693"/>
    <cellStyle name="표준 2 24 2 2" xfId="37569"/>
    <cellStyle name="표준 2 24 3" xfId="28831"/>
    <cellStyle name="표준 2 25" xfId="8535"/>
    <cellStyle name="표준 2 25 2" xfId="17540"/>
    <cellStyle name="표준 2 25 2 2" xfId="38416"/>
    <cellStyle name="표준 2 25 3" xfId="29678"/>
    <cellStyle name="표준 2 26" xfId="9359"/>
    <cellStyle name="표준 2 26 2" xfId="18358"/>
    <cellStyle name="표준 2 26 2 2" xfId="39234"/>
    <cellStyle name="표준 2 26 3" xfId="30496"/>
    <cellStyle name="표준 2 27" xfId="10415"/>
    <cellStyle name="표준 2 27 2" xfId="19186"/>
    <cellStyle name="표준 2 27 2 2" xfId="40062"/>
    <cellStyle name="표준 2 27 3" xfId="31326"/>
    <cellStyle name="표준 2 28" xfId="11281"/>
    <cellStyle name="표준 2 28 2" xfId="20047"/>
    <cellStyle name="표준 2 28 2 2" xfId="40923"/>
    <cellStyle name="표준 2 28 3" xfId="32187"/>
    <cellStyle name="표준 2 29" xfId="24294"/>
    <cellStyle name="표준 2 3" xfId="1197"/>
    <cellStyle name="표준 2 3 10" xfId="10625"/>
    <cellStyle name="표준 2 3 10 2" xfId="19396"/>
    <cellStyle name="표준 2 3 10 2 2" xfId="40272"/>
    <cellStyle name="표준 2 3 10 3" xfId="31536"/>
    <cellStyle name="표준 2 3 11" xfId="11491"/>
    <cellStyle name="표준 2 3 11 2" xfId="20257"/>
    <cellStyle name="표준 2 3 11 2 2" xfId="41133"/>
    <cellStyle name="표준 2 3 11 3" xfId="32397"/>
    <cellStyle name="표준 2 3 12" xfId="12197"/>
    <cellStyle name="표준 2 3 2" xfId="3172"/>
    <cellStyle name="표준 2 3 2 2" xfId="5450"/>
    <cellStyle name="표준 2 3 2 2 2" xfId="14459"/>
    <cellStyle name="표준 2 3 2 2 2 2" xfId="35335"/>
    <cellStyle name="표준 2 3 2 2 3" xfId="26597"/>
    <cellStyle name="표준 2 3 2 3" xfId="10068"/>
    <cellStyle name="표준 2 3 2 4" xfId="12640"/>
    <cellStyle name="표준 2 3 2 4 2" xfId="33517"/>
    <cellStyle name="표준 2 3 2 5" xfId="24767"/>
    <cellStyle name="표준 2 3 3" xfId="3614"/>
    <cellStyle name="표준 2 3 3 2" xfId="5887"/>
    <cellStyle name="표준 2 3 3 2 2" xfId="14896"/>
    <cellStyle name="표준 2 3 3 2 2 2" xfId="35772"/>
    <cellStyle name="표준 2 3 3 2 3" xfId="27034"/>
    <cellStyle name="표준 2 3 3 3" xfId="13077"/>
    <cellStyle name="표준 2 3 3 3 2" xfId="33954"/>
    <cellStyle name="표준 2 3 3 4" xfId="25204"/>
    <cellStyle name="표준 2 3 4" xfId="4775"/>
    <cellStyle name="표준 2 3 4 2" xfId="6607"/>
    <cellStyle name="표준 2 3 4 2 2" xfId="15616"/>
    <cellStyle name="표준 2 3 4 2 2 2" xfId="36492"/>
    <cellStyle name="표준 2 3 4 2 3" xfId="27754"/>
    <cellStyle name="표준 2 3 4 3" xfId="13798"/>
    <cellStyle name="표준 2 3 4 3 2" xfId="34674"/>
    <cellStyle name="표준 2 3 4 4" xfId="25936"/>
    <cellStyle name="표준 2 3 5" xfId="3891"/>
    <cellStyle name="표준 2 3 6" xfId="7253"/>
    <cellStyle name="표준 2 3 6 2" xfId="16260"/>
    <cellStyle name="표준 2 3 6 2 2" xfId="37136"/>
    <cellStyle name="표준 2 3 6 3" xfId="28398"/>
    <cellStyle name="표준 2 3 7" xfId="7897"/>
    <cellStyle name="표준 2 3 7 2" xfId="16903"/>
    <cellStyle name="표준 2 3 7 2 2" xfId="37779"/>
    <cellStyle name="표준 2 3 7 3" xfId="29041"/>
    <cellStyle name="표준 2 3 8" xfId="8745"/>
    <cellStyle name="표준 2 3 8 2" xfId="17750"/>
    <cellStyle name="표준 2 3 8 2 2" xfId="38626"/>
    <cellStyle name="표준 2 3 8 3" xfId="29888"/>
    <cellStyle name="표준 2 3 9" xfId="9570"/>
    <cellStyle name="표준 2 3 9 2" xfId="18568"/>
    <cellStyle name="표준 2 3 9 2 2" xfId="39444"/>
    <cellStyle name="표준 2 3 9 3" xfId="30706"/>
    <cellStyle name="표준 2 4" xfId="2954"/>
    <cellStyle name="표준 2 4 10" xfId="11708"/>
    <cellStyle name="표준 2 4 10 2" xfId="20474"/>
    <cellStyle name="표준 2 4 10 2 2" xfId="41350"/>
    <cellStyle name="표준 2 4 10 3" xfId="32614"/>
    <cellStyle name="표준 2 4 11" xfId="12429"/>
    <cellStyle name="표준 2 4 11 2" xfId="33307"/>
    <cellStyle name="표준 2 4 12" xfId="24557"/>
    <cellStyle name="표준 2 4 2" xfId="4997"/>
    <cellStyle name="표준 2 4 2 2" xfId="6824"/>
    <cellStyle name="표준 2 4 2 2 2" xfId="15833"/>
    <cellStyle name="표준 2 4 2 2 2 2" xfId="36709"/>
    <cellStyle name="표준 2 4 2 2 3" xfId="27971"/>
    <cellStyle name="표준 2 4 2 3" xfId="10069"/>
    <cellStyle name="표준 2 4 2 4" xfId="14015"/>
    <cellStyle name="표준 2 4 2 4 2" xfId="34891"/>
    <cellStyle name="표준 2 4 2 5" xfId="26153"/>
    <cellStyle name="표준 2 4 3" xfId="3890"/>
    <cellStyle name="표준 2 4 4" xfId="5240"/>
    <cellStyle name="표준 2 4 4 2" xfId="14249"/>
    <cellStyle name="표준 2 4 4 2 2" xfId="35125"/>
    <cellStyle name="표준 2 4 4 3" xfId="26387"/>
    <cellStyle name="표준 2 4 5" xfId="7470"/>
    <cellStyle name="표준 2 4 5 2" xfId="16477"/>
    <cellStyle name="표준 2 4 5 2 2" xfId="37353"/>
    <cellStyle name="표준 2 4 5 3" xfId="28615"/>
    <cellStyle name="표준 2 4 6" xfId="8114"/>
    <cellStyle name="표준 2 4 6 2" xfId="17120"/>
    <cellStyle name="표준 2 4 6 2 2" xfId="37996"/>
    <cellStyle name="표준 2 4 6 3" xfId="29258"/>
    <cellStyle name="표준 2 4 7" xfId="8962"/>
    <cellStyle name="표준 2 4 7 2" xfId="17967"/>
    <cellStyle name="표준 2 4 7 2 2" xfId="38843"/>
    <cellStyle name="표준 2 4 7 3" xfId="30105"/>
    <cellStyle name="표준 2 4 8" xfId="9787"/>
    <cellStyle name="표준 2 4 8 2" xfId="18785"/>
    <cellStyle name="표준 2 4 8 2 2" xfId="39661"/>
    <cellStyle name="표준 2 4 8 3" xfId="30923"/>
    <cellStyle name="표준 2 4 9" xfId="10842"/>
    <cellStyle name="표준 2 4 9 2" xfId="19613"/>
    <cellStyle name="표준 2 4 9 2 2" xfId="40489"/>
    <cellStyle name="표준 2 4 9 3" xfId="31753"/>
    <cellStyle name="표준 2 5" xfId="3404"/>
    <cellStyle name="표준 2 5 2" xfId="3889"/>
    <cellStyle name="표준 2 5 2 2" xfId="10070"/>
    <cellStyle name="표준 2 5 3" xfId="5677"/>
    <cellStyle name="표준 2 5 3 2" xfId="14686"/>
    <cellStyle name="표준 2 5 3 2 2" xfId="35562"/>
    <cellStyle name="표준 2 5 3 3" xfId="26824"/>
    <cellStyle name="표준 2 5 4" xfId="11060"/>
    <cellStyle name="표준 2 5 4 2" xfId="19830"/>
    <cellStyle name="표준 2 5 4 2 2" xfId="40706"/>
    <cellStyle name="표준 2 5 4 3" xfId="31970"/>
    <cellStyle name="표준 2 5 5" xfId="11925"/>
    <cellStyle name="표준 2 5 5 2" xfId="20691"/>
    <cellStyle name="표준 2 5 5 2 2" xfId="41567"/>
    <cellStyle name="표준 2 5 5 3" xfId="32831"/>
    <cellStyle name="표준 2 5 6" xfId="12867"/>
    <cellStyle name="표준 2 5 6 2" xfId="33744"/>
    <cellStyle name="표준 2 5 7" xfId="24994"/>
    <cellStyle name="표준 2 6" xfId="4563"/>
    <cellStyle name="표준 2 6 2" xfId="3888"/>
    <cellStyle name="표준 2 6 2 2" xfId="10071"/>
    <cellStyle name="표준 2 6 3" xfId="6397"/>
    <cellStyle name="표준 2 6 3 2" xfId="15406"/>
    <cellStyle name="표준 2 6 3 2 2" xfId="36282"/>
    <cellStyle name="표준 2 6 3 3" xfId="27544"/>
    <cellStyle name="표준 2 6 4" xfId="13588"/>
    <cellStyle name="표준 2 6 4 2" xfId="34464"/>
    <cellStyle name="표준 2 6 5" xfId="25726"/>
    <cellStyle name="표준 2 7" xfId="3887"/>
    <cellStyle name="표준 2 7 10" xfId="3886"/>
    <cellStyle name="표준 2 7 11" xfId="3885"/>
    <cellStyle name="표준 2 7 11 2" xfId="6097"/>
    <cellStyle name="표준 2 7 11 2 2" xfId="10073"/>
    <cellStyle name="표준 2 7 11 2 3" xfId="15106"/>
    <cellStyle name="표준 2 7 11 2 3 2" xfId="35982"/>
    <cellStyle name="표준 2 7 11 2 4" xfId="27244"/>
    <cellStyle name="표준 2 7 11 3" xfId="9163"/>
    <cellStyle name="표준 2 7 11 3 2" xfId="18167"/>
    <cellStyle name="표준 2 7 11 3 2 2" xfId="39043"/>
    <cellStyle name="표준 2 7 11 3 3" xfId="30305"/>
    <cellStyle name="표준 2 7 11 4" xfId="9252"/>
    <cellStyle name="표준 2 7 11 4 2" xfId="18252"/>
    <cellStyle name="표준 2 7 11 4 2 2" xfId="39128"/>
    <cellStyle name="표준 2 7 11 4 3" xfId="30390"/>
    <cellStyle name="표준 2 7 11 5" xfId="10072"/>
    <cellStyle name="표준 2 7 11 6" xfId="13288"/>
    <cellStyle name="표준 2 7 11 6 2" xfId="34164"/>
    <cellStyle name="표준 2 7 11 7" xfId="25426"/>
    <cellStyle name="표준 2 7 12" xfId="3884"/>
    <cellStyle name="표준 2 7 12 2" xfId="6096"/>
    <cellStyle name="표준 2 7 12 2 2" xfId="10075"/>
    <cellStyle name="표준 2 7 12 2 3" xfId="15105"/>
    <cellStyle name="표준 2 7 12 2 3 2" xfId="35981"/>
    <cellStyle name="표준 2 7 12 2 4" xfId="27243"/>
    <cellStyle name="표준 2 7 12 3" xfId="9164"/>
    <cellStyle name="표준 2 7 12 3 2" xfId="18168"/>
    <cellStyle name="표준 2 7 12 3 2 2" xfId="39044"/>
    <cellStyle name="표준 2 7 12 3 3" xfId="30306"/>
    <cellStyle name="표준 2 7 12 4" xfId="9253"/>
    <cellStyle name="표준 2 7 12 4 2" xfId="18253"/>
    <cellStyle name="표준 2 7 12 4 2 2" xfId="39129"/>
    <cellStyle name="표준 2 7 12 4 3" xfId="30391"/>
    <cellStyle name="표준 2 7 12 5" xfId="10074"/>
    <cellStyle name="표준 2 7 12 6" xfId="13287"/>
    <cellStyle name="표준 2 7 12 6 2" xfId="34163"/>
    <cellStyle name="표준 2 7 12 7" xfId="25425"/>
    <cellStyle name="표준 2 7 13" xfId="3883"/>
    <cellStyle name="표준 2 7 13 2" xfId="6095"/>
    <cellStyle name="표준 2 7 13 2 2" xfId="10077"/>
    <cellStyle name="표준 2 7 13 2 3" xfId="15104"/>
    <cellStyle name="표준 2 7 13 2 3 2" xfId="35980"/>
    <cellStyle name="표준 2 7 13 2 4" xfId="27242"/>
    <cellStyle name="표준 2 7 13 3" xfId="9165"/>
    <cellStyle name="표준 2 7 13 3 2" xfId="18169"/>
    <cellStyle name="표준 2 7 13 3 2 2" xfId="39045"/>
    <cellStyle name="표준 2 7 13 3 3" xfId="30307"/>
    <cellStyle name="표준 2 7 13 4" xfId="9254"/>
    <cellStyle name="표준 2 7 13 4 2" xfId="18254"/>
    <cellStyle name="표준 2 7 13 4 2 2" xfId="39130"/>
    <cellStyle name="표준 2 7 13 4 3" xfId="30392"/>
    <cellStyle name="표준 2 7 13 5" xfId="10076"/>
    <cellStyle name="표준 2 7 13 6" xfId="13286"/>
    <cellStyle name="표준 2 7 13 6 2" xfId="34162"/>
    <cellStyle name="표준 2 7 13 7" xfId="25424"/>
    <cellStyle name="표준 2 7 14" xfId="3882"/>
    <cellStyle name="표준 2 7 14 2" xfId="6094"/>
    <cellStyle name="표준 2 7 14 2 2" xfId="10079"/>
    <cellStyle name="표준 2 7 14 2 3" xfId="15103"/>
    <cellStyle name="표준 2 7 14 2 3 2" xfId="35979"/>
    <cellStyle name="표준 2 7 14 2 4" xfId="27241"/>
    <cellStyle name="표준 2 7 14 3" xfId="9166"/>
    <cellStyle name="표준 2 7 14 3 2" xfId="18170"/>
    <cellStyle name="표준 2 7 14 3 2 2" xfId="39046"/>
    <cellStyle name="표준 2 7 14 3 3" xfId="30308"/>
    <cellStyle name="표준 2 7 14 4" xfId="9255"/>
    <cellStyle name="표준 2 7 14 4 2" xfId="18255"/>
    <cellStyle name="표준 2 7 14 4 2 2" xfId="39131"/>
    <cellStyle name="표준 2 7 14 4 3" xfId="30393"/>
    <cellStyle name="표준 2 7 14 5" xfId="10078"/>
    <cellStyle name="표준 2 7 14 6" xfId="13285"/>
    <cellStyle name="표준 2 7 14 6 2" xfId="34161"/>
    <cellStyle name="표준 2 7 14 7" xfId="25423"/>
    <cellStyle name="표준 2 7 15" xfId="3881"/>
    <cellStyle name="표준 2 7 15 2" xfId="6093"/>
    <cellStyle name="표준 2 7 15 2 2" xfId="10081"/>
    <cellStyle name="표준 2 7 15 2 3" xfId="15102"/>
    <cellStyle name="표준 2 7 15 2 3 2" xfId="35978"/>
    <cellStyle name="표준 2 7 15 2 4" xfId="27240"/>
    <cellStyle name="표준 2 7 15 3" xfId="9167"/>
    <cellStyle name="표준 2 7 15 3 2" xfId="18171"/>
    <cellStyle name="표준 2 7 15 3 2 2" xfId="39047"/>
    <cellStyle name="표준 2 7 15 3 3" xfId="30309"/>
    <cellStyle name="표준 2 7 15 4" xfId="9256"/>
    <cellStyle name="표준 2 7 15 4 2" xfId="18256"/>
    <cellStyle name="표준 2 7 15 4 2 2" xfId="39132"/>
    <cellStyle name="표준 2 7 15 4 3" xfId="30394"/>
    <cellStyle name="표준 2 7 15 5" xfId="10080"/>
    <cellStyle name="표준 2 7 15 6" xfId="13284"/>
    <cellStyle name="표준 2 7 15 6 2" xfId="34160"/>
    <cellStyle name="표준 2 7 15 7" xfId="25422"/>
    <cellStyle name="표준 2 7 2" xfId="3880"/>
    <cellStyle name="표준 2 7 2 10" xfId="6092"/>
    <cellStyle name="표준 2 7 2 10 2" xfId="10083"/>
    <cellStyle name="표준 2 7 2 10 3" xfId="15101"/>
    <cellStyle name="표준 2 7 2 10 3 2" xfId="35977"/>
    <cellStyle name="표준 2 7 2 10 4" xfId="27239"/>
    <cellStyle name="표준 2 7 2 11" xfId="9168"/>
    <cellStyle name="표준 2 7 2 11 2" xfId="18172"/>
    <cellStyle name="표준 2 7 2 11 2 2" xfId="39048"/>
    <cellStyle name="표준 2 7 2 11 3" xfId="30310"/>
    <cellStyle name="표준 2 7 2 12" xfId="9257"/>
    <cellStyle name="표준 2 7 2 12 2" xfId="18257"/>
    <cellStyle name="표준 2 7 2 12 2 2" xfId="39133"/>
    <cellStyle name="표준 2 7 2 12 3" xfId="30395"/>
    <cellStyle name="표준 2 7 2 13" xfId="10082"/>
    <cellStyle name="표준 2 7 2 14" xfId="13283"/>
    <cellStyle name="표준 2 7 2 14 2" xfId="34159"/>
    <cellStyle name="표준 2 7 2 15" xfId="25421"/>
    <cellStyle name="표준 2 7 2 2" xfId="3879"/>
    <cellStyle name="표준 2 7 2 2 2" xfId="3878"/>
    <cellStyle name="표준 2 7 2 2 2 2" xfId="6091"/>
    <cellStyle name="표준 2 7 2 2 2 2 2" xfId="10085"/>
    <cellStyle name="표준 2 7 2 2 2 2 3" xfId="15100"/>
    <cellStyle name="표준 2 7 2 2 2 2 3 2" xfId="35976"/>
    <cellStyle name="표준 2 7 2 2 2 2 4" xfId="27238"/>
    <cellStyle name="표준 2 7 2 2 2 3" xfId="9169"/>
    <cellStyle name="표준 2 7 2 2 2 3 2" xfId="18173"/>
    <cellStyle name="표준 2 7 2 2 2 3 2 2" xfId="39049"/>
    <cellStyle name="표준 2 7 2 2 2 3 3" xfId="30311"/>
    <cellStyle name="표준 2 7 2 2 2 4" xfId="9258"/>
    <cellStyle name="표준 2 7 2 2 2 4 2" xfId="18258"/>
    <cellStyle name="표준 2 7 2 2 2 4 2 2" xfId="39134"/>
    <cellStyle name="표준 2 7 2 2 2 4 3" xfId="30396"/>
    <cellStyle name="표준 2 7 2 2 2 5" xfId="10084"/>
    <cellStyle name="표준 2 7 2 2 2 6" xfId="13282"/>
    <cellStyle name="표준 2 7 2 2 2 6 2" xfId="34158"/>
    <cellStyle name="표준 2 7 2 2 2 7" xfId="25420"/>
    <cellStyle name="표준 2 7 2 2 3" xfId="3877"/>
    <cellStyle name="표준 2 7 2 2 3 2" xfId="6090"/>
    <cellStyle name="표준 2 7 2 2 3 2 2" xfId="10087"/>
    <cellStyle name="표준 2 7 2 2 3 2 3" xfId="15099"/>
    <cellStyle name="표준 2 7 2 2 3 2 3 2" xfId="35975"/>
    <cellStyle name="표준 2 7 2 2 3 2 4" xfId="27237"/>
    <cellStyle name="표준 2 7 2 2 3 3" xfId="9170"/>
    <cellStyle name="표준 2 7 2 2 3 3 2" xfId="18174"/>
    <cellStyle name="표준 2 7 2 2 3 3 2 2" xfId="39050"/>
    <cellStyle name="표준 2 7 2 2 3 3 3" xfId="30312"/>
    <cellStyle name="표준 2 7 2 2 3 4" xfId="9259"/>
    <cellStyle name="표준 2 7 2 2 3 4 2" xfId="18259"/>
    <cellStyle name="표준 2 7 2 2 3 4 2 2" xfId="39135"/>
    <cellStyle name="표준 2 7 2 2 3 4 3" xfId="30397"/>
    <cellStyle name="표준 2 7 2 2 3 5" xfId="10086"/>
    <cellStyle name="표준 2 7 2 2 3 6" xfId="13281"/>
    <cellStyle name="표준 2 7 2 2 3 6 2" xfId="34157"/>
    <cellStyle name="표준 2 7 2 2 3 7" xfId="25419"/>
    <cellStyle name="표준 2 7 2 2 4" xfId="3876"/>
    <cellStyle name="표준 2 7 2 2 4 2" xfId="6089"/>
    <cellStyle name="표준 2 7 2 2 4 2 2" xfId="10089"/>
    <cellStyle name="표준 2 7 2 2 4 2 3" xfId="15098"/>
    <cellStyle name="표준 2 7 2 2 4 2 3 2" xfId="35974"/>
    <cellStyle name="표준 2 7 2 2 4 2 4" xfId="27236"/>
    <cellStyle name="표준 2 7 2 2 4 3" xfId="9171"/>
    <cellStyle name="표준 2 7 2 2 4 3 2" xfId="18175"/>
    <cellStyle name="표준 2 7 2 2 4 3 2 2" xfId="39051"/>
    <cellStyle name="표준 2 7 2 2 4 3 3" xfId="30313"/>
    <cellStyle name="표준 2 7 2 2 4 4" xfId="9260"/>
    <cellStyle name="표준 2 7 2 2 4 4 2" xfId="18260"/>
    <cellStyle name="표준 2 7 2 2 4 4 2 2" xfId="39136"/>
    <cellStyle name="표준 2 7 2 2 4 4 3" xfId="30398"/>
    <cellStyle name="표준 2 7 2 2 4 5" xfId="10088"/>
    <cellStyle name="표준 2 7 2 2 4 6" xfId="13280"/>
    <cellStyle name="표준 2 7 2 2 4 6 2" xfId="34156"/>
    <cellStyle name="표준 2 7 2 2 4 7" xfId="25418"/>
    <cellStyle name="표준 2 7 2 2 5" xfId="3875"/>
    <cellStyle name="표준 2 7 2 2 5 2" xfId="6088"/>
    <cellStyle name="표준 2 7 2 2 5 2 2" xfId="10091"/>
    <cellStyle name="표준 2 7 2 2 5 2 3" xfId="15097"/>
    <cellStyle name="표준 2 7 2 2 5 2 3 2" xfId="35973"/>
    <cellStyle name="표준 2 7 2 2 5 2 4" xfId="27235"/>
    <cellStyle name="표준 2 7 2 2 5 3" xfId="9172"/>
    <cellStyle name="표준 2 7 2 2 5 3 2" xfId="18176"/>
    <cellStyle name="표준 2 7 2 2 5 3 2 2" xfId="39052"/>
    <cellStyle name="표준 2 7 2 2 5 3 3" xfId="30314"/>
    <cellStyle name="표준 2 7 2 2 5 4" xfId="9261"/>
    <cellStyle name="표준 2 7 2 2 5 4 2" xfId="18261"/>
    <cellStyle name="표준 2 7 2 2 5 4 2 2" xfId="39137"/>
    <cellStyle name="표준 2 7 2 2 5 4 3" xfId="30399"/>
    <cellStyle name="표준 2 7 2 2 5 5" xfId="10090"/>
    <cellStyle name="표준 2 7 2 2 5 6" xfId="13279"/>
    <cellStyle name="표준 2 7 2 2 5 6 2" xfId="34155"/>
    <cellStyle name="표준 2 7 2 2 5 7" xfId="25417"/>
    <cellStyle name="표준 2 7 2 2 6" xfId="3874"/>
    <cellStyle name="표준 2 7 2 2 6 2" xfId="6087"/>
    <cellStyle name="표준 2 7 2 2 6 2 2" xfId="10093"/>
    <cellStyle name="표준 2 7 2 2 6 2 3" xfId="15096"/>
    <cellStyle name="표준 2 7 2 2 6 2 3 2" xfId="35972"/>
    <cellStyle name="표준 2 7 2 2 6 2 4" xfId="27234"/>
    <cellStyle name="표준 2 7 2 2 6 3" xfId="9173"/>
    <cellStyle name="표준 2 7 2 2 6 3 2" xfId="18177"/>
    <cellStyle name="표준 2 7 2 2 6 3 2 2" xfId="39053"/>
    <cellStyle name="표준 2 7 2 2 6 3 3" xfId="30315"/>
    <cellStyle name="표준 2 7 2 2 6 4" xfId="9262"/>
    <cellStyle name="표준 2 7 2 2 6 4 2" xfId="18262"/>
    <cellStyle name="표준 2 7 2 2 6 4 2 2" xfId="39138"/>
    <cellStyle name="표준 2 7 2 2 6 4 3" xfId="30400"/>
    <cellStyle name="표준 2 7 2 2 6 5" xfId="10092"/>
    <cellStyle name="표준 2 7 2 2 6 6" xfId="13278"/>
    <cellStyle name="표준 2 7 2 2 6 6 2" xfId="34154"/>
    <cellStyle name="표준 2 7 2 2 6 7" xfId="25416"/>
    <cellStyle name="표준 2 7 2 2 7" xfId="3873"/>
    <cellStyle name="표준 2 7 2 2 7 2" xfId="6086"/>
    <cellStyle name="표준 2 7 2 2 7 2 2" xfId="10095"/>
    <cellStyle name="표준 2 7 2 2 7 2 3" xfId="15095"/>
    <cellStyle name="표준 2 7 2 2 7 2 3 2" xfId="35971"/>
    <cellStyle name="표준 2 7 2 2 7 2 4" xfId="27233"/>
    <cellStyle name="표준 2 7 2 2 7 3" xfId="9174"/>
    <cellStyle name="표준 2 7 2 2 7 3 2" xfId="18178"/>
    <cellStyle name="표준 2 7 2 2 7 3 2 2" xfId="39054"/>
    <cellStyle name="표준 2 7 2 2 7 3 3" xfId="30316"/>
    <cellStyle name="표준 2 7 2 2 7 4" xfId="9263"/>
    <cellStyle name="표준 2 7 2 2 7 4 2" xfId="18263"/>
    <cellStyle name="표준 2 7 2 2 7 4 2 2" xfId="39139"/>
    <cellStyle name="표준 2 7 2 2 7 4 3" xfId="30401"/>
    <cellStyle name="표준 2 7 2 2 7 5" xfId="10094"/>
    <cellStyle name="표준 2 7 2 2 7 6" xfId="13277"/>
    <cellStyle name="표준 2 7 2 2 7 6 2" xfId="34153"/>
    <cellStyle name="표준 2 7 2 2 7 7" xfId="25415"/>
    <cellStyle name="표준 2 7 2 3" xfId="3872"/>
    <cellStyle name="표준 2 7 2 3 2" xfId="6085"/>
    <cellStyle name="표준 2 7 2 3 2 2" xfId="10097"/>
    <cellStyle name="표준 2 7 2 3 2 3" xfId="15094"/>
    <cellStyle name="표준 2 7 2 3 2 3 2" xfId="35970"/>
    <cellStyle name="표준 2 7 2 3 2 4" xfId="27232"/>
    <cellStyle name="표준 2 7 2 3 3" xfId="9175"/>
    <cellStyle name="표준 2 7 2 3 3 2" xfId="18179"/>
    <cellStyle name="표준 2 7 2 3 3 2 2" xfId="39055"/>
    <cellStyle name="표준 2 7 2 3 3 3" xfId="30317"/>
    <cellStyle name="표준 2 7 2 3 4" xfId="9264"/>
    <cellStyle name="표준 2 7 2 3 4 2" xfId="18264"/>
    <cellStyle name="표준 2 7 2 3 4 2 2" xfId="39140"/>
    <cellStyle name="표준 2 7 2 3 4 3" xfId="30402"/>
    <cellStyle name="표준 2 7 2 3 5" xfId="10096"/>
    <cellStyle name="표준 2 7 2 3 6" xfId="13276"/>
    <cellStyle name="표준 2 7 2 3 6 2" xfId="34152"/>
    <cellStyle name="표준 2 7 2 3 7" xfId="25414"/>
    <cellStyle name="표준 2 7 2 4" xfId="3871"/>
    <cellStyle name="표준 2 7 2 4 2" xfId="6084"/>
    <cellStyle name="표준 2 7 2 4 2 2" xfId="10099"/>
    <cellStyle name="표준 2 7 2 4 2 3" xfId="15093"/>
    <cellStyle name="표준 2 7 2 4 2 3 2" xfId="35969"/>
    <cellStyle name="표준 2 7 2 4 2 4" xfId="27231"/>
    <cellStyle name="표준 2 7 2 4 3" xfId="9176"/>
    <cellStyle name="표준 2 7 2 4 3 2" xfId="18180"/>
    <cellStyle name="표준 2 7 2 4 3 2 2" xfId="39056"/>
    <cellStyle name="표준 2 7 2 4 3 3" xfId="30318"/>
    <cellStyle name="표준 2 7 2 4 4" xfId="9265"/>
    <cellStyle name="표준 2 7 2 4 4 2" xfId="18265"/>
    <cellStyle name="표준 2 7 2 4 4 2 2" xfId="39141"/>
    <cellStyle name="표준 2 7 2 4 4 3" xfId="30403"/>
    <cellStyle name="표준 2 7 2 4 5" xfId="10098"/>
    <cellStyle name="표준 2 7 2 4 6" xfId="13275"/>
    <cellStyle name="표준 2 7 2 4 6 2" xfId="34151"/>
    <cellStyle name="표준 2 7 2 4 7" xfId="25413"/>
    <cellStyle name="표준 2 7 2 5" xfId="3870"/>
    <cellStyle name="표준 2 7 2 6" xfId="3869"/>
    <cellStyle name="표준 2 7 2 7" xfId="3868"/>
    <cellStyle name="표준 2 7 2 8" xfId="3867"/>
    <cellStyle name="표준 2 7 2 9" xfId="3866"/>
    <cellStyle name="표준 2 7 3" xfId="3865"/>
    <cellStyle name="표준 2 7 3 2" xfId="6083"/>
    <cellStyle name="표준 2 7 3 2 2" xfId="10101"/>
    <cellStyle name="표준 2 7 3 2 3" xfId="15092"/>
    <cellStyle name="표준 2 7 3 2 3 2" xfId="35968"/>
    <cellStyle name="표준 2 7 3 2 4" xfId="27230"/>
    <cellStyle name="표준 2 7 3 3" xfId="9177"/>
    <cellStyle name="표준 2 7 3 3 2" xfId="18181"/>
    <cellStyle name="표준 2 7 3 3 2 2" xfId="39057"/>
    <cellStyle name="표준 2 7 3 3 3" xfId="30319"/>
    <cellStyle name="표준 2 7 3 4" xfId="9266"/>
    <cellStyle name="표준 2 7 3 4 2" xfId="18266"/>
    <cellStyle name="표준 2 7 3 4 2 2" xfId="39142"/>
    <cellStyle name="표준 2 7 3 4 3" xfId="30404"/>
    <cellStyle name="표준 2 7 3 5" xfId="10100"/>
    <cellStyle name="표준 2 7 3 6" xfId="13274"/>
    <cellStyle name="표준 2 7 3 6 2" xfId="34150"/>
    <cellStyle name="표준 2 7 3 7" xfId="25412"/>
    <cellStyle name="표준 2 7 4" xfId="3864"/>
    <cellStyle name="표준 2 7 4 2" xfId="6082"/>
    <cellStyle name="표준 2 7 4 2 2" xfId="10103"/>
    <cellStyle name="표준 2 7 4 2 3" xfId="15091"/>
    <cellStyle name="표준 2 7 4 2 3 2" xfId="35967"/>
    <cellStyle name="표준 2 7 4 2 4" xfId="27229"/>
    <cellStyle name="표준 2 7 4 3" xfId="9178"/>
    <cellStyle name="표준 2 7 4 3 2" xfId="18182"/>
    <cellStyle name="표준 2 7 4 3 2 2" xfId="39058"/>
    <cellStyle name="표준 2 7 4 3 3" xfId="30320"/>
    <cellStyle name="표준 2 7 4 4" xfId="9267"/>
    <cellStyle name="표준 2 7 4 4 2" xfId="18267"/>
    <cellStyle name="표준 2 7 4 4 2 2" xfId="39143"/>
    <cellStyle name="표준 2 7 4 4 3" xfId="30405"/>
    <cellStyle name="표준 2 7 4 5" xfId="10102"/>
    <cellStyle name="표준 2 7 4 6" xfId="13273"/>
    <cellStyle name="표준 2 7 4 6 2" xfId="34149"/>
    <cellStyle name="표준 2 7 4 7" xfId="25411"/>
    <cellStyle name="표준 2 7 5" xfId="3863"/>
    <cellStyle name="표준 2 7 5 2" xfId="6081"/>
    <cellStyle name="표준 2 7 5 2 2" xfId="10105"/>
    <cellStyle name="표준 2 7 5 2 3" xfId="15090"/>
    <cellStyle name="표준 2 7 5 2 3 2" xfId="35966"/>
    <cellStyle name="표준 2 7 5 2 4" xfId="27228"/>
    <cellStyle name="표준 2 7 5 3" xfId="9179"/>
    <cellStyle name="표준 2 7 5 3 2" xfId="18183"/>
    <cellStyle name="표준 2 7 5 3 2 2" xfId="39059"/>
    <cellStyle name="표준 2 7 5 3 3" xfId="30321"/>
    <cellStyle name="표준 2 7 5 4" xfId="9268"/>
    <cellStyle name="표준 2 7 5 4 2" xfId="18268"/>
    <cellStyle name="표준 2 7 5 4 2 2" xfId="39144"/>
    <cellStyle name="표준 2 7 5 4 3" xfId="30406"/>
    <cellStyle name="표준 2 7 5 5" xfId="10104"/>
    <cellStyle name="표준 2 7 5 6" xfId="13272"/>
    <cellStyle name="표준 2 7 5 6 2" xfId="34148"/>
    <cellStyle name="표준 2 7 5 7" xfId="25410"/>
    <cellStyle name="표준 2 7 6" xfId="3862"/>
    <cellStyle name="표준 2 7 6 2" xfId="6080"/>
    <cellStyle name="표준 2 7 6 2 2" xfId="10107"/>
    <cellStyle name="표준 2 7 6 2 3" xfId="15089"/>
    <cellStyle name="표준 2 7 6 2 3 2" xfId="35965"/>
    <cellStyle name="표준 2 7 6 2 4" xfId="27227"/>
    <cellStyle name="표준 2 7 6 3" xfId="9180"/>
    <cellStyle name="표준 2 7 6 3 2" xfId="18184"/>
    <cellStyle name="표준 2 7 6 3 2 2" xfId="39060"/>
    <cellStyle name="표준 2 7 6 3 3" xfId="30322"/>
    <cellStyle name="표준 2 7 6 4" xfId="9269"/>
    <cellStyle name="표준 2 7 6 4 2" xfId="18269"/>
    <cellStyle name="표준 2 7 6 4 2 2" xfId="39145"/>
    <cellStyle name="표준 2 7 6 4 3" xfId="30407"/>
    <cellStyle name="표준 2 7 6 5" xfId="10106"/>
    <cellStyle name="표준 2 7 6 6" xfId="13271"/>
    <cellStyle name="표준 2 7 6 6 2" xfId="34147"/>
    <cellStyle name="표준 2 7 6 7" xfId="25409"/>
    <cellStyle name="표준 2 7 7" xfId="3861"/>
    <cellStyle name="표준 2 7 7 2" xfId="6079"/>
    <cellStyle name="표준 2 7 7 2 2" xfId="10109"/>
    <cellStyle name="표준 2 7 7 2 3" xfId="15088"/>
    <cellStyle name="표준 2 7 7 2 3 2" xfId="35964"/>
    <cellStyle name="표준 2 7 7 2 4" xfId="27226"/>
    <cellStyle name="표준 2 7 7 3" xfId="9181"/>
    <cellStyle name="표준 2 7 7 3 2" xfId="18185"/>
    <cellStyle name="표준 2 7 7 3 2 2" xfId="39061"/>
    <cellStyle name="표준 2 7 7 3 3" xfId="30323"/>
    <cellStyle name="표준 2 7 7 4" xfId="9270"/>
    <cellStyle name="표준 2 7 7 4 2" xfId="18270"/>
    <cellStyle name="표준 2 7 7 4 2 2" xfId="39146"/>
    <cellStyle name="표준 2 7 7 4 3" xfId="30408"/>
    <cellStyle name="표준 2 7 7 5" xfId="10108"/>
    <cellStyle name="표준 2 7 7 6" xfId="13270"/>
    <cellStyle name="표준 2 7 7 6 2" xfId="34146"/>
    <cellStyle name="표준 2 7 7 7" xfId="25408"/>
    <cellStyle name="표준 2 7 8" xfId="3860"/>
    <cellStyle name="표준 2 7 8 2" xfId="6078"/>
    <cellStyle name="표준 2 7 8 2 2" xfId="10111"/>
    <cellStyle name="표준 2 7 8 2 3" xfId="15087"/>
    <cellStyle name="표준 2 7 8 2 3 2" xfId="35963"/>
    <cellStyle name="표준 2 7 8 2 4" xfId="27225"/>
    <cellStyle name="표준 2 7 8 3" xfId="9182"/>
    <cellStyle name="표준 2 7 8 3 2" xfId="18186"/>
    <cellStyle name="표준 2 7 8 3 2 2" xfId="39062"/>
    <cellStyle name="표준 2 7 8 3 3" xfId="30324"/>
    <cellStyle name="표준 2 7 8 4" xfId="9271"/>
    <cellStyle name="표준 2 7 8 4 2" xfId="18271"/>
    <cellStyle name="표준 2 7 8 4 2 2" xfId="39147"/>
    <cellStyle name="표준 2 7 8 4 3" xfId="30409"/>
    <cellStyle name="표준 2 7 8 5" xfId="10110"/>
    <cellStyle name="표준 2 7 8 6" xfId="13269"/>
    <cellStyle name="표준 2 7 8 6 2" xfId="34145"/>
    <cellStyle name="표준 2 7 8 7" xfId="25407"/>
    <cellStyle name="표준 2 7 9" xfId="3859"/>
    <cellStyle name="표준 2 7 9 10" xfId="9272"/>
    <cellStyle name="표준 2 7 9 10 2" xfId="18272"/>
    <cellStyle name="표준 2 7 9 10 2 2" xfId="39148"/>
    <cellStyle name="표준 2 7 9 10 3" xfId="30410"/>
    <cellStyle name="표준 2 7 9 11" xfId="10112"/>
    <cellStyle name="표준 2 7 9 12" xfId="13268"/>
    <cellStyle name="표준 2 7 9 12 2" xfId="34144"/>
    <cellStyle name="표준 2 7 9 13" xfId="25406"/>
    <cellStyle name="표준 2 7 9 2" xfId="3858"/>
    <cellStyle name="표준 2 7 9 3" xfId="3857"/>
    <cellStyle name="표준 2 7 9 4" xfId="3856"/>
    <cellStyle name="표준 2 7 9 5" xfId="3855"/>
    <cellStyle name="표준 2 7 9 6" xfId="3854"/>
    <cellStyle name="표준 2 7 9 7" xfId="3853"/>
    <cellStyle name="표준 2 7 9 8" xfId="6077"/>
    <cellStyle name="표준 2 7 9 8 2" xfId="10113"/>
    <cellStyle name="표준 2 7 9 8 3" xfId="15086"/>
    <cellStyle name="표준 2 7 9 8 3 2" xfId="35962"/>
    <cellStyle name="표준 2 7 9 8 4" xfId="27224"/>
    <cellStyle name="표준 2 7 9 9" xfId="9183"/>
    <cellStyle name="표준 2 7 9 9 2" xfId="18187"/>
    <cellStyle name="표준 2 7 9 9 2 2" xfId="39063"/>
    <cellStyle name="표준 2 7 9 9 3" xfId="30325"/>
    <cellStyle name="표준 2 8" xfId="3852"/>
    <cellStyle name="표준 2 8 2" xfId="6076"/>
    <cellStyle name="표준 2 8 2 2" xfId="10115"/>
    <cellStyle name="표준 2 8 2 3" xfId="15085"/>
    <cellStyle name="표준 2 8 2 3 2" xfId="35961"/>
    <cellStyle name="표준 2 8 2 4" xfId="27223"/>
    <cellStyle name="표준 2 8 3" xfId="9184"/>
    <cellStyle name="표준 2 8 3 2" xfId="18188"/>
    <cellStyle name="표준 2 8 3 2 2" xfId="39064"/>
    <cellStyle name="표준 2 8 3 3" xfId="30326"/>
    <cellStyle name="표준 2 8 4" xfId="9273"/>
    <cellStyle name="표준 2 8 4 2" xfId="18273"/>
    <cellStyle name="표준 2 8 4 2 2" xfId="39149"/>
    <cellStyle name="표준 2 8 4 3" xfId="30411"/>
    <cellStyle name="표준 2 8 5" xfId="10114"/>
    <cellStyle name="표준 2 8 6" xfId="13267"/>
    <cellStyle name="표준 2 8 6 2" xfId="34143"/>
    <cellStyle name="표준 2 8 7" xfId="25405"/>
    <cellStyle name="표준 2 9" xfId="3851"/>
    <cellStyle name="표준 2 9 2" xfId="6075"/>
    <cellStyle name="표준 2 9 2 2" xfId="10117"/>
    <cellStyle name="표준 2 9 2 3" xfId="15084"/>
    <cellStyle name="표준 2 9 2 3 2" xfId="35960"/>
    <cellStyle name="표준 2 9 2 4" xfId="27222"/>
    <cellStyle name="표준 2 9 3" xfId="9185"/>
    <cellStyle name="표준 2 9 3 2" xfId="18189"/>
    <cellStyle name="표준 2 9 3 2 2" xfId="39065"/>
    <cellStyle name="표준 2 9 3 3" xfId="30327"/>
    <cellStyle name="표준 2 9 4" xfId="9274"/>
    <cellStyle name="표준 2 9 4 2" xfId="18274"/>
    <cellStyle name="표준 2 9 4 2 2" xfId="39150"/>
    <cellStyle name="표준 2 9 4 3" xfId="30412"/>
    <cellStyle name="표준 2 9 5" xfId="10116"/>
    <cellStyle name="표준 2 9 6" xfId="13266"/>
    <cellStyle name="표준 2 9 6 2" xfId="34142"/>
    <cellStyle name="표준 2 9 7" xfId="25404"/>
    <cellStyle name="표준 2_111020_세아제강온실_군산(명세서작성용)" xfId="4921"/>
    <cellStyle name="표준 20" xfId="2956"/>
    <cellStyle name="표준 20 10" xfId="4565"/>
    <cellStyle name="표준 20 10 2" xfId="6399"/>
    <cellStyle name="표준 20 10 2 2" xfId="15408"/>
    <cellStyle name="표준 20 10 2 2 2" xfId="36284"/>
    <cellStyle name="표준 20 10 2 3" xfId="27546"/>
    <cellStyle name="표준 20 10 3" xfId="11062"/>
    <cellStyle name="표준 20 10 3 2" xfId="19832"/>
    <cellStyle name="표준 20 10 3 2 2" xfId="40708"/>
    <cellStyle name="표준 20 10 3 3" xfId="31972"/>
    <cellStyle name="표준 20 10 4" xfId="11927"/>
    <cellStyle name="표준 20 10 4 2" xfId="20693"/>
    <cellStyle name="표준 20 10 4 2 2" xfId="41569"/>
    <cellStyle name="표준 20 10 4 3" xfId="32833"/>
    <cellStyle name="표준 20 10 5" xfId="13590"/>
    <cellStyle name="표준 20 10 5 2" xfId="34466"/>
    <cellStyle name="표준 20 10 6" xfId="25728"/>
    <cellStyle name="표준 20 11" xfId="5242"/>
    <cellStyle name="표준 20 11 2" xfId="14251"/>
    <cellStyle name="표준 20 11 2 2" xfId="35127"/>
    <cellStyle name="표준 20 11 3" xfId="26389"/>
    <cellStyle name="표준 20 12" xfId="7044"/>
    <cellStyle name="표준 20 12 2" xfId="16052"/>
    <cellStyle name="표준 20 12 2 2" xfId="36928"/>
    <cellStyle name="표준 20 12 3" xfId="28190"/>
    <cellStyle name="표준 20 13" xfId="7689"/>
    <cellStyle name="표준 20 13 2" xfId="16695"/>
    <cellStyle name="표준 20 13 2 2" xfId="37571"/>
    <cellStyle name="표준 20 13 3" xfId="28833"/>
    <cellStyle name="표준 20 14" xfId="8537"/>
    <cellStyle name="표준 20 14 2" xfId="17542"/>
    <cellStyle name="표준 20 14 2 2" xfId="38418"/>
    <cellStyle name="표준 20 14 3" xfId="29680"/>
    <cellStyle name="표준 20 15" xfId="9361"/>
    <cellStyle name="표준 20 15 2" xfId="18360"/>
    <cellStyle name="표준 20 15 2 2" xfId="39236"/>
    <cellStyle name="표준 20 15 3" xfId="30498"/>
    <cellStyle name="표준 20 16" xfId="10417"/>
    <cellStyle name="표준 20 16 2" xfId="19188"/>
    <cellStyle name="표준 20 16 2 2" xfId="40064"/>
    <cellStyle name="표준 20 16 3" xfId="31328"/>
    <cellStyle name="표준 20 17" xfId="11283"/>
    <cellStyle name="표준 20 17 2" xfId="20049"/>
    <cellStyle name="표준 20 17 2 2" xfId="40925"/>
    <cellStyle name="표준 20 17 3" xfId="32189"/>
    <cellStyle name="표준 20 18" xfId="12431"/>
    <cellStyle name="표준 20 18 2" xfId="33309"/>
    <cellStyle name="표준 20 19" xfId="24559"/>
    <cellStyle name="표준 20 2" xfId="2957"/>
    <cellStyle name="표준 20 2 10" xfId="10418"/>
    <cellStyle name="표준 20 2 10 2" xfId="19189"/>
    <cellStyle name="표준 20 2 10 2 2" xfId="40065"/>
    <cellStyle name="표준 20 2 10 3" xfId="31329"/>
    <cellStyle name="표준 20 2 11" xfId="11284"/>
    <cellStyle name="표준 20 2 11 2" xfId="20050"/>
    <cellStyle name="표준 20 2 11 2 2" xfId="40926"/>
    <cellStyle name="표준 20 2 11 3" xfId="32190"/>
    <cellStyle name="표준 20 2 12" xfId="12432"/>
    <cellStyle name="표준 20 2 12 2" xfId="33310"/>
    <cellStyle name="표준 20 2 13" xfId="24560"/>
    <cellStyle name="표준 20 2 2" xfId="3175"/>
    <cellStyle name="표준 20 2 2 10" xfId="11494"/>
    <cellStyle name="표준 20 2 2 10 2" xfId="20260"/>
    <cellStyle name="표준 20 2 2 10 2 2" xfId="41136"/>
    <cellStyle name="표준 20 2 2 10 3" xfId="32400"/>
    <cellStyle name="표준 20 2 2 11" xfId="12643"/>
    <cellStyle name="표준 20 2 2 11 2" xfId="33520"/>
    <cellStyle name="표준 20 2 2 12" xfId="24770"/>
    <cellStyle name="표준 20 2 2 2" xfId="3617"/>
    <cellStyle name="표준 20 2 2 2 2" xfId="5890"/>
    <cellStyle name="표준 20 2 2 2 2 2" xfId="14899"/>
    <cellStyle name="표준 20 2 2 2 2 2 2" xfId="35775"/>
    <cellStyle name="표준 20 2 2 2 2 3" xfId="27037"/>
    <cellStyle name="표준 20 2 2 2 3" xfId="13080"/>
    <cellStyle name="표준 20 2 2 2 3 2" xfId="33957"/>
    <cellStyle name="표준 20 2 2 2 4" xfId="25207"/>
    <cellStyle name="표준 20 2 2 3" xfId="4778"/>
    <cellStyle name="표준 20 2 2 3 2" xfId="6610"/>
    <cellStyle name="표준 20 2 2 3 2 2" xfId="15619"/>
    <cellStyle name="표준 20 2 2 3 2 2 2" xfId="36495"/>
    <cellStyle name="표준 20 2 2 3 2 3" xfId="27757"/>
    <cellStyle name="표준 20 2 2 3 3" xfId="13801"/>
    <cellStyle name="표준 20 2 2 3 3 2" xfId="34677"/>
    <cellStyle name="표준 20 2 2 3 4" xfId="25939"/>
    <cellStyle name="표준 20 2 2 4" xfId="5453"/>
    <cellStyle name="표준 20 2 2 4 2" xfId="14462"/>
    <cellStyle name="표준 20 2 2 4 2 2" xfId="35338"/>
    <cellStyle name="표준 20 2 2 4 3" xfId="26600"/>
    <cellStyle name="표준 20 2 2 5" xfId="7256"/>
    <cellStyle name="표준 20 2 2 5 2" xfId="16263"/>
    <cellStyle name="표준 20 2 2 5 2 2" xfId="37139"/>
    <cellStyle name="표준 20 2 2 5 3" xfId="28401"/>
    <cellStyle name="표준 20 2 2 6" xfId="7900"/>
    <cellStyle name="표준 20 2 2 6 2" xfId="16906"/>
    <cellStyle name="표준 20 2 2 6 2 2" xfId="37782"/>
    <cellStyle name="표준 20 2 2 6 3" xfId="29044"/>
    <cellStyle name="표준 20 2 2 7" xfId="8748"/>
    <cellStyle name="표준 20 2 2 7 2" xfId="17753"/>
    <cellStyle name="표준 20 2 2 7 2 2" xfId="38629"/>
    <cellStyle name="표준 20 2 2 7 3" xfId="29891"/>
    <cellStyle name="표준 20 2 2 8" xfId="9573"/>
    <cellStyle name="표준 20 2 2 8 2" xfId="18571"/>
    <cellStyle name="표준 20 2 2 8 2 2" xfId="39447"/>
    <cellStyle name="표준 20 2 2 8 3" xfId="30709"/>
    <cellStyle name="표준 20 2 2 9" xfId="10628"/>
    <cellStyle name="표준 20 2 2 9 2" xfId="19399"/>
    <cellStyle name="표준 20 2 2 9 2 2" xfId="40275"/>
    <cellStyle name="표준 20 2 2 9 3" xfId="31539"/>
    <cellStyle name="표준 20 2 3" xfId="3407"/>
    <cellStyle name="표준 20 2 3 10" xfId="12870"/>
    <cellStyle name="표준 20 2 3 10 2" xfId="33747"/>
    <cellStyle name="표준 20 2 3 11" xfId="24997"/>
    <cellStyle name="표준 20 2 3 2" xfId="5000"/>
    <cellStyle name="표준 20 2 3 2 2" xfId="6827"/>
    <cellStyle name="표준 20 2 3 2 2 2" xfId="15836"/>
    <cellStyle name="표준 20 2 3 2 2 2 2" xfId="36712"/>
    <cellStyle name="표준 20 2 3 2 2 3" xfId="27974"/>
    <cellStyle name="표준 20 2 3 2 3" xfId="14018"/>
    <cellStyle name="표준 20 2 3 2 3 2" xfId="34894"/>
    <cellStyle name="표준 20 2 3 2 4" xfId="26156"/>
    <cellStyle name="표준 20 2 3 3" xfId="5680"/>
    <cellStyle name="표준 20 2 3 3 2" xfId="14689"/>
    <cellStyle name="표준 20 2 3 3 2 2" xfId="35565"/>
    <cellStyle name="표준 20 2 3 3 3" xfId="26827"/>
    <cellStyle name="표준 20 2 3 4" xfId="7473"/>
    <cellStyle name="표준 20 2 3 4 2" xfId="16480"/>
    <cellStyle name="표준 20 2 3 4 2 2" xfId="37356"/>
    <cellStyle name="표준 20 2 3 4 3" xfId="28618"/>
    <cellStyle name="표준 20 2 3 5" xfId="8117"/>
    <cellStyle name="표준 20 2 3 5 2" xfId="17123"/>
    <cellStyle name="표준 20 2 3 5 2 2" xfId="37999"/>
    <cellStyle name="표준 20 2 3 5 3" xfId="29261"/>
    <cellStyle name="표준 20 2 3 6" xfId="8965"/>
    <cellStyle name="표준 20 2 3 6 2" xfId="17970"/>
    <cellStyle name="표준 20 2 3 6 2 2" xfId="38846"/>
    <cellStyle name="표준 20 2 3 6 3" xfId="30108"/>
    <cellStyle name="표준 20 2 3 7" xfId="9790"/>
    <cellStyle name="표준 20 2 3 7 2" xfId="18788"/>
    <cellStyle name="표준 20 2 3 7 2 2" xfId="39664"/>
    <cellStyle name="표준 20 2 3 7 3" xfId="30926"/>
    <cellStyle name="표준 20 2 3 8" xfId="10845"/>
    <cellStyle name="표준 20 2 3 8 2" xfId="19616"/>
    <cellStyle name="표준 20 2 3 8 2 2" xfId="40492"/>
    <cellStyle name="표준 20 2 3 8 3" xfId="31756"/>
    <cellStyle name="표준 20 2 3 9" xfId="11711"/>
    <cellStyle name="표준 20 2 3 9 2" xfId="20477"/>
    <cellStyle name="표준 20 2 3 9 2 2" xfId="41353"/>
    <cellStyle name="표준 20 2 3 9 3" xfId="32617"/>
    <cellStyle name="표준 20 2 4" xfId="4566"/>
    <cellStyle name="표준 20 2 4 2" xfId="6400"/>
    <cellStyle name="표준 20 2 4 2 2" xfId="15409"/>
    <cellStyle name="표준 20 2 4 2 2 2" xfId="36285"/>
    <cellStyle name="표준 20 2 4 2 3" xfId="27547"/>
    <cellStyle name="표준 20 2 4 3" xfId="11063"/>
    <cellStyle name="표준 20 2 4 3 2" xfId="19833"/>
    <cellStyle name="표준 20 2 4 3 2 2" xfId="40709"/>
    <cellStyle name="표준 20 2 4 3 3" xfId="31973"/>
    <cellStyle name="표준 20 2 4 4" xfId="11928"/>
    <cellStyle name="표준 20 2 4 4 2" xfId="20694"/>
    <cellStyle name="표준 20 2 4 4 2 2" xfId="41570"/>
    <cellStyle name="표준 20 2 4 4 3" xfId="32834"/>
    <cellStyle name="표준 20 2 4 5" xfId="13591"/>
    <cellStyle name="표준 20 2 4 5 2" xfId="34467"/>
    <cellStyle name="표준 20 2 4 6" xfId="25729"/>
    <cellStyle name="표준 20 2 5" xfId="5243"/>
    <cellStyle name="표준 20 2 5 2" xfId="14252"/>
    <cellStyle name="표준 20 2 5 2 2" xfId="35128"/>
    <cellStyle name="표준 20 2 5 3" xfId="26390"/>
    <cellStyle name="표준 20 2 6" xfId="7045"/>
    <cellStyle name="표준 20 2 6 2" xfId="16053"/>
    <cellStyle name="표준 20 2 6 2 2" xfId="36929"/>
    <cellStyle name="표준 20 2 6 3" xfId="28191"/>
    <cellStyle name="표준 20 2 7" xfId="7690"/>
    <cellStyle name="표준 20 2 7 2" xfId="16696"/>
    <cellStyle name="표준 20 2 7 2 2" xfId="37572"/>
    <cellStyle name="표준 20 2 7 3" xfId="28834"/>
    <cellStyle name="표준 20 2 8" xfId="8538"/>
    <cellStyle name="표준 20 2 8 2" xfId="17543"/>
    <cellStyle name="표준 20 2 8 2 2" xfId="38419"/>
    <cellStyle name="표준 20 2 8 3" xfId="29681"/>
    <cellStyle name="표준 20 2 9" xfId="9362"/>
    <cellStyle name="표준 20 2 9 2" xfId="18361"/>
    <cellStyle name="표준 20 2 9 2 2" xfId="39237"/>
    <cellStyle name="표준 20 2 9 3" xfId="30499"/>
    <cellStyle name="표준 20 3" xfId="2958"/>
    <cellStyle name="표준 20 3 10" xfId="10419"/>
    <cellStyle name="표준 20 3 10 2" xfId="19190"/>
    <cellStyle name="표준 20 3 10 2 2" xfId="40066"/>
    <cellStyle name="표준 20 3 10 3" xfId="31330"/>
    <cellStyle name="표준 20 3 11" xfId="11285"/>
    <cellStyle name="표준 20 3 11 2" xfId="20051"/>
    <cellStyle name="표준 20 3 11 2 2" xfId="40927"/>
    <cellStyle name="표준 20 3 11 3" xfId="32191"/>
    <cellStyle name="표준 20 3 12" xfId="12433"/>
    <cellStyle name="표준 20 3 12 2" xfId="33311"/>
    <cellStyle name="표준 20 3 13" xfId="24561"/>
    <cellStyle name="표준 20 3 2" xfId="3176"/>
    <cellStyle name="표준 20 3 2 10" xfId="11495"/>
    <cellStyle name="표준 20 3 2 10 2" xfId="20261"/>
    <cellStyle name="표준 20 3 2 10 2 2" xfId="41137"/>
    <cellStyle name="표준 20 3 2 10 3" xfId="32401"/>
    <cellStyle name="표준 20 3 2 11" xfId="12644"/>
    <cellStyle name="표준 20 3 2 11 2" xfId="33521"/>
    <cellStyle name="표준 20 3 2 12" xfId="24771"/>
    <cellStyle name="표준 20 3 2 2" xfId="3618"/>
    <cellStyle name="표준 20 3 2 2 2" xfId="5891"/>
    <cellStyle name="표준 20 3 2 2 2 2" xfId="14900"/>
    <cellStyle name="표준 20 3 2 2 2 2 2" xfId="35776"/>
    <cellStyle name="표준 20 3 2 2 2 3" xfId="27038"/>
    <cellStyle name="표준 20 3 2 2 3" xfId="13081"/>
    <cellStyle name="표준 20 3 2 2 3 2" xfId="33958"/>
    <cellStyle name="표준 20 3 2 2 4" xfId="25208"/>
    <cellStyle name="표준 20 3 2 3" xfId="4779"/>
    <cellStyle name="표준 20 3 2 3 2" xfId="6611"/>
    <cellStyle name="표준 20 3 2 3 2 2" xfId="15620"/>
    <cellStyle name="표준 20 3 2 3 2 2 2" xfId="36496"/>
    <cellStyle name="표준 20 3 2 3 2 3" xfId="27758"/>
    <cellStyle name="표준 20 3 2 3 3" xfId="13802"/>
    <cellStyle name="표준 20 3 2 3 3 2" xfId="34678"/>
    <cellStyle name="표준 20 3 2 3 4" xfId="25940"/>
    <cellStyle name="표준 20 3 2 4" xfId="5454"/>
    <cellStyle name="표준 20 3 2 4 2" xfId="14463"/>
    <cellStyle name="표준 20 3 2 4 2 2" xfId="35339"/>
    <cellStyle name="표준 20 3 2 4 3" xfId="26601"/>
    <cellStyle name="표준 20 3 2 5" xfId="7257"/>
    <cellStyle name="표준 20 3 2 5 2" xfId="16264"/>
    <cellStyle name="표준 20 3 2 5 2 2" xfId="37140"/>
    <cellStyle name="표준 20 3 2 5 3" xfId="28402"/>
    <cellStyle name="표준 20 3 2 6" xfId="7901"/>
    <cellStyle name="표준 20 3 2 6 2" xfId="16907"/>
    <cellStyle name="표준 20 3 2 6 2 2" xfId="37783"/>
    <cellStyle name="표준 20 3 2 6 3" xfId="29045"/>
    <cellStyle name="표준 20 3 2 7" xfId="8749"/>
    <cellStyle name="표준 20 3 2 7 2" xfId="17754"/>
    <cellStyle name="표준 20 3 2 7 2 2" xfId="38630"/>
    <cellStyle name="표준 20 3 2 7 3" xfId="29892"/>
    <cellStyle name="표준 20 3 2 8" xfId="9574"/>
    <cellStyle name="표준 20 3 2 8 2" xfId="18572"/>
    <cellStyle name="표준 20 3 2 8 2 2" xfId="39448"/>
    <cellStyle name="표준 20 3 2 8 3" xfId="30710"/>
    <cellStyle name="표준 20 3 2 9" xfId="10629"/>
    <cellStyle name="표준 20 3 2 9 2" xfId="19400"/>
    <cellStyle name="표준 20 3 2 9 2 2" xfId="40276"/>
    <cellStyle name="표준 20 3 2 9 3" xfId="31540"/>
    <cellStyle name="표준 20 3 3" xfId="3408"/>
    <cellStyle name="표준 20 3 3 10" xfId="12871"/>
    <cellStyle name="표준 20 3 3 10 2" xfId="33748"/>
    <cellStyle name="표준 20 3 3 11" xfId="24998"/>
    <cellStyle name="표준 20 3 3 2" xfId="5001"/>
    <cellStyle name="표준 20 3 3 2 2" xfId="6828"/>
    <cellStyle name="표준 20 3 3 2 2 2" xfId="15837"/>
    <cellStyle name="표준 20 3 3 2 2 2 2" xfId="36713"/>
    <cellStyle name="표준 20 3 3 2 2 3" xfId="27975"/>
    <cellStyle name="표준 20 3 3 2 3" xfId="14019"/>
    <cellStyle name="표준 20 3 3 2 3 2" xfId="34895"/>
    <cellStyle name="표준 20 3 3 2 4" xfId="26157"/>
    <cellStyle name="표준 20 3 3 3" xfId="5681"/>
    <cellStyle name="표준 20 3 3 3 2" xfId="14690"/>
    <cellStyle name="표준 20 3 3 3 2 2" xfId="35566"/>
    <cellStyle name="표준 20 3 3 3 3" xfId="26828"/>
    <cellStyle name="표준 20 3 3 4" xfId="7474"/>
    <cellStyle name="표준 20 3 3 4 2" xfId="16481"/>
    <cellStyle name="표준 20 3 3 4 2 2" xfId="37357"/>
    <cellStyle name="표준 20 3 3 4 3" xfId="28619"/>
    <cellStyle name="표준 20 3 3 5" xfId="8118"/>
    <cellStyle name="표준 20 3 3 5 2" xfId="17124"/>
    <cellStyle name="표준 20 3 3 5 2 2" xfId="38000"/>
    <cellStyle name="표준 20 3 3 5 3" xfId="29262"/>
    <cellStyle name="표준 20 3 3 6" xfId="8966"/>
    <cellStyle name="표준 20 3 3 6 2" xfId="17971"/>
    <cellStyle name="표준 20 3 3 6 2 2" xfId="38847"/>
    <cellStyle name="표준 20 3 3 6 3" xfId="30109"/>
    <cellStyle name="표준 20 3 3 7" xfId="9791"/>
    <cellStyle name="표준 20 3 3 7 2" xfId="18789"/>
    <cellStyle name="표준 20 3 3 7 2 2" xfId="39665"/>
    <cellStyle name="표준 20 3 3 7 3" xfId="30927"/>
    <cellStyle name="표준 20 3 3 8" xfId="10846"/>
    <cellStyle name="표준 20 3 3 8 2" xfId="19617"/>
    <cellStyle name="표준 20 3 3 8 2 2" xfId="40493"/>
    <cellStyle name="표준 20 3 3 8 3" xfId="31757"/>
    <cellStyle name="표준 20 3 3 9" xfId="11712"/>
    <cellStyle name="표준 20 3 3 9 2" xfId="20478"/>
    <cellStyle name="표준 20 3 3 9 2 2" xfId="41354"/>
    <cellStyle name="표준 20 3 3 9 3" xfId="32618"/>
    <cellStyle name="표준 20 3 4" xfId="4567"/>
    <cellStyle name="표준 20 3 4 2" xfId="6401"/>
    <cellStyle name="표준 20 3 4 2 2" xfId="15410"/>
    <cellStyle name="표준 20 3 4 2 2 2" xfId="36286"/>
    <cellStyle name="표준 20 3 4 2 3" xfId="27548"/>
    <cellStyle name="표준 20 3 4 3" xfId="11064"/>
    <cellStyle name="표준 20 3 4 3 2" xfId="19834"/>
    <cellStyle name="표준 20 3 4 3 2 2" xfId="40710"/>
    <cellStyle name="표준 20 3 4 3 3" xfId="31974"/>
    <cellStyle name="표준 20 3 4 4" xfId="11929"/>
    <cellStyle name="표준 20 3 4 4 2" xfId="20695"/>
    <cellStyle name="표준 20 3 4 4 2 2" xfId="41571"/>
    <cellStyle name="표준 20 3 4 4 3" xfId="32835"/>
    <cellStyle name="표준 20 3 4 5" xfId="13592"/>
    <cellStyle name="표준 20 3 4 5 2" xfId="34468"/>
    <cellStyle name="표준 20 3 4 6" xfId="25730"/>
    <cellStyle name="표준 20 3 5" xfId="5244"/>
    <cellStyle name="표준 20 3 5 2" xfId="14253"/>
    <cellStyle name="표준 20 3 5 2 2" xfId="35129"/>
    <cellStyle name="표준 20 3 5 3" xfId="26391"/>
    <cellStyle name="표준 20 3 6" xfId="7046"/>
    <cellStyle name="표준 20 3 6 2" xfId="16054"/>
    <cellStyle name="표준 20 3 6 2 2" xfId="36930"/>
    <cellStyle name="표준 20 3 6 3" xfId="28192"/>
    <cellStyle name="표준 20 3 7" xfId="7691"/>
    <cellStyle name="표준 20 3 7 2" xfId="16697"/>
    <cellStyle name="표준 20 3 7 2 2" xfId="37573"/>
    <cellStyle name="표준 20 3 7 3" xfId="28835"/>
    <cellStyle name="표준 20 3 8" xfId="8539"/>
    <cellStyle name="표준 20 3 8 2" xfId="17544"/>
    <cellStyle name="표준 20 3 8 2 2" xfId="38420"/>
    <cellStyle name="표준 20 3 8 3" xfId="29682"/>
    <cellStyle name="표준 20 3 9" xfId="9363"/>
    <cellStyle name="표준 20 3 9 2" xfId="18362"/>
    <cellStyle name="표준 20 3 9 2 2" xfId="39238"/>
    <cellStyle name="표준 20 3 9 3" xfId="30500"/>
    <cellStyle name="표준 20 4" xfId="2959"/>
    <cellStyle name="표준 20 4 10" xfId="10420"/>
    <cellStyle name="표준 20 4 10 2" xfId="19191"/>
    <cellStyle name="표준 20 4 10 2 2" xfId="40067"/>
    <cellStyle name="표준 20 4 10 3" xfId="31331"/>
    <cellStyle name="표준 20 4 11" xfId="11286"/>
    <cellStyle name="표준 20 4 11 2" xfId="20052"/>
    <cellStyle name="표준 20 4 11 2 2" xfId="40928"/>
    <cellStyle name="표준 20 4 11 3" xfId="32192"/>
    <cellStyle name="표준 20 4 12" xfId="12434"/>
    <cellStyle name="표준 20 4 12 2" xfId="33312"/>
    <cellStyle name="표준 20 4 13" xfId="24562"/>
    <cellStyle name="표준 20 4 2" xfId="3177"/>
    <cellStyle name="표준 20 4 2 10" xfId="11496"/>
    <cellStyle name="표준 20 4 2 10 2" xfId="20262"/>
    <cellStyle name="표준 20 4 2 10 2 2" xfId="41138"/>
    <cellStyle name="표준 20 4 2 10 3" xfId="32402"/>
    <cellStyle name="표준 20 4 2 11" xfId="12645"/>
    <cellStyle name="표준 20 4 2 11 2" xfId="33522"/>
    <cellStyle name="표준 20 4 2 12" xfId="24772"/>
    <cellStyle name="표준 20 4 2 2" xfId="3619"/>
    <cellStyle name="표준 20 4 2 2 2" xfId="5892"/>
    <cellStyle name="표준 20 4 2 2 2 2" xfId="14901"/>
    <cellStyle name="표준 20 4 2 2 2 2 2" xfId="35777"/>
    <cellStyle name="표준 20 4 2 2 2 3" xfId="27039"/>
    <cellStyle name="표준 20 4 2 2 3" xfId="13082"/>
    <cellStyle name="표준 20 4 2 2 3 2" xfId="33959"/>
    <cellStyle name="표준 20 4 2 2 4" xfId="25209"/>
    <cellStyle name="표준 20 4 2 3" xfId="4780"/>
    <cellStyle name="표준 20 4 2 3 2" xfId="6612"/>
    <cellStyle name="표준 20 4 2 3 2 2" xfId="15621"/>
    <cellStyle name="표준 20 4 2 3 2 2 2" xfId="36497"/>
    <cellStyle name="표준 20 4 2 3 2 3" xfId="27759"/>
    <cellStyle name="표준 20 4 2 3 3" xfId="13803"/>
    <cellStyle name="표준 20 4 2 3 3 2" xfId="34679"/>
    <cellStyle name="표준 20 4 2 3 4" xfId="25941"/>
    <cellStyle name="표준 20 4 2 4" xfId="5455"/>
    <cellStyle name="표준 20 4 2 4 2" xfId="14464"/>
    <cellStyle name="표준 20 4 2 4 2 2" xfId="35340"/>
    <cellStyle name="표준 20 4 2 4 3" xfId="26602"/>
    <cellStyle name="표준 20 4 2 5" xfId="7258"/>
    <cellStyle name="표준 20 4 2 5 2" xfId="16265"/>
    <cellStyle name="표준 20 4 2 5 2 2" xfId="37141"/>
    <cellStyle name="표준 20 4 2 5 3" xfId="28403"/>
    <cellStyle name="표준 20 4 2 6" xfId="7902"/>
    <cellStyle name="표준 20 4 2 6 2" xfId="16908"/>
    <cellStyle name="표준 20 4 2 6 2 2" xfId="37784"/>
    <cellStyle name="표준 20 4 2 6 3" xfId="29046"/>
    <cellStyle name="표준 20 4 2 7" xfId="8750"/>
    <cellStyle name="표준 20 4 2 7 2" xfId="17755"/>
    <cellStyle name="표준 20 4 2 7 2 2" xfId="38631"/>
    <cellStyle name="표준 20 4 2 7 3" xfId="29893"/>
    <cellStyle name="표준 20 4 2 8" xfId="9575"/>
    <cellStyle name="표준 20 4 2 8 2" xfId="18573"/>
    <cellStyle name="표준 20 4 2 8 2 2" xfId="39449"/>
    <cellStyle name="표준 20 4 2 8 3" xfId="30711"/>
    <cellStyle name="표준 20 4 2 9" xfId="10630"/>
    <cellStyle name="표준 20 4 2 9 2" xfId="19401"/>
    <cellStyle name="표준 20 4 2 9 2 2" xfId="40277"/>
    <cellStyle name="표준 20 4 2 9 3" xfId="31541"/>
    <cellStyle name="표준 20 4 3" xfId="3409"/>
    <cellStyle name="표준 20 4 3 10" xfId="12872"/>
    <cellStyle name="표준 20 4 3 10 2" xfId="33749"/>
    <cellStyle name="표준 20 4 3 11" xfId="24999"/>
    <cellStyle name="표준 20 4 3 2" xfId="5002"/>
    <cellStyle name="표준 20 4 3 2 2" xfId="6829"/>
    <cellStyle name="표준 20 4 3 2 2 2" xfId="15838"/>
    <cellStyle name="표준 20 4 3 2 2 2 2" xfId="36714"/>
    <cellStyle name="표준 20 4 3 2 2 3" xfId="27976"/>
    <cellStyle name="표준 20 4 3 2 3" xfId="14020"/>
    <cellStyle name="표준 20 4 3 2 3 2" xfId="34896"/>
    <cellStyle name="표준 20 4 3 2 4" xfId="26158"/>
    <cellStyle name="표준 20 4 3 3" xfId="5682"/>
    <cellStyle name="표준 20 4 3 3 2" xfId="14691"/>
    <cellStyle name="표준 20 4 3 3 2 2" xfId="35567"/>
    <cellStyle name="표준 20 4 3 3 3" xfId="26829"/>
    <cellStyle name="표준 20 4 3 4" xfId="7475"/>
    <cellStyle name="표준 20 4 3 4 2" xfId="16482"/>
    <cellStyle name="표준 20 4 3 4 2 2" xfId="37358"/>
    <cellStyle name="표준 20 4 3 4 3" xfId="28620"/>
    <cellStyle name="표준 20 4 3 5" xfId="8119"/>
    <cellStyle name="표준 20 4 3 5 2" xfId="17125"/>
    <cellStyle name="표준 20 4 3 5 2 2" xfId="38001"/>
    <cellStyle name="표준 20 4 3 5 3" xfId="29263"/>
    <cellStyle name="표준 20 4 3 6" xfId="8967"/>
    <cellStyle name="표준 20 4 3 6 2" xfId="17972"/>
    <cellStyle name="표준 20 4 3 6 2 2" xfId="38848"/>
    <cellStyle name="표준 20 4 3 6 3" xfId="30110"/>
    <cellStyle name="표준 20 4 3 7" xfId="9792"/>
    <cellStyle name="표준 20 4 3 7 2" xfId="18790"/>
    <cellStyle name="표준 20 4 3 7 2 2" xfId="39666"/>
    <cellStyle name="표준 20 4 3 7 3" xfId="30928"/>
    <cellStyle name="표준 20 4 3 8" xfId="10847"/>
    <cellStyle name="표준 20 4 3 8 2" xfId="19618"/>
    <cellStyle name="표준 20 4 3 8 2 2" xfId="40494"/>
    <cellStyle name="표준 20 4 3 8 3" xfId="31758"/>
    <cellStyle name="표준 20 4 3 9" xfId="11713"/>
    <cellStyle name="표준 20 4 3 9 2" xfId="20479"/>
    <cellStyle name="표준 20 4 3 9 2 2" xfId="41355"/>
    <cellStyle name="표준 20 4 3 9 3" xfId="32619"/>
    <cellStyle name="표준 20 4 4" xfId="4568"/>
    <cellStyle name="표준 20 4 4 2" xfId="6402"/>
    <cellStyle name="표준 20 4 4 2 2" xfId="15411"/>
    <cellStyle name="표준 20 4 4 2 2 2" xfId="36287"/>
    <cellStyle name="표준 20 4 4 2 3" xfId="27549"/>
    <cellStyle name="표준 20 4 4 3" xfId="11065"/>
    <cellStyle name="표준 20 4 4 3 2" xfId="19835"/>
    <cellStyle name="표준 20 4 4 3 2 2" xfId="40711"/>
    <cellStyle name="표준 20 4 4 3 3" xfId="31975"/>
    <cellStyle name="표준 20 4 4 4" xfId="11930"/>
    <cellStyle name="표준 20 4 4 4 2" xfId="20696"/>
    <cellStyle name="표준 20 4 4 4 2 2" xfId="41572"/>
    <cellStyle name="표준 20 4 4 4 3" xfId="32836"/>
    <cellStyle name="표준 20 4 4 5" xfId="13593"/>
    <cellStyle name="표준 20 4 4 5 2" xfId="34469"/>
    <cellStyle name="표준 20 4 4 6" xfId="25731"/>
    <cellStyle name="표준 20 4 5" xfId="5245"/>
    <cellStyle name="표준 20 4 5 2" xfId="14254"/>
    <cellStyle name="표준 20 4 5 2 2" xfId="35130"/>
    <cellStyle name="표준 20 4 5 3" xfId="26392"/>
    <cellStyle name="표준 20 4 6" xfId="7047"/>
    <cellStyle name="표준 20 4 6 2" xfId="16055"/>
    <cellStyle name="표준 20 4 6 2 2" xfId="36931"/>
    <cellStyle name="표준 20 4 6 3" xfId="28193"/>
    <cellStyle name="표준 20 4 7" xfId="7692"/>
    <cellStyle name="표준 20 4 7 2" xfId="16698"/>
    <cellStyle name="표준 20 4 7 2 2" xfId="37574"/>
    <cellStyle name="표준 20 4 7 3" xfId="28836"/>
    <cellStyle name="표준 20 4 8" xfId="8540"/>
    <cellStyle name="표준 20 4 8 2" xfId="17545"/>
    <cellStyle name="표준 20 4 8 2 2" xfId="38421"/>
    <cellStyle name="표준 20 4 8 3" xfId="29683"/>
    <cellStyle name="표준 20 4 9" xfId="9364"/>
    <cellStyle name="표준 20 4 9 2" xfId="18363"/>
    <cellStyle name="표준 20 4 9 2 2" xfId="39239"/>
    <cellStyle name="표준 20 4 9 3" xfId="30501"/>
    <cellStyle name="표준 20 5" xfId="2960"/>
    <cellStyle name="표준 20 5 10" xfId="10421"/>
    <cellStyle name="표준 20 5 10 2" xfId="19192"/>
    <cellStyle name="표준 20 5 10 2 2" xfId="40068"/>
    <cellStyle name="표준 20 5 10 3" xfId="31332"/>
    <cellStyle name="표준 20 5 11" xfId="11287"/>
    <cellStyle name="표준 20 5 11 2" xfId="20053"/>
    <cellStyle name="표준 20 5 11 2 2" xfId="40929"/>
    <cellStyle name="표준 20 5 11 3" xfId="32193"/>
    <cellStyle name="표준 20 5 12" xfId="12435"/>
    <cellStyle name="표준 20 5 12 2" xfId="33313"/>
    <cellStyle name="표준 20 5 13" xfId="24563"/>
    <cellStyle name="표준 20 5 2" xfId="3178"/>
    <cellStyle name="표준 20 5 2 10" xfId="11497"/>
    <cellStyle name="표준 20 5 2 10 2" xfId="20263"/>
    <cellStyle name="표준 20 5 2 10 2 2" xfId="41139"/>
    <cellStyle name="표준 20 5 2 10 3" xfId="32403"/>
    <cellStyle name="표준 20 5 2 11" xfId="12646"/>
    <cellStyle name="표준 20 5 2 11 2" xfId="33523"/>
    <cellStyle name="표준 20 5 2 12" xfId="24773"/>
    <cellStyle name="표준 20 5 2 2" xfId="3620"/>
    <cellStyle name="표준 20 5 2 2 2" xfId="5893"/>
    <cellStyle name="표준 20 5 2 2 2 2" xfId="14902"/>
    <cellStyle name="표준 20 5 2 2 2 2 2" xfId="35778"/>
    <cellStyle name="표준 20 5 2 2 2 3" xfId="27040"/>
    <cellStyle name="표준 20 5 2 2 3" xfId="13083"/>
    <cellStyle name="표준 20 5 2 2 3 2" xfId="33960"/>
    <cellStyle name="표준 20 5 2 2 4" xfId="25210"/>
    <cellStyle name="표준 20 5 2 3" xfId="4781"/>
    <cellStyle name="표준 20 5 2 3 2" xfId="6613"/>
    <cellStyle name="표준 20 5 2 3 2 2" xfId="15622"/>
    <cellStyle name="표준 20 5 2 3 2 2 2" xfId="36498"/>
    <cellStyle name="표준 20 5 2 3 2 3" xfId="27760"/>
    <cellStyle name="표준 20 5 2 3 3" xfId="13804"/>
    <cellStyle name="표준 20 5 2 3 3 2" xfId="34680"/>
    <cellStyle name="표준 20 5 2 3 4" xfId="25942"/>
    <cellStyle name="표준 20 5 2 4" xfId="5456"/>
    <cellStyle name="표준 20 5 2 4 2" xfId="14465"/>
    <cellStyle name="표준 20 5 2 4 2 2" xfId="35341"/>
    <cellStyle name="표준 20 5 2 4 3" xfId="26603"/>
    <cellStyle name="표준 20 5 2 5" xfId="7259"/>
    <cellStyle name="표준 20 5 2 5 2" xfId="16266"/>
    <cellStyle name="표준 20 5 2 5 2 2" xfId="37142"/>
    <cellStyle name="표준 20 5 2 5 3" xfId="28404"/>
    <cellStyle name="표준 20 5 2 6" xfId="7903"/>
    <cellStyle name="표준 20 5 2 6 2" xfId="16909"/>
    <cellStyle name="표준 20 5 2 6 2 2" xfId="37785"/>
    <cellStyle name="표준 20 5 2 6 3" xfId="29047"/>
    <cellStyle name="표준 20 5 2 7" xfId="8751"/>
    <cellStyle name="표준 20 5 2 7 2" xfId="17756"/>
    <cellStyle name="표준 20 5 2 7 2 2" xfId="38632"/>
    <cellStyle name="표준 20 5 2 7 3" xfId="29894"/>
    <cellStyle name="표준 20 5 2 8" xfId="9576"/>
    <cellStyle name="표준 20 5 2 8 2" xfId="18574"/>
    <cellStyle name="표준 20 5 2 8 2 2" xfId="39450"/>
    <cellStyle name="표준 20 5 2 8 3" xfId="30712"/>
    <cellStyle name="표준 20 5 2 9" xfId="10631"/>
    <cellStyle name="표준 20 5 2 9 2" xfId="19402"/>
    <cellStyle name="표준 20 5 2 9 2 2" xfId="40278"/>
    <cellStyle name="표준 20 5 2 9 3" xfId="31542"/>
    <cellStyle name="표준 20 5 3" xfId="3410"/>
    <cellStyle name="표준 20 5 3 10" xfId="12873"/>
    <cellStyle name="표준 20 5 3 10 2" xfId="33750"/>
    <cellStyle name="표준 20 5 3 11" xfId="25000"/>
    <cellStyle name="표준 20 5 3 2" xfId="5003"/>
    <cellStyle name="표준 20 5 3 2 2" xfId="6830"/>
    <cellStyle name="표준 20 5 3 2 2 2" xfId="15839"/>
    <cellStyle name="표준 20 5 3 2 2 2 2" xfId="36715"/>
    <cellStyle name="표준 20 5 3 2 2 3" xfId="27977"/>
    <cellStyle name="표준 20 5 3 2 3" xfId="14021"/>
    <cellStyle name="표준 20 5 3 2 3 2" xfId="34897"/>
    <cellStyle name="표준 20 5 3 2 4" xfId="26159"/>
    <cellStyle name="표준 20 5 3 3" xfId="5683"/>
    <cellStyle name="표준 20 5 3 3 2" xfId="14692"/>
    <cellStyle name="표준 20 5 3 3 2 2" xfId="35568"/>
    <cellStyle name="표준 20 5 3 3 3" xfId="26830"/>
    <cellStyle name="표준 20 5 3 4" xfId="7476"/>
    <cellStyle name="표준 20 5 3 4 2" xfId="16483"/>
    <cellStyle name="표준 20 5 3 4 2 2" xfId="37359"/>
    <cellStyle name="표준 20 5 3 4 3" xfId="28621"/>
    <cellStyle name="표준 20 5 3 5" xfId="8120"/>
    <cellStyle name="표준 20 5 3 5 2" xfId="17126"/>
    <cellStyle name="표준 20 5 3 5 2 2" xfId="38002"/>
    <cellStyle name="표준 20 5 3 5 3" xfId="29264"/>
    <cellStyle name="표준 20 5 3 6" xfId="8968"/>
    <cellStyle name="표준 20 5 3 6 2" xfId="17973"/>
    <cellStyle name="표준 20 5 3 6 2 2" xfId="38849"/>
    <cellStyle name="표준 20 5 3 6 3" xfId="30111"/>
    <cellStyle name="표준 20 5 3 7" xfId="9793"/>
    <cellStyle name="표준 20 5 3 7 2" xfId="18791"/>
    <cellStyle name="표준 20 5 3 7 2 2" xfId="39667"/>
    <cellStyle name="표준 20 5 3 7 3" xfId="30929"/>
    <cellStyle name="표준 20 5 3 8" xfId="10848"/>
    <cellStyle name="표준 20 5 3 8 2" xfId="19619"/>
    <cellStyle name="표준 20 5 3 8 2 2" xfId="40495"/>
    <cellStyle name="표준 20 5 3 8 3" xfId="31759"/>
    <cellStyle name="표준 20 5 3 9" xfId="11714"/>
    <cellStyle name="표준 20 5 3 9 2" xfId="20480"/>
    <cellStyle name="표준 20 5 3 9 2 2" xfId="41356"/>
    <cellStyle name="표준 20 5 3 9 3" xfId="32620"/>
    <cellStyle name="표준 20 5 4" xfId="4569"/>
    <cellStyle name="표준 20 5 4 2" xfId="6403"/>
    <cellStyle name="표준 20 5 4 2 2" xfId="15412"/>
    <cellStyle name="표준 20 5 4 2 2 2" xfId="36288"/>
    <cellStyle name="표준 20 5 4 2 3" xfId="27550"/>
    <cellStyle name="표준 20 5 4 3" xfId="11066"/>
    <cellStyle name="표준 20 5 4 3 2" xfId="19836"/>
    <cellStyle name="표준 20 5 4 3 2 2" xfId="40712"/>
    <cellStyle name="표준 20 5 4 3 3" xfId="31976"/>
    <cellStyle name="표준 20 5 4 4" xfId="11931"/>
    <cellStyle name="표준 20 5 4 4 2" xfId="20697"/>
    <cellStyle name="표준 20 5 4 4 2 2" xfId="41573"/>
    <cellStyle name="표준 20 5 4 4 3" xfId="32837"/>
    <cellStyle name="표준 20 5 4 5" xfId="13594"/>
    <cellStyle name="표준 20 5 4 5 2" xfId="34470"/>
    <cellStyle name="표준 20 5 4 6" xfId="25732"/>
    <cellStyle name="표준 20 5 5" xfId="5246"/>
    <cellStyle name="표준 20 5 5 2" xfId="14255"/>
    <cellStyle name="표준 20 5 5 2 2" xfId="35131"/>
    <cellStyle name="표준 20 5 5 3" xfId="26393"/>
    <cellStyle name="표준 20 5 6" xfId="7048"/>
    <cellStyle name="표준 20 5 6 2" xfId="16056"/>
    <cellStyle name="표준 20 5 6 2 2" xfId="36932"/>
    <cellStyle name="표준 20 5 6 3" xfId="28194"/>
    <cellStyle name="표준 20 5 7" xfId="7693"/>
    <cellStyle name="표준 20 5 7 2" xfId="16699"/>
    <cellStyle name="표준 20 5 7 2 2" xfId="37575"/>
    <cellStyle name="표준 20 5 7 3" xfId="28837"/>
    <cellStyle name="표준 20 5 8" xfId="8541"/>
    <cellStyle name="표준 20 5 8 2" xfId="17546"/>
    <cellStyle name="표준 20 5 8 2 2" xfId="38422"/>
    <cellStyle name="표준 20 5 8 3" xfId="29684"/>
    <cellStyle name="표준 20 5 9" xfId="9365"/>
    <cellStyle name="표준 20 5 9 2" xfId="18364"/>
    <cellStyle name="표준 20 5 9 2 2" xfId="39240"/>
    <cellStyle name="표준 20 5 9 3" xfId="30502"/>
    <cellStyle name="표준 20 6" xfId="2961"/>
    <cellStyle name="표준 20 6 10" xfId="10422"/>
    <cellStyle name="표준 20 6 10 2" xfId="19193"/>
    <cellStyle name="표준 20 6 10 2 2" xfId="40069"/>
    <cellStyle name="표준 20 6 10 3" xfId="31333"/>
    <cellStyle name="표준 20 6 11" xfId="11288"/>
    <cellStyle name="표준 20 6 11 2" xfId="20054"/>
    <cellStyle name="표준 20 6 11 2 2" xfId="40930"/>
    <cellStyle name="표준 20 6 11 3" xfId="32194"/>
    <cellStyle name="표준 20 6 12" xfId="12436"/>
    <cellStyle name="표준 20 6 12 2" xfId="33314"/>
    <cellStyle name="표준 20 6 13" xfId="24564"/>
    <cellStyle name="표준 20 6 2" xfId="3179"/>
    <cellStyle name="표준 20 6 2 10" xfId="11498"/>
    <cellStyle name="표준 20 6 2 10 2" xfId="20264"/>
    <cellStyle name="표준 20 6 2 10 2 2" xfId="41140"/>
    <cellStyle name="표준 20 6 2 10 3" xfId="32404"/>
    <cellStyle name="표준 20 6 2 11" xfId="12647"/>
    <cellStyle name="표준 20 6 2 11 2" xfId="33524"/>
    <cellStyle name="표준 20 6 2 12" xfId="24774"/>
    <cellStyle name="표준 20 6 2 2" xfId="3621"/>
    <cellStyle name="표준 20 6 2 2 2" xfId="5894"/>
    <cellStyle name="표준 20 6 2 2 2 2" xfId="14903"/>
    <cellStyle name="표준 20 6 2 2 2 2 2" xfId="35779"/>
    <cellStyle name="표준 20 6 2 2 2 3" xfId="27041"/>
    <cellStyle name="표준 20 6 2 2 3" xfId="13084"/>
    <cellStyle name="표준 20 6 2 2 3 2" xfId="33961"/>
    <cellStyle name="표준 20 6 2 2 4" xfId="25211"/>
    <cellStyle name="표준 20 6 2 3" xfId="4782"/>
    <cellStyle name="표준 20 6 2 3 2" xfId="6614"/>
    <cellStyle name="표준 20 6 2 3 2 2" xfId="15623"/>
    <cellStyle name="표준 20 6 2 3 2 2 2" xfId="36499"/>
    <cellStyle name="표준 20 6 2 3 2 3" xfId="27761"/>
    <cellStyle name="표준 20 6 2 3 3" xfId="13805"/>
    <cellStyle name="표준 20 6 2 3 3 2" xfId="34681"/>
    <cellStyle name="표준 20 6 2 3 4" xfId="25943"/>
    <cellStyle name="표준 20 6 2 4" xfId="5457"/>
    <cellStyle name="표준 20 6 2 4 2" xfId="14466"/>
    <cellStyle name="표준 20 6 2 4 2 2" xfId="35342"/>
    <cellStyle name="표준 20 6 2 4 3" xfId="26604"/>
    <cellStyle name="표준 20 6 2 5" xfId="7260"/>
    <cellStyle name="표준 20 6 2 5 2" xfId="16267"/>
    <cellStyle name="표준 20 6 2 5 2 2" xfId="37143"/>
    <cellStyle name="표준 20 6 2 5 3" xfId="28405"/>
    <cellStyle name="표준 20 6 2 6" xfId="7904"/>
    <cellStyle name="표준 20 6 2 6 2" xfId="16910"/>
    <cellStyle name="표준 20 6 2 6 2 2" xfId="37786"/>
    <cellStyle name="표준 20 6 2 6 3" xfId="29048"/>
    <cellStyle name="표준 20 6 2 7" xfId="8752"/>
    <cellStyle name="표준 20 6 2 7 2" xfId="17757"/>
    <cellStyle name="표준 20 6 2 7 2 2" xfId="38633"/>
    <cellStyle name="표준 20 6 2 7 3" xfId="29895"/>
    <cellStyle name="표준 20 6 2 8" xfId="9577"/>
    <cellStyle name="표준 20 6 2 8 2" xfId="18575"/>
    <cellStyle name="표준 20 6 2 8 2 2" xfId="39451"/>
    <cellStyle name="표준 20 6 2 8 3" xfId="30713"/>
    <cellStyle name="표준 20 6 2 9" xfId="10632"/>
    <cellStyle name="표준 20 6 2 9 2" xfId="19403"/>
    <cellStyle name="표준 20 6 2 9 2 2" xfId="40279"/>
    <cellStyle name="표준 20 6 2 9 3" xfId="31543"/>
    <cellStyle name="표준 20 6 3" xfId="3411"/>
    <cellStyle name="표준 20 6 3 10" xfId="12874"/>
    <cellStyle name="표준 20 6 3 10 2" xfId="33751"/>
    <cellStyle name="표준 20 6 3 11" xfId="25001"/>
    <cellStyle name="표준 20 6 3 2" xfId="5004"/>
    <cellStyle name="표준 20 6 3 2 2" xfId="6831"/>
    <cellStyle name="표준 20 6 3 2 2 2" xfId="15840"/>
    <cellStyle name="표준 20 6 3 2 2 2 2" xfId="36716"/>
    <cellStyle name="표준 20 6 3 2 2 3" xfId="27978"/>
    <cellStyle name="표준 20 6 3 2 3" xfId="14022"/>
    <cellStyle name="표준 20 6 3 2 3 2" xfId="34898"/>
    <cellStyle name="표준 20 6 3 2 4" xfId="26160"/>
    <cellStyle name="표준 20 6 3 3" xfId="5684"/>
    <cellStyle name="표준 20 6 3 3 2" xfId="14693"/>
    <cellStyle name="표준 20 6 3 3 2 2" xfId="35569"/>
    <cellStyle name="표준 20 6 3 3 3" xfId="26831"/>
    <cellStyle name="표준 20 6 3 4" xfId="7477"/>
    <cellStyle name="표준 20 6 3 4 2" xfId="16484"/>
    <cellStyle name="표준 20 6 3 4 2 2" xfId="37360"/>
    <cellStyle name="표준 20 6 3 4 3" xfId="28622"/>
    <cellStyle name="표준 20 6 3 5" xfId="8121"/>
    <cellStyle name="표준 20 6 3 5 2" xfId="17127"/>
    <cellStyle name="표준 20 6 3 5 2 2" xfId="38003"/>
    <cellStyle name="표준 20 6 3 5 3" xfId="29265"/>
    <cellStyle name="표준 20 6 3 6" xfId="8969"/>
    <cellStyle name="표준 20 6 3 6 2" xfId="17974"/>
    <cellStyle name="표준 20 6 3 6 2 2" xfId="38850"/>
    <cellStyle name="표준 20 6 3 6 3" xfId="30112"/>
    <cellStyle name="표준 20 6 3 7" xfId="9794"/>
    <cellStyle name="표준 20 6 3 7 2" xfId="18792"/>
    <cellStyle name="표준 20 6 3 7 2 2" xfId="39668"/>
    <cellStyle name="표준 20 6 3 7 3" xfId="30930"/>
    <cellStyle name="표준 20 6 3 8" xfId="10849"/>
    <cellStyle name="표준 20 6 3 8 2" xfId="19620"/>
    <cellStyle name="표준 20 6 3 8 2 2" xfId="40496"/>
    <cellStyle name="표준 20 6 3 8 3" xfId="31760"/>
    <cellStyle name="표준 20 6 3 9" xfId="11715"/>
    <cellStyle name="표준 20 6 3 9 2" xfId="20481"/>
    <cellStyle name="표준 20 6 3 9 2 2" xfId="41357"/>
    <cellStyle name="표준 20 6 3 9 3" xfId="32621"/>
    <cellStyle name="표준 20 6 4" xfId="4570"/>
    <cellStyle name="표준 20 6 4 2" xfId="6404"/>
    <cellStyle name="표준 20 6 4 2 2" xfId="15413"/>
    <cellStyle name="표준 20 6 4 2 2 2" xfId="36289"/>
    <cellStyle name="표준 20 6 4 2 3" xfId="27551"/>
    <cellStyle name="표준 20 6 4 3" xfId="11067"/>
    <cellStyle name="표준 20 6 4 3 2" xfId="19837"/>
    <cellStyle name="표준 20 6 4 3 2 2" xfId="40713"/>
    <cellStyle name="표준 20 6 4 3 3" xfId="31977"/>
    <cellStyle name="표준 20 6 4 4" xfId="11932"/>
    <cellStyle name="표준 20 6 4 4 2" xfId="20698"/>
    <cellStyle name="표준 20 6 4 4 2 2" xfId="41574"/>
    <cellStyle name="표준 20 6 4 4 3" xfId="32838"/>
    <cellStyle name="표준 20 6 4 5" xfId="13595"/>
    <cellStyle name="표준 20 6 4 5 2" xfId="34471"/>
    <cellStyle name="표준 20 6 4 6" xfId="25733"/>
    <cellStyle name="표준 20 6 5" xfId="5247"/>
    <cellStyle name="표준 20 6 5 2" xfId="14256"/>
    <cellStyle name="표준 20 6 5 2 2" xfId="35132"/>
    <cellStyle name="표준 20 6 5 3" xfId="26394"/>
    <cellStyle name="표준 20 6 6" xfId="7049"/>
    <cellStyle name="표준 20 6 6 2" xfId="16057"/>
    <cellStyle name="표준 20 6 6 2 2" xfId="36933"/>
    <cellStyle name="표준 20 6 6 3" xfId="28195"/>
    <cellStyle name="표준 20 6 7" xfId="7694"/>
    <cellStyle name="표준 20 6 7 2" xfId="16700"/>
    <cellStyle name="표준 20 6 7 2 2" xfId="37576"/>
    <cellStyle name="표준 20 6 7 3" xfId="28838"/>
    <cellStyle name="표준 20 6 8" xfId="8542"/>
    <cellStyle name="표준 20 6 8 2" xfId="17547"/>
    <cellStyle name="표준 20 6 8 2 2" xfId="38423"/>
    <cellStyle name="표준 20 6 8 3" xfId="29685"/>
    <cellStyle name="표준 20 6 9" xfId="9366"/>
    <cellStyle name="표준 20 6 9 2" xfId="18365"/>
    <cellStyle name="표준 20 6 9 2 2" xfId="39241"/>
    <cellStyle name="표준 20 6 9 3" xfId="30503"/>
    <cellStyle name="표준 20 7" xfId="2962"/>
    <cellStyle name="표준 20 7 10" xfId="10423"/>
    <cellStyle name="표준 20 7 10 2" xfId="19194"/>
    <cellStyle name="표준 20 7 10 2 2" xfId="40070"/>
    <cellStyle name="표준 20 7 10 3" xfId="31334"/>
    <cellStyle name="표준 20 7 11" xfId="11289"/>
    <cellStyle name="표준 20 7 11 2" xfId="20055"/>
    <cellStyle name="표준 20 7 11 2 2" xfId="40931"/>
    <cellStyle name="표준 20 7 11 3" xfId="32195"/>
    <cellStyle name="표준 20 7 12" xfId="12437"/>
    <cellStyle name="표준 20 7 12 2" xfId="33315"/>
    <cellStyle name="표준 20 7 13" xfId="24565"/>
    <cellStyle name="표준 20 7 2" xfId="3180"/>
    <cellStyle name="표준 20 7 2 10" xfId="11499"/>
    <cellStyle name="표준 20 7 2 10 2" xfId="20265"/>
    <cellStyle name="표준 20 7 2 10 2 2" xfId="41141"/>
    <cellStyle name="표준 20 7 2 10 3" xfId="32405"/>
    <cellStyle name="표준 20 7 2 11" xfId="12648"/>
    <cellStyle name="표준 20 7 2 11 2" xfId="33525"/>
    <cellStyle name="표준 20 7 2 12" xfId="24775"/>
    <cellStyle name="표준 20 7 2 2" xfId="3622"/>
    <cellStyle name="표준 20 7 2 2 2" xfId="5895"/>
    <cellStyle name="표준 20 7 2 2 2 2" xfId="14904"/>
    <cellStyle name="표준 20 7 2 2 2 2 2" xfId="35780"/>
    <cellStyle name="표준 20 7 2 2 2 3" xfId="27042"/>
    <cellStyle name="표준 20 7 2 2 3" xfId="13085"/>
    <cellStyle name="표준 20 7 2 2 3 2" xfId="33962"/>
    <cellStyle name="표준 20 7 2 2 4" xfId="25212"/>
    <cellStyle name="표준 20 7 2 3" xfId="4783"/>
    <cellStyle name="표준 20 7 2 3 2" xfId="6615"/>
    <cellStyle name="표준 20 7 2 3 2 2" xfId="15624"/>
    <cellStyle name="표준 20 7 2 3 2 2 2" xfId="36500"/>
    <cellStyle name="표준 20 7 2 3 2 3" xfId="27762"/>
    <cellStyle name="표준 20 7 2 3 3" xfId="13806"/>
    <cellStyle name="표준 20 7 2 3 3 2" xfId="34682"/>
    <cellStyle name="표준 20 7 2 3 4" xfId="25944"/>
    <cellStyle name="표준 20 7 2 4" xfId="5458"/>
    <cellStyle name="표준 20 7 2 4 2" xfId="14467"/>
    <cellStyle name="표준 20 7 2 4 2 2" xfId="35343"/>
    <cellStyle name="표준 20 7 2 4 3" xfId="26605"/>
    <cellStyle name="표준 20 7 2 5" xfId="7261"/>
    <cellStyle name="표준 20 7 2 5 2" xfId="16268"/>
    <cellStyle name="표준 20 7 2 5 2 2" xfId="37144"/>
    <cellStyle name="표준 20 7 2 5 3" xfId="28406"/>
    <cellStyle name="표준 20 7 2 6" xfId="7905"/>
    <cellStyle name="표준 20 7 2 6 2" xfId="16911"/>
    <cellStyle name="표준 20 7 2 6 2 2" xfId="37787"/>
    <cellStyle name="표준 20 7 2 6 3" xfId="29049"/>
    <cellStyle name="표준 20 7 2 7" xfId="8753"/>
    <cellStyle name="표준 20 7 2 7 2" xfId="17758"/>
    <cellStyle name="표준 20 7 2 7 2 2" xfId="38634"/>
    <cellStyle name="표준 20 7 2 7 3" xfId="29896"/>
    <cellStyle name="표준 20 7 2 8" xfId="9578"/>
    <cellStyle name="표준 20 7 2 8 2" xfId="18576"/>
    <cellStyle name="표준 20 7 2 8 2 2" xfId="39452"/>
    <cellStyle name="표준 20 7 2 8 3" xfId="30714"/>
    <cellStyle name="표준 20 7 2 9" xfId="10633"/>
    <cellStyle name="표준 20 7 2 9 2" xfId="19404"/>
    <cellStyle name="표준 20 7 2 9 2 2" xfId="40280"/>
    <cellStyle name="표준 20 7 2 9 3" xfId="31544"/>
    <cellStyle name="표준 20 7 3" xfId="3412"/>
    <cellStyle name="표준 20 7 3 10" xfId="12875"/>
    <cellStyle name="표준 20 7 3 10 2" xfId="33752"/>
    <cellStyle name="표준 20 7 3 11" xfId="25002"/>
    <cellStyle name="표준 20 7 3 2" xfId="5005"/>
    <cellStyle name="표준 20 7 3 2 2" xfId="6832"/>
    <cellStyle name="표준 20 7 3 2 2 2" xfId="15841"/>
    <cellStyle name="표준 20 7 3 2 2 2 2" xfId="36717"/>
    <cellStyle name="표준 20 7 3 2 2 3" xfId="27979"/>
    <cellStyle name="표준 20 7 3 2 3" xfId="14023"/>
    <cellStyle name="표준 20 7 3 2 3 2" xfId="34899"/>
    <cellStyle name="표준 20 7 3 2 4" xfId="26161"/>
    <cellStyle name="표준 20 7 3 3" xfId="5685"/>
    <cellStyle name="표준 20 7 3 3 2" xfId="14694"/>
    <cellStyle name="표준 20 7 3 3 2 2" xfId="35570"/>
    <cellStyle name="표준 20 7 3 3 3" xfId="26832"/>
    <cellStyle name="표준 20 7 3 4" xfId="7478"/>
    <cellStyle name="표준 20 7 3 4 2" xfId="16485"/>
    <cellStyle name="표준 20 7 3 4 2 2" xfId="37361"/>
    <cellStyle name="표준 20 7 3 4 3" xfId="28623"/>
    <cellStyle name="표준 20 7 3 5" xfId="8122"/>
    <cellStyle name="표준 20 7 3 5 2" xfId="17128"/>
    <cellStyle name="표준 20 7 3 5 2 2" xfId="38004"/>
    <cellStyle name="표준 20 7 3 5 3" xfId="29266"/>
    <cellStyle name="표준 20 7 3 6" xfId="8970"/>
    <cellStyle name="표준 20 7 3 6 2" xfId="17975"/>
    <cellStyle name="표준 20 7 3 6 2 2" xfId="38851"/>
    <cellStyle name="표준 20 7 3 6 3" xfId="30113"/>
    <cellStyle name="표준 20 7 3 7" xfId="9795"/>
    <cellStyle name="표준 20 7 3 7 2" xfId="18793"/>
    <cellStyle name="표준 20 7 3 7 2 2" xfId="39669"/>
    <cellStyle name="표준 20 7 3 7 3" xfId="30931"/>
    <cellStyle name="표준 20 7 3 8" xfId="10850"/>
    <cellStyle name="표준 20 7 3 8 2" xfId="19621"/>
    <cellStyle name="표준 20 7 3 8 2 2" xfId="40497"/>
    <cellStyle name="표준 20 7 3 8 3" xfId="31761"/>
    <cellStyle name="표준 20 7 3 9" xfId="11716"/>
    <cellStyle name="표준 20 7 3 9 2" xfId="20482"/>
    <cellStyle name="표준 20 7 3 9 2 2" xfId="41358"/>
    <cellStyle name="표준 20 7 3 9 3" xfId="32622"/>
    <cellStyle name="표준 20 7 4" xfId="4571"/>
    <cellStyle name="표준 20 7 4 2" xfId="6405"/>
    <cellStyle name="표준 20 7 4 2 2" xfId="15414"/>
    <cellStyle name="표준 20 7 4 2 2 2" xfId="36290"/>
    <cellStyle name="표준 20 7 4 2 3" xfId="27552"/>
    <cellStyle name="표준 20 7 4 3" xfId="11068"/>
    <cellStyle name="표준 20 7 4 3 2" xfId="19838"/>
    <cellStyle name="표준 20 7 4 3 2 2" xfId="40714"/>
    <cellStyle name="표준 20 7 4 3 3" xfId="31978"/>
    <cellStyle name="표준 20 7 4 4" xfId="11933"/>
    <cellStyle name="표준 20 7 4 4 2" xfId="20699"/>
    <cellStyle name="표준 20 7 4 4 2 2" xfId="41575"/>
    <cellStyle name="표준 20 7 4 4 3" xfId="32839"/>
    <cellStyle name="표준 20 7 4 5" xfId="13596"/>
    <cellStyle name="표준 20 7 4 5 2" xfId="34472"/>
    <cellStyle name="표준 20 7 4 6" xfId="25734"/>
    <cellStyle name="표준 20 7 5" xfId="5248"/>
    <cellStyle name="표준 20 7 5 2" xfId="14257"/>
    <cellStyle name="표준 20 7 5 2 2" xfId="35133"/>
    <cellStyle name="표준 20 7 5 3" xfId="26395"/>
    <cellStyle name="표준 20 7 6" xfId="7050"/>
    <cellStyle name="표준 20 7 6 2" xfId="16058"/>
    <cellStyle name="표준 20 7 6 2 2" xfId="36934"/>
    <cellStyle name="표준 20 7 6 3" xfId="28196"/>
    <cellStyle name="표준 20 7 7" xfId="7695"/>
    <cellStyle name="표준 20 7 7 2" xfId="16701"/>
    <cellStyle name="표준 20 7 7 2 2" xfId="37577"/>
    <cellStyle name="표준 20 7 7 3" xfId="28839"/>
    <cellStyle name="표준 20 7 8" xfId="8543"/>
    <cellStyle name="표준 20 7 8 2" xfId="17548"/>
    <cellStyle name="표준 20 7 8 2 2" xfId="38424"/>
    <cellStyle name="표준 20 7 8 3" xfId="29686"/>
    <cellStyle name="표준 20 7 9" xfId="9367"/>
    <cellStyle name="표준 20 7 9 2" xfId="18366"/>
    <cellStyle name="표준 20 7 9 2 2" xfId="39242"/>
    <cellStyle name="표준 20 7 9 3" xfId="30504"/>
    <cellStyle name="표준 20 8" xfId="3174"/>
    <cellStyle name="표준 20 8 10" xfId="11493"/>
    <cellStyle name="표준 20 8 10 2" xfId="20259"/>
    <cellStyle name="표준 20 8 10 2 2" xfId="41135"/>
    <cellStyle name="표준 20 8 10 3" xfId="32399"/>
    <cellStyle name="표준 20 8 11" xfId="12642"/>
    <cellStyle name="표준 20 8 11 2" xfId="33519"/>
    <cellStyle name="표준 20 8 12" xfId="24769"/>
    <cellStyle name="표준 20 8 2" xfId="3616"/>
    <cellStyle name="표준 20 8 2 2" xfId="5889"/>
    <cellStyle name="표준 20 8 2 2 2" xfId="14898"/>
    <cellStyle name="표준 20 8 2 2 2 2" xfId="35774"/>
    <cellStyle name="표준 20 8 2 2 3" xfId="27036"/>
    <cellStyle name="표준 20 8 2 3" xfId="13079"/>
    <cellStyle name="표준 20 8 2 3 2" xfId="33956"/>
    <cellStyle name="표준 20 8 2 4" xfId="25206"/>
    <cellStyle name="표준 20 8 3" xfId="4777"/>
    <cellStyle name="표준 20 8 3 2" xfId="6609"/>
    <cellStyle name="표준 20 8 3 2 2" xfId="15618"/>
    <cellStyle name="표준 20 8 3 2 2 2" xfId="36494"/>
    <cellStyle name="표준 20 8 3 2 3" xfId="27756"/>
    <cellStyle name="표준 20 8 3 3" xfId="13800"/>
    <cellStyle name="표준 20 8 3 3 2" xfId="34676"/>
    <cellStyle name="표준 20 8 3 4" xfId="25938"/>
    <cellStyle name="표준 20 8 4" xfId="5452"/>
    <cellStyle name="표준 20 8 4 2" xfId="14461"/>
    <cellStyle name="표준 20 8 4 2 2" xfId="35337"/>
    <cellStyle name="표준 20 8 4 3" xfId="26599"/>
    <cellStyle name="표준 20 8 5" xfId="7255"/>
    <cellStyle name="표준 20 8 5 2" xfId="16262"/>
    <cellStyle name="표준 20 8 5 2 2" xfId="37138"/>
    <cellStyle name="표준 20 8 5 3" xfId="28400"/>
    <cellStyle name="표준 20 8 6" xfId="7899"/>
    <cellStyle name="표준 20 8 6 2" xfId="16905"/>
    <cellStyle name="표준 20 8 6 2 2" xfId="37781"/>
    <cellStyle name="표준 20 8 6 3" xfId="29043"/>
    <cellStyle name="표준 20 8 7" xfId="8747"/>
    <cellStyle name="표준 20 8 7 2" xfId="17752"/>
    <cellStyle name="표준 20 8 7 2 2" xfId="38628"/>
    <cellStyle name="표준 20 8 7 3" xfId="29890"/>
    <cellStyle name="표준 20 8 8" xfId="9572"/>
    <cellStyle name="표준 20 8 8 2" xfId="18570"/>
    <cellStyle name="표준 20 8 8 2 2" xfId="39446"/>
    <cellStyle name="표준 20 8 8 3" xfId="30708"/>
    <cellStyle name="표준 20 8 9" xfId="10627"/>
    <cellStyle name="표준 20 8 9 2" xfId="19398"/>
    <cellStyle name="표준 20 8 9 2 2" xfId="40274"/>
    <cellStyle name="표준 20 8 9 3" xfId="31538"/>
    <cellStyle name="표준 20 9" xfId="3406"/>
    <cellStyle name="표준 20 9 10" xfId="12869"/>
    <cellStyle name="표준 20 9 10 2" xfId="33746"/>
    <cellStyle name="표준 20 9 11" xfId="24996"/>
    <cellStyle name="표준 20 9 2" xfId="4999"/>
    <cellStyle name="표준 20 9 2 2" xfId="6826"/>
    <cellStyle name="표준 20 9 2 2 2" xfId="15835"/>
    <cellStyle name="표준 20 9 2 2 2 2" xfId="36711"/>
    <cellStyle name="표준 20 9 2 2 3" xfId="27973"/>
    <cellStyle name="표준 20 9 2 3" xfId="14017"/>
    <cellStyle name="표준 20 9 2 3 2" xfId="34893"/>
    <cellStyle name="표준 20 9 2 4" xfId="26155"/>
    <cellStyle name="표준 20 9 3" xfId="5679"/>
    <cellStyle name="표준 20 9 3 2" xfId="14688"/>
    <cellStyle name="표준 20 9 3 2 2" xfId="35564"/>
    <cellStyle name="표준 20 9 3 3" xfId="26826"/>
    <cellStyle name="표준 20 9 4" xfId="7472"/>
    <cellStyle name="표준 20 9 4 2" xfId="16479"/>
    <cellStyle name="표준 20 9 4 2 2" xfId="37355"/>
    <cellStyle name="표준 20 9 4 3" xfId="28617"/>
    <cellStyle name="표준 20 9 5" xfId="8116"/>
    <cellStyle name="표준 20 9 5 2" xfId="17122"/>
    <cellStyle name="표준 20 9 5 2 2" xfId="37998"/>
    <cellStyle name="표준 20 9 5 3" xfId="29260"/>
    <cellStyle name="표준 20 9 6" xfId="8964"/>
    <cellStyle name="표준 20 9 6 2" xfId="17969"/>
    <cellStyle name="표준 20 9 6 2 2" xfId="38845"/>
    <cellStyle name="표준 20 9 6 3" xfId="30107"/>
    <cellStyle name="표준 20 9 7" xfId="9789"/>
    <cellStyle name="표준 20 9 7 2" xfId="18787"/>
    <cellStyle name="표준 20 9 7 2 2" xfId="39663"/>
    <cellStyle name="표준 20 9 7 3" xfId="30925"/>
    <cellStyle name="표준 20 9 8" xfId="10844"/>
    <cellStyle name="표준 20 9 8 2" xfId="19615"/>
    <cellStyle name="표준 20 9 8 2 2" xfId="40491"/>
    <cellStyle name="표준 20 9 8 3" xfId="31755"/>
    <cellStyle name="표준 20 9 9" xfId="11710"/>
    <cellStyle name="표준 20 9 9 2" xfId="20476"/>
    <cellStyle name="표준 20 9 9 2 2" xfId="41352"/>
    <cellStyle name="표준 20 9 9 3" xfId="32616"/>
    <cellStyle name="표준 21" xfId="2963"/>
    <cellStyle name="표준 21 10" xfId="4572"/>
    <cellStyle name="표준 21 10 2" xfId="6406"/>
    <cellStyle name="표준 21 10 2 2" xfId="15415"/>
    <cellStyle name="표준 21 10 2 2 2" xfId="36291"/>
    <cellStyle name="표준 21 10 2 3" xfId="27553"/>
    <cellStyle name="표준 21 10 3" xfId="11069"/>
    <cellStyle name="표준 21 10 3 2" xfId="19839"/>
    <cellStyle name="표준 21 10 3 2 2" xfId="40715"/>
    <cellStyle name="표준 21 10 3 3" xfId="31979"/>
    <cellStyle name="표준 21 10 4" xfId="11934"/>
    <cellStyle name="표준 21 10 4 2" xfId="20700"/>
    <cellStyle name="표준 21 10 4 2 2" xfId="41576"/>
    <cellStyle name="표준 21 10 4 3" xfId="32840"/>
    <cellStyle name="표준 21 10 5" xfId="13597"/>
    <cellStyle name="표준 21 10 5 2" xfId="34473"/>
    <cellStyle name="표준 21 10 6" xfId="25735"/>
    <cellStyle name="표준 21 11" xfId="5249"/>
    <cellStyle name="표준 21 11 2" xfId="14258"/>
    <cellStyle name="표준 21 11 2 2" xfId="35134"/>
    <cellStyle name="표준 21 11 3" xfId="26396"/>
    <cellStyle name="표준 21 12" xfId="7051"/>
    <cellStyle name="표준 21 12 2" xfId="16059"/>
    <cellStyle name="표준 21 12 2 2" xfId="36935"/>
    <cellStyle name="표준 21 12 3" xfId="28197"/>
    <cellStyle name="표준 21 13" xfId="7696"/>
    <cellStyle name="표준 21 13 2" xfId="16702"/>
    <cellStyle name="표준 21 13 2 2" xfId="37578"/>
    <cellStyle name="표준 21 13 3" xfId="28840"/>
    <cellStyle name="표준 21 14" xfId="8544"/>
    <cellStyle name="표준 21 14 2" xfId="17549"/>
    <cellStyle name="표준 21 14 2 2" xfId="38425"/>
    <cellStyle name="표준 21 14 3" xfId="29687"/>
    <cellStyle name="표준 21 15" xfId="9368"/>
    <cellStyle name="표준 21 15 2" xfId="18367"/>
    <cellStyle name="표준 21 15 2 2" xfId="39243"/>
    <cellStyle name="표준 21 15 3" xfId="30505"/>
    <cellStyle name="표준 21 16" xfId="10424"/>
    <cellStyle name="표준 21 16 2" xfId="19195"/>
    <cellStyle name="표준 21 16 2 2" xfId="40071"/>
    <cellStyle name="표준 21 16 3" xfId="31335"/>
    <cellStyle name="표준 21 17" xfId="11290"/>
    <cellStyle name="표준 21 17 2" xfId="20056"/>
    <cellStyle name="표준 21 17 2 2" xfId="40932"/>
    <cellStyle name="표준 21 17 3" xfId="32196"/>
    <cellStyle name="표준 21 18" xfId="12438"/>
    <cellStyle name="표준 21 18 2" xfId="33316"/>
    <cellStyle name="표준 21 19" xfId="24566"/>
    <cellStyle name="표준 21 2" xfId="2964"/>
    <cellStyle name="표준 21 2 10" xfId="10425"/>
    <cellStyle name="표준 21 2 10 2" xfId="19196"/>
    <cellStyle name="표준 21 2 10 2 2" xfId="40072"/>
    <cellStyle name="표준 21 2 10 3" xfId="31336"/>
    <cellStyle name="표준 21 2 11" xfId="11291"/>
    <cellStyle name="표준 21 2 11 2" xfId="20057"/>
    <cellStyle name="표준 21 2 11 2 2" xfId="40933"/>
    <cellStyle name="표준 21 2 11 3" xfId="32197"/>
    <cellStyle name="표준 21 2 12" xfId="12439"/>
    <cellStyle name="표준 21 2 12 2" xfId="33317"/>
    <cellStyle name="표준 21 2 13" xfId="24567"/>
    <cellStyle name="표준 21 2 2" xfId="3182"/>
    <cellStyle name="표준 21 2 2 10" xfId="11501"/>
    <cellStyle name="표준 21 2 2 10 2" xfId="20267"/>
    <cellStyle name="표준 21 2 2 10 2 2" xfId="41143"/>
    <cellStyle name="표준 21 2 2 10 3" xfId="32407"/>
    <cellStyle name="표준 21 2 2 11" xfId="12650"/>
    <cellStyle name="표준 21 2 2 11 2" xfId="33527"/>
    <cellStyle name="표준 21 2 2 12" xfId="24777"/>
    <cellStyle name="표준 21 2 2 2" xfId="3624"/>
    <cellStyle name="표준 21 2 2 2 2" xfId="5897"/>
    <cellStyle name="표준 21 2 2 2 2 2" xfId="14906"/>
    <cellStyle name="표준 21 2 2 2 2 2 2" xfId="35782"/>
    <cellStyle name="표준 21 2 2 2 2 3" xfId="27044"/>
    <cellStyle name="표준 21 2 2 2 3" xfId="13087"/>
    <cellStyle name="표준 21 2 2 2 3 2" xfId="33964"/>
    <cellStyle name="표준 21 2 2 2 4" xfId="25214"/>
    <cellStyle name="표준 21 2 2 3" xfId="4785"/>
    <cellStyle name="표준 21 2 2 3 2" xfId="6617"/>
    <cellStyle name="표준 21 2 2 3 2 2" xfId="15626"/>
    <cellStyle name="표준 21 2 2 3 2 2 2" xfId="36502"/>
    <cellStyle name="표준 21 2 2 3 2 3" xfId="27764"/>
    <cellStyle name="표준 21 2 2 3 3" xfId="13808"/>
    <cellStyle name="표준 21 2 2 3 3 2" xfId="34684"/>
    <cellStyle name="표준 21 2 2 3 4" xfId="25946"/>
    <cellStyle name="표준 21 2 2 4" xfId="5460"/>
    <cellStyle name="표준 21 2 2 4 2" xfId="14469"/>
    <cellStyle name="표준 21 2 2 4 2 2" xfId="35345"/>
    <cellStyle name="표준 21 2 2 4 3" xfId="26607"/>
    <cellStyle name="표준 21 2 2 5" xfId="7263"/>
    <cellStyle name="표준 21 2 2 5 2" xfId="16270"/>
    <cellStyle name="표준 21 2 2 5 2 2" xfId="37146"/>
    <cellStyle name="표준 21 2 2 5 3" xfId="28408"/>
    <cellStyle name="표준 21 2 2 6" xfId="7907"/>
    <cellStyle name="표준 21 2 2 6 2" xfId="16913"/>
    <cellStyle name="표준 21 2 2 6 2 2" xfId="37789"/>
    <cellStyle name="표준 21 2 2 6 3" xfId="29051"/>
    <cellStyle name="표준 21 2 2 7" xfId="8755"/>
    <cellStyle name="표준 21 2 2 7 2" xfId="17760"/>
    <cellStyle name="표준 21 2 2 7 2 2" xfId="38636"/>
    <cellStyle name="표준 21 2 2 7 3" xfId="29898"/>
    <cellStyle name="표준 21 2 2 8" xfId="9580"/>
    <cellStyle name="표준 21 2 2 8 2" xfId="18578"/>
    <cellStyle name="표준 21 2 2 8 2 2" xfId="39454"/>
    <cellStyle name="표준 21 2 2 8 3" xfId="30716"/>
    <cellStyle name="표준 21 2 2 9" xfId="10635"/>
    <cellStyle name="표준 21 2 2 9 2" xfId="19406"/>
    <cellStyle name="표준 21 2 2 9 2 2" xfId="40282"/>
    <cellStyle name="표준 21 2 2 9 3" xfId="31546"/>
    <cellStyle name="표준 21 2 3" xfId="3414"/>
    <cellStyle name="표준 21 2 3 10" xfId="12877"/>
    <cellStyle name="표준 21 2 3 10 2" xfId="33754"/>
    <cellStyle name="표준 21 2 3 11" xfId="25004"/>
    <cellStyle name="표준 21 2 3 2" xfId="5007"/>
    <cellStyle name="표준 21 2 3 2 2" xfId="6834"/>
    <cellStyle name="표준 21 2 3 2 2 2" xfId="15843"/>
    <cellStyle name="표준 21 2 3 2 2 2 2" xfId="36719"/>
    <cellStyle name="표준 21 2 3 2 2 3" xfId="27981"/>
    <cellStyle name="표준 21 2 3 2 3" xfId="14025"/>
    <cellStyle name="표준 21 2 3 2 3 2" xfId="34901"/>
    <cellStyle name="표준 21 2 3 2 4" xfId="26163"/>
    <cellStyle name="표준 21 2 3 3" xfId="5687"/>
    <cellStyle name="표준 21 2 3 3 2" xfId="14696"/>
    <cellStyle name="표준 21 2 3 3 2 2" xfId="35572"/>
    <cellStyle name="표준 21 2 3 3 3" xfId="26834"/>
    <cellStyle name="표준 21 2 3 4" xfId="7480"/>
    <cellStyle name="표준 21 2 3 4 2" xfId="16487"/>
    <cellStyle name="표준 21 2 3 4 2 2" xfId="37363"/>
    <cellStyle name="표준 21 2 3 4 3" xfId="28625"/>
    <cellStyle name="표준 21 2 3 5" xfId="8124"/>
    <cellStyle name="표준 21 2 3 5 2" xfId="17130"/>
    <cellStyle name="표준 21 2 3 5 2 2" xfId="38006"/>
    <cellStyle name="표준 21 2 3 5 3" xfId="29268"/>
    <cellStyle name="표준 21 2 3 6" xfId="8972"/>
    <cellStyle name="표준 21 2 3 6 2" xfId="17977"/>
    <cellStyle name="표준 21 2 3 6 2 2" xfId="38853"/>
    <cellStyle name="표준 21 2 3 6 3" xfId="30115"/>
    <cellStyle name="표준 21 2 3 7" xfId="9797"/>
    <cellStyle name="표준 21 2 3 7 2" xfId="18795"/>
    <cellStyle name="표준 21 2 3 7 2 2" xfId="39671"/>
    <cellStyle name="표준 21 2 3 7 3" xfId="30933"/>
    <cellStyle name="표준 21 2 3 8" xfId="10852"/>
    <cellStyle name="표준 21 2 3 8 2" xfId="19623"/>
    <cellStyle name="표준 21 2 3 8 2 2" xfId="40499"/>
    <cellStyle name="표준 21 2 3 8 3" xfId="31763"/>
    <cellStyle name="표준 21 2 3 9" xfId="11718"/>
    <cellStyle name="표준 21 2 3 9 2" xfId="20484"/>
    <cellStyle name="표준 21 2 3 9 2 2" xfId="41360"/>
    <cellStyle name="표준 21 2 3 9 3" xfId="32624"/>
    <cellStyle name="표준 21 2 4" xfId="4573"/>
    <cellStyle name="표준 21 2 4 2" xfId="6407"/>
    <cellStyle name="표준 21 2 4 2 2" xfId="15416"/>
    <cellStyle name="표준 21 2 4 2 2 2" xfId="36292"/>
    <cellStyle name="표준 21 2 4 2 3" xfId="27554"/>
    <cellStyle name="표준 21 2 4 3" xfId="11070"/>
    <cellStyle name="표준 21 2 4 3 2" xfId="19840"/>
    <cellStyle name="표준 21 2 4 3 2 2" xfId="40716"/>
    <cellStyle name="표준 21 2 4 3 3" xfId="31980"/>
    <cellStyle name="표준 21 2 4 4" xfId="11935"/>
    <cellStyle name="표준 21 2 4 4 2" xfId="20701"/>
    <cellStyle name="표준 21 2 4 4 2 2" xfId="41577"/>
    <cellStyle name="표준 21 2 4 4 3" xfId="32841"/>
    <cellStyle name="표준 21 2 4 5" xfId="13598"/>
    <cellStyle name="표준 21 2 4 5 2" xfId="34474"/>
    <cellStyle name="표준 21 2 4 6" xfId="25736"/>
    <cellStyle name="표준 21 2 5" xfId="5250"/>
    <cellStyle name="표준 21 2 5 2" xfId="14259"/>
    <cellStyle name="표준 21 2 5 2 2" xfId="35135"/>
    <cellStyle name="표준 21 2 5 3" xfId="26397"/>
    <cellStyle name="표준 21 2 6" xfId="7052"/>
    <cellStyle name="표준 21 2 6 2" xfId="16060"/>
    <cellStyle name="표준 21 2 6 2 2" xfId="36936"/>
    <cellStyle name="표준 21 2 6 3" xfId="28198"/>
    <cellStyle name="표준 21 2 7" xfId="7697"/>
    <cellStyle name="표준 21 2 7 2" xfId="16703"/>
    <cellStyle name="표준 21 2 7 2 2" xfId="37579"/>
    <cellStyle name="표준 21 2 7 3" xfId="28841"/>
    <cellStyle name="표준 21 2 8" xfId="8545"/>
    <cellStyle name="표준 21 2 8 2" xfId="17550"/>
    <cellStyle name="표준 21 2 8 2 2" xfId="38426"/>
    <cellStyle name="표준 21 2 8 3" xfId="29688"/>
    <cellStyle name="표준 21 2 9" xfId="9369"/>
    <cellStyle name="표준 21 2 9 2" xfId="18368"/>
    <cellStyle name="표준 21 2 9 2 2" xfId="39244"/>
    <cellStyle name="표준 21 2 9 3" xfId="30506"/>
    <cellStyle name="표준 21 3" xfId="2965"/>
    <cellStyle name="표준 21 3 10" xfId="10426"/>
    <cellStyle name="표준 21 3 10 2" xfId="19197"/>
    <cellStyle name="표준 21 3 10 2 2" xfId="40073"/>
    <cellStyle name="표준 21 3 10 3" xfId="31337"/>
    <cellStyle name="표준 21 3 11" xfId="11292"/>
    <cellStyle name="표준 21 3 11 2" xfId="20058"/>
    <cellStyle name="표준 21 3 11 2 2" xfId="40934"/>
    <cellStyle name="표준 21 3 11 3" xfId="32198"/>
    <cellStyle name="표준 21 3 12" xfId="12440"/>
    <cellStyle name="표준 21 3 12 2" xfId="33318"/>
    <cellStyle name="표준 21 3 13" xfId="24568"/>
    <cellStyle name="표준 21 3 2" xfId="3183"/>
    <cellStyle name="표준 21 3 2 10" xfId="11502"/>
    <cellStyle name="표준 21 3 2 10 2" xfId="20268"/>
    <cellStyle name="표준 21 3 2 10 2 2" xfId="41144"/>
    <cellStyle name="표준 21 3 2 10 3" xfId="32408"/>
    <cellStyle name="표준 21 3 2 11" xfId="12651"/>
    <cellStyle name="표준 21 3 2 11 2" xfId="33528"/>
    <cellStyle name="표준 21 3 2 12" xfId="24778"/>
    <cellStyle name="표준 21 3 2 2" xfId="3625"/>
    <cellStyle name="표준 21 3 2 2 2" xfId="5898"/>
    <cellStyle name="표준 21 3 2 2 2 2" xfId="14907"/>
    <cellStyle name="표준 21 3 2 2 2 2 2" xfId="35783"/>
    <cellStyle name="표준 21 3 2 2 2 3" xfId="27045"/>
    <cellStyle name="표준 21 3 2 2 3" xfId="13088"/>
    <cellStyle name="표준 21 3 2 2 3 2" xfId="33965"/>
    <cellStyle name="표준 21 3 2 2 4" xfId="25215"/>
    <cellStyle name="표준 21 3 2 3" xfId="4786"/>
    <cellStyle name="표준 21 3 2 3 2" xfId="6618"/>
    <cellStyle name="표준 21 3 2 3 2 2" xfId="15627"/>
    <cellStyle name="표준 21 3 2 3 2 2 2" xfId="36503"/>
    <cellStyle name="표준 21 3 2 3 2 3" xfId="27765"/>
    <cellStyle name="표준 21 3 2 3 3" xfId="13809"/>
    <cellStyle name="표준 21 3 2 3 3 2" xfId="34685"/>
    <cellStyle name="표준 21 3 2 3 4" xfId="25947"/>
    <cellStyle name="표준 21 3 2 4" xfId="5461"/>
    <cellStyle name="표준 21 3 2 4 2" xfId="14470"/>
    <cellStyle name="표준 21 3 2 4 2 2" xfId="35346"/>
    <cellStyle name="표준 21 3 2 4 3" xfId="26608"/>
    <cellStyle name="표준 21 3 2 5" xfId="7264"/>
    <cellStyle name="표준 21 3 2 5 2" xfId="16271"/>
    <cellStyle name="표준 21 3 2 5 2 2" xfId="37147"/>
    <cellStyle name="표준 21 3 2 5 3" xfId="28409"/>
    <cellStyle name="표준 21 3 2 6" xfId="7908"/>
    <cellStyle name="표준 21 3 2 6 2" xfId="16914"/>
    <cellStyle name="표준 21 3 2 6 2 2" xfId="37790"/>
    <cellStyle name="표준 21 3 2 6 3" xfId="29052"/>
    <cellStyle name="표준 21 3 2 7" xfId="8756"/>
    <cellStyle name="표준 21 3 2 7 2" xfId="17761"/>
    <cellStyle name="표준 21 3 2 7 2 2" xfId="38637"/>
    <cellStyle name="표준 21 3 2 7 3" xfId="29899"/>
    <cellStyle name="표준 21 3 2 8" xfId="9581"/>
    <cellStyle name="표준 21 3 2 8 2" xfId="18579"/>
    <cellStyle name="표준 21 3 2 8 2 2" xfId="39455"/>
    <cellStyle name="표준 21 3 2 8 3" xfId="30717"/>
    <cellStyle name="표준 21 3 2 9" xfId="10636"/>
    <cellStyle name="표준 21 3 2 9 2" xfId="19407"/>
    <cellStyle name="표준 21 3 2 9 2 2" xfId="40283"/>
    <cellStyle name="표준 21 3 2 9 3" xfId="31547"/>
    <cellStyle name="표준 21 3 3" xfId="3415"/>
    <cellStyle name="표준 21 3 3 10" xfId="12878"/>
    <cellStyle name="표준 21 3 3 10 2" xfId="33755"/>
    <cellStyle name="표준 21 3 3 11" xfId="25005"/>
    <cellStyle name="표준 21 3 3 2" xfId="5008"/>
    <cellStyle name="표준 21 3 3 2 2" xfId="6835"/>
    <cellStyle name="표준 21 3 3 2 2 2" xfId="15844"/>
    <cellStyle name="표준 21 3 3 2 2 2 2" xfId="36720"/>
    <cellStyle name="표준 21 3 3 2 2 3" xfId="27982"/>
    <cellStyle name="표준 21 3 3 2 3" xfId="14026"/>
    <cellStyle name="표준 21 3 3 2 3 2" xfId="34902"/>
    <cellStyle name="표준 21 3 3 2 4" xfId="26164"/>
    <cellStyle name="표준 21 3 3 3" xfId="5688"/>
    <cellStyle name="표준 21 3 3 3 2" xfId="14697"/>
    <cellStyle name="표준 21 3 3 3 2 2" xfId="35573"/>
    <cellStyle name="표준 21 3 3 3 3" xfId="26835"/>
    <cellStyle name="표준 21 3 3 4" xfId="7481"/>
    <cellStyle name="표준 21 3 3 4 2" xfId="16488"/>
    <cellStyle name="표준 21 3 3 4 2 2" xfId="37364"/>
    <cellStyle name="표준 21 3 3 4 3" xfId="28626"/>
    <cellStyle name="표준 21 3 3 5" xfId="8125"/>
    <cellStyle name="표준 21 3 3 5 2" xfId="17131"/>
    <cellStyle name="표준 21 3 3 5 2 2" xfId="38007"/>
    <cellStyle name="표준 21 3 3 5 3" xfId="29269"/>
    <cellStyle name="표준 21 3 3 6" xfId="8973"/>
    <cellStyle name="표준 21 3 3 6 2" xfId="17978"/>
    <cellStyle name="표준 21 3 3 6 2 2" xfId="38854"/>
    <cellStyle name="표준 21 3 3 6 3" xfId="30116"/>
    <cellStyle name="표준 21 3 3 7" xfId="9798"/>
    <cellStyle name="표준 21 3 3 7 2" xfId="18796"/>
    <cellStyle name="표준 21 3 3 7 2 2" xfId="39672"/>
    <cellStyle name="표준 21 3 3 7 3" xfId="30934"/>
    <cellStyle name="표준 21 3 3 8" xfId="10853"/>
    <cellStyle name="표준 21 3 3 8 2" xfId="19624"/>
    <cellStyle name="표준 21 3 3 8 2 2" xfId="40500"/>
    <cellStyle name="표준 21 3 3 8 3" xfId="31764"/>
    <cellStyle name="표준 21 3 3 9" xfId="11719"/>
    <cellStyle name="표준 21 3 3 9 2" xfId="20485"/>
    <cellStyle name="표준 21 3 3 9 2 2" xfId="41361"/>
    <cellStyle name="표준 21 3 3 9 3" xfId="32625"/>
    <cellStyle name="표준 21 3 4" xfId="4574"/>
    <cellStyle name="표준 21 3 4 2" xfId="6408"/>
    <cellStyle name="표준 21 3 4 2 2" xfId="15417"/>
    <cellStyle name="표준 21 3 4 2 2 2" xfId="36293"/>
    <cellStyle name="표준 21 3 4 2 3" xfId="27555"/>
    <cellStyle name="표준 21 3 4 3" xfId="11071"/>
    <cellStyle name="표준 21 3 4 3 2" xfId="19841"/>
    <cellStyle name="표준 21 3 4 3 2 2" xfId="40717"/>
    <cellStyle name="표준 21 3 4 3 3" xfId="31981"/>
    <cellStyle name="표준 21 3 4 4" xfId="11936"/>
    <cellStyle name="표준 21 3 4 4 2" xfId="20702"/>
    <cellStyle name="표준 21 3 4 4 2 2" xfId="41578"/>
    <cellStyle name="표준 21 3 4 4 3" xfId="32842"/>
    <cellStyle name="표준 21 3 4 5" xfId="13599"/>
    <cellStyle name="표준 21 3 4 5 2" xfId="34475"/>
    <cellStyle name="표준 21 3 4 6" xfId="25737"/>
    <cellStyle name="표준 21 3 5" xfId="5251"/>
    <cellStyle name="표준 21 3 5 2" xfId="14260"/>
    <cellStyle name="표준 21 3 5 2 2" xfId="35136"/>
    <cellStyle name="표준 21 3 5 3" xfId="26398"/>
    <cellStyle name="표준 21 3 6" xfId="7053"/>
    <cellStyle name="표준 21 3 6 2" xfId="16061"/>
    <cellStyle name="표준 21 3 6 2 2" xfId="36937"/>
    <cellStyle name="표준 21 3 6 3" xfId="28199"/>
    <cellStyle name="표준 21 3 7" xfId="7698"/>
    <cellStyle name="표준 21 3 7 2" xfId="16704"/>
    <cellStyle name="표준 21 3 7 2 2" xfId="37580"/>
    <cellStyle name="표준 21 3 7 3" xfId="28842"/>
    <cellStyle name="표준 21 3 8" xfId="8546"/>
    <cellStyle name="표준 21 3 8 2" xfId="17551"/>
    <cellStyle name="표준 21 3 8 2 2" xfId="38427"/>
    <cellStyle name="표준 21 3 8 3" xfId="29689"/>
    <cellStyle name="표준 21 3 9" xfId="9370"/>
    <cellStyle name="표준 21 3 9 2" xfId="18369"/>
    <cellStyle name="표준 21 3 9 2 2" xfId="39245"/>
    <cellStyle name="표준 21 3 9 3" xfId="30507"/>
    <cellStyle name="표준 21 4" xfId="2966"/>
    <cellStyle name="표준 21 4 10" xfId="10427"/>
    <cellStyle name="표준 21 4 10 2" xfId="19198"/>
    <cellStyle name="표준 21 4 10 2 2" xfId="40074"/>
    <cellStyle name="표준 21 4 10 3" xfId="31338"/>
    <cellStyle name="표준 21 4 11" xfId="11293"/>
    <cellStyle name="표준 21 4 11 2" xfId="20059"/>
    <cellStyle name="표준 21 4 11 2 2" xfId="40935"/>
    <cellStyle name="표준 21 4 11 3" xfId="32199"/>
    <cellStyle name="표준 21 4 12" xfId="12441"/>
    <cellStyle name="표준 21 4 12 2" xfId="33319"/>
    <cellStyle name="표준 21 4 13" xfId="24569"/>
    <cellStyle name="표준 21 4 2" xfId="3184"/>
    <cellStyle name="표준 21 4 2 10" xfId="11503"/>
    <cellStyle name="표준 21 4 2 10 2" xfId="20269"/>
    <cellStyle name="표준 21 4 2 10 2 2" xfId="41145"/>
    <cellStyle name="표준 21 4 2 10 3" xfId="32409"/>
    <cellStyle name="표준 21 4 2 11" xfId="12652"/>
    <cellStyle name="표준 21 4 2 11 2" xfId="33529"/>
    <cellStyle name="표준 21 4 2 12" xfId="24779"/>
    <cellStyle name="표준 21 4 2 2" xfId="3626"/>
    <cellStyle name="표준 21 4 2 2 2" xfId="5899"/>
    <cellStyle name="표준 21 4 2 2 2 2" xfId="14908"/>
    <cellStyle name="표준 21 4 2 2 2 2 2" xfId="35784"/>
    <cellStyle name="표준 21 4 2 2 2 3" xfId="27046"/>
    <cellStyle name="표준 21 4 2 2 3" xfId="13089"/>
    <cellStyle name="표준 21 4 2 2 3 2" xfId="33966"/>
    <cellStyle name="표준 21 4 2 2 4" xfId="25216"/>
    <cellStyle name="표준 21 4 2 3" xfId="4787"/>
    <cellStyle name="표준 21 4 2 3 2" xfId="6619"/>
    <cellStyle name="표준 21 4 2 3 2 2" xfId="15628"/>
    <cellStyle name="표준 21 4 2 3 2 2 2" xfId="36504"/>
    <cellStyle name="표준 21 4 2 3 2 3" xfId="27766"/>
    <cellStyle name="표준 21 4 2 3 3" xfId="13810"/>
    <cellStyle name="표준 21 4 2 3 3 2" xfId="34686"/>
    <cellStyle name="표준 21 4 2 3 4" xfId="25948"/>
    <cellStyle name="표준 21 4 2 4" xfId="5462"/>
    <cellStyle name="표준 21 4 2 4 2" xfId="14471"/>
    <cellStyle name="표준 21 4 2 4 2 2" xfId="35347"/>
    <cellStyle name="표준 21 4 2 4 3" xfId="26609"/>
    <cellStyle name="표준 21 4 2 5" xfId="7265"/>
    <cellStyle name="표준 21 4 2 5 2" xfId="16272"/>
    <cellStyle name="표준 21 4 2 5 2 2" xfId="37148"/>
    <cellStyle name="표준 21 4 2 5 3" xfId="28410"/>
    <cellStyle name="표준 21 4 2 6" xfId="7909"/>
    <cellStyle name="표준 21 4 2 6 2" xfId="16915"/>
    <cellStyle name="표준 21 4 2 6 2 2" xfId="37791"/>
    <cellStyle name="표준 21 4 2 6 3" xfId="29053"/>
    <cellStyle name="표준 21 4 2 7" xfId="8757"/>
    <cellStyle name="표준 21 4 2 7 2" xfId="17762"/>
    <cellStyle name="표준 21 4 2 7 2 2" xfId="38638"/>
    <cellStyle name="표준 21 4 2 7 3" xfId="29900"/>
    <cellStyle name="표준 21 4 2 8" xfId="9582"/>
    <cellStyle name="표준 21 4 2 8 2" xfId="18580"/>
    <cellStyle name="표준 21 4 2 8 2 2" xfId="39456"/>
    <cellStyle name="표준 21 4 2 8 3" xfId="30718"/>
    <cellStyle name="표준 21 4 2 9" xfId="10637"/>
    <cellStyle name="표준 21 4 2 9 2" xfId="19408"/>
    <cellStyle name="표준 21 4 2 9 2 2" xfId="40284"/>
    <cellStyle name="표준 21 4 2 9 3" xfId="31548"/>
    <cellStyle name="표준 21 4 3" xfId="3416"/>
    <cellStyle name="표준 21 4 3 10" xfId="12879"/>
    <cellStyle name="표준 21 4 3 10 2" xfId="33756"/>
    <cellStyle name="표준 21 4 3 11" xfId="25006"/>
    <cellStyle name="표준 21 4 3 2" xfId="5009"/>
    <cellStyle name="표준 21 4 3 2 2" xfId="6836"/>
    <cellStyle name="표준 21 4 3 2 2 2" xfId="15845"/>
    <cellStyle name="표준 21 4 3 2 2 2 2" xfId="36721"/>
    <cellStyle name="표준 21 4 3 2 2 3" xfId="27983"/>
    <cellStyle name="표준 21 4 3 2 3" xfId="14027"/>
    <cellStyle name="표준 21 4 3 2 3 2" xfId="34903"/>
    <cellStyle name="표준 21 4 3 2 4" xfId="26165"/>
    <cellStyle name="표준 21 4 3 3" xfId="5689"/>
    <cellStyle name="표준 21 4 3 3 2" xfId="14698"/>
    <cellStyle name="표준 21 4 3 3 2 2" xfId="35574"/>
    <cellStyle name="표준 21 4 3 3 3" xfId="26836"/>
    <cellStyle name="표준 21 4 3 4" xfId="7482"/>
    <cellStyle name="표준 21 4 3 4 2" xfId="16489"/>
    <cellStyle name="표준 21 4 3 4 2 2" xfId="37365"/>
    <cellStyle name="표준 21 4 3 4 3" xfId="28627"/>
    <cellStyle name="표준 21 4 3 5" xfId="8126"/>
    <cellStyle name="표준 21 4 3 5 2" xfId="17132"/>
    <cellStyle name="표준 21 4 3 5 2 2" xfId="38008"/>
    <cellStyle name="표준 21 4 3 5 3" xfId="29270"/>
    <cellStyle name="표준 21 4 3 6" xfId="8974"/>
    <cellStyle name="표준 21 4 3 6 2" xfId="17979"/>
    <cellStyle name="표준 21 4 3 6 2 2" xfId="38855"/>
    <cellStyle name="표준 21 4 3 6 3" xfId="30117"/>
    <cellStyle name="표준 21 4 3 7" xfId="9799"/>
    <cellStyle name="표준 21 4 3 7 2" xfId="18797"/>
    <cellStyle name="표준 21 4 3 7 2 2" xfId="39673"/>
    <cellStyle name="표준 21 4 3 7 3" xfId="30935"/>
    <cellStyle name="표준 21 4 3 8" xfId="10854"/>
    <cellStyle name="표준 21 4 3 8 2" xfId="19625"/>
    <cellStyle name="표준 21 4 3 8 2 2" xfId="40501"/>
    <cellStyle name="표준 21 4 3 8 3" xfId="31765"/>
    <cellStyle name="표준 21 4 3 9" xfId="11720"/>
    <cellStyle name="표준 21 4 3 9 2" xfId="20486"/>
    <cellStyle name="표준 21 4 3 9 2 2" xfId="41362"/>
    <cellStyle name="표준 21 4 3 9 3" xfId="32626"/>
    <cellStyle name="표준 21 4 4" xfId="4575"/>
    <cellStyle name="표준 21 4 4 2" xfId="6409"/>
    <cellStyle name="표준 21 4 4 2 2" xfId="15418"/>
    <cellStyle name="표준 21 4 4 2 2 2" xfId="36294"/>
    <cellStyle name="표준 21 4 4 2 3" xfId="27556"/>
    <cellStyle name="표준 21 4 4 3" xfId="11072"/>
    <cellStyle name="표준 21 4 4 3 2" xfId="19842"/>
    <cellStyle name="표준 21 4 4 3 2 2" xfId="40718"/>
    <cellStyle name="표준 21 4 4 3 3" xfId="31982"/>
    <cellStyle name="표준 21 4 4 4" xfId="11937"/>
    <cellStyle name="표준 21 4 4 4 2" xfId="20703"/>
    <cellStyle name="표준 21 4 4 4 2 2" xfId="41579"/>
    <cellStyle name="표준 21 4 4 4 3" xfId="32843"/>
    <cellStyle name="표준 21 4 4 5" xfId="13600"/>
    <cellStyle name="표준 21 4 4 5 2" xfId="34476"/>
    <cellStyle name="표준 21 4 4 6" xfId="25738"/>
    <cellStyle name="표준 21 4 5" xfId="5252"/>
    <cellStyle name="표준 21 4 5 2" xfId="14261"/>
    <cellStyle name="표준 21 4 5 2 2" xfId="35137"/>
    <cellStyle name="표준 21 4 5 3" xfId="26399"/>
    <cellStyle name="표준 21 4 6" xfId="7054"/>
    <cellStyle name="표준 21 4 6 2" xfId="16062"/>
    <cellStyle name="표준 21 4 6 2 2" xfId="36938"/>
    <cellStyle name="표준 21 4 6 3" xfId="28200"/>
    <cellStyle name="표준 21 4 7" xfId="7699"/>
    <cellStyle name="표준 21 4 7 2" xfId="16705"/>
    <cellStyle name="표준 21 4 7 2 2" xfId="37581"/>
    <cellStyle name="표준 21 4 7 3" xfId="28843"/>
    <cellStyle name="표준 21 4 8" xfId="8547"/>
    <cellStyle name="표준 21 4 8 2" xfId="17552"/>
    <cellStyle name="표준 21 4 8 2 2" xfId="38428"/>
    <cellStyle name="표준 21 4 8 3" xfId="29690"/>
    <cellStyle name="표준 21 4 9" xfId="9371"/>
    <cellStyle name="표준 21 4 9 2" xfId="18370"/>
    <cellStyle name="표준 21 4 9 2 2" xfId="39246"/>
    <cellStyle name="표준 21 4 9 3" xfId="30508"/>
    <cellStyle name="표준 21 5" xfId="2967"/>
    <cellStyle name="표준 21 5 10" xfId="10428"/>
    <cellStyle name="표준 21 5 10 2" xfId="19199"/>
    <cellStyle name="표준 21 5 10 2 2" xfId="40075"/>
    <cellStyle name="표준 21 5 10 3" xfId="31339"/>
    <cellStyle name="표준 21 5 11" xfId="11294"/>
    <cellStyle name="표준 21 5 11 2" xfId="20060"/>
    <cellStyle name="표준 21 5 11 2 2" xfId="40936"/>
    <cellStyle name="표준 21 5 11 3" xfId="32200"/>
    <cellStyle name="표준 21 5 12" xfId="12442"/>
    <cellStyle name="표준 21 5 12 2" xfId="33320"/>
    <cellStyle name="표준 21 5 13" xfId="24570"/>
    <cellStyle name="표준 21 5 2" xfId="3185"/>
    <cellStyle name="표준 21 5 2 10" xfId="11504"/>
    <cellStyle name="표준 21 5 2 10 2" xfId="20270"/>
    <cellStyle name="표준 21 5 2 10 2 2" xfId="41146"/>
    <cellStyle name="표준 21 5 2 10 3" xfId="32410"/>
    <cellStyle name="표준 21 5 2 11" xfId="12653"/>
    <cellStyle name="표준 21 5 2 11 2" xfId="33530"/>
    <cellStyle name="표준 21 5 2 12" xfId="24780"/>
    <cellStyle name="표준 21 5 2 2" xfId="3627"/>
    <cellStyle name="표준 21 5 2 2 2" xfId="5900"/>
    <cellStyle name="표준 21 5 2 2 2 2" xfId="14909"/>
    <cellStyle name="표준 21 5 2 2 2 2 2" xfId="35785"/>
    <cellStyle name="표준 21 5 2 2 2 3" xfId="27047"/>
    <cellStyle name="표준 21 5 2 2 3" xfId="13090"/>
    <cellStyle name="표준 21 5 2 2 3 2" xfId="33967"/>
    <cellStyle name="표준 21 5 2 2 4" xfId="25217"/>
    <cellStyle name="표준 21 5 2 3" xfId="4788"/>
    <cellStyle name="표준 21 5 2 3 2" xfId="6620"/>
    <cellStyle name="표준 21 5 2 3 2 2" xfId="15629"/>
    <cellStyle name="표준 21 5 2 3 2 2 2" xfId="36505"/>
    <cellStyle name="표준 21 5 2 3 2 3" xfId="27767"/>
    <cellStyle name="표준 21 5 2 3 3" xfId="13811"/>
    <cellStyle name="표준 21 5 2 3 3 2" xfId="34687"/>
    <cellStyle name="표준 21 5 2 3 4" xfId="25949"/>
    <cellStyle name="표준 21 5 2 4" xfId="5463"/>
    <cellStyle name="표준 21 5 2 4 2" xfId="14472"/>
    <cellStyle name="표준 21 5 2 4 2 2" xfId="35348"/>
    <cellStyle name="표준 21 5 2 4 3" xfId="26610"/>
    <cellStyle name="표준 21 5 2 5" xfId="7266"/>
    <cellStyle name="표준 21 5 2 5 2" xfId="16273"/>
    <cellStyle name="표준 21 5 2 5 2 2" xfId="37149"/>
    <cellStyle name="표준 21 5 2 5 3" xfId="28411"/>
    <cellStyle name="표준 21 5 2 6" xfId="7910"/>
    <cellStyle name="표준 21 5 2 6 2" xfId="16916"/>
    <cellStyle name="표준 21 5 2 6 2 2" xfId="37792"/>
    <cellStyle name="표준 21 5 2 6 3" xfId="29054"/>
    <cellStyle name="표준 21 5 2 7" xfId="8758"/>
    <cellStyle name="표준 21 5 2 7 2" xfId="17763"/>
    <cellStyle name="표준 21 5 2 7 2 2" xfId="38639"/>
    <cellStyle name="표준 21 5 2 7 3" xfId="29901"/>
    <cellStyle name="표준 21 5 2 8" xfId="9583"/>
    <cellStyle name="표준 21 5 2 8 2" xfId="18581"/>
    <cellStyle name="표준 21 5 2 8 2 2" xfId="39457"/>
    <cellStyle name="표준 21 5 2 8 3" xfId="30719"/>
    <cellStyle name="표준 21 5 2 9" xfId="10638"/>
    <cellStyle name="표준 21 5 2 9 2" xfId="19409"/>
    <cellStyle name="표준 21 5 2 9 2 2" xfId="40285"/>
    <cellStyle name="표준 21 5 2 9 3" xfId="31549"/>
    <cellStyle name="표준 21 5 3" xfId="3417"/>
    <cellStyle name="표준 21 5 3 10" xfId="12880"/>
    <cellStyle name="표준 21 5 3 10 2" xfId="33757"/>
    <cellStyle name="표준 21 5 3 11" xfId="25007"/>
    <cellStyle name="표준 21 5 3 2" xfId="5010"/>
    <cellStyle name="표준 21 5 3 2 2" xfId="6837"/>
    <cellStyle name="표준 21 5 3 2 2 2" xfId="15846"/>
    <cellStyle name="표준 21 5 3 2 2 2 2" xfId="36722"/>
    <cellStyle name="표준 21 5 3 2 2 3" xfId="27984"/>
    <cellStyle name="표준 21 5 3 2 3" xfId="14028"/>
    <cellStyle name="표준 21 5 3 2 3 2" xfId="34904"/>
    <cellStyle name="표준 21 5 3 2 4" xfId="26166"/>
    <cellStyle name="표준 21 5 3 3" xfId="5690"/>
    <cellStyle name="표준 21 5 3 3 2" xfId="14699"/>
    <cellStyle name="표준 21 5 3 3 2 2" xfId="35575"/>
    <cellStyle name="표준 21 5 3 3 3" xfId="26837"/>
    <cellStyle name="표준 21 5 3 4" xfId="7483"/>
    <cellStyle name="표준 21 5 3 4 2" xfId="16490"/>
    <cellStyle name="표준 21 5 3 4 2 2" xfId="37366"/>
    <cellStyle name="표준 21 5 3 4 3" xfId="28628"/>
    <cellStyle name="표준 21 5 3 5" xfId="8127"/>
    <cellStyle name="표준 21 5 3 5 2" xfId="17133"/>
    <cellStyle name="표준 21 5 3 5 2 2" xfId="38009"/>
    <cellStyle name="표준 21 5 3 5 3" xfId="29271"/>
    <cellStyle name="표준 21 5 3 6" xfId="8975"/>
    <cellStyle name="표준 21 5 3 6 2" xfId="17980"/>
    <cellStyle name="표준 21 5 3 6 2 2" xfId="38856"/>
    <cellStyle name="표준 21 5 3 6 3" xfId="30118"/>
    <cellStyle name="표준 21 5 3 7" xfId="9800"/>
    <cellStyle name="표준 21 5 3 7 2" xfId="18798"/>
    <cellStyle name="표준 21 5 3 7 2 2" xfId="39674"/>
    <cellStyle name="표준 21 5 3 7 3" xfId="30936"/>
    <cellStyle name="표준 21 5 3 8" xfId="10855"/>
    <cellStyle name="표준 21 5 3 8 2" xfId="19626"/>
    <cellStyle name="표준 21 5 3 8 2 2" xfId="40502"/>
    <cellStyle name="표준 21 5 3 8 3" xfId="31766"/>
    <cellStyle name="표준 21 5 3 9" xfId="11721"/>
    <cellStyle name="표준 21 5 3 9 2" xfId="20487"/>
    <cellStyle name="표준 21 5 3 9 2 2" xfId="41363"/>
    <cellStyle name="표준 21 5 3 9 3" xfId="32627"/>
    <cellStyle name="표준 21 5 4" xfId="4576"/>
    <cellStyle name="표준 21 5 4 2" xfId="6410"/>
    <cellStyle name="표준 21 5 4 2 2" xfId="15419"/>
    <cellStyle name="표준 21 5 4 2 2 2" xfId="36295"/>
    <cellStyle name="표준 21 5 4 2 3" xfId="27557"/>
    <cellStyle name="표준 21 5 4 3" xfId="11073"/>
    <cellStyle name="표준 21 5 4 3 2" xfId="19843"/>
    <cellStyle name="표준 21 5 4 3 2 2" xfId="40719"/>
    <cellStyle name="표준 21 5 4 3 3" xfId="31983"/>
    <cellStyle name="표준 21 5 4 4" xfId="11938"/>
    <cellStyle name="표준 21 5 4 4 2" xfId="20704"/>
    <cellStyle name="표준 21 5 4 4 2 2" xfId="41580"/>
    <cellStyle name="표준 21 5 4 4 3" xfId="32844"/>
    <cellStyle name="표준 21 5 4 5" xfId="13601"/>
    <cellStyle name="표준 21 5 4 5 2" xfId="34477"/>
    <cellStyle name="표준 21 5 4 6" xfId="25739"/>
    <cellStyle name="표준 21 5 5" xfId="5253"/>
    <cellStyle name="표준 21 5 5 2" xfId="14262"/>
    <cellStyle name="표준 21 5 5 2 2" xfId="35138"/>
    <cellStyle name="표준 21 5 5 3" xfId="26400"/>
    <cellStyle name="표준 21 5 6" xfId="7055"/>
    <cellStyle name="표준 21 5 6 2" xfId="16063"/>
    <cellStyle name="표준 21 5 6 2 2" xfId="36939"/>
    <cellStyle name="표준 21 5 6 3" xfId="28201"/>
    <cellStyle name="표준 21 5 7" xfId="7700"/>
    <cellStyle name="표준 21 5 7 2" xfId="16706"/>
    <cellStyle name="표준 21 5 7 2 2" xfId="37582"/>
    <cellStyle name="표준 21 5 7 3" xfId="28844"/>
    <cellStyle name="표준 21 5 8" xfId="8548"/>
    <cellStyle name="표준 21 5 8 2" xfId="17553"/>
    <cellStyle name="표준 21 5 8 2 2" xfId="38429"/>
    <cellStyle name="표준 21 5 8 3" xfId="29691"/>
    <cellStyle name="표준 21 5 9" xfId="9372"/>
    <cellStyle name="표준 21 5 9 2" xfId="18371"/>
    <cellStyle name="표준 21 5 9 2 2" xfId="39247"/>
    <cellStyle name="표준 21 5 9 3" xfId="30509"/>
    <cellStyle name="표준 21 6" xfId="2968"/>
    <cellStyle name="표준 21 6 10" xfId="10429"/>
    <cellStyle name="표준 21 6 10 2" xfId="19200"/>
    <cellStyle name="표준 21 6 10 2 2" xfId="40076"/>
    <cellStyle name="표준 21 6 10 3" xfId="31340"/>
    <cellStyle name="표준 21 6 11" xfId="11295"/>
    <cellStyle name="표준 21 6 11 2" xfId="20061"/>
    <cellStyle name="표준 21 6 11 2 2" xfId="40937"/>
    <cellStyle name="표준 21 6 11 3" xfId="32201"/>
    <cellStyle name="표준 21 6 12" xfId="12443"/>
    <cellStyle name="표준 21 6 12 2" xfId="33321"/>
    <cellStyle name="표준 21 6 13" xfId="24571"/>
    <cellStyle name="표준 21 6 2" xfId="3186"/>
    <cellStyle name="표준 21 6 2 10" xfId="11505"/>
    <cellStyle name="표준 21 6 2 10 2" xfId="20271"/>
    <cellStyle name="표준 21 6 2 10 2 2" xfId="41147"/>
    <cellStyle name="표준 21 6 2 10 3" xfId="32411"/>
    <cellStyle name="표준 21 6 2 11" xfId="12654"/>
    <cellStyle name="표준 21 6 2 11 2" xfId="33531"/>
    <cellStyle name="표준 21 6 2 12" xfId="24781"/>
    <cellStyle name="표준 21 6 2 2" xfId="3628"/>
    <cellStyle name="표준 21 6 2 2 2" xfId="5901"/>
    <cellStyle name="표준 21 6 2 2 2 2" xfId="14910"/>
    <cellStyle name="표준 21 6 2 2 2 2 2" xfId="35786"/>
    <cellStyle name="표준 21 6 2 2 2 3" xfId="27048"/>
    <cellStyle name="표준 21 6 2 2 3" xfId="13091"/>
    <cellStyle name="표준 21 6 2 2 3 2" xfId="33968"/>
    <cellStyle name="표준 21 6 2 2 4" xfId="25218"/>
    <cellStyle name="표준 21 6 2 3" xfId="4789"/>
    <cellStyle name="표준 21 6 2 3 2" xfId="6621"/>
    <cellStyle name="표준 21 6 2 3 2 2" xfId="15630"/>
    <cellStyle name="표준 21 6 2 3 2 2 2" xfId="36506"/>
    <cellStyle name="표준 21 6 2 3 2 3" xfId="27768"/>
    <cellStyle name="표준 21 6 2 3 3" xfId="13812"/>
    <cellStyle name="표준 21 6 2 3 3 2" xfId="34688"/>
    <cellStyle name="표준 21 6 2 3 4" xfId="25950"/>
    <cellStyle name="표준 21 6 2 4" xfId="5464"/>
    <cellStyle name="표준 21 6 2 4 2" xfId="14473"/>
    <cellStyle name="표준 21 6 2 4 2 2" xfId="35349"/>
    <cellStyle name="표준 21 6 2 4 3" xfId="26611"/>
    <cellStyle name="표준 21 6 2 5" xfId="7267"/>
    <cellStyle name="표준 21 6 2 5 2" xfId="16274"/>
    <cellStyle name="표준 21 6 2 5 2 2" xfId="37150"/>
    <cellStyle name="표준 21 6 2 5 3" xfId="28412"/>
    <cellStyle name="표준 21 6 2 6" xfId="7911"/>
    <cellStyle name="표준 21 6 2 6 2" xfId="16917"/>
    <cellStyle name="표준 21 6 2 6 2 2" xfId="37793"/>
    <cellStyle name="표준 21 6 2 6 3" xfId="29055"/>
    <cellStyle name="표준 21 6 2 7" xfId="8759"/>
    <cellStyle name="표준 21 6 2 7 2" xfId="17764"/>
    <cellStyle name="표준 21 6 2 7 2 2" xfId="38640"/>
    <cellStyle name="표준 21 6 2 7 3" xfId="29902"/>
    <cellStyle name="표준 21 6 2 8" xfId="9584"/>
    <cellStyle name="표준 21 6 2 8 2" xfId="18582"/>
    <cellStyle name="표준 21 6 2 8 2 2" xfId="39458"/>
    <cellStyle name="표준 21 6 2 8 3" xfId="30720"/>
    <cellStyle name="표준 21 6 2 9" xfId="10639"/>
    <cellStyle name="표준 21 6 2 9 2" xfId="19410"/>
    <cellStyle name="표준 21 6 2 9 2 2" xfId="40286"/>
    <cellStyle name="표준 21 6 2 9 3" xfId="31550"/>
    <cellStyle name="표준 21 6 3" xfId="3418"/>
    <cellStyle name="표준 21 6 3 10" xfId="12881"/>
    <cellStyle name="표준 21 6 3 10 2" xfId="33758"/>
    <cellStyle name="표준 21 6 3 11" xfId="25008"/>
    <cellStyle name="표준 21 6 3 2" xfId="5011"/>
    <cellStyle name="표준 21 6 3 2 2" xfId="6838"/>
    <cellStyle name="표준 21 6 3 2 2 2" xfId="15847"/>
    <cellStyle name="표준 21 6 3 2 2 2 2" xfId="36723"/>
    <cellStyle name="표준 21 6 3 2 2 3" xfId="27985"/>
    <cellStyle name="표준 21 6 3 2 3" xfId="14029"/>
    <cellStyle name="표준 21 6 3 2 3 2" xfId="34905"/>
    <cellStyle name="표준 21 6 3 2 4" xfId="26167"/>
    <cellStyle name="표준 21 6 3 3" xfId="5691"/>
    <cellStyle name="표준 21 6 3 3 2" xfId="14700"/>
    <cellStyle name="표준 21 6 3 3 2 2" xfId="35576"/>
    <cellStyle name="표준 21 6 3 3 3" xfId="26838"/>
    <cellStyle name="표준 21 6 3 4" xfId="7484"/>
    <cellStyle name="표준 21 6 3 4 2" xfId="16491"/>
    <cellStyle name="표준 21 6 3 4 2 2" xfId="37367"/>
    <cellStyle name="표준 21 6 3 4 3" xfId="28629"/>
    <cellStyle name="표준 21 6 3 5" xfId="8128"/>
    <cellStyle name="표준 21 6 3 5 2" xfId="17134"/>
    <cellStyle name="표준 21 6 3 5 2 2" xfId="38010"/>
    <cellStyle name="표준 21 6 3 5 3" xfId="29272"/>
    <cellStyle name="표준 21 6 3 6" xfId="8976"/>
    <cellStyle name="표준 21 6 3 6 2" xfId="17981"/>
    <cellStyle name="표준 21 6 3 6 2 2" xfId="38857"/>
    <cellStyle name="표준 21 6 3 6 3" xfId="30119"/>
    <cellStyle name="표준 21 6 3 7" xfId="9801"/>
    <cellStyle name="표준 21 6 3 7 2" xfId="18799"/>
    <cellStyle name="표준 21 6 3 7 2 2" xfId="39675"/>
    <cellStyle name="표준 21 6 3 7 3" xfId="30937"/>
    <cellStyle name="표준 21 6 3 8" xfId="10856"/>
    <cellStyle name="표준 21 6 3 8 2" xfId="19627"/>
    <cellStyle name="표준 21 6 3 8 2 2" xfId="40503"/>
    <cellStyle name="표준 21 6 3 8 3" xfId="31767"/>
    <cellStyle name="표준 21 6 3 9" xfId="11722"/>
    <cellStyle name="표준 21 6 3 9 2" xfId="20488"/>
    <cellStyle name="표준 21 6 3 9 2 2" xfId="41364"/>
    <cellStyle name="표준 21 6 3 9 3" xfId="32628"/>
    <cellStyle name="표준 21 6 4" xfId="4577"/>
    <cellStyle name="표준 21 6 4 2" xfId="6411"/>
    <cellStyle name="표준 21 6 4 2 2" xfId="15420"/>
    <cellStyle name="표준 21 6 4 2 2 2" xfId="36296"/>
    <cellStyle name="표준 21 6 4 2 3" xfId="27558"/>
    <cellStyle name="표준 21 6 4 3" xfId="11074"/>
    <cellStyle name="표준 21 6 4 3 2" xfId="19844"/>
    <cellStyle name="표준 21 6 4 3 2 2" xfId="40720"/>
    <cellStyle name="표준 21 6 4 3 3" xfId="31984"/>
    <cellStyle name="표준 21 6 4 4" xfId="11939"/>
    <cellStyle name="표준 21 6 4 4 2" xfId="20705"/>
    <cellStyle name="표준 21 6 4 4 2 2" xfId="41581"/>
    <cellStyle name="표준 21 6 4 4 3" xfId="32845"/>
    <cellStyle name="표준 21 6 4 5" xfId="13602"/>
    <cellStyle name="표준 21 6 4 5 2" xfId="34478"/>
    <cellStyle name="표준 21 6 4 6" xfId="25740"/>
    <cellStyle name="표준 21 6 5" xfId="5254"/>
    <cellStyle name="표준 21 6 5 2" xfId="14263"/>
    <cellStyle name="표준 21 6 5 2 2" xfId="35139"/>
    <cellStyle name="표준 21 6 5 3" xfId="26401"/>
    <cellStyle name="표준 21 6 6" xfId="7056"/>
    <cellStyle name="표준 21 6 6 2" xfId="16064"/>
    <cellStyle name="표준 21 6 6 2 2" xfId="36940"/>
    <cellStyle name="표준 21 6 6 3" xfId="28202"/>
    <cellStyle name="표준 21 6 7" xfId="7701"/>
    <cellStyle name="표준 21 6 7 2" xfId="16707"/>
    <cellStyle name="표준 21 6 7 2 2" xfId="37583"/>
    <cellStyle name="표준 21 6 7 3" xfId="28845"/>
    <cellStyle name="표준 21 6 8" xfId="8549"/>
    <cellStyle name="표준 21 6 8 2" xfId="17554"/>
    <cellStyle name="표준 21 6 8 2 2" xfId="38430"/>
    <cellStyle name="표준 21 6 8 3" xfId="29692"/>
    <cellStyle name="표준 21 6 9" xfId="9373"/>
    <cellStyle name="표준 21 6 9 2" xfId="18372"/>
    <cellStyle name="표준 21 6 9 2 2" xfId="39248"/>
    <cellStyle name="표준 21 6 9 3" xfId="30510"/>
    <cellStyle name="표준 21 7" xfId="2969"/>
    <cellStyle name="표준 21 7 10" xfId="10430"/>
    <cellStyle name="표준 21 7 10 2" xfId="19201"/>
    <cellStyle name="표준 21 7 10 2 2" xfId="40077"/>
    <cellStyle name="표준 21 7 10 3" xfId="31341"/>
    <cellStyle name="표준 21 7 11" xfId="11296"/>
    <cellStyle name="표준 21 7 11 2" xfId="20062"/>
    <cellStyle name="표준 21 7 11 2 2" xfId="40938"/>
    <cellStyle name="표준 21 7 11 3" xfId="32202"/>
    <cellStyle name="표준 21 7 12" xfId="12444"/>
    <cellStyle name="표준 21 7 12 2" xfId="33322"/>
    <cellStyle name="표준 21 7 13" xfId="24572"/>
    <cellStyle name="표준 21 7 2" xfId="3187"/>
    <cellStyle name="표준 21 7 2 10" xfId="11506"/>
    <cellStyle name="표준 21 7 2 10 2" xfId="20272"/>
    <cellStyle name="표준 21 7 2 10 2 2" xfId="41148"/>
    <cellStyle name="표준 21 7 2 10 3" xfId="32412"/>
    <cellStyle name="표준 21 7 2 11" xfId="12655"/>
    <cellStyle name="표준 21 7 2 11 2" xfId="33532"/>
    <cellStyle name="표준 21 7 2 12" xfId="24782"/>
    <cellStyle name="표준 21 7 2 2" xfId="3629"/>
    <cellStyle name="표준 21 7 2 2 2" xfId="5902"/>
    <cellStyle name="표준 21 7 2 2 2 2" xfId="14911"/>
    <cellStyle name="표준 21 7 2 2 2 2 2" xfId="35787"/>
    <cellStyle name="표준 21 7 2 2 2 3" xfId="27049"/>
    <cellStyle name="표준 21 7 2 2 3" xfId="13092"/>
    <cellStyle name="표준 21 7 2 2 3 2" xfId="33969"/>
    <cellStyle name="표준 21 7 2 2 4" xfId="25219"/>
    <cellStyle name="표준 21 7 2 3" xfId="4790"/>
    <cellStyle name="표준 21 7 2 3 2" xfId="6622"/>
    <cellStyle name="표준 21 7 2 3 2 2" xfId="15631"/>
    <cellStyle name="표준 21 7 2 3 2 2 2" xfId="36507"/>
    <cellStyle name="표준 21 7 2 3 2 3" xfId="27769"/>
    <cellStyle name="표준 21 7 2 3 3" xfId="13813"/>
    <cellStyle name="표준 21 7 2 3 3 2" xfId="34689"/>
    <cellStyle name="표준 21 7 2 3 4" xfId="25951"/>
    <cellStyle name="표준 21 7 2 4" xfId="5465"/>
    <cellStyle name="표준 21 7 2 4 2" xfId="14474"/>
    <cellStyle name="표준 21 7 2 4 2 2" xfId="35350"/>
    <cellStyle name="표준 21 7 2 4 3" xfId="26612"/>
    <cellStyle name="표준 21 7 2 5" xfId="7268"/>
    <cellStyle name="표준 21 7 2 5 2" xfId="16275"/>
    <cellStyle name="표준 21 7 2 5 2 2" xfId="37151"/>
    <cellStyle name="표준 21 7 2 5 3" xfId="28413"/>
    <cellStyle name="표준 21 7 2 6" xfId="7912"/>
    <cellStyle name="표준 21 7 2 6 2" xfId="16918"/>
    <cellStyle name="표준 21 7 2 6 2 2" xfId="37794"/>
    <cellStyle name="표준 21 7 2 6 3" xfId="29056"/>
    <cellStyle name="표준 21 7 2 7" xfId="8760"/>
    <cellStyle name="표준 21 7 2 7 2" xfId="17765"/>
    <cellStyle name="표준 21 7 2 7 2 2" xfId="38641"/>
    <cellStyle name="표준 21 7 2 7 3" xfId="29903"/>
    <cellStyle name="표준 21 7 2 8" xfId="9585"/>
    <cellStyle name="표준 21 7 2 8 2" xfId="18583"/>
    <cellStyle name="표준 21 7 2 8 2 2" xfId="39459"/>
    <cellStyle name="표준 21 7 2 8 3" xfId="30721"/>
    <cellStyle name="표준 21 7 2 9" xfId="10640"/>
    <cellStyle name="표준 21 7 2 9 2" xfId="19411"/>
    <cellStyle name="표준 21 7 2 9 2 2" xfId="40287"/>
    <cellStyle name="표준 21 7 2 9 3" xfId="31551"/>
    <cellStyle name="표준 21 7 3" xfId="3419"/>
    <cellStyle name="표준 21 7 3 10" xfId="12882"/>
    <cellStyle name="표준 21 7 3 10 2" xfId="33759"/>
    <cellStyle name="표준 21 7 3 11" xfId="25009"/>
    <cellStyle name="표준 21 7 3 2" xfId="5012"/>
    <cellStyle name="표준 21 7 3 2 2" xfId="6839"/>
    <cellStyle name="표준 21 7 3 2 2 2" xfId="15848"/>
    <cellStyle name="표준 21 7 3 2 2 2 2" xfId="36724"/>
    <cellStyle name="표준 21 7 3 2 2 3" xfId="27986"/>
    <cellStyle name="표준 21 7 3 2 3" xfId="14030"/>
    <cellStyle name="표준 21 7 3 2 3 2" xfId="34906"/>
    <cellStyle name="표준 21 7 3 2 4" xfId="26168"/>
    <cellStyle name="표준 21 7 3 3" xfId="5692"/>
    <cellStyle name="표준 21 7 3 3 2" xfId="14701"/>
    <cellStyle name="표준 21 7 3 3 2 2" xfId="35577"/>
    <cellStyle name="표준 21 7 3 3 3" xfId="26839"/>
    <cellStyle name="표준 21 7 3 4" xfId="7485"/>
    <cellStyle name="표준 21 7 3 4 2" xfId="16492"/>
    <cellStyle name="표준 21 7 3 4 2 2" xfId="37368"/>
    <cellStyle name="표준 21 7 3 4 3" xfId="28630"/>
    <cellStyle name="표준 21 7 3 5" xfId="8129"/>
    <cellStyle name="표준 21 7 3 5 2" xfId="17135"/>
    <cellStyle name="표준 21 7 3 5 2 2" xfId="38011"/>
    <cellStyle name="표준 21 7 3 5 3" xfId="29273"/>
    <cellStyle name="표준 21 7 3 6" xfId="8977"/>
    <cellStyle name="표준 21 7 3 6 2" xfId="17982"/>
    <cellStyle name="표준 21 7 3 6 2 2" xfId="38858"/>
    <cellStyle name="표준 21 7 3 6 3" xfId="30120"/>
    <cellStyle name="표준 21 7 3 7" xfId="9802"/>
    <cellStyle name="표준 21 7 3 7 2" xfId="18800"/>
    <cellStyle name="표준 21 7 3 7 2 2" xfId="39676"/>
    <cellStyle name="표준 21 7 3 7 3" xfId="30938"/>
    <cellStyle name="표준 21 7 3 8" xfId="10857"/>
    <cellStyle name="표준 21 7 3 8 2" xfId="19628"/>
    <cellStyle name="표준 21 7 3 8 2 2" xfId="40504"/>
    <cellStyle name="표준 21 7 3 8 3" xfId="31768"/>
    <cellStyle name="표준 21 7 3 9" xfId="11723"/>
    <cellStyle name="표준 21 7 3 9 2" xfId="20489"/>
    <cellStyle name="표준 21 7 3 9 2 2" xfId="41365"/>
    <cellStyle name="표준 21 7 3 9 3" xfId="32629"/>
    <cellStyle name="표준 21 7 4" xfId="4578"/>
    <cellStyle name="표준 21 7 4 2" xfId="6412"/>
    <cellStyle name="표준 21 7 4 2 2" xfId="15421"/>
    <cellStyle name="표준 21 7 4 2 2 2" xfId="36297"/>
    <cellStyle name="표준 21 7 4 2 3" xfId="27559"/>
    <cellStyle name="표준 21 7 4 3" xfId="11075"/>
    <cellStyle name="표준 21 7 4 3 2" xfId="19845"/>
    <cellStyle name="표준 21 7 4 3 2 2" xfId="40721"/>
    <cellStyle name="표준 21 7 4 3 3" xfId="31985"/>
    <cellStyle name="표준 21 7 4 4" xfId="11940"/>
    <cellStyle name="표준 21 7 4 4 2" xfId="20706"/>
    <cellStyle name="표준 21 7 4 4 2 2" xfId="41582"/>
    <cellStyle name="표준 21 7 4 4 3" xfId="32846"/>
    <cellStyle name="표준 21 7 4 5" xfId="13603"/>
    <cellStyle name="표준 21 7 4 5 2" xfId="34479"/>
    <cellStyle name="표준 21 7 4 6" xfId="25741"/>
    <cellStyle name="표준 21 7 5" xfId="5255"/>
    <cellStyle name="표준 21 7 5 2" xfId="14264"/>
    <cellStyle name="표준 21 7 5 2 2" xfId="35140"/>
    <cellStyle name="표준 21 7 5 3" xfId="26402"/>
    <cellStyle name="표준 21 7 6" xfId="7057"/>
    <cellStyle name="표준 21 7 6 2" xfId="16065"/>
    <cellStyle name="표준 21 7 6 2 2" xfId="36941"/>
    <cellStyle name="표준 21 7 6 3" xfId="28203"/>
    <cellStyle name="표준 21 7 7" xfId="7702"/>
    <cellStyle name="표준 21 7 7 2" xfId="16708"/>
    <cellStyle name="표준 21 7 7 2 2" xfId="37584"/>
    <cellStyle name="표준 21 7 7 3" xfId="28846"/>
    <cellStyle name="표준 21 7 8" xfId="8550"/>
    <cellStyle name="표준 21 7 8 2" xfId="17555"/>
    <cellStyle name="표준 21 7 8 2 2" xfId="38431"/>
    <cellStyle name="표준 21 7 8 3" xfId="29693"/>
    <cellStyle name="표준 21 7 9" xfId="9374"/>
    <cellStyle name="표준 21 7 9 2" xfId="18373"/>
    <cellStyle name="표준 21 7 9 2 2" xfId="39249"/>
    <cellStyle name="표준 21 7 9 3" xfId="30511"/>
    <cellStyle name="표준 21 8" xfId="3181"/>
    <cellStyle name="표준 21 8 10" xfId="11500"/>
    <cellStyle name="표준 21 8 10 2" xfId="20266"/>
    <cellStyle name="표준 21 8 10 2 2" xfId="41142"/>
    <cellStyle name="표준 21 8 10 3" xfId="32406"/>
    <cellStyle name="표준 21 8 11" xfId="12649"/>
    <cellStyle name="표준 21 8 11 2" xfId="33526"/>
    <cellStyle name="표준 21 8 12" xfId="24776"/>
    <cellStyle name="표준 21 8 2" xfId="3623"/>
    <cellStyle name="표준 21 8 2 2" xfId="5896"/>
    <cellStyle name="표준 21 8 2 2 2" xfId="14905"/>
    <cellStyle name="표준 21 8 2 2 2 2" xfId="35781"/>
    <cellStyle name="표준 21 8 2 2 3" xfId="27043"/>
    <cellStyle name="표준 21 8 2 3" xfId="13086"/>
    <cellStyle name="표준 21 8 2 3 2" xfId="33963"/>
    <cellStyle name="표준 21 8 2 4" xfId="25213"/>
    <cellStyle name="표준 21 8 3" xfId="4784"/>
    <cellStyle name="표준 21 8 3 2" xfId="6616"/>
    <cellStyle name="표준 21 8 3 2 2" xfId="15625"/>
    <cellStyle name="표준 21 8 3 2 2 2" xfId="36501"/>
    <cellStyle name="표준 21 8 3 2 3" xfId="27763"/>
    <cellStyle name="표준 21 8 3 3" xfId="13807"/>
    <cellStyle name="표준 21 8 3 3 2" xfId="34683"/>
    <cellStyle name="표준 21 8 3 4" xfId="25945"/>
    <cellStyle name="표준 21 8 4" xfId="5459"/>
    <cellStyle name="표준 21 8 4 2" xfId="14468"/>
    <cellStyle name="표준 21 8 4 2 2" xfId="35344"/>
    <cellStyle name="표준 21 8 4 3" xfId="26606"/>
    <cellStyle name="표준 21 8 5" xfId="7262"/>
    <cellStyle name="표준 21 8 5 2" xfId="16269"/>
    <cellStyle name="표준 21 8 5 2 2" xfId="37145"/>
    <cellStyle name="표준 21 8 5 3" xfId="28407"/>
    <cellStyle name="표준 21 8 6" xfId="7906"/>
    <cellStyle name="표준 21 8 6 2" xfId="16912"/>
    <cellStyle name="표준 21 8 6 2 2" xfId="37788"/>
    <cellStyle name="표준 21 8 6 3" xfId="29050"/>
    <cellStyle name="표준 21 8 7" xfId="8754"/>
    <cellStyle name="표준 21 8 7 2" xfId="17759"/>
    <cellStyle name="표준 21 8 7 2 2" xfId="38635"/>
    <cellStyle name="표준 21 8 7 3" xfId="29897"/>
    <cellStyle name="표준 21 8 8" xfId="9579"/>
    <cellStyle name="표준 21 8 8 2" xfId="18577"/>
    <cellStyle name="표준 21 8 8 2 2" xfId="39453"/>
    <cellStyle name="표준 21 8 8 3" xfId="30715"/>
    <cellStyle name="표준 21 8 9" xfId="10634"/>
    <cellStyle name="표준 21 8 9 2" xfId="19405"/>
    <cellStyle name="표준 21 8 9 2 2" xfId="40281"/>
    <cellStyle name="표준 21 8 9 3" xfId="31545"/>
    <cellStyle name="표준 21 9" xfId="3413"/>
    <cellStyle name="표준 21 9 10" xfId="12876"/>
    <cellStyle name="표준 21 9 10 2" xfId="33753"/>
    <cellStyle name="표준 21 9 11" xfId="25003"/>
    <cellStyle name="표준 21 9 2" xfId="5006"/>
    <cellStyle name="표준 21 9 2 2" xfId="6833"/>
    <cellStyle name="표준 21 9 2 2 2" xfId="15842"/>
    <cellStyle name="표준 21 9 2 2 2 2" xfId="36718"/>
    <cellStyle name="표준 21 9 2 2 3" xfId="27980"/>
    <cellStyle name="표준 21 9 2 3" xfId="14024"/>
    <cellStyle name="표준 21 9 2 3 2" xfId="34900"/>
    <cellStyle name="표준 21 9 2 4" xfId="26162"/>
    <cellStyle name="표준 21 9 3" xfId="5686"/>
    <cellStyle name="표준 21 9 3 2" xfId="14695"/>
    <cellStyle name="표준 21 9 3 2 2" xfId="35571"/>
    <cellStyle name="표준 21 9 3 3" xfId="26833"/>
    <cellStyle name="표준 21 9 4" xfId="7479"/>
    <cellStyle name="표준 21 9 4 2" xfId="16486"/>
    <cellStyle name="표준 21 9 4 2 2" xfId="37362"/>
    <cellStyle name="표준 21 9 4 3" xfId="28624"/>
    <cellStyle name="표준 21 9 5" xfId="8123"/>
    <cellStyle name="표준 21 9 5 2" xfId="17129"/>
    <cellStyle name="표준 21 9 5 2 2" xfId="38005"/>
    <cellStyle name="표준 21 9 5 3" xfId="29267"/>
    <cellStyle name="표준 21 9 6" xfId="8971"/>
    <cellStyle name="표준 21 9 6 2" xfId="17976"/>
    <cellStyle name="표준 21 9 6 2 2" xfId="38852"/>
    <cellStyle name="표준 21 9 6 3" xfId="30114"/>
    <cellStyle name="표준 21 9 7" xfId="9796"/>
    <cellStyle name="표준 21 9 7 2" xfId="18794"/>
    <cellStyle name="표준 21 9 7 2 2" xfId="39670"/>
    <cellStyle name="표준 21 9 7 3" xfId="30932"/>
    <cellStyle name="표준 21 9 8" xfId="10851"/>
    <cellStyle name="표준 21 9 8 2" xfId="19622"/>
    <cellStyle name="표준 21 9 8 2 2" xfId="40498"/>
    <cellStyle name="표준 21 9 8 3" xfId="31762"/>
    <cellStyle name="표준 21 9 9" xfId="11717"/>
    <cellStyle name="표준 21 9 9 2" xfId="20483"/>
    <cellStyle name="표준 21 9 9 2 2" xfId="41359"/>
    <cellStyle name="표준 21 9 9 3" xfId="32623"/>
    <cellStyle name="표준 22" xfId="2970"/>
    <cellStyle name="표준 22 10" xfId="4579"/>
    <cellStyle name="표준 22 10 2" xfId="6413"/>
    <cellStyle name="표준 22 10 2 2" xfId="15422"/>
    <cellStyle name="표준 22 10 2 2 2" xfId="36298"/>
    <cellStyle name="표준 22 10 2 3" xfId="27560"/>
    <cellStyle name="표준 22 10 3" xfId="11076"/>
    <cellStyle name="표준 22 10 3 2" xfId="19846"/>
    <cellStyle name="표준 22 10 3 2 2" xfId="40722"/>
    <cellStyle name="표준 22 10 3 3" xfId="31986"/>
    <cellStyle name="표준 22 10 4" xfId="11941"/>
    <cellStyle name="표준 22 10 4 2" xfId="20707"/>
    <cellStyle name="표준 22 10 4 2 2" xfId="41583"/>
    <cellStyle name="표준 22 10 4 3" xfId="32847"/>
    <cellStyle name="표준 22 10 5" xfId="13604"/>
    <cellStyle name="표준 22 10 5 2" xfId="34480"/>
    <cellStyle name="표준 22 10 6" xfId="25742"/>
    <cellStyle name="표준 22 11" xfId="5256"/>
    <cellStyle name="표준 22 11 2" xfId="14265"/>
    <cellStyle name="표준 22 11 2 2" xfId="35141"/>
    <cellStyle name="표준 22 11 3" xfId="26403"/>
    <cellStyle name="표준 22 12" xfId="7058"/>
    <cellStyle name="표준 22 12 2" xfId="16066"/>
    <cellStyle name="표준 22 12 2 2" xfId="36942"/>
    <cellStyle name="표준 22 12 3" xfId="28204"/>
    <cellStyle name="표준 22 13" xfId="7703"/>
    <cellStyle name="표준 22 13 2" xfId="16709"/>
    <cellStyle name="표준 22 13 2 2" xfId="37585"/>
    <cellStyle name="표준 22 13 3" xfId="28847"/>
    <cellStyle name="표준 22 14" xfId="8551"/>
    <cellStyle name="표준 22 14 2" xfId="17556"/>
    <cellStyle name="표준 22 14 2 2" xfId="38432"/>
    <cellStyle name="표준 22 14 3" xfId="29694"/>
    <cellStyle name="표준 22 15" xfId="9375"/>
    <cellStyle name="표준 22 15 2" xfId="18374"/>
    <cellStyle name="표준 22 15 2 2" xfId="39250"/>
    <cellStyle name="표준 22 15 3" xfId="30512"/>
    <cellStyle name="표준 22 16" xfId="10431"/>
    <cellStyle name="표준 22 16 2" xfId="19202"/>
    <cellStyle name="표준 22 16 2 2" xfId="40078"/>
    <cellStyle name="표준 22 16 3" xfId="31342"/>
    <cellStyle name="표준 22 17" xfId="11297"/>
    <cellStyle name="표준 22 17 2" xfId="20063"/>
    <cellStyle name="표준 22 17 2 2" xfId="40939"/>
    <cellStyle name="표준 22 17 3" xfId="32203"/>
    <cellStyle name="표준 22 18" xfId="12445"/>
    <cellStyle name="표준 22 18 2" xfId="33323"/>
    <cellStyle name="표준 22 19" xfId="24573"/>
    <cellStyle name="표준 22 2" xfId="2971"/>
    <cellStyle name="표준 22 2 10" xfId="10432"/>
    <cellStyle name="표준 22 2 10 2" xfId="19203"/>
    <cellStyle name="표준 22 2 10 2 2" xfId="40079"/>
    <cellStyle name="표준 22 2 10 3" xfId="31343"/>
    <cellStyle name="표준 22 2 11" xfId="11298"/>
    <cellStyle name="표준 22 2 11 2" xfId="20064"/>
    <cellStyle name="표준 22 2 11 2 2" xfId="40940"/>
    <cellStyle name="표준 22 2 11 3" xfId="32204"/>
    <cellStyle name="표준 22 2 12" xfId="12446"/>
    <cellStyle name="표준 22 2 12 2" xfId="33324"/>
    <cellStyle name="표준 22 2 13" xfId="24574"/>
    <cellStyle name="표준 22 2 2" xfId="3189"/>
    <cellStyle name="표준 22 2 2 10" xfId="11508"/>
    <cellStyle name="표준 22 2 2 10 2" xfId="20274"/>
    <cellStyle name="표준 22 2 2 10 2 2" xfId="41150"/>
    <cellStyle name="표준 22 2 2 10 3" xfId="32414"/>
    <cellStyle name="표준 22 2 2 11" xfId="12657"/>
    <cellStyle name="표준 22 2 2 11 2" xfId="33534"/>
    <cellStyle name="표준 22 2 2 12" xfId="24784"/>
    <cellStyle name="표준 22 2 2 2" xfId="3631"/>
    <cellStyle name="표준 22 2 2 2 2" xfId="5904"/>
    <cellStyle name="표준 22 2 2 2 2 2" xfId="14913"/>
    <cellStyle name="표준 22 2 2 2 2 2 2" xfId="35789"/>
    <cellStyle name="표준 22 2 2 2 2 3" xfId="27051"/>
    <cellStyle name="표준 22 2 2 2 3" xfId="13094"/>
    <cellStyle name="표준 22 2 2 2 3 2" xfId="33971"/>
    <cellStyle name="표준 22 2 2 2 4" xfId="25221"/>
    <cellStyle name="표준 22 2 2 3" xfId="4792"/>
    <cellStyle name="표준 22 2 2 3 2" xfId="6624"/>
    <cellStyle name="표준 22 2 2 3 2 2" xfId="15633"/>
    <cellStyle name="표준 22 2 2 3 2 2 2" xfId="36509"/>
    <cellStyle name="표준 22 2 2 3 2 3" xfId="27771"/>
    <cellStyle name="표준 22 2 2 3 3" xfId="13815"/>
    <cellStyle name="표준 22 2 2 3 3 2" xfId="34691"/>
    <cellStyle name="표준 22 2 2 3 4" xfId="25953"/>
    <cellStyle name="표준 22 2 2 4" xfId="5467"/>
    <cellStyle name="표준 22 2 2 4 2" xfId="14476"/>
    <cellStyle name="표준 22 2 2 4 2 2" xfId="35352"/>
    <cellStyle name="표준 22 2 2 4 3" xfId="26614"/>
    <cellStyle name="표준 22 2 2 5" xfId="7270"/>
    <cellStyle name="표준 22 2 2 5 2" xfId="16277"/>
    <cellStyle name="표준 22 2 2 5 2 2" xfId="37153"/>
    <cellStyle name="표준 22 2 2 5 3" xfId="28415"/>
    <cellStyle name="표준 22 2 2 6" xfId="7914"/>
    <cellStyle name="표준 22 2 2 6 2" xfId="16920"/>
    <cellStyle name="표준 22 2 2 6 2 2" xfId="37796"/>
    <cellStyle name="표준 22 2 2 6 3" xfId="29058"/>
    <cellStyle name="표준 22 2 2 7" xfId="8762"/>
    <cellStyle name="표준 22 2 2 7 2" xfId="17767"/>
    <cellStyle name="표준 22 2 2 7 2 2" xfId="38643"/>
    <cellStyle name="표준 22 2 2 7 3" xfId="29905"/>
    <cellStyle name="표준 22 2 2 8" xfId="9587"/>
    <cellStyle name="표준 22 2 2 8 2" xfId="18585"/>
    <cellStyle name="표준 22 2 2 8 2 2" xfId="39461"/>
    <cellStyle name="표준 22 2 2 8 3" xfId="30723"/>
    <cellStyle name="표준 22 2 2 9" xfId="10642"/>
    <cellStyle name="표준 22 2 2 9 2" xfId="19413"/>
    <cellStyle name="표준 22 2 2 9 2 2" xfId="40289"/>
    <cellStyle name="표준 22 2 2 9 3" xfId="31553"/>
    <cellStyle name="표준 22 2 3" xfId="3421"/>
    <cellStyle name="표준 22 2 3 10" xfId="12884"/>
    <cellStyle name="표준 22 2 3 10 2" xfId="33761"/>
    <cellStyle name="표준 22 2 3 11" xfId="25011"/>
    <cellStyle name="표준 22 2 3 2" xfId="5014"/>
    <cellStyle name="표준 22 2 3 2 2" xfId="6841"/>
    <cellStyle name="표준 22 2 3 2 2 2" xfId="15850"/>
    <cellStyle name="표준 22 2 3 2 2 2 2" xfId="36726"/>
    <cellStyle name="표준 22 2 3 2 2 3" xfId="27988"/>
    <cellStyle name="표준 22 2 3 2 3" xfId="14032"/>
    <cellStyle name="표준 22 2 3 2 3 2" xfId="34908"/>
    <cellStyle name="표준 22 2 3 2 4" xfId="26170"/>
    <cellStyle name="표준 22 2 3 3" xfId="5694"/>
    <cellStyle name="표준 22 2 3 3 2" xfId="14703"/>
    <cellStyle name="표준 22 2 3 3 2 2" xfId="35579"/>
    <cellStyle name="표준 22 2 3 3 3" xfId="26841"/>
    <cellStyle name="표준 22 2 3 4" xfId="7487"/>
    <cellStyle name="표준 22 2 3 4 2" xfId="16494"/>
    <cellStyle name="표준 22 2 3 4 2 2" xfId="37370"/>
    <cellStyle name="표준 22 2 3 4 3" xfId="28632"/>
    <cellStyle name="표준 22 2 3 5" xfId="8131"/>
    <cellStyle name="표준 22 2 3 5 2" xfId="17137"/>
    <cellStyle name="표준 22 2 3 5 2 2" xfId="38013"/>
    <cellStyle name="표준 22 2 3 5 3" xfId="29275"/>
    <cellStyle name="표준 22 2 3 6" xfId="8979"/>
    <cellStyle name="표준 22 2 3 6 2" xfId="17984"/>
    <cellStyle name="표준 22 2 3 6 2 2" xfId="38860"/>
    <cellStyle name="표준 22 2 3 6 3" xfId="30122"/>
    <cellStyle name="표준 22 2 3 7" xfId="9804"/>
    <cellStyle name="표준 22 2 3 7 2" xfId="18802"/>
    <cellStyle name="표준 22 2 3 7 2 2" xfId="39678"/>
    <cellStyle name="표준 22 2 3 7 3" xfId="30940"/>
    <cellStyle name="표준 22 2 3 8" xfId="10859"/>
    <cellStyle name="표준 22 2 3 8 2" xfId="19630"/>
    <cellStyle name="표준 22 2 3 8 2 2" xfId="40506"/>
    <cellStyle name="표준 22 2 3 8 3" xfId="31770"/>
    <cellStyle name="표준 22 2 3 9" xfId="11725"/>
    <cellStyle name="표준 22 2 3 9 2" xfId="20491"/>
    <cellStyle name="표준 22 2 3 9 2 2" xfId="41367"/>
    <cellStyle name="표준 22 2 3 9 3" xfId="32631"/>
    <cellStyle name="표준 22 2 4" xfId="4580"/>
    <cellStyle name="표준 22 2 4 2" xfId="6414"/>
    <cellStyle name="표준 22 2 4 2 2" xfId="15423"/>
    <cellStyle name="표준 22 2 4 2 2 2" xfId="36299"/>
    <cellStyle name="표준 22 2 4 2 3" xfId="27561"/>
    <cellStyle name="표준 22 2 4 3" xfId="11077"/>
    <cellStyle name="표준 22 2 4 3 2" xfId="19847"/>
    <cellStyle name="표준 22 2 4 3 2 2" xfId="40723"/>
    <cellStyle name="표준 22 2 4 3 3" xfId="31987"/>
    <cellStyle name="표준 22 2 4 4" xfId="11942"/>
    <cellStyle name="표준 22 2 4 4 2" xfId="20708"/>
    <cellStyle name="표준 22 2 4 4 2 2" xfId="41584"/>
    <cellStyle name="표준 22 2 4 4 3" xfId="32848"/>
    <cellStyle name="표준 22 2 4 5" xfId="13605"/>
    <cellStyle name="표준 22 2 4 5 2" xfId="34481"/>
    <cellStyle name="표준 22 2 4 6" xfId="25743"/>
    <cellStyle name="표준 22 2 5" xfId="5257"/>
    <cellStyle name="표준 22 2 5 2" xfId="14266"/>
    <cellStyle name="표준 22 2 5 2 2" xfId="35142"/>
    <cellStyle name="표준 22 2 5 3" xfId="26404"/>
    <cellStyle name="표준 22 2 6" xfId="7059"/>
    <cellStyle name="표준 22 2 6 2" xfId="16067"/>
    <cellStyle name="표준 22 2 6 2 2" xfId="36943"/>
    <cellStyle name="표준 22 2 6 3" xfId="28205"/>
    <cellStyle name="표준 22 2 7" xfId="7704"/>
    <cellStyle name="표준 22 2 7 2" xfId="16710"/>
    <cellStyle name="표준 22 2 7 2 2" xfId="37586"/>
    <cellStyle name="표준 22 2 7 3" xfId="28848"/>
    <cellStyle name="표준 22 2 8" xfId="8552"/>
    <cellStyle name="표준 22 2 8 2" xfId="17557"/>
    <cellStyle name="표준 22 2 8 2 2" xfId="38433"/>
    <cellStyle name="표준 22 2 8 3" xfId="29695"/>
    <cellStyle name="표준 22 2 9" xfId="9376"/>
    <cellStyle name="표준 22 2 9 2" xfId="18375"/>
    <cellStyle name="표준 22 2 9 2 2" xfId="39251"/>
    <cellStyle name="표준 22 2 9 3" xfId="30513"/>
    <cellStyle name="표준 22 3" xfId="2972"/>
    <cellStyle name="표준 22 3 10" xfId="10433"/>
    <cellStyle name="표준 22 3 10 2" xfId="19204"/>
    <cellStyle name="표준 22 3 10 2 2" xfId="40080"/>
    <cellStyle name="표준 22 3 10 3" xfId="31344"/>
    <cellStyle name="표준 22 3 11" xfId="11299"/>
    <cellStyle name="표준 22 3 11 2" xfId="20065"/>
    <cellStyle name="표준 22 3 11 2 2" xfId="40941"/>
    <cellStyle name="표준 22 3 11 3" xfId="32205"/>
    <cellStyle name="표준 22 3 12" xfId="12447"/>
    <cellStyle name="표준 22 3 12 2" xfId="33325"/>
    <cellStyle name="표준 22 3 13" xfId="24575"/>
    <cellStyle name="표준 22 3 2" xfId="3190"/>
    <cellStyle name="표준 22 3 2 10" xfId="11509"/>
    <cellStyle name="표준 22 3 2 10 2" xfId="20275"/>
    <cellStyle name="표준 22 3 2 10 2 2" xfId="41151"/>
    <cellStyle name="표준 22 3 2 10 3" xfId="32415"/>
    <cellStyle name="표준 22 3 2 11" xfId="12658"/>
    <cellStyle name="표준 22 3 2 11 2" xfId="33535"/>
    <cellStyle name="표준 22 3 2 12" xfId="24785"/>
    <cellStyle name="표준 22 3 2 2" xfId="3632"/>
    <cellStyle name="표준 22 3 2 2 2" xfId="5905"/>
    <cellStyle name="표준 22 3 2 2 2 2" xfId="14914"/>
    <cellStyle name="표준 22 3 2 2 2 2 2" xfId="35790"/>
    <cellStyle name="표준 22 3 2 2 2 3" xfId="27052"/>
    <cellStyle name="표준 22 3 2 2 3" xfId="13095"/>
    <cellStyle name="표준 22 3 2 2 3 2" xfId="33972"/>
    <cellStyle name="표준 22 3 2 2 4" xfId="25222"/>
    <cellStyle name="표준 22 3 2 3" xfId="4793"/>
    <cellStyle name="표준 22 3 2 3 2" xfId="6625"/>
    <cellStyle name="표준 22 3 2 3 2 2" xfId="15634"/>
    <cellStyle name="표준 22 3 2 3 2 2 2" xfId="36510"/>
    <cellStyle name="표준 22 3 2 3 2 3" xfId="27772"/>
    <cellStyle name="표준 22 3 2 3 3" xfId="13816"/>
    <cellStyle name="표준 22 3 2 3 3 2" xfId="34692"/>
    <cellStyle name="표준 22 3 2 3 4" xfId="25954"/>
    <cellStyle name="표준 22 3 2 4" xfId="5468"/>
    <cellStyle name="표준 22 3 2 4 2" xfId="14477"/>
    <cellStyle name="표준 22 3 2 4 2 2" xfId="35353"/>
    <cellStyle name="표준 22 3 2 4 3" xfId="26615"/>
    <cellStyle name="표준 22 3 2 5" xfId="7271"/>
    <cellStyle name="표준 22 3 2 5 2" xfId="16278"/>
    <cellStyle name="표준 22 3 2 5 2 2" xfId="37154"/>
    <cellStyle name="표준 22 3 2 5 3" xfId="28416"/>
    <cellStyle name="표준 22 3 2 6" xfId="7915"/>
    <cellStyle name="표준 22 3 2 6 2" xfId="16921"/>
    <cellStyle name="표준 22 3 2 6 2 2" xfId="37797"/>
    <cellStyle name="표준 22 3 2 6 3" xfId="29059"/>
    <cellStyle name="표준 22 3 2 7" xfId="8763"/>
    <cellStyle name="표준 22 3 2 7 2" xfId="17768"/>
    <cellStyle name="표준 22 3 2 7 2 2" xfId="38644"/>
    <cellStyle name="표준 22 3 2 7 3" xfId="29906"/>
    <cellStyle name="표준 22 3 2 8" xfId="9588"/>
    <cellStyle name="표준 22 3 2 8 2" xfId="18586"/>
    <cellStyle name="표준 22 3 2 8 2 2" xfId="39462"/>
    <cellStyle name="표준 22 3 2 8 3" xfId="30724"/>
    <cellStyle name="표준 22 3 2 9" xfId="10643"/>
    <cellStyle name="표준 22 3 2 9 2" xfId="19414"/>
    <cellStyle name="표준 22 3 2 9 2 2" xfId="40290"/>
    <cellStyle name="표준 22 3 2 9 3" xfId="31554"/>
    <cellStyle name="표준 22 3 3" xfId="3422"/>
    <cellStyle name="표준 22 3 3 10" xfId="12885"/>
    <cellStyle name="표준 22 3 3 10 2" xfId="33762"/>
    <cellStyle name="표준 22 3 3 11" xfId="25012"/>
    <cellStyle name="표준 22 3 3 2" xfId="5015"/>
    <cellStyle name="표준 22 3 3 2 2" xfId="6842"/>
    <cellStyle name="표준 22 3 3 2 2 2" xfId="15851"/>
    <cellStyle name="표준 22 3 3 2 2 2 2" xfId="36727"/>
    <cellStyle name="표준 22 3 3 2 2 3" xfId="27989"/>
    <cellStyle name="표준 22 3 3 2 3" xfId="14033"/>
    <cellStyle name="표준 22 3 3 2 3 2" xfId="34909"/>
    <cellStyle name="표준 22 3 3 2 4" xfId="26171"/>
    <cellStyle name="표준 22 3 3 3" xfId="5695"/>
    <cellStyle name="표준 22 3 3 3 2" xfId="14704"/>
    <cellStyle name="표준 22 3 3 3 2 2" xfId="35580"/>
    <cellStyle name="표준 22 3 3 3 3" xfId="26842"/>
    <cellStyle name="표준 22 3 3 4" xfId="7488"/>
    <cellStyle name="표준 22 3 3 4 2" xfId="16495"/>
    <cellStyle name="표준 22 3 3 4 2 2" xfId="37371"/>
    <cellStyle name="표준 22 3 3 4 3" xfId="28633"/>
    <cellStyle name="표준 22 3 3 5" xfId="8132"/>
    <cellStyle name="표준 22 3 3 5 2" xfId="17138"/>
    <cellStyle name="표준 22 3 3 5 2 2" xfId="38014"/>
    <cellStyle name="표준 22 3 3 5 3" xfId="29276"/>
    <cellStyle name="표준 22 3 3 6" xfId="8980"/>
    <cellStyle name="표준 22 3 3 6 2" xfId="17985"/>
    <cellStyle name="표준 22 3 3 6 2 2" xfId="38861"/>
    <cellStyle name="표준 22 3 3 6 3" xfId="30123"/>
    <cellStyle name="표준 22 3 3 7" xfId="9805"/>
    <cellStyle name="표준 22 3 3 7 2" xfId="18803"/>
    <cellStyle name="표준 22 3 3 7 2 2" xfId="39679"/>
    <cellStyle name="표준 22 3 3 7 3" xfId="30941"/>
    <cellStyle name="표준 22 3 3 8" xfId="10860"/>
    <cellStyle name="표준 22 3 3 8 2" xfId="19631"/>
    <cellStyle name="표준 22 3 3 8 2 2" xfId="40507"/>
    <cellStyle name="표준 22 3 3 8 3" xfId="31771"/>
    <cellStyle name="표준 22 3 3 9" xfId="11726"/>
    <cellStyle name="표준 22 3 3 9 2" xfId="20492"/>
    <cellStyle name="표준 22 3 3 9 2 2" xfId="41368"/>
    <cellStyle name="표준 22 3 3 9 3" xfId="32632"/>
    <cellStyle name="표준 22 3 4" xfId="4581"/>
    <cellStyle name="표준 22 3 4 2" xfId="6415"/>
    <cellStyle name="표준 22 3 4 2 2" xfId="15424"/>
    <cellStyle name="표준 22 3 4 2 2 2" xfId="36300"/>
    <cellStyle name="표준 22 3 4 2 3" xfId="27562"/>
    <cellStyle name="표준 22 3 4 3" xfId="11078"/>
    <cellStyle name="표준 22 3 4 3 2" xfId="19848"/>
    <cellStyle name="표준 22 3 4 3 2 2" xfId="40724"/>
    <cellStyle name="표준 22 3 4 3 3" xfId="31988"/>
    <cellStyle name="표준 22 3 4 4" xfId="11943"/>
    <cellStyle name="표준 22 3 4 4 2" xfId="20709"/>
    <cellStyle name="표준 22 3 4 4 2 2" xfId="41585"/>
    <cellStyle name="표준 22 3 4 4 3" xfId="32849"/>
    <cellStyle name="표준 22 3 4 5" xfId="13606"/>
    <cellStyle name="표준 22 3 4 5 2" xfId="34482"/>
    <cellStyle name="표준 22 3 4 6" xfId="25744"/>
    <cellStyle name="표준 22 3 5" xfId="5258"/>
    <cellStyle name="표준 22 3 5 2" xfId="14267"/>
    <cellStyle name="표준 22 3 5 2 2" xfId="35143"/>
    <cellStyle name="표준 22 3 5 3" xfId="26405"/>
    <cellStyle name="표준 22 3 6" xfId="7060"/>
    <cellStyle name="표준 22 3 6 2" xfId="16068"/>
    <cellStyle name="표준 22 3 6 2 2" xfId="36944"/>
    <cellStyle name="표준 22 3 6 3" xfId="28206"/>
    <cellStyle name="표준 22 3 7" xfId="7705"/>
    <cellStyle name="표준 22 3 7 2" xfId="16711"/>
    <cellStyle name="표준 22 3 7 2 2" xfId="37587"/>
    <cellStyle name="표준 22 3 7 3" xfId="28849"/>
    <cellStyle name="표준 22 3 8" xfId="8553"/>
    <cellStyle name="표준 22 3 8 2" xfId="17558"/>
    <cellStyle name="표준 22 3 8 2 2" xfId="38434"/>
    <cellStyle name="표준 22 3 8 3" xfId="29696"/>
    <cellStyle name="표준 22 3 9" xfId="9377"/>
    <cellStyle name="표준 22 3 9 2" xfId="18376"/>
    <cellStyle name="표준 22 3 9 2 2" xfId="39252"/>
    <cellStyle name="표준 22 3 9 3" xfId="30514"/>
    <cellStyle name="표준 22 4" xfId="2973"/>
    <cellStyle name="표준 22 4 10" xfId="10434"/>
    <cellStyle name="표준 22 4 10 2" xfId="19205"/>
    <cellStyle name="표준 22 4 10 2 2" xfId="40081"/>
    <cellStyle name="표준 22 4 10 3" xfId="31345"/>
    <cellStyle name="표준 22 4 11" xfId="11300"/>
    <cellStyle name="표준 22 4 11 2" xfId="20066"/>
    <cellStyle name="표준 22 4 11 2 2" xfId="40942"/>
    <cellStyle name="표준 22 4 11 3" xfId="32206"/>
    <cellStyle name="표준 22 4 12" xfId="12448"/>
    <cellStyle name="표준 22 4 12 2" xfId="33326"/>
    <cellStyle name="표준 22 4 13" xfId="24576"/>
    <cellStyle name="표준 22 4 2" xfId="3191"/>
    <cellStyle name="표준 22 4 2 10" xfId="11510"/>
    <cellStyle name="표준 22 4 2 10 2" xfId="20276"/>
    <cellStyle name="표준 22 4 2 10 2 2" xfId="41152"/>
    <cellStyle name="표준 22 4 2 10 3" xfId="32416"/>
    <cellStyle name="표준 22 4 2 11" xfId="12659"/>
    <cellStyle name="표준 22 4 2 11 2" xfId="33536"/>
    <cellStyle name="표준 22 4 2 12" xfId="24786"/>
    <cellStyle name="표준 22 4 2 2" xfId="3633"/>
    <cellStyle name="표준 22 4 2 2 2" xfId="5906"/>
    <cellStyle name="표준 22 4 2 2 2 2" xfId="14915"/>
    <cellStyle name="표준 22 4 2 2 2 2 2" xfId="35791"/>
    <cellStyle name="표준 22 4 2 2 2 3" xfId="27053"/>
    <cellStyle name="표준 22 4 2 2 3" xfId="13096"/>
    <cellStyle name="표준 22 4 2 2 3 2" xfId="33973"/>
    <cellStyle name="표준 22 4 2 2 4" xfId="25223"/>
    <cellStyle name="표준 22 4 2 3" xfId="4794"/>
    <cellStyle name="표준 22 4 2 3 2" xfId="6626"/>
    <cellStyle name="표준 22 4 2 3 2 2" xfId="15635"/>
    <cellStyle name="표준 22 4 2 3 2 2 2" xfId="36511"/>
    <cellStyle name="표준 22 4 2 3 2 3" xfId="27773"/>
    <cellStyle name="표준 22 4 2 3 3" xfId="13817"/>
    <cellStyle name="표준 22 4 2 3 3 2" xfId="34693"/>
    <cellStyle name="표준 22 4 2 3 4" xfId="25955"/>
    <cellStyle name="표준 22 4 2 4" xfId="5469"/>
    <cellStyle name="표준 22 4 2 4 2" xfId="14478"/>
    <cellStyle name="표준 22 4 2 4 2 2" xfId="35354"/>
    <cellStyle name="표준 22 4 2 4 3" xfId="26616"/>
    <cellStyle name="표준 22 4 2 5" xfId="7272"/>
    <cellStyle name="표준 22 4 2 5 2" xfId="16279"/>
    <cellStyle name="표준 22 4 2 5 2 2" xfId="37155"/>
    <cellStyle name="표준 22 4 2 5 3" xfId="28417"/>
    <cellStyle name="표준 22 4 2 6" xfId="7916"/>
    <cellStyle name="표준 22 4 2 6 2" xfId="16922"/>
    <cellStyle name="표준 22 4 2 6 2 2" xfId="37798"/>
    <cellStyle name="표준 22 4 2 6 3" xfId="29060"/>
    <cellStyle name="표준 22 4 2 7" xfId="8764"/>
    <cellStyle name="표준 22 4 2 7 2" xfId="17769"/>
    <cellStyle name="표준 22 4 2 7 2 2" xfId="38645"/>
    <cellStyle name="표준 22 4 2 7 3" xfId="29907"/>
    <cellStyle name="표준 22 4 2 8" xfId="9589"/>
    <cellStyle name="표준 22 4 2 8 2" xfId="18587"/>
    <cellStyle name="표준 22 4 2 8 2 2" xfId="39463"/>
    <cellStyle name="표준 22 4 2 8 3" xfId="30725"/>
    <cellStyle name="표준 22 4 2 9" xfId="10644"/>
    <cellStyle name="표준 22 4 2 9 2" xfId="19415"/>
    <cellStyle name="표준 22 4 2 9 2 2" xfId="40291"/>
    <cellStyle name="표준 22 4 2 9 3" xfId="31555"/>
    <cellStyle name="표준 22 4 3" xfId="3423"/>
    <cellStyle name="표준 22 4 3 10" xfId="12886"/>
    <cellStyle name="표준 22 4 3 10 2" xfId="33763"/>
    <cellStyle name="표준 22 4 3 11" xfId="25013"/>
    <cellStyle name="표준 22 4 3 2" xfId="5016"/>
    <cellStyle name="표준 22 4 3 2 2" xfId="6843"/>
    <cellStyle name="표준 22 4 3 2 2 2" xfId="15852"/>
    <cellStyle name="표준 22 4 3 2 2 2 2" xfId="36728"/>
    <cellStyle name="표준 22 4 3 2 2 3" xfId="27990"/>
    <cellStyle name="표준 22 4 3 2 3" xfId="14034"/>
    <cellStyle name="표준 22 4 3 2 3 2" xfId="34910"/>
    <cellStyle name="표준 22 4 3 2 4" xfId="26172"/>
    <cellStyle name="표준 22 4 3 3" xfId="5696"/>
    <cellStyle name="표준 22 4 3 3 2" xfId="14705"/>
    <cellStyle name="표준 22 4 3 3 2 2" xfId="35581"/>
    <cellStyle name="표준 22 4 3 3 3" xfId="26843"/>
    <cellStyle name="표준 22 4 3 4" xfId="7489"/>
    <cellStyle name="표준 22 4 3 4 2" xfId="16496"/>
    <cellStyle name="표준 22 4 3 4 2 2" xfId="37372"/>
    <cellStyle name="표준 22 4 3 4 3" xfId="28634"/>
    <cellStyle name="표준 22 4 3 5" xfId="8133"/>
    <cellStyle name="표준 22 4 3 5 2" xfId="17139"/>
    <cellStyle name="표준 22 4 3 5 2 2" xfId="38015"/>
    <cellStyle name="표준 22 4 3 5 3" xfId="29277"/>
    <cellStyle name="표준 22 4 3 6" xfId="8981"/>
    <cellStyle name="표준 22 4 3 6 2" xfId="17986"/>
    <cellStyle name="표준 22 4 3 6 2 2" xfId="38862"/>
    <cellStyle name="표준 22 4 3 6 3" xfId="30124"/>
    <cellStyle name="표준 22 4 3 7" xfId="9806"/>
    <cellStyle name="표준 22 4 3 7 2" xfId="18804"/>
    <cellStyle name="표준 22 4 3 7 2 2" xfId="39680"/>
    <cellStyle name="표준 22 4 3 7 3" xfId="30942"/>
    <cellStyle name="표준 22 4 3 8" xfId="10861"/>
    <cellStyle name="표준 22 4 3 8 2" xfId="19632"/>
    <cellStyle name="표준 22 4 3 8 2 2" xfId="40508"/>
    <cellStyle name="표준 22 4 3 8 3" xfId="31772"/>
    <cellStyle name="표준 22 4 3 9" xfId="11727"/>
    <cellStyle name="표준 22 4 3 9 2" xfId="20493"/>
    <cellStyle name="표준 22 4 3 9 2 2" xfId="41369"/>
    <cellStyle name="표준 22 4 3 9 3" xfId="32633"/>
    <cellStyle name="표준 22 4 4" xfId="4582"/>
    <cellStyle name="표준 22 4 4 2" xfId="6416"/>
    <cellStyle name="표준 22 4 4 2 2" xfId="15425"/>
    <cellStyle name="표준 22 4 4 2 2 2" xfId="36301"/>
    <cellStyle name="표준 22 4 4 2 3" xfId="27563"/>
    <cellStyle name="표준 22 4 4 3" xfId="11079"/>
    <cellStyle name="표준 22 4 4 3 2" xfId="19849"/>
    <cellStyle name="표준 22 4 4 3 2 2" xfId="40725"/>
    <cellStyle name="표준 22 4 4 3 3" xfId="31989"/>
    <cellStyle name="표준 22 4 4 4" xfId="11944"/>
    <cellStyle name="표준 22 4 4 4 2" xfId="20710"/>
    <cellStyle name="표준 22 4 4 4 2 2" xfId="41586"/>
    <cellStyle name="표준 22 4 4 4 3" xfId="32850"/>
    <cellStyle name="표준 22 4 4 5" xfId="13607"/>
    <cellStyle name="표준 22 4 4 5 2" xfId="34483"/>
    <cellStyle name="표준 22 4 4 6" xfId="25745"/>
    <cellStyle name="표준 22 4 5" xfId="5259"/>
    <cellStyle name="표준 22 4 5 2" xfId="14268"/>
    <cellStyle name="표준 22 4 5 2 2" xfId="35144"/>
    <cellStyle name="표준 22 4 5 3" xfId="26406"/>
    <cellStyle name="표준 22 4 6" xfId="7061"/>
    <cellStyle name="표준 22 4 6 2" xfId="16069"/>
    <cellStyle name="표준 22 4 6 2 2" xfId="36945"/>
    <cellStyle name="표준 22 4 6 3" xfId="28207"/>
    <cellStyle name="표준 22 4 7" xfId="7706"/>
    <cellStyle name="표준 22 4 7 2" xfId="16712"/>
    <cellStyle name="표준 22 4 7 2 2" xfId="37588"/>
    <cellStyle name="표준 22 4 7 3" xfId="28850"/>
    <cellStyle name="표준 22 4 8" xfId="8554"/>
    <cellStyle name="표준 22 4 8 2" xfId="17559"/>
    <cellStyle name="표준 22 4 8 2 2" xfId="38435"/>
    <cellStyle name="표준 22 4 8 3" xfId="29697"/>
    <cellStyle name="표준 22 4 9" xfId="9378"/>
    <cellStyle name="표준 22 4 9 2" xfId="18377"/>
    <cellStyle name="표준 22 4 9 2 2" xfId="39253"/>
    <cellStyle name="표준 22 4 9 3" xfId="30515"/>
    <cellStyle name="표준 22 5" xfId="2974"/>
    <cellStyle name="표준 22 5 10" xfId="10435"/>
    <cellStyle name="표준 22 5 10 2" xfId="19206"/>
    <cellStyle name="표준 22 5 10 2 2" xfId="40082"/>
    <cellStyle name="표준 22 5 10 3" xfId="31346"/>
    <cellStyle name="표준 22 5 11" xfId="11301"/>
    <cellStyle name="표준 22 5 11 2" xfId="20067"/>
    <cellStyle name="표준 22 5 11 2 2" xfId="40943"/>
    <cellStyle name="표준 22 5 11 3" xfId="32207"/>
    <cellStyle name="표준 22 5 12" xfId="12449"/>
    <cellStyle name="표준 22 5 12 2" xfId="33327"/>
    <cellStyle name="표준 22 5 13" xfId="24577"/>
    <cellStyle name="표준 22 5 2" xfId="3192"/>
    <cellStyle name="표준 22 5 2 10" xfId="11511"/>
    <cellStyle name="표준 22 5 2 10 2" xfId="20277"/>
    <cellStyle name="표준 22 5 2 10 2 2" xfId="41153"/>
    <cellStyle name="표준 22 5 2 10 3" xfId="32417"/>
    <cellStyle name="표준 22 5 2 11" xfId="12660"/>
    <cellStyle name="표준 22 5 2 11 2" xfId="33537"/>
    <cellStyle name="표준 22 5 2 12" xfId="24787"/>
    <cellStyle name="표준 22 5 2 2" xfId="3634"/>
    <cellStyle name="표준 22 5 2 2 2" xfId="5907"/>
    <cellStyle name="표준 22 5 2 2 2 2" xfId="14916"/>
    <cellStyle name="표준 22 5 2 2 2 2 2" xfId="35792"/>
    <cellStyle name="표준 22 5 2 2 2 3" xfId="27054"/>
    <cellStyle name="표준 22 5 2 2 3" xfId="13097"/>
    <cellStyle name="표준 22 5 2 2 3 2" xfId="33974"/>
    <cellStyle name="표준 22 5 2 2 4" xfId="25224"/>
    <cellStyle name="표준 22 5 2 3" xfId="4795"/>
    <cellStyle name="표준 22 5 2 3 2" xfId="6627"/>
    <cellStyle name="표준 22 5 2 3 2 2" xfId="15636"/>
    <cellStyle name="표준 22 5 2 3 2 2 2" xfId="36512"/>
    <cellStyle name="표준 22 5 2 3 2 3" xfId="27774"/>
    <cellStyle name="표준 22 5 2 3 3" xfId="13818"/>
    <cellStyle name="표준 22 5 2 3 3 2" xfId="34694"/>
    <cellStyle name="표준 22 5 2 3 4" xfId="25956"/>
    <cellStyle name="표준 22 5 2 4" xfId="5470"/>
    <cellStyle name="표준 22 5 2 4 2" xfId="14479"/>
    <cellStyle name="표준 22 5 2 4 2 2" xfId="35355"/>
    <cellStyle name="표준 22 5 2 4 3" xfId="26617"/>
    <cellStyle name="표준 22 5 2 5" xfId="7273"/>
    <cellStyle name="표준 22 5 2 5 2" xfId="16280"/>
    <cellStyle name="표준 22 5 2 5 2 2" xfId="37156"/>
    <cellStyle name="표준 22 5 2 5 3" xfId="28418"/>
    <cellStyle name="표준 22 5 2 6" xfId="7917"/>
    <cellStyle name="표준 22 5 2 6 2" xfId="16923"/>
    <cellStyle name="표준 22 5 2 6 2 2" xfId="37799"/>
    <cellStyle name="표준 22 5 2 6 3" xfId="29061"/>
    <cellStyle name="표준 22 5 2 7" xfId="8765"/>
    <cellStyle name="표준 22 5 2 7 2" xfId="17770"/>
    <cellStyle name="표준 22 5 2 7 2 2" xfId="38646"/>
    <cellStyle name="표준 22 5 2 7 3" xfId="29908"/>
    <cellStyle name="표준 22 5 2 8" xfId="9590"/>
    <cellStyle name="표준 22 5 2 8 2" xfId="18588"/>
    <cellStyle name="표준 22 5 2 8 2 2" xfId="39464"/>
    <cellStyle name="표준 22 5 2 8 3" xfId="30726"/>
    <cellStyle name="표준 22 5 2 9" xfId="10645"/>
    <cellStyle name="표준 22 5 2 9 2" xfId="19416"/>
    <cellStyle name="표준 22 5 2 9 2 2" xfId="40292"/>
    <cellStyle name="표준 22 5 2 9 3" xfId="31556"/>
    <cellStyle name="표준 22 5 3" xfId="3424"/>
    <cellStyle name="표준 22 5 3 10" xfId="12887"/>
    <cellStyle name="표준 22 5 3 10 2" xfId="33764"/>
    <cellStyle name="표준 22 5 3 11" xfId="25014"/>
    <cellStyle name="표준 22 5 3 2" xfId="5017"/>
    <cellStyle name="표준 22 5 3 2 2" xfId="6844"/>
    <cellStyle name="표준 22 5 3 2 2 2" xfId="15853"/>
    <cellStyle name="표준 22 5 3 2 2 2 2" xfId="36729"/>
    <cellStyle name="표준 22 5 3 2 2 3" xfId="27991"/>
    <cellStyle name="표준 22 5 3 2 3" xfId="14035"/>
    <cellStyle name="표준 22 5 3 2 3 2" xfId="34911"/>
    <cellStyle name="표준 22 5 3 2 4" xfId="26173"/>
    <cellStyle name="표준 22 5 3 3" xfId="5697"/>
    <cellStyle name="표준 22 5 3 3 2" xfId="14706"/>
    <cellStyle name="표준 22 5 3 3 2 2" xfId="35582"/>
    <cellStyle name="표준 22 5 3 3 3" xfId="26844"/>
    <cellStyle name="표준 22 5 3 4" xfId="7490"/>
    <cellStyle name="표준 22 5 3 4 2" xfId="16497"/>
    <cellStyle name="표준 22 5 3 4 2 2" xfId="37373"/>
    <cellStyle name="표준 22 5 3 4 3" xfId="28635"/>
    <cellStyle name="표준 22 5 3 5" xfId="8134"/>
    <cellStyle name="표준 22 5 3 5 2" xfId="17140"/>
    <cellStyle name="표준 22 5 3 5 2 2" xfId="38016"/>
    <cellStyle name="표준 22 5 3 5 3" xfId="29278"/>
    <cellStyle name="표준 22 5 3 6" xfId="8982"/>
    <cellStyle name="표준 22 5 3 6 2" xfId="17987"/>
    <cellStyle name="표준 22 5 3 6 2 2" xfId="38863"/>
    <cellStyle name="표준 22 5 3 6 3" xfId="30125"/>
    <cellStyle name="표준 22 5 3 7" xfId="9807"/>
    <cellStyle name="표준 22 5 3 7 2" xfId="18805"/>
    <cellStyle name="표준 22 5 3 7 2 2" xfId="39681"/>
    <cellStyle name="표준 22 5 3 7 3" xfId="30943"/>
    <cellStyle name="표준 22 5 3 8" xfId="10862"/>
    <cellStyle name="표준 22 5 3 8 2" xfId="19633"/>
    <cellStyle name="표준 22 5 3 8 2 2" xfId="40509"/>
    <cellStyle name="표준 22 5 3 8 3" xfId="31773"/>
    <cellStyle name="표준 22 5 3 9" xfId="11728"/>
    <cellStyle name="표준 22 5 3 9 2" xfId="20494"/>
    <cellStyle name="표준 22 5 3 9 2 2" xfId="41370"/>
    <cellStyle name="표준 22 5 3 9 3" xfId="32634"/>
    <cellStyle name="표준 22 5 4" xfId="4583"/>
    <cellStyle name="표준 22 5 4 2" xfId="6417"/>
    <cellStyle name="표준 22 5 4 2 2" xfId="15426"/>
    <cellStyle name="표준 22 5 4 2 2 2" xfId="36302"/>
    <cellStyle name="표준 22 5 4 2 3" xfId="27564"/>
    <cellStyle name="표준 22 5 4 3" xfId="11080"/>
    <cellStyle name="표준 22 5 4 3 2" xfId="19850"/>
    <cellStyle name="표준 22 5 4 3 2 2" xfId="40726"/>
    <cellStyle name="표준 22 5 4 3 3" xfId="31990"/>
    <cellStyle name="표준 22 5 4 4" xfId="11945"/>
    <cellStyle name="표준 22 5 4 4 2" xfId="20711"/>
    <cellStyle name="표준 22 5 4 4 2 2" xfId="41587"/>
    <cellStyle name="표준 22 5 4 4 3" xfId="32851"/>
    <cellStyle name="표준 22 5 4 5" xfId="13608"/>
    <cellStyle name="표준 22 5 4 5 2" xfId="34484"/>
    <cellStyle name="표준 22 5 4 6" xfId="25746"/>
    <cellStyle name="표준 22 5 5" xfId="5260"/>
    <cellStyle name="표준 22 5 5 2" xfId="14269"/>
    <cellStyle name="표준 22 5 5 2 2" xfId="35145"/>
    <cellStyle name="표준 22 5 5 3" xfId="26407"/>
    <cellStyle name="표준 22 5 6" xfId="7062"/>
    <cellStyle name="표준 22 5 6 2" xfId="16070"/>
    <cellStyle name="표준 22 5 6 2 2" xfId="36946"/>
    <cellStyle name="표준 22 5 6 3" xfId="28208"/>
    <cellStyle name="표준 22 5 7" xfId="7707"/>
    <cellStyle name="표준 22 5 7 2" xfId="16713"/>
    <cellStyle name="표준 22 5 7 2 2" xfId="37589"/>
    <cellStyle name="표준 22 5 7 3" xfId="28851"/>
    <cellStyle name="표준 22 5 8" xfId="8555"/>
    <cellStyle name="표준 22 5 8 2" xfId="17560"/>
    <cellStyle name="표준 22 5 8 2 2" xfId="38436"/>
    <cellStyle name="표준 22 5 8 3" xfId="29698"/>
    <cellStyle name="표준 22 5 9" xfId="9379"/>
    <cellStyle name="표준 22 5 9 2" xfId="18378"/>
    <cellStyle name="표준 22 5 9 2 2" xfId="39254"/>
    <cellStyle name="표준 22 5 9 3" xfId="30516"/>
    <cellStyle name="표준 22 6" xfId="2975"/>
    <cellStyle name="표준 22 6 10" xfId="10436"/>
    <cellStyle name="표준 22 6 10 2" xfId="19207"/>
    <cellStyle name="표준 22 6 10 2 2" xfId="40083"/>
    <cellStyle name="표준 22 6 10 3" xfId="31347"/>
    <cellStyle name="표준 22 6 11" xfId="11302"/>
    <cellStyle name="표준 22 6 11 2" xfId="20068"/>
    <cellStyle name="표준 22 6 11 2 2" xfId="40944"/>
    <cellStyle name="표준 22 6 11 3" xfId="32208"/>
    <cellStyle name="표준 22 6 12" xfId="12450"/>
    <cellStyle name="표준 22 6 12 2" xfId="33328"/>
    <cellStyle name="표준 22 6 13" xfId="24578"/>
    <cellStyle name="표준 22 6 2" xfId="3193"/>
    <cellStyle name="표준 22 6 2 10" xfId="11512"/>
    <cellStyle name="표준 22 6 2 10 2" xfId="20278"/>
    <cellStyle name="표준 22 6 2 10 2 2" xfId="41154"/>
    <cellStyle name="표준 22 6 2 10 3" xfId="32418"/>
    <cellStyle name="표준 22 6 2 11" xfId="12661"/>
    <cellStyle name="표준 22 6 2 11 2" xfId="33538"/>
    <cellStyle name="표준 22 6 2 12" xfId="24788"/>
    <cellStyle name="표준 22 6 2 2" xfId="3635"/>
    <cellStyle name="표준 22 6 2 2 2" xfId="5908"/>
    <cellStyle name="표준 22 6 2 2 2 2" xfId="14917"/>
    <cellStyle name="표준 22 6 2 2 2 2 2" xfId="35793"/>
    <cellStyle name="표준 22 6 2 2 2 3" xfId="27055"/>
    <cellStyle name="표준 22 6 2 2 3" xfId="13098"/>
    <cellStyle name="표준 22 6 2 2 3 2" xfId="33975"/>
    <cellStyle name="표준 22 6 2 2 4" xfId="25225"/>
    <cellStyle name="표준 22 6 2 3" xfId="4796"/>
    <cellStyle name="표준 22 6 2 3 2" xfId="6628"/>
    <cellStyle name="표준 22 6 2 3 2 2" xfId="15637"/>
    <cellStyle name="표준 22 6 2 3 2 2 2" xfId="36513"/>
    <cellStyle name="표준 22 6 2 3 2 3" xfId="27775"/>
    <cellStyle name="표준 22 6 2 3 3" xfId="13819"/>
    <cellStyle name="표준 22 6 2 3 3 2" xfId="34695"/>
    <cellStyle name="표준 22 6 2 3 4" xfId="25957"/>
    <cellStyle name="표준 22 6 2 4" xfId="5471"/>
    <cellStyle name="표준 22 6 2 4 2" xfId="14480"/>
    <cellStyle name="표준 22 6 2 4 2 2" xfId="35356"/>
    <cellStyle name="표준 22 6 2 4 3" xfId="26618"/>
    <cellStyle name="표준 22 6 2 5" xfId="7274"/>
    <cellStyle name="표준 22 6 2 5 2" xfId="16281"/>
    <cellStyle name="표준 22 6 2 5 2 2" xfId="37157"/>
    <cellStyle name="표준 22 6 2 5 3" xfId="28419"/>
    <cellStyle name="표준 22 6 2 6" xfId="7918"/>
    <cellStyle name="표준 22 6 2 6 2" xfId="16924"/>
    <cellStyle name="표준 22 6 2 6 2 2" xfId="37800"/>
    <cellStyle name="표준 22 6 2 6 3" xfId="29062"/>
    <cellStyle name="표준 22 6 2 7" xfId="8766"/>
    <cellStyle name="표준 22 6 2 7 2" xfId="17771"/>
    <cellStyle name="표준 22 6 2 7 2 2" xfId="38647"/>
    <cellStyle name="표준 22 6 2 7 3" xfId="29909"/>
    <cellStyle name="표준 22 6 2 8" xfId="9591"/>
    <cellStyle name="표준 22 6 2 8 2" xfId="18589"/>
    <cellStyle name="표준 22 6 2 8 2 2" xfId="39465"/>
    <cellStyle name="표준 22 6 2 8 3" xfId="30727"/>
    <cellStyle name="표준 22 6 2 9" xfId="10646"/>
    <cellStyle name="표준 22 6 2 9 2" xfId="19417"/>
    <cellStyle name="표준 22 6 2 9 2 2" xfId="40293"/>
    <cellStyle name="표준 22 6 2 9 3" xfId="31557"/>
    <cellStyle name="표준 22 6 3" xfId="3425"/>
    <cellStyle name="표준 22 6 3 10" xfId="12888"/>
    <cellStyle name="표준 22 6 3 10 2" xfId="33765"/>
    <cellStyle name="표준 22 6 3 11" xfId="25015"/>
    <cellStyle name="표준 22 6 3 2" xfId="5018"/>
    <cellStyle name="표준 22 6 3 2 2" xfId="6845"/>
    <cellStyle name="표준 22 6 3 2 2 2" xfId="15854"/>
    <cellStyle name="표준 22 6 3 2 2 2 2" xfId="36730"/>
    <cellStyle name="표준 22 6 3 2 2 3" xfId="27992"/>
    <cellStyle name="표준 22 6 3 2 3" xfId="14036"/>
    <cellStyle name="표준 22 6 3 2 3 2" xfId="34912"/>
    <cellStyle name="표준 22 6 3 2 4" xfId="26174"/>
    <cellStyle name="표준 22 6 3 3" xfId="5698"/>
    <cellStyle name="표준 22 6 3 3 2" xfId="14707"/>
    <cellStyle name="표준 22 6 3 3 2 2" xfId="35583"/>
    <cellStyle name="표준 22 6 3 3 3" xfId="26845"/>
    <cellStyle name="표준 22 6 3 4" xfId="7491"/>
    <cellStyle name="표준 22 6 3 4 2" xfId="16498"/>
    <cellStyle name="표준 22 6 3 4 2 2" xfId="37374"/>
    <cellStyle name="표준 22 6 3 4 3" xfId="28636"/>
    <cellStyle name="표준 22 6 3 5" xfId="8135"/>
    <cellStyle name="표준 22 6 3 5 2" xfId="17141"/>
    <cellStyle name="표준 22 6 3 5 2 2" xfId="38017"/>
    <cellStyle name="표준 22 6 3 5 3" xfId="29279"/>
    <cellStyle name="표준 22 6 3 6" xfId="8983"/>
    <cellStyle name="표준 22 6 3 6 2" xfId="17988"/>
    <cellStyle name="표준 22 6 3 6 2 2" xfId="38864"/>
    <cellStyle name="표준 22 6 3 6 3" xfId="30126"/>
    <cellStyle name="표준 22 6 3 7" xfId="9808"/>
    <cellStyle name="표준 22 6 3 7 2" xfId="18806"/>
    <cellStyle name="표준 22 6 3 7 2 2" xfId="39682"/>
    <cellStyle name="표준 22 6 3 7 3" xfId="30944"/>
    <cellStyle name="표준 22 6 3 8" xfId="10863"/>
    <cellStyle name="표준 22 6 3 8 2" xfId="19634"/>
    <cellStyle name="표준 22 6 3 8 2 2" xfId="40510"/>
    <cellStyle name="표준 22 6 3 8 3" xfId="31774"/>
    <cellStyle name="표준 22 6 3 9" xfId="11729"/>
    <cellStyle name="표준 22 6 3 9 2" xfId="20495"/>
    <cellStyle name="표준 22 6 3 9 2 2" xfId="41371"/>
    <cellStyle name="표준 22 6 3 9 3" xfId="32635"/>
    <cellStyle name="표준 22 6 4" xfId="4584"/>
    <cellStyle name="표준 22 6 4 2" xfId="6418"/>
    <cellStyle name="표준 22 6 4 2 2" xfId="15427"/>
    <cellStyle name="표준 22 6 4 2 2 2" xfId="36303"/>
    <cellStyle name="표준 22 6 4 2 3" xfId="27565"/>
    <cellStyle name="표준 22 6 4 3" xfId="11081"/>
    <cellStyle name="표준 22 6 4 3 2" xfId="19851"/>
    <cellStyle name="표준 22 6 4 3 2 2" xfId="40727"/>
    <cellStyle name="표준 22 6 4 3 3" xfId="31991"/>
    <cellStyle name="표준 22 6 4 4" xfId="11946"/>
    <cellStyle name="표준 22 6 4 4 2" xfId="20712"/>
    <cellStyle name="표준 22 6 4 4 2 2" xfId="41588"/>
    <cellStyle name="표준 22 6 4 4 3" xfId="32852"/>
    <cellStyle name="표준 22 6 4 5" xfId="13609"/>
    <cellStyle name="표준 22 6 4 5 2" xfId="34485"/>
    <cellStyle name="표준 22 6 4 6" xfId="25747"/>
    <cellStyle name="표준 22 6 5" xfId="5261"/>
    <cellStyle name="표준 22 6 5 2" xfId="14270"/>
    <cellStyle name="표준 22 6 5 2 2" xfId="35146"/>
    <cellStyle name="표준 22 6 5 3" xfId="26408"/>
    <cellStyle name="표준 22 6 6" xfId="7063"/>
    <cellStyle name="표준 22 6 6 2" xfId="16071"/>
    <cellStyle name="표준 22 6 6 2 2" xfId="36947"/>
    <cellStyle name="표준 22 6 6 3" xfId="28209"/>
    <cellStyle name="표준 22 6 7" xfId="7708"/>
    <cellStyle name="표준 22 6 7 2" xfId="16714"/>
    <cellStyle name="표준 22 6 7 2 2" xfId="37590"/>
    <cellStyle name="표준 22 6 7 3" xfId="28852"/>
    <cellStyle name="표준 22 6 8" xfId="8556"/>
    <cellStyle name="표준 22 6 8 2" xfId="17561"/>
    <cellStyle name="표준 22 6 8 2 2" xfId="38437"/>
    <cellStyle name="표준 22 6 8 3" xfId="29699"/>
    <cellStyle name="표준 22 6 9" xfId="9380"/>
    <cellStyle name="표준 22 6 9 2" xfId="18379"/>
    <cellStyle name="표준 22 6 9 2 2" xfId="39255"/>
    <cellStyle name="표준 22 6 9 3" xfId="30517"/>
    <cellStyle name="표준 22 7" xfId="2976"/>
    <cellStyle name="표준 22 7 10" xfId="10437"/>
    <cellStyle name="표준 22 7 10 2" xfId="19208"/>
    <cellStyle name="표준 22 7 10 2 2" xfId="40084"/>
    <cellStyle name="표준 22 7 10 3" xfId="31348"/>
    <cellStyle name="표준 22 7 11" xfId="11303"/>
    <cellStyle name="표준 22 7 11 2" xfId="20069"/>
    <cellStyle name="표준 22 7 11 2 2" xfId="40945"/>
    <cellStyle name="표준 22 7 11 3" xfId="32209"/>
    <cellStyle name="표준 22 7 12" xfId="12451"/>
    <cellStyle name="표준 22 7 12 2" xfId="33329"/>
    <cellStyle name="표준 22 7 13" xfId="24579"/>
    <cellStyle name="표준 22 7 2" xfId="3194"/>
    <cellStyle name="표준 22 7 2 10" xfId="11513"/>
    <cellStyle name="표준 22 7 2 10 2" xfId="20279"/>
    <cellStyle name="표준 22 7 2 10 2 2" xfId="41155"/>
    <cellStyle name="표준 22 7 2 10 3" xfId="32419"/>
    <cellStyle name="표준 22 7 2 11" xfId="12662"/>
    <cellStyle name="표준 22 7 2 11 2" xfId="33539"/>
    <cellStyle name="표준 22 7 2 12" xfId="24789"/>
    <cellStyle name="표준 22 7 2 2" xfId="3636"/>
    <cellStyle name="표준 22 7 2 2 2" xfId="5909"/>
    <cellStyle name="표준 22 7 2 2 2 2" xfId="14918"/>
    <cellStyle name="표준 22 7 2 2 2 2 2" xfId="35794"/>
    <cellStyle name="표준 22 7 2 2 2 3" xfId="27056"/>
    <cellStyle name="표준 22 7 2 2 3" xfId="13099"/>
    <cellStyle name="표준 22 7 2 2 3 2" xfId="33976"/>
    <cellStyle name="표준 22 7 2 2 4" xfId="25226"/>
    <cellStyle name="표준 22 7 2 3" xfId="4797"/>
    <cellStyle name="표준 22 7 2 3 2" xfId="6629"/>
    <cellStyle name="표준 22 7 2 3 2 2" xfId="15638"/>
    <cellStyle name="표준 22 7 2 3 2 2 2" xfId="36514"/>
    <cellStyle name="표준 22 7 2 3 2 3" xfId="27776"/>
    <cellStyle name="표준 22 7 2 3 3" xfId="13820"/>
    <cellStyle name="표준 22 7 2 3 3 2" xfId="34696"/>
    <cellStyle name="표준 22 7 2 3 4" xfId="25958"/>
    <cellStyle name="표준 22 7 2 4" xfId="5472"/>
    <cellStyle name="표준 22 7 2 4 2" xfId="14481"/>
    <cellStyle name="표준 22 7 2 4 2 2" xfId="35357"/>
    <cellStyle name="표준 22 7 2 4 3" xfId="26619"/>
    <cellStyle name="표준 22 7 2 5" xfId="7275"/>
    <cellStyle name="표준 22 7 2 5 2" xfId="16282"/>
    <cellStyle name="표준 22 7 2 5 2 2" xfId="37158"/>
    <cellStyle name="표준 22 7 2 5 3" xfId="28420"/>
    <cellStyle name="표준 22 7 2 6" xfId="7919"/>
    <cellStyle name="표준 22 7 2 6 2" xfId="16925"/>
    <cellStyle name="표준 22 7 2 6 2 2" xfId="37801"/>
    <cellStyle name="표준 22 7 2 6 3" xfId="29063"/>
    <cellStyle name="표준 22 7 2 7" xfId="8767"/>
    <cellStyle name="표준 22 7 2 7 2" xfId="17772"/>
    <cellStyle name="표준 22 7 2 7 2 2" xfId="38648"/>
    <cellStyle name="표준 22 7 2 7 3" xfId="29910"/>
    <cellStyle name="표준 22 7 2 8" xfId="9592"/>
    <cellStyle name="표준 22 7 2 8 2" xfId="18590"/>
    <cellStyle name="표준 22 7 2 8 2 2" xfId="39466"/>
    <cellStyle name="표준 22 7 2 8 3" xfId="30728"/>
    <cellStyle name="표준 22 7 2 9" xfId="10647"/>
    <cellStyle name="표준 22 7 2 9 2" xfId="19418"/>
    <cellStyle name="표준 22 7 2 9 2 2" xfId="40294"/>
    <cellStyle name="표준 22 7 2 9 3" xfId="31558"/>
    <cellStyle name="표준 22 7 3" xfId="3426"/>
    <cellStyle name="표준 22 7 3 10" xfId="12889"/>
    <cellStyle name="표준 22 7 3 10 2" xfId="33766"/>
    <cellStyle name="표준 22 7 3 11" xfId="25016"/>
    <cellStyle name="표준 22 7 3 2" xfId="5019"/>
    <cellStyle name="표준 22 7 3 2 2" xfId="6846"/>
    <cellStyle name="표준 22 7 3 2 2 2" xfId="15855"/>
    <cellStyle name="표준 22 7 3 2 2 2 2" xfId="36731"/>
    <cellStyle name="표준 22 7 3 2 2 3" xfId="27993"/>
    <cellStyle name="표준 22 7 3 2 3" xfId="14037"/>
    <cellStyle name="표준 22 7 3 2 3 2" xfId="34913"/>
    <cellStyle name="표준 22 7 3 2 4" xfId="26175"/>
    <cellStyle name="표준 22 7 3 3" xfId="5699"/>
    <cellStyle name="표준 22 7 3 3 2" xfId="14708"/>
    <cellStyle name="표준 22 7 3 3 2 2" xfId="35584"/>
    <cellStyle name="표준 22 7 3 3 3" xfId="26846"/>
    <cellStyle name="표준 22 7 3 4" xfId="7492"/>
    <cellStyle name="표준 22 7 3 4 2" xfId="16499"/>
    <cellStyle name="표준 22 7 3 4 2 2" xfId="37375"/>
    <cellStyle name="표준 22 7 3 4 3" xfId="28637"/>
    <cellStyle name="표준 22 7 3 5" xfId="8136"/>
    <cellStyle name="표준 22 7 3 5 2" xfId="17142"/>
    <cellStyle name="표준 22 7 3 5 2 2" xfId="38018"/>
    <cellStyle name="표준 22 7 3 5 3" xfId="29280"/>
    <cellStyle name="표준 22 7 3 6" xfId="8984"/>
    <cellStyle name="표준 22 7 3 6 2" xfId="17989"/>
    <cellStyle name="표준 22 7 3 6 2 2" xfId="38865"/>
    <cellStyle name="표준 22 7 3 6 3" xfId="30127"/>
    <cellStyle name="표준 22 7 3 7" xfId="9809"/>
    <cellStyle name="표준 22 7 3 7 2" xfId="18807"/>
    <cellStyle name="표준 22 7 3 7 2 2" xfId="39683"/>
    <cellStyle name="표준 22 7 3 7 3" xfId="30945"/>
    <cellStyle name="표준 22 7 3 8" xfId="10864"/>
    <cellStyle name="표준 22 7 3 8 2" xfId="19635"/>
    <cellStyle name="표준 22 7 3 8 2 2" xfId="40511"/>
    <cellStyle name="표준 22 7 3 8 3" xfId="31775"/>
    <cellStyle name="표준 22 7 3 9" xfId="11730"/>
    <cellStyle name="표준 22 7 3 9 2" xfId="20496"/>
    <cellStyle name="표준 22 7 3 9 2 2" xfId="41372"/>
    <cellStyle name="표준 22 7 3 9 3" xfId="32636"/>
    <cellStyle name="표준 22 7 4" xfId="4585"/>
    <cellStyle name="표준 22 7 4 2" xfId="6419"/>
    <cellStyle name="표준 22 7 4 2 2" xfId="15428"/>
    <cellStyle name="표준 22 7 4 2 2 2" xfId="36304"/>
    <cellStyle name="표준 22 7 4 2 3" xfId="27566"/>
    <cellStyle name="표준 22 7 4 3" xfId="11082"/>
    <cellStyle name="표준 22 7 4 3 2" xfId="19852"/>
    <cellStyle name="표준 22 7 4 3 2 2" xfId="40728"/>
    <cellStyle name="표준 22 7 4 3 3" xfId="31992"/>
    <cellStyle name="표준 22 7 4 4" xfId="11947"/>
    <cellStyle name="표준 22 7 4 4 2" xfId="20713"/>
    <cellStyle name="표준 22 7 4 4 2 2" xfId="41589"/>
    <cellStyle name="표준 22 7 4 4 3" xfId="32853"/>
    <cellStyle name="표준 22 7 4 5" xfId="13610"/>
    <cellStyle name="표준 22 7 4 5 2" xfId="34486"/>
    <cellStyle name="표준 22 7 4 6" xfId="25748"/>
    <cellStyle name="표준 22 7 5" xfId="5262"/>
    <cellStyle name="표준 22 7 5 2" xfId="14271"/>
    <cellStyle name="표준 22 7 5 2 2" xfId="35147"/>
    <cellStyle name="표준 22 7 5 3" xfId="26409"/>
    <cellStyle name="표준 22 7 6" xfId="7064"/>
    <cellStyle name="표준 22 7 6 2" xfId="16072"/>
    <cellStyle name="표준 22 7 6 2 2" xfId="36948"/>
    <cellStyle name="표준 22 7 6 3" xfId="28210"/>
    <cellStyle name="표준 22 7 7" xfId="7709"/>
    <cellStyle name="표준 22 7 7 2" xfId="16715"/>
    <cellStyle name="표준 22 7 7 2 2" xfId="37591"/>
    <cellStyle name="표준 22 7 7 3" xfId="28853"/>
    <cellStyle name="표준 22 7 8" xfId="8557"/>
    <cellStyle name="표준 22 7 8 2" xfId="17562"/>
    <cellStyle name="표준 22 7 8 2 2" xfId="38438"/>
    <cellStyle name="표준 22 7 8 3" xfId="29700"/>
    <cellStyle name="표준 22 7 9" xfId="9381"/>
    <cellStyle name="표준 22 7 9 2" xfId="18380"/>
    <cellStyle name="표준 22 7 9 2 2" xfId="39256"/>
    <cellStyle name="표준 22 7 9 3" xfId="30518"/>
    <cellStyle name="표준 22 8" xfId="3188"/>
    <cellStyle name="표준 22 8 10" xfId="11507"/>
    <cellStyle name="표준 22 8 10 2" xfId="20273"/>
    <cellStyle name="표준 22 8 10 2 2" xfId="41149"/>
    <cellStyle name="표준 22 8 10 3" xfId="32413"/>
    <cellStyle name="표준 22 8 11" xfId="12656"/>
    <cellStyle name="표준 22 8 11 2" xfId="33533"/>
    <cellStyle name="표준 22 8 12" xfId="24783"/>
    <cellStyle name="표준 22 8 2" xfId="3630"/>
    <cellStyle name="표준 22 8 2 2" xfId="5903"/>
    <cellStyle name="표준 22 8 2 2 2" xfId="14912"/>
    <cellStyle name="표준 22 8 2 2 2 2" xfId="35788"/>
    <cellStyle name="표준 22 8 2 2 3" xfId="27050"/>
    <cellStyle name="표준 22 8 2 3" xfId="13093"/>
    <cellStyle name="표준 22 8 2 3 2" xfId="33970"/>
    <cellStyle name="표준 22 8 2 4" xfId="25220"/>
    <cellStyle name="표준 22 8 3" xfId="4791"/>
    <cellStyle name="표준 22 8 3 2" xfId="6623"/>
    <cellStyle name="표준 22 8 3 2 2" xfId="15632"/>
    <cellStyle name="표준 22 8 3 2 2 2" xfId="36508"/>
    <cellStyle name="표준 22 8 3 2 3" xfId="27770"/>
    <cellStyle name="표준 22 8 3 3" xfId="13814"/>
    <cellStyle name="표준 22 8 3 3 2" xfId="34690"/>
    <cellStyle name="표준 22 8 3 4" xfId="25952"/>
    <cellStyle name="표준 22 8 4" xfId="5466"/>
    <cellStyle name="표준 22 8 4 2" xfId="14475"/>
    <cellStyle name="표준 22 8 4 2 2" xfId="35351"/>
    <cellStyle name="표준 22 8 4 3" xfId="26613"/>
    <cellStyle name="표준 22 8 5" xfId="7269"/>
    <cellStyle name="표준 22 8 5 2" xfId="16276"/>
    <cellStyle name="표준 22 8 5 2 2" xfId="37152"/>
    <cellStyle name="표준 22 8 5 3" xfId="28414"/>
    <cellStyle name="표준 22 8 6" xfId="7913"/>
    <cellStyle name="표준 22 8 6 2" xfId="16919"/>
    <cellStyle name="표준 22 8 6 2 2" xfId="37795"/>
    <cellStyle name="표준 22 8 6 3" xfId="29057"/>
    <cellStyle name="표준 22 8 7" xfId="8761"/>
    <cellStyle name="표준 22 8 7 2" xfId="17766"/>
    <cellStyle name="표준 22 8 7 2 2" xfId="38642"/>
    <cellStyle name="표준 22 8 7 3" xfId="29904"/>
    <cellStyle name="표준 22 8 8" xfId="9586"/>
    <cellStyle name="표준 22 8 8 2" xfId="18584"/>
    <cellStyle name="표준 22 8 8 2 2" xfId="39460"/>
    <cellStyle name="표준 22 8 8 3" xfId="30722"/>
    <cellStyle name="표준 22 8 9" xfId="10641"/>
    <cellStyle name="표준 22 8 9 2" xfId="19412"/>
    <cellStyle name="표준 22 8 9 2 2" xfId="40288"/>
    <cellStyle name="표준 22 8 9 3" xfId="31552"/>
    <cellStyle name="표준 22 9" xfId="3420"/>
    <cellStyle name="표준 22 9 10" xfId="12883"/>
    <cellStyle name="표준 22 9 10 2" xfId="33760"/>
    <cellStyle name="표준 22 9 11" xfId="25010"/>
    <cellStyle name="표준 22 9 2" xfId="5013"/>
    <cellStyle name="표준 22 9 2 2" xfId="6840"/>
    <cellStyle name="표준 22 9 2 2 2" xfId="15849"/>
    <cellStyle name="표준 22 9 2 2 2 2" xfId="36725"/>
    <cellStyle name="표준 22 9 2 2 3" xfId="27987"/>
    <cellStyle name="표준 22 9 2 3" xfId="14031"/>
    <cellStyle name="표준 22 9 2 3 2" xfId="34907"/>
    <cellStyle name="표준 22 9 2 4" xfId="26169"/>
    <cellStyle name="표준 22 9 3" xfId="5693"/>
    <cellStyle name="표준 22 9 3 2" xfId="14702"/>
    <cellStyle name="표준 22 9 3 2 2" xfId="35578"/>
    <cellStyle name="표준 22 9 3 3" xfId="26840"/>
    <cellStyle name="표준 22 9 4" xfId="7486"/>
    <cellStyle name="표준 22 9 4 2" xfId="16493"/>
    <cellStyle name="표준 22 9 4 2 2" xfId="37369"/>
    <cellStyle name="표준 22 9 4 3" xfId="28631"/>
    <cellStyle name="표준 22 9 5" xfId="8130"/>
    <cellStyle name="표준 22 9 5 2" xfId="17136"/>
    <cellStyle name="표준 22 9 5 2 2" xfId="38012"/>
    <cellStyle name="표준 22 9 5 3" xfId="29274"/>
    <cellStyle name="표준 22 9 6" xfId="8978"/>
    <cellStyle name="표준 22 9 6 2" xfId="17983"/>
    <cellStyle name="표준 22 9 6 2 2" xfId="38859"/>
    <cellStyle name="표준 22 9 6 3" xfId="30121"/>
    <cellStyle name="표준 22 9 7" xfId="9803"/>
    <cellStyle name="표준 22 9 7 2" xfId="18801"/>
    <cellStyle name="표준 22 9 7 2 2" xfId="39677"/>
    <cellStyle name="표준 22 9 7 3" xfId="30939"/>
    <cellStyle name="표준 22 9 8" xfId="10858"/>
    <cellStyle name="표준 22 9 8 2" xfId="19629"/>
    <cellStyle name="표준 22 9 8 2 2" xfId="40505"/>
    <cellStyle name="표준 22 9 8 3" xfId="31769"/>
    <cellStyle name="표준 22 9 9" xfId="11724"/>
    <cellStyle name="표준 22 9 9 2" xfId="20490"/>
    <cellStyle name="표준 22 9 9 2 2" xfId="41366"/>
    <cellStyle name="표준 22 9 9 3" xfId="32630"/>
    <cellStyle name="표준 23" xfId="2977"/>
    <cellStyle name="표준 23 10" xfId="4586"/>
    <cellStyle name="표준 23 10 2" xfId="6420"/>
    <cellStyle name="표준 23 10 2 2" xfId="15429"/>
    <cellStyle name="표준 23 10 2 2 2" xfId="36305"/>
    <cellStyle name="표준 23 10 2 3" xfId="27567"/>
    <cellStyle name="표준 23 10 3" xfId="11083"/>
    <cellStyle name="표준 23 10 3 2" xfId="19853"/>
    <cellStyle name="표준 23 10 3 2 2" xfId="40729"/>
    <cellStyle name="표준 23 10 3 3" xfId="31993"/>
    <cellStyle name="표준 23 10 4" xfId="11948"/>
    <cellStyle name="표준 23 10 4 2" xfId="20714"/>
    <cellStyle name="표준 23 10 4 2 2" xfId="41590"/>
    <cellStyle name="표준 23 10 4 3" xfId="32854"/>
    <cellStyle name="표준 23 10 5" xfId="13611"/>
    <cellStyle name="표준 23 10 5 2" xfId="34487"/>
    <cellStyle name="표준 23 10 6" xfId="25749"/>
    <cellStyle name="표준 23 11" xfId="5263"/>
    <cellStyle name="표준 23 11 2" xfId="14272"/>
    <cellStyle name="표준 23 11 2 2" xfId="35148"/>
    <cellStyle name="표준 23 11 3" xfId="26410"/>
    <cellStyle name="표준 23 12" xfId="7065"/>
    <cellStyle name="표준 23 12 2" xfId="16073"/>
    <cellStyle name="표준 23 12 2 2" xfId="36949"/>
    <cellStyle name="표준 23 12 3" xfId="28211"/>
    <cellStyle name="표준 23 13" xfId="7710"/>
    <cellStyle name="표준 23 13 2" xfId="16716"/>
    <cellStyle name="표준 23 13 2 2" xfId="37592"/>
    <cellStyle name="표준 23 13 3" xfId="28854"/>
    <cellStyle name="표준 23 14" xfId="8558"/>
    <cellStyle name="표준 23 14 2" xfId="17563"/>
    <cellStyle name="표준 23 14 2 2" xfId="38439"/>
    <cellStyle name="표준 23 14 3" xfId="29701"/>
    <cellStyle name="표준 23 15" xfId="9382"/>
    <cellStyle name="표준 23 15 2" xfId="18381"/>
    <cellStyle name="표준 23 15 2 2" xfId="39257"/>
    <cellStyle name="표준 23 15 3" xfId="30519"/>
    <cellStyle name="표준 23 16" xfId="10438"/>
    <cellStyle name="표준 23 16 2" xfId="19209"/>
    <cellStyle name="표준 23 16 2 2" xfId="40085"/>
    <cellStyle name="표준 23 16 3" xfId="31349"/>
    <cellStyle name="표준 23 17" xfId="11304"/>
    <cellStyle name="표준 23 17 2" xfId="20070"/>
    <cellStyle name="표준 23 17 2 2" xfId="40946"/>
    <cellStyle name="표준 23 17 3" xfId="32210"/>
    <cellStyle name="표준 23 18" xfId="12452"/>
    <cellStyle name="표준 23 18 2" xfId="33330"/>
    <cellStyle name="표준 23 19" xfId="24580"/>
    <cellStyle name="표준 23 2" xfId="2978"/>
    <cellStyle name="표준 23 2 10" xfId="10439"/>
    <cellStyle name="표준 23 2 10 2" xfId="19210"/>
    <cellStyle name="표준 23 2 10 2 2" xfId="40086"/>
    <cellStyle name="표준 23 2 10 3" xfId="31350"/>
    <cellStyle name="표준 23 2 11" xfId="11305"/>
    <cellStyle name="표준 23 2 11 2" xfId="20071"/>
    <cellStyle name="표준 23 2 11 2 2" xfId="40947"/>
    <cellStyle name="표준 23 2 11 3" xfId="32211"/>
    <cellStyle name="표준 23 2 12" xfId="12453"/>
    <cellStyle name="표준 23 2 12 2" xfId="33331"/>
    <cellStyle name="표준 23 2 13" xfId="24581"/>
    <cellStyle name="표준 23 2 2" xfId="3196"/>
    <cellStyle name="표준 23 2 2 10" xfId="11515"/>
    <cellStyle name="표준 23 2 2 10 2" xfId="20281"/>
    <cellStyle name="표준 23 2 2 10 2 2" xfId="41157"/>
    <cellStyle name="표준 23 2 2 10 3" xfId="32421"/>
    <cellStyle name="표준 23 2 2 11" xfId="12664"/>
    <cellStyle name="표준 23 2 2 11 2" xfId="33541"/>
    <cellStyle name="표준 23 2 2 12" xfId="24791"/>
    <cellStyle name="표준 23 2 2 2" xfId="3638"/>
    <cellStyle name="표준 23 2 2 2 2" xfId="5911"/>
    <cellStyle name="표준 23 2 2 2 2 2" xfId="14920"/>
    <cellStyle name="표준 23 2 2 2 2 2 2" xfId="35796"/>
    <cellStyle name="표준 23 2 2 2 2 3" xfId="27058"/>
    <cellStyle name="표준 23 2 2 2 3" xfId="13101"/>
    <cellStyle name="표준 23 2 2 2 3 2" xfId="33978"/>
    <cellStyle name="표준 23 2 2 2 4" xfId="25228"/>
    <cellStyle name="표준 23 2 2 3" xfId="4799"/>
    <cellStyle name="표준 23 2 2 3 2" xfId="6631"/>
    <cellStyle name="표준 23 2 2 3 2 2" xfId="15640"/>
    <cellStyle name="표준 23 2 2 3 2 2 2" xfId="36516"/>
    <cellStyle name="표준 23 2 2 3 2 3" xfId="27778"/>
    <cellStyle name="표준 23 2 2 3 3" xfId="13822"/>
    <cellStyle name="표준 23 2 2 3 3 2" xfId="34698"/>
    <cellStyle name="표준 23 2 2 3 4" xfId="25960"/>
    <cellStyle name="표준 23 2 2 4" xfId="5474"/>
    <cellStyle name="표준 23 2 2 4 2" xfId="14483"/>
    <cellStyle name="표준 23 2 2 4 2 2" xfId="35359"/>
    <cellStyle name="표준 23 2 2 4 3" xfId="26621"/>
    <cellStyle name="표준 23 2 2 5" xfId="7277"/>
    <cellStyle name="표준 23 2 2 5 2" xfId="16284"/>
    <cellStyle name="표준 23 2 2 5 2 2" xfId="37160"/>
    <cellStyle name="표준 23 2 2 5 3" xfId="28422"/>
    <cellStyle name="표준 23 2 2 6" xfId="7921"/>
    <cellStyle name="표준 23 2 2 6 2" xfId="16927"/>
    <cellStyle name="표준 23 2 2 6 2 2" xfId="37803"/>
    <cellStyle name="표준 23 2 2 6 3" xfId="29065"/>
    <cellStyle name="표준 23 2 2 7" xfId="8769"/>
    <cellStyle name="표준 23 2 2 7 2" xfId="17774"/>
    <cellStyle name="표준 23 2 2 7 2 2" xfId="38650"/>
    <cellStyle name="표준 23 2 2 7 3" xfId="29912"/>
    <cellStyle name="표준 23 2 2 8" xfId="9594"/>
    <cellStyle name="표준 23 2 2 8 2" xfId="18592"/>
    <cellStyle name="표준 23 2 2 8 2 2" xfId="39468"/>
    <cellStyle name="표준 23 2 2 8 3" xfId="30730"/>
    <cellStyle name="표준 23 2 2 9" xfId="10649"/>
    <cellStyle name="표준 23 2 2 9 2" xfId="19420"/>
    <cellStyle name="표준 23 2 2 9 2 2" xfId="40296"/>
    <cellStyle name="표준 23 2 2 9 3" xfId="31560"/>
    <cellStyle name="표준 23 2 3" xfId="3428"/>
    <cellStyle name="표준 23 2 3 10" xfId="12891"/>
    <cellStyle name="표준 23 2 3 10 2" xfId="33768"/>
    <cellStyle name="표준 23 2 3 11" xfId="25018"/>
    <cellStyle name="표준 23 2 3 2" xfId="5021"/>
    <cellStyle name="표준 23 2 3 2 2" xfId="6848"/>
    <cellStyle name="표준 23 2 3 2 2 2" xfId="15857"/>
    <cellStyle name="표준 23 2 3 2 2 2 2" xfId="36733"/>
    <cellStyle name="표준 23 2 3 2 2 3" xfId="27995"/>
    <cellStyle name="표준 23 2 3 2 3" xfId="14039"/>
    <cellStyle name="표준 23 2 3 2 3 2" xfId="34915"/>
    <cellStyle name="표준 23 2 3 2 4" xfId="26177"/>
    <cellStyle name="표준 23 2 3 3" xfId="5701"/>
    <cellStyle name="표준 23 2 3 3 2" xfId="14710"/>
    <cellStyle name="표준 23 2 3 3 2 2" xfId="35586"/>
    <cellStyle name="표준 23 2 3 3 3" xfId="26848"/>
    <cellStyle name="표준 23 2 3 4" xfId="7494"/>
    <cellStyle name="표준 23 2 3 4 2" xfId="16501"/>
    <cellStyle name="표준 23 2 3 4 2 2" xfId="37377"/>
    <cellStyle name="표준 23 2 3 4 3" xfId="28639"/>
    <cellStyle name="표준 23 2 3 5" xfId="8138"/>
    <cellStyle name="표준 23 2 3 5 2" xfId="17144"/>
    <cellStyle name="표준 23 2 3 5 2 2" xfId="38020"/>
    <cellStyle name="표준 23 2 3 5 3" xfId="29282"/>
    <cellStyle name="표준 23 2 3 6" xfId="8986"/>
    <cellStyle name="표준 23 2 3 6 2" xfId="17991"/>
    <cellStyle name="표준 23 2 3 6 2 2" xfId="38867"/>
    <cellStyle name="표준 23 2 3 6 3" xfId="30129"/>
    <cellStyle name="표준 23 2 3 7" xfId="9811"/>
    <cellStyle name="표준 23 2 3 7 2" xfId="18809"/>
    <cellStyle name="표준 23 2 3 7 2 2" xfId="39685"/>
    <cellStyle name="표준 23 2 3 7 3" xfId="30947"/>
    <cellStyle name="표준 23 2 3 8" xfId="10866"/>
    <cellStyle name="표준 23 2 3 8 2" xfId="19637"/>
    <cellStyle name="표준 23 2 3 8 2 2" xfId="40513"/>
    <cellStyle name="표준 23 2 3 8 3" xfId="31777"/>
    <cellStyle name="표준 23 2 3 9" xfId="11732"/>
    <cellStyle name="표준 23 2 3 9 2" xfId="20498"/>
    <cellStyle name="표준 23 2 3 9 2 2" xfId="41374"/>
    <cellStyle name="표준 23 2 3 9 3" xfId="32638"/>
    <cellStyle name="표준 23 2 4" xfId="4587"/>
    <cellStyle name="표준 23 2 4 2" xfId="6421"/>
    <cellStyle name="표준 23 2 4 2 2" xfId="15430"/>
    <cellStyle name="표준 23 2 4 2 2 2" xfId="36306"/>
    <cellStyle name="표준 23 2 4 2 3" xfId="27568"/>
    <cellStyle name="표준 23 2 4 3" xfId="11084"/>
    <cellStyle name="표준 23 2 4 3 2" xfId="19854"/>
    <cellStyle name="표준 23 2 4 3 2 2" xfId="40730"/>
    <cellStyle name="표준 23 2 4 3 3" xfId="31994"/>
    <cellStyle name="표준 23 2 4 4" xfId="11949"/>
    <cellStyle name="표준 23 2 4 4 2" xfId="20715"/>
    <cellStyle name="표준 23 2 4 4 2 2" xfId="41591"/>
    <cellStyle name="표준 23 2 4 4 3" xfId="32855"/>
    <cellStyle name="표준 23 2 4 5" xfId="13612"/>
    <cellStyle name="표준 23 2 4 5 2" xfId="34488"/>
    <cellStyle name="표준 23 2 4 6" xfId="25750"/>
    <cellStyle name="표준 23 2 5" xfId="5264"/>
    <cellStyle name="표준 23 2 5 2" xfId="14273"/>
    <cellStyle name="표준 23 2 5 2 2" xfId="35149"/>
    <cellStyle name="표준 23 2 5 3" xfId="26411"/>
    <cellStyle name="표준 23 2 6" xfId="7066"/>
    <cellStyle name="표준 23 2 6 2" xfId="16074"/>
    <cellStyle name="표준 23 2 6 2 2" xfId="36950"/>
    <cellStyle name="표준 23 2 6 3" xfId="28212"/>
    <cellStyle name="표준 23 2 7" xfId="7711"/>
    <cellStyle name="표준 23 2 7 2" xfId="16717"/>
    <cellStyle name="표준 23 2 7 2 2" xfId="37593"/>
    <cellStyle name="표준 23 2 7 3" xfId="28855"/>
    <cellStyle name="표준 23 2 8" xfId="8559"/>
    <cellStyle name="표준 23 2 8 2" xfId="17564"/>
    <cellStyle name="표준 23 2 8 2 2" xfId="38440"/>
    <cellStyle name="표준 23 2 8 3" xfId="29702"/>
    <cellStyle name="표준 23 2 9" xfId="9383"/>
    <cellStyle name="표준 23 2 9 2" xfId="18382"/>
    <cellStyle name="표준 23 2 9 2 2" xfId="39258"/>
    <cellStyle name="표준 23 2 9 3" xfId="30520"/>
    <cellStyle name="표준 23 3" xfId="2979"/>
    <cellStyle name="표준 23 3 10" xfId="10440"/>
    <cellStyle name="표준 23 3 10 2" xfId="19211"/>
    <cellStyle name="표준 23 3 10 2 2" xfId="40087"/>
    <cellStyle name="표준 23 3 10 3" xfId="31351"/>
    <cellStyle name="표준 23 3 11" xfId="11306"/>
    <cellStyle name="표준 23 3 11 2" xfId="20072"/>
    <cellStyle name="표준 23 3 11 2 2" xfId="40948"/>
    <cellStyle name="표준 23 3 11 3" xfId="32212"/>
    <cellStyle name="표준 23 3 12" xfId="12454"/>
    <cellStyle name="표준 23 3 12 2" xfId="33332"/>
    <cellStyle name="표준 23 3 13" xfId="24582"/>
    <cellStyle name="표준 23 3 2" xfId="3197"/>
    <cellStyle name="표준 23 3 2 10" xfId="11516"/>
    <cellStyle name="표준 23 3 2 10 2" xfId="20282"/>
    <cellStyle name="표준 23 3 2 10 2 2" xfId="41158"/>
    <cellStyle name="표준 23 3 2 10 3" xfId="32422"/>
    <cellStyle name="표준 23 3 2 11" xfId="12665"/>
    <cellStyle name="표준 23 3 2 11 2" xfId="33542"/>
    <cellStyle name="표준 23 3 2 12" xfId="24792"/>
    <cellStyle name="표준 23 3 2 2" xfId="3639"/>
    <cellStyle name="표준 23 3 2 2 2" xfId="5912"/>
    <cellStyle name="표준 23 3 2 2 2 2" xfId="14921"/>
    <cellStyle name="표준 23 3 2 2 2 2 2" xfId="35797"/>
    <cellStyle name="표준 23 3 2 2 2 3" xfId="27059"/>
    <cellStyle name="표준 23 3 2 2 3" xfId="13102"/>
    <cellStyle name="표준 23 3 2 2 3 2" xfId="33979"/>
    <cellStyle name="표준 23 3 2 2 4" xfId="25229"/>
    <cellStyle name="표준 23 3 2 3" xfId="4800"/>
    <cellStyle name="표준 23 3 2 3 2" xfId="6632"/>
    <cellStyle name="표준 23 3 2 3 2 2" xfId="15641"/>
    <cellStyle name="표준 23 3 2 3 2 2 2" xfId="36517"/>
    <cellStyle name="표준 23 3 2 3 2 3" xfId="27779"/>
    <cellStyle name="표준 23 3 2 3 3" xfId="13823"/>
    <cellStyle name="표준 23 3 2 3 3 2" xfId="34699"/>
    <cellStyle name="표준 23 3 2 3 4" xfId="25961"/>
    <cellStyle name="표준 23 3 2 4" xfId="5475"/>
    <cellStyle name="표준 23 3 2 4 2" xfId="14484"/>
    <cellStyle name="표준 23 3 2 4 2 2" xfId="35360"/>
    <cellStyle name="표준 23 3 2 4 3" xfId="26622"/>
    <cellStyle name="표준 23 3 2 5" xfId="7278"/>
    <cellStyle name="표준 23 3 2 5 2" xfId="16285"/>
    <cellStyle name="표준 23 3 2 5 2 2" xfId="37161"/>
    <cellStyle name="표준 23 3 2 5 3" xfId="28423"/>
    <cellStyle name="표준 23 3 2 6" xfId="7922"/>
    <cellStyle name="표준 23 3 2 6 2" xfId="16928"/>
    <cellStyle name="표준 23 3 2 6 2 2" xfId="37804"/>
    <cellStyle name="표준 23 3 2 6 3" xfId="29066"/>
    <cellStyle name="표준 23 3 2 7" xfId="8770"/>
    <cellStyle name="표준 23 3 2 7 2" xfId="17775"/>
    <cellStyle name="표준 23 3 2 7 2 2" xfId="38651"/>
    <cellStyle name="표준 23 3 2 7 3" xfId="29913"/>
    <cellStyle name="표준 23 3 2 8" xfId="9595"/>
    <cellStyle name="표준 23 3 2 8 2" xfId="18593"/>
    <cellStyle name="표준 23 3 2 8 2 2" xfId="39469"/>
    <cellStyle name="표준 23 3 2 8 3" xfId="30731"/>
    <cellStyle name="표준 23 3 2 9" xfId="10650"/>
    <cellStyle name="표준 23 3 2 9 2" xfId="19421"/>
    <cellStyle name="표준 23 3 2 9 2 2" xfId="40297"/>
    <cellStyle name="표준 23 3 2 9 3" xfId="31561"/>
    <cellStyle name="표준 23 3 3" xfId="3429"/>
    <cellStyle name="표준 23 3 3 10" xfId="12892"/>
    <cellStyle name="표준 23 3 3 10 2" xfId="33769"/>
    <cellStyle name="표준 23 3 3 11" xfId="25019"/>
    <cellStyle name="표준 23 3 3 2" xfId="5022"/>
    <cellStyle name="표준 23 3 3 2 2" xfId="6849"/>
    <cellStyle name="표준 23 3 3 2 2 2" xfId="15858"/>
    <cellStyle name="표준 23 3 3 2 2 2 2" xfId="36734"/>
    <cellStyle name="표준 23 3 3 2 2 3" xfId="27996"/>
    <cellStyle name="표준 23 3 3 2 3" xfId="14040"/>
    <cellStyle name="표준 23 3 3 2 3 2" xfId="34916"/>
    <cellStyle name="표준 23 3 3 2 4" xfId="26178"/>
    <cellStyle name="표준 23 3 3 3" xfId="5702"/>
    <cellStyle name="표준 23 3 3 3 2" xfId="14711"/>
    <cellStyle name="표준 23 3 3 3 2 2" xfId="35587"/>
    <cellStyle name="표준 23 3 3 3 3" xfId="26849"/>
    <cellStyle name="표준 23 3 3 4" xfId="7495"/>
    <cellStyle name="표준 23 3 3 4 2" xfId="16502"/>
    <cellStyle name="표준 23 3 3 4 2 2" xfId="37378"/>
    <cellStyle name="표준 23 3 3 4 3" xfId="28640"/>
    <cellStyle name="표준 23 3 3 5" xfId="8139"/>
    <cellStyle name="표준 23 3 3 5 2" xfId="17145"/>
    <cellStyle name="표준 23 3 3 5 2 2" xfId="38021"/>
    <cellStyle name="표준 23 3 3 5 3" xfId="29283"/>
    <cellStyle name="표준 23 3 3 6" xfId="8987"/>
    <cellStyle name="표준 23 3 3 6 2" xfId="17992"/>
    <cellStyle name="표준 23 3 3 6 2 2" xfId="38868"/>
    <cellStyle name="표준 23 3 3 6 3" xfId="30130"/>
    <cellStyle name="표준 23 3 3 7" xfId="9812"/>
    <cellStyle name="표준 23 3 3 7 2" xfId="18810"/>
    <cellStyle name="표준 23 3 3 7 2 2" xfId="39686"/>
    <cellStyle name="표준 23 3 3 7 3" xfId="30948"/>
    <cellStyle name="표준 23 3 3 8" xfId="10867"/>
    <cellStyle name="표준 23 3 3 8 2" xfId="19638"/>
    <cellStyle name="표준 23 3 3 8 2 2" xfId="40514"/>
    <cellStyle name="표준 23 3 3 8 3" xfId="31778"/>
    <cellStyle name="표준 23 3 3 9" xfId="11733"/>
    <cellStyle name="표준 23 3 3 9 2" xfId="20499"/>
    <cellStyle name="표준 23 3 3 9 2 2" xfId="41375"/>
    <cellStyle name="표준 23 3 3 9 3" xfId="32639"/>
    <cellStyle name="표준 23 3 4" xfId="4588"/>
    <cellStyle name="표준 23 3 4 2" xfId="6422"/>
    <cellStyle name="표준 23 3 4 2 2" xfId="15431"/>
    <cellStyle name="표준 23 3 4 2 2 2" xfId="36307"/>
    <cellStyle name="표준 23 3 4 2 3" xfId="27569"/>
    <cellStyle name="표준 23 3 4 3" xfId="11085"/>
    <cellStyle name="표준 23 3 4 3 2" xfId="19855"/>
    <cellStyle name="표준 23 3 4 3 2 2" xfId="40731"/>
    <cellStyle name="표준 23 3 4 3 3" xfId="31995"/>
    <cellStyle name="표준 23 3 4 4" xfId="11950"/>
    <cellStyle name="표준 23 3 4 4 2" xfId="20716"/>
    <cellStyle name="표준 23 3 4 4 2 2" xfId="41592"/>
    <cellStyle name="표준 23 3 4 4 3" xfId="32856"/>
    <cellStyle name="표준 23 3 4 5" xfId="13613"/>
    <cellStyle name="표준 23 3 4 5 2" xfId="34489"/>
    <cellStyle name="표준 23 3 4 6" xfId="25751"/>
    <cellStyle name="표준 23 3 5" xfId="5265"/>
    <cellStyle name="표준 23 3 5 2" xfId="14274"/>
    <cellStyle name="표준 23 3 5 2 2" xfId="35150"/>
    <cellStyle name="표준 23 3 5 3" xfId="26412"/>
    <cellStyle name="표준 23 3 6" xfId="7067"/>
    <cellStyle name="표준 23 3 6 2" xfId="16075"/>
    <cellStyle name="표준 23 3 6 2 2" xfId="36951"/>
    <cellStyle name="표준 23 3 6 3" xfId="28213"/>
    <cellStyle name="표준 23 3 7" xfId="7712"/>
    <cellStyle name="표준 23 3 7 2" xfId="16718"/>
    <cellStyle name="표준 23 3 7 2 2" xfId="37594"/>
    <cellStyle name="표준 23 3 7 3" xfId="28856"/>
    <cellStyle name="표준 23 3 8" xfId="8560"/>
    <cellStyle name="표준 23 3 8 2" xfId="17565"/>
    <cellStyle name="표준 23 3 8 2 2" xfId="38441"/>
    <cellStyle name="표준 23 3 8 3" xfId="29703"/>
    <cellStyle name="표준 23 3 9" xfId="9384"/>
    <cellStyle name="표준 23 3 9 2" xfId="18383"/>
    <cellStyle name="표준 23 3 9 2 2" xfId="39259"/>
    <cellStyle name="표준 23 3 9 3" xfId="30521"/>
    <cellStyle name="표준 23 4" xfId="2980"/>
    <cellStyle name="표준 23 4 10" xfId="10441"/>
    <cellStyle name="표준 23 4 10 2" xfId="19212"/>
    <cellStyle name="표준 23 4 10 2 2" xfId="40088"/>
    <cellStyle name="표준 23 4 10 3" xfId="31352"/>
    <cellStyle name="표준 23 4 11" xfId="11307"/>
    <cellStyle name="표준 23 4 11 2" xfId="20073"/>
    <cellStyle name="표준 23 4 11 2 2" xfId="40949"/>
    <cellStyle name="표준 23 4 11 3" xfId="32213"/>
    <cellStyle name="표준 23 4 12" xfId="12455"/>
    <cellStyle name="표준 23 4 12 2" xfId="33333"/>
    <cellStyle name="표준 23 4 13" xfId="24583"/>
    <cellStyle name="표준 23 4 2" xfId="3198"/>
    <cellStyle name="표준 23 4 2 10" xfId="11517"/>
    <cellStyle name="표준 23 4 2 10 2" xfId="20283"/>
    <cellStyle name="표준 23 4 2 10 2 2" xfId="41159"/>
    <cellStyle name="표준 23 4 2 10 3" xfId="32423"/>
    <cellStyle name="표준 23 4 2 11" xfId="12666"/>
    <cellStyle name="표준 23 4 2 11 2" xfId="33543"/>
    <cellStyle name="표준 23 4 2 12" xfId="24793"/>
    <cellStyle name="표준 23 4 2 2" xfId="3640"/>
    <cellStyle name="표준 23 4 2 2 2" xfId="5913"/>
    <cellStyle name="표준 23 4 2 2 2 2" xfId="14922"/>
    <cellStyle name="표준 23 4 2 2 2 2 2" xfId="35798"/>
    <cellStyle name="표준 23 4 2 2 2 3" xfId="27060"/>
    <cellStyle name="표준 23 4 2 2 3" xfId="13103"/>
    <cellStyle name="표준 23 4 2 2 3 2" xfId="33980"/>
    <cellStyle name="표준 23 4 2 2 4" xfId="25230"/>
    <cellStyle name="표준 23 4 2 3" xfId="4801"/>
    <cellStyle name="표준 23 4 2 3 2" xfId="6633"/>
    <cellStyle name="표준 23 4 2 3 2 2" xfId="15642"/>
    <cellStyle name="표준 23 4 2 3 2 2 2" xfId="36518"/>
    <cellStyle name="표준 23 4 2 3 2 3" xfId="27780"/>
    <cellStyle name="표준 23 4 2 3 3" xfId="13824"/>
    <cellStyle name="표준 23 4 2 3 3 2" xfId="34700"/>
    <cellStyle name="표준 23 4 2 3 4" xfId="25962"/>
    <cellStyle name="표준 23 4 2 4" xfId="5476"/>
    <cellStyle name="표준 23 4 2 4 2" xfId="14485"/>
    <cellStyle name="표준 23 4 2 4 2 2" xfId="35361"/>
    <cellStyle name="표준 23 4 2 4 3" xfId="26623"/>
    <cellStyle name="표준 23 4 2 5" xfId="7279"/>
    <cellStyle name="표준 23 4 2 5 2" xfId="16286"/>
    <cellStyle name="표준 23 4 2 5 2 2" xfId="37162"/>
    <cellStyle name="표준 23 4 2 5 3" xfId="28424"/>
    <cellStyle name="표준 23 4 2 6" xfId="7923"/>
    <cellStyle name="표준 23 4 2 6 2" xfId="16929"/>
    <cellStyle name="표준 23 4 2 6 2 2" xfId="37805"/>
    <cellStyle name="표준 23 4 2 6 3" xfId="29067"/>
    <cellStyle name="표준 23 4 2 7" xfId="8771"/>
    <cellStyle name="표준 23 4 2 7 2" xfId="17776"/>
    <cellStyle name="표준 23 4 2 7 2 2" xfId="38652"/>
    <cellStyle name="표준 23 4 2 7 3" xfId="29914"/>
    <cellStyle name="표준 23 4 2 8" xfId="9596"/>
    <cellStyle name="표준 23 4 2 8 2" xfId="18594"/>
    <cellStyle name="표준 23 4 2 8 2 2" xfId="39470"/>
    <cellStyle name="표준 23 4 2 8 3" xfId="30732"/>
    <cellStyle name="표준 23 4 2 9" xfId="10651"/>
    <cellStyle name="표준 23 4 2 9 2" xfId="19422"/>
    <cellStyle name="표준 23 4 2 9 2 2" xfId="40298"/>
    <cellStyle name="표준 23 4 2 9 3" xfId="31562"/>
    <cellStyle name="표준 23 4 3" xfId="3430"/>
    <cellStyle name="표준 23 4 3 10" xfId="12893"/>
    <cellStyle name="표준 23 4 3 10 2" xfId="33770"/>
    <cellStyle name="표준 23 4 3 11" xfId="25020"/>
    <cellStyle name="표준 23 4 3 2" xfId="5023"/>
    <cellStyle name="표준 23 4 3 2 2" xfId="6850"/>
    <cellStyle name="표준 23 4 3 2 2 2" xfId="15859"/>
    <cellStyle name="표준 23 4 3 2 2 2 2" xfId="36735"/>
    <cellStyle name="표준 23 4 3 2 2 3" xfId="27997"/>
    <cellStyle name="표준 23 4 3 2 3" xfId="14041"/>
    <cellStyle name="표준 23 4 3 2 3 2" xfId="34917"/>
    <cellStyle name="표준 23 4 3 2 4" xfId="26179"/>
    <cellStyle name="표준 23 4 3 3" xfId="5703"/>
    <cellStyle name="표준 23 4 3 3 2" xfId="14712"/>
    <cellStyle name="표준 23 4 3 3 2 2" xfId="35588"/>
    <cellStyle name="표준 23 4 3 3 3" xfId="26850"/>
    <cellStyle name="표준 23 4 3 4" xfId="7496"/>
    <cellStyle name="표준 23 4 3 4 2" xfId="16503"/>
    <cellStyle name="표준 23 4 3 4 2 2" xfId="37379"/>
    <cellStyle name="표준 23 4 3 4 3" xfId="28641"/>
    <cellStyle name="표준 23 4 3 5" xfId="8140"/>
    <cellStyle name="표준 23 4 3 5 2" xfId="17146"/>
    <cellStyle name="표준 23 4 3 5 2 2" xfId="38022"/>
    <cellStyle name="표준 23 4 3 5 3" xfId="29284"/>
    <cellStyle name="표준 23 4 3 6" xfId="8988"/>
    <cellStyle name="표준 23 4 3 6 2" xfId="17993"/>
    <cellStyle name="표준 23 4 3 6 2 2" xfId="38869"/>
    <cellStyle name="표준 23 4 3 6 3" xfId="30131"/>
    <cellStyle name="표준 23 4 3 7" xfId="9813"/>
    <cellStyle name="표준 23 4 3 7 2" xfId="18811"/>
    <cellStyle name="표준 23 4 3 7 2 2" xfId="39687"/>
    <cellStyle name="표준 23 4 3 7 3" xfId="30949"/>
    <cellStyle name="표준 23 4 3 8" xfId="10868"/>
    <cellStyle name="표준 23 4 3 8 2" xfId="19639"/>
    <cellStyle name="표준 23 4 3 8 2 2" xfId="40515"/>
    <cellStyle name="표준 23 4 3 8 3" xfId="31779"/>
    <cellStyle name="표준 23 4 3 9" xfId="11734"/>
    <cellStyle name="표준 23 4 3 9 2" xfId="20500"/>
    <cellStyle name="표준 23 4 3 9 2 2" xfId="41376"/>
    <cellStyle name="표준 23 4 3 9 3" xfId="32640"/>
    <cellStyle name="표준 23 4 4" xfId="4589"/>
    <cellStyle name="표준 23 4 4 2" xfId="6423"/>
    <cellStyle name="표준 23 4 4 2 2" xfId="15432"/>
    <cellStyle name="표준 23 4 4 2 2 2" xfId="36308"/>
    <cellStyle name="표준 23 4 4 2 3" xfId="27570"/>
    <cellStyle name="표준 23 4 4 3" xfId="11086"/>
    <cellStyle name="표준 23 4 4 3 2" xfId="19856"/>
    <cellStyle name="표준 23 4 4 3 2 2" xfId="40732"/>
    <cellStyle name="표준 23 4 4 3 3" xfId="31996"/>
    <cellStyle name="표준 23 4 4 4" xfId="11951"/>
    <cellStyle name="표준 23 4 4 4 2" xfId="20717"/>
    <cellStyle name="표준 23 4 4 4 2 2" xfId="41593"/>
    <cellStyle name="표준 23 4 4 4 3" xfId="32857"/>
    <cellStyle name="표준 23 4 4 5" xfId="13614"/>
    <cellStyle name="표준 23 4 4 5 2" xfId="34490"/>
    <cellStyle name="표준 23 4 4 6" xfId="25752"/>
    <cellStyle name="표준 23 4 5" xfId="5266"/>
    <cellStyle name="표준 23 4 5 2" xfId="14275"/>
    <cellStyle name="표준 23 4 5 2 2" xfId="35151"/>
    <cellStyle name="표준 23 4 5 3" xfId="26413"/>
    <cellStyle name="표준 23 4 6" xfId="7068"/>
    <cellStyle name="표준 23 4 6 2" xfId="16076"/>
    <cellStyle name="표준 23 4 6 2 2" xfId="36952"/>
    <cellStyle name="표준 23 4 6 3" xfId="28214"/>
    <cellStyle name="표준 23 4 7" xfId="7713"/>
    <cellStyle name="표준 23 4 7 2" xfId="16719"/>
    <cellStyle name="표준 23 4 7 2 2" xfId="37595"/>
    <cellStyle name="표준 23 4 7 3" xfId="28857"/>
    <cellStyle name="표준 23 4 8" xfId="8561"/>
    <cellStyle name="표준 23 4 8 2" xfId="17566"/>
    <cellStyle name="표준 23 4 8 2 2" xfId="38442"/>
    <cellStyle name="표준 23 4 8 3" xfId="29704"/>
    <cellStyle name="표준 23 4 9" xfId="9385"/>
    <cellStyle name="표준 23 4 9 2" xfId="18384"/>
    <cellStyle name="표준 23 4 9 2 2" xfId="39260"/>
    <cellStyle name="표준 23 4 9 3" xfId="30522"/>
    <cellStyle name="표준 23 5" xfId="2981"/>
    <cellStyle name="표준 23 5 10" xfId="10442"/>
    <cellStyle name="표준 23 5 10 2" xfId="19213"/>
    <cellStyle name="표준 23 5 10 2 2" xfId="40089"/>
    <cellStyle name="표준 23 5 10 3" xfId="31353"/>
    <cellStyle name="표준 23 5 11" xfId="11308"/>
    <cellStyle name="표준 23 5 11 2" xfId="20074"/>
    <cellStyle name="표준 23 5 11 2 2" xfId="40950"/>
    <cellStyle name="표준 23 5 11 3" xfId="32214"/>
    <cellStyle name="표준 23 5 12" xfId="12456"/>
    <cellStyle name="표준 23 5 12 2" xfId="33334"/>
    <cellStyle name="표준 23 5 13" xfId="24584"/>
    <cellStyle name="표준 23 5 2" xfId="3199"/>
    <cellStyle name="표준 23 5 2 10" xfId="11518"/>
    <cellStyle name="표준 23 5 2 10 2" xfId="20284"/>
    <cellStyle name="표준 23 5 2 10 2 2" xfId="41160"/>
    <cellStyle name="표준 23 5 2 10 3" xfId="32424"/>
    <cellStyle name="표준 23 5 2 11" xfId="12667"/>
    <cellStyle name="표준 23 5 2 11 2" xfId="33544"/>
    <cellStyle name="표준 23 5 2 12" xfId="24794"/>
    <cellStyle name="표준 23 5 2 2" xfId="3641"/>
    <cellStyle name="표준 23 5 2 2 2" xfId="5914"/>
    <cellStyle name="표준 23 5 2 2 2 2" xfId="14923"/>
    <cellStyle name="표준 23 5 2 2 2 2 2" xfId="35799"/>
    <cellStyle name="표준 23 5 2 2 2 3" xfId="27061"/>
    <cellStyle name="표준 23 5 2 2 3" xfId="13104"/>
    <cellStyle name="표준 23 5 2 2 3 2" xfId="33981"/>
    <cellStyle name="표준 23 5 2 2 4" xfId="25231"/>
    <cellStyle name="표준 23 5 2 3" xfId="4802"/>
    <cellStyle name="표준 23 5 2 3 2" xfId="6634"/>
    <cellStyle name="표준 23 5 2 3 2 2" xfId="15643"/>
    <cellStyle name="표준 23 5 2 3 2 2 2" xfId="36519"/>
    <cellStyle name="표준 23 5 2 3 2 3" xfId="27781"/>
    <cellStyle name="표준 23 5 2 3 3" xfId="13825"/>
    <cellStyle name="표준 23 5 2 3 3 2" xfId="34701"/>
    <cellStyle name="표준 23 5 2 3 4" xfId="25963"/>
    <cellStyle name="표준 23 5 2 4" xfId="5477"/>
    <cellStyle name="표준 23 5 2 4 2" xfId="14486"/>
    <cellStyle name="표준 23 5 2 4 2 2" xfId="35362"/>
    <cellStyle name="표준 23 5 2 4 3" xfId="26624"/>
    <cellStyle name="표준 23 5 2 5" xfId="7280"/>
    <cellStyle name="표준 23 5 2 5 2" xfId="16287"/>
    <cellStyle name="표준 23 5 2 5 2 2" xfId="37163"/>
    <cellStyle name="표준 23 5 2 5 3" xfId="28425"/>
    <cellStyle name="표준 23 5 2 6" xfId="7924"/>
    <cellStyle name="표준 23 5 2 6 2" xfId="16930"/>
    <cellStyle name="표준 23 5 2 6 2 2" xfId="37806"/>
    <cellStyle name="표준 23 5 2 6 3" xfId="29068"/>
    <cellStyle name="표준 23 5 2 7" xfId="8772"/>
    <cellStyle name="표준 23 5 2 7 2" xfId="17777"/>
    <cellStyle name="표준 23 5 2 7 2 2" xfId="38653"/>
    <cellStyle name="표준 23 5 2 7 3" xfId="29915"/>
    <cellStyle name="표준 23 5 2 8" xfId="9597"/>
    <cellStyle name="표준 23 5 2 8 2" xfId="18595"/>
    <cellStyle name="표준 23 5 2 8 2 2" xfId="39471"/>
    <cellStyle name="표준 23 5 2 8 3" xfId="30733"/>
    <cellStyle name="표준 23 5 2 9" xfId="10652"/>
    <cellStyle name="표준 23 5 2 9 2" xfId="19423"/>
    <cellStyle name="표준 23 5 2 9 2 2" xfId="40299"/>
    <cellStyle name="표준 23 5 2 9 3" xfId="31563"/>
    <cellStyle name="표준 23 5 3" xfId="3431"/>
    <cellStyle name="표준 23 5 3 10" xfId="12894"/>
    <cellStyle name="표준 23 5 3 10 2" xfId="33771"/>
    <cellStyle name="표준 23 5 3 11" xfId="25021"/>
    <cellStyle name="표준 23 5 3 2" xfId="5024"/>
    <cellStyle name="표준 23 5 3 2 2" xfId="6851"/>
    <cellStyle name="표준 23 5 3 2 2 2" xfId="15860"/>
    <cellStyle name="표준 23 5 3 2 2 2 2" xfId="36736"/>
    <cellStyle name="표준 23 5 3 2 2 3" xfId="27998"/>
    <cellStyle name="표준 23 5 3 2 3" xfId="14042"/>
    <cellStyle name="표준 23 5 3 2 3 2" xfId="34918"/>
    <cellStyle name="표준 23 5 3 2 4" xfId="26180"/>
    <cellStyle name="표준 23 5 3 3" xfId="5704"/>
    <cellStyle name="표준 23 5 3 3 2" xfId="14713"/>
    <cellStyle name="표준 23 5 3 3 2 2" xfId="35589"/>
    <cellStyle name="표준 23 5 3 3 3" xfId="26851"/>
    <cellStyle name="표준 23 5 3 4" xfId="7497"/>
    <cellStyle name="표준 23 5 3 4 2" xfId="16504"/>
    <cellStyle name="표준 23 5 3 4 2 2" xfId="37380"/>
    <cellStyle name="표준 23 5 3 4 3" xfId="28642"/>
    <cellStyle name="표준 23 5 3 5" xfId="8141"/>
    <cellStyle name="표준 23 5 3 5 2" xfId="17147"/>
    <cellStyle name="표준 23 5 3 5 2 2" xfId="38023"/>
    <cellStyle name="표준 23 5 3 5 3" xfId="29285"/>
    <cellStyle name="표준 23 5 3 6" xfId="8989"/>
    <cellStyle name="표준 23 5 3 6 2" xfId="17994"/>
    <cellStyle name="표준 23 5 3 6 2 2" xfId="38870"/>
    <cellStyle name="표준 23 5 3 6 3" xfId="30132"/>
    <cellStyle name="표준 23 5 3 7" xfId="9814"/>
    <cellStyle name="표준 23 5 3 7 2" xfId="18812"/>
    <cellStyle name="표준 23 5 3 7 2 2" xfId="39688"/>
    <cellStyle name="표준 23 5 3 7 3" xfId="30950"/>
    <cellStyle name="표준 23 5 3 8" xfId="10869"/>
    <cellStyle name="표준 23 5 3 8 2" xfId="19640"/>
    <cellStyle name="표준 23 5 3 8 2 2" xfId="40516"/>
    <cellStyle name="표준 23 5 3 8 3" xfId="31780"/>
    <cellStyle name="표준 23 5 3 9" xfId="11735"/>
    <cellStyle name="표준 23 5 3 9 2" xfId="20501"/>
    <cellStyle name="표준 23 5 3 9 2 2" xfId="41377"/>
    <cellStyle name="표준 23 5 3 9 3" xfId="32641"/>
    <cellStyle name="표준 23 5 4" xfId="4590"/>
    <cellStyle name="표준 23 5 4 2" xfId="6424"/>
    <cellStyle name="표준 23 5 4 2 2" xfId="15433"/>
    <cellStyle name="표준 23 5 4 2 2 2" xfId="36309"/>
    <cellStyle name="표준 23 5 4 2 3" xfId="27571"/>
    <cellStyle name="표준 23 5 4 3" xfId="11087"/>
    <cellStyle name="표준 23 5 4 3 2" xfId="19857"/>
    <cellStyle name="표준 23 5 4 3 2 2" xfId="40733"/>
    <cellStyle name="표준 23 5 4 3 3" xfId="31997"/>
    <cellStyle name="표준 23 5 4 4" xfId="11952"/>
    <cellStyle name="표준 23 5 4 4 2" xfId="20718"/>
    <cellStyle name="표준 23 5 4 4 2 2" xfId="41594"/>
    <cellStyle name="표준 23 5 4 4 3" xfId="32858"/>
    <cellStyle name="표준 23 5 4 5" xfId="13615"/>
    <cellStyle name="표준 23 5 4 5 2" xfId="34491"/>
    <cellStyle name="표준 23 5 4 6" xfId="25753"/>
    <cellStyle name="표준 23 5 5" xfId="5267"/>
    <cellStyle name="표준 23 5 5 2" xfId="14276"/>
    <cellStyle name="표준 23 5 5 2 2" xfId="35152"/>
    <cellStyle name="표준 23 5 5 3" xfId="26414"/>
    <cellStyle name="표준 23 5 6" xfId="7069"/>
    <cellStyle name="표준 23 5 6 2" xfId="16077"/>
    <cellStyle name="표준 23 5 6 2 2" xfId="36953"/>
    <cellStyle name="표준 23 5 6 3" xfId="28215"/>
    <cellStyle name="표준 23 5 7" xfId="7714"/>
    <cellStyle name="표준 23 5 7 2" xfId="16720"/>
    <cellStyle name="표준 23 5 7 2 2" xfId="37596"/>
    <cellStyle name="표준 23 5 7 3" xfId="28858"/>
    <cellStyle name="표준 23 5 8" xfId="8562"/>
    <cellStyle name="표준 23 5 8 2" xfId="17567"/>
    <cellStyle name="표준 23 5 8 2 2" xfId="38443"/>
    <cellStyle name="표준 23 5 8 3" xfId="29705"/>
    <cellStyle name="표준 23 5 9" xfId="9386"/>
    <cellStyle name="표준 23 5 9 2" xfId="18385"/>
    <cellStyle name="표준 23 5 9 2 2" xfId="39261"/>
    <cellStyle name="표준 23 5 9 3" xfId="30523"/>
    <cellStyle name="표준 23 6" xfId="2982"/>
    <cellStyle name="표준 23 6 10" xfId="10443"/>
    <cellStyle name="표준 23 6 10 2" xfId="19214"/>
    <cellStyle name="표준 23 6 10 2 2" xfId="40090"/>
    <cellStyle name="표준 23 6 10 3" xfId="31354"/>
    <cellStyle name="표준 23 6 11" xfId="11309"/>
    <cellStyle name="표준 23 6 11 2" xfId="20075"/>
    <cellStyle name="표준 23 6 11 2 2" xfId="40951"/>
    <cellStyle name="표준 23 6 11 3" xfId="32215"/>
    <cellStyle name="표준 23 6 12" xfId="12457"/>
    <cellStyle name="표준 23 6 12 2" xfId="33335"/>
    <cellStyle name="표준 23 6 13" xfId="24585"/>
    <cellStyle name="표준 23 6 2" xfId="3200"/>
    <cellStyle name="표준 23 6 2 10" xfId="11519"/>
    <cellStyle name="표준 23 6 2 10 2" xfId="20285"/>
    <cellStyle name="표준 23 6 2 10 2 2" xfId="41161"/>
    <cellStyle name="표준 23 6 2 10 3" xfId="32425"/>
    <cellStyle name="표준 23 6 2 11" xfId="12668"/>
    <cellStyle name="표준 23 6 2 11 2" xfId="33545"/>
    <cellStyle name="표준 23 6 2 12" xfId="24795"/>
    <cellStyle name="표준 23 6 2 2" xfId="3642"/>
    <cellStyle name="표준 23 6 2 2 2" xfId="5915"/>
    <cellStyle name="표준 23 6 2 2 2 2" xfId="14924"/>
    <cellStyle name="표준 23 6 2 2 2 2 2" xfId="35800"/>
    <cellStyle name="표준 23 6 2 2 2 3" xfId="27062"/>
    <cellStyle name="표준 23 6 2 2 3" xfId="13105"/>
    <cellStyle name="표준 23 6 2 2 3 2" xfId="33982"/>
    <cellStyle name="표준 23 6 2 2 4" xfId="25232"/>
    <cellStyle name="표준 23 6 2 3" xfId="4803"/>
    <cellStyle name="표준 23 6 2 3 2" xfId="6635"/>
    <cellStyle name="표준 23 6 2 3 2 2" xfId="15644"/>
    <cellStyle name="표준 23 6 2 3 2 2 2" xfId="36520"/>
    <cellStyle name="표준 23 6 2 3 2 3" xfId="27782"/>
    <cellStyle name="표준 23 6 2 3 3" xfId="13826"/>
    <cellStyle name="표준 23 6 2 3 3 2" xfId="34702"/>
    <cellStyle name="표준 23 6 2 3 4" xfId="25964"/>
    <cellStyle name="표준 23 6 2 4" xfId="5478"/>
    <cellStyle name="표준 23 6 2 4 2" xfId="14487"/>
    <cellStyle name="표준 23 6 2 4 2 2" xfId="35363"/>
    <cellStyle name="표준 23 6 2 4 3" xfId="26625"/>
    <cellStyle name="표준 23 6 2 5" xfId="7281"/>
    <cellStyle name="표준 23 6 2 5 2" xfId="16288"/>
    <cellStyle name="표준 23 6 2 5 2 2" xfId="37164"/>
    <cellStyle name="표준 23 6 2 5 3" xfId="28426"/>
    <cellStyle name="표준 23 6 2 6" xfId="7925"/>
    <cellStyle name="표준 23 6 2 6 2" xfId="16931"/>
    <cellStyle name="표준 23 6 2 6 2 2" xfId="37807"/>
    <cellStyle name="표준 23 6 2 6 3" xfId="29069"/>
    <cellStyle name="표준 23 6 2 7" xfId="8773"/>
    <cellStyle name="표준 23 6 2 7 2" xfId="17778"/>
    <cellStyle name="표준 23 6 2 7 2 2" xfId="38654"/>
    <cellStyle name="표준 23 6 2 7 3" xfId="29916"/>
    <cellStyle name="표준 23 6 2 8" xfId="9598"/>
    <cellStyle name="표준 23 6 2 8 2" xfId="18596"/>
    <cellStyle name="표준 23 6 2 8 2 2" xfId="39472"/>
    <cellStyle name="표준 23 6 2 8 3" xfId="30734"/>
    <cellStyle name="표준 23 6 2 9" xfId="10653"/>
    <cellStyle name="표준 23 6 2 9 2" xfId="19424"/>
    <cellStyle name="표준 23 6 2 9 2 2" xfId="40300"/>
    <cellStyle name="표준 23 6 2 9 3" xfId="31564"/>
    <cellStyle name="표준 23 6 3" xfId="3432"/>
    <cellStyle name="표준 23 6 3 10" xfId="12895"/>
    <cellStyle name="표준 23 6 3 10 2" xfId="33772"/>
    <cellStyle name="표준 23 6 3 11" xfId="25022"/>
    <cellStyle name="표준 23 6 3 2" xfId="5025"/>
    <cellStyle name="표준 23 6 3 2 2" xfId="6852"/>
    <cellStyle name="표준 23 6 3 2 2 2" xfId="15861"/>
    <cellStyle name="표준 23 6 3 2 2 2 2" xfId="36737"/>
    <cellStyle name="표준 23 6 3 2 2 3" xfId="27999"/>
    <cellStyle name="표준 23 6 3 2 3" xfId="14043"/>
    <cellStyle name="표준 23 6 3 2 3 2" xfId="34919"/>
    <cellStyle name="표준 23 6 3 2 4" xfId="26181"/>
    <cellStyle name="표준 23 6 3 3" xfId="5705"/>
    <cellStyle name="표준 23 6 3 3 2" xfId="14714"/>
    <cellStyle name="표준 23 6 3 3 2 2" xfId="35590"/>
    <cellStyle name="표준 23 6 3 3 3" xfId="26852"/>
    <cellStyle name="표준 23 6 3 4" xfId="7498"/>
    <cellStyle name="표준 23 6 3 4 2" xfId="16505"/>
    <cellStyle name="표준 23 6 3 4 2 2" xfId="37381"/>
    <cellStyle name="표준 23 6 3 4 3" xfId="28643"/>
    <cellStyle name="표준 23 6 3 5" xfId="8142"/>
    <cellStyle name="표준 23 6 3 5 2" xfId="17148"/>
    <cellStyle name="표준 23 6 3 5 2 2" xfId="38024"/>
    <cellStyle name="표준 23 6 3 5 3" xfId="29286"/>
    <cellStyle name="표준 23 6 3 6" xfId="8990"/>
    <cellStyle name="표준 23 6 3 6 2" xfId="17995"/>
    <cellStyle name="표준 23 6 3 6 2 2" xfId="38871"/>
    <cellStyle name="표준 23 6 3 6 3" xfId="30133"/>
    <cellStyle name="표준 23 6 3 7" xfId="9815"/>
    <cellStyle name="표준 23 6 3 7 2" xfId="18813"/>
    <cellStyle name="표준 23 6 3 7 2 2" xfId="39689"/>
    <cellStyle name="표준 23 6 3 7 3" xfId="30951"/>
    <cellStyle name="표준 23 6 3 8" xfId="10870"/>
    <cellStyle name="표준 23 6 3 8 2" xfId="19641"/>
    <cellStyle name="표준 23 6 3 8 2 2" xfId="40517"/>
    <cellStyle name="표준 23 6 3 8 3" xfId="31781"/>
    <cellStyle name="표준 23 6 3 9" xfId="11736"/>
    <cellStyle name="표준 23 6 3 9 2" xfId="20502"/>
    <cellStyle name="표준 23 6 3 9 2 2" xfId="41378"/>
    <cellStyle name="표준 23 6 3 9 3" xfId="32642"/>
    <cellStyle name="표준 23 6 4" xfId="4591"/>
    <cellStyle name="표준 23 6 4 2" xfId="6425"/>
    <cellStyle name="표준 23 6 4 2 2" xfId="15434"/>
    <cellStyle name="표준 23 6 4 2 2 2" xfId="36310"/>
    <cellStyle name="표준 23 6 4 2 3" xfId="27572"/>
    <cellStyle name="표준 23 6 4 3" xfId="11088"/>
    <cellStyle name="표준 23 6 4 3 2" xfId="19858"/>
    <cellStyle name="표준 23 6 4 3 2 2" xfId="40734"/>
    <cellStyle name="표준 23 6 4 3 3" xfId="31998"/>
    <cellStyle name="표준 23 6 4 4" xfId="11953"/>
    <cellStyle name="표준 23 6 4 4 2" xfId="20719"/>
    <cellStyle name="표준 23 6 4 4 2 2" xfId="41595"/>
    <cellStyle name="표준 23 6 4 4 3" xfId="32859"/>
    <cellStyle name="표준 23 6 4 5" xfId="13616"/>
    <cellStyle name="표준 23 6 4 5 2" xfId="34492"/>
    <cellStyle name="표준 23 6 4 6" xfId="25754"/>
    <cellStyle name="표준 23 6 5" xfId="5268"/>
    <cellStyle name="표준 23 6 5 2" xfId="14277"/>
    <cellStyle name="표준 23 6 5 2 2" xfId="35153"/>
    <cellStyle name="표준 23 6 5 3" xfId="26415"/>
    <cellStyle name="표준 23 6 6" xfId="7070"/>
    <cellStyle name="표준 23 6 6 2" xfId="16078"/>
    <cellStyle name="표준 23 6 6 2 2" xfId="36954"/>
    <cellStyle name="표준 23 6 6 3" xfId="28216"/>
    <cellStyle name="표준 23 6 7" xfId="7715"/>
    <cellStyle name="표준 23 6 7 2" xfId="16721"/>
    <cellStyle name="표준 23 6 7 2 2" xfId="37597"/>
    <cellStyle name="표준 23 6 7 3" xfId="28859"/>
    <cellStyle name="표준 23 6 8" xfId="8563"/>
    <cellStyle name="표준 23 6 8 2" xfId="17568"/>
    <cellStyle name="표준 23 6 8 2 2" xfId="38444"/>
    <cellStyle name="표준 23 6 8 3" xfId="29706"/>
    <cellStyle name="표준 23 6 9" xfId="9387"/>
    <cellStyle name="표준 23 6 9 2" xfId="18386"/>
    <cellStyle name="표준 23 6 9 2 2" xfId="39262"/>
    <cellStyle name="표준 23 6 9 3" xfId="30524"/>
    <cellStyle name="표준 23 7" xfId="2983"/>
    <cellStyle name="표준 23 7 10" xfId="10444"/>
    <cellStyle name="표준 23 7 10 2" xfId="19215"/>
    <cellStyle name="표준 23 7 10 2 2" xfId="40091"/>
    <cellStyle name="표준 23 7 10 3" xfId="31355"/>
    <cellStyle name="표준 23 7 11" xfId="11310"/>
    <cellStyle name="표준 23 7 11 2" xfId="20076"/>
    <cellStyle name="표준 23 7 11 2 2" xfId="40952"/>
    <cellStyle name="표준 23 7 11 3" xfId="32216"/>
    <cellStyle name="표준 23 7 12" xfId="12458"/>
    <cellStyle name="표준 23 7 12 2" xfId="33336"/>
    <cellStyle name="표준 23 7 13" xfId="24586"/>
    <cellStyle name="표준 23 7 2" xfId="3201"/>
    <cellStyle name="표준 23 7 2 10" xfId="11520"/>
    <cellStyle name="표준 23 7 2 10 2" xfId="20286"/>
    <cellStyle name="표준 23 7 2 10 2 2" xfId="41162"/>
    <cellStyle name="표준 23 7 2 10 3" xfId="32426"/>
    <cellStyle name="표준 23 7 2 11" xfId="12669"/>
    <cellStyle name="표준 23 7 2 11 2" xfId="33546"/>
    <cellStyle name="표준 23 7 2 12" xfId="24796"/>
    <cellStyle name="표준 23 7 2 2" xfId="3643"/>
    <cellStyle name="표준 23 7 2 2 2" xfId="5916"/>
    <cellStyle name="표준 23 7 2 2 2 2" xfId="14925"/>
    <cellStyle name="표준 23 7 2 2 2 2 2" xfId="35801"/>
    <cellStyle name="표준 23 7 2 2 2 3" xfId="27063"/>
    <cellStyle name="표준 23 7 2 2 3" xfId="13106"/>
    <cellStyle name="표준 23 7 2 2 3 2" xfId="33983"/>
    <cellStyle name="표준 23 7 2 2 4" xfId="25233"/>
    <cellStyle name="표준 23 7 2 3" xfId="4804"/>
    <cellStyle name="표준 23 7 2 3 2" xfId="6636"/>
    <cellStyle name="표준 23 7 2 3 2 2" xfId="15645"/>
    <cellStyle name="표준 23 7 2 3 2 2 2" xfId="36521"/>
    <cellStyle name="표준 23 7 2 3 2 3" xfId="27783"/>
    <cellStyle name="표준 23 7 2 3 3" xfId="13827"/>
    <cellStyle name="표준 23 7 2 3 3 2" xfId="34703"/>
    <cellStyle name="표준 23 7 2 3 4" xfId="25965"/>
    <cellStyle name="표준 23 7 2 4" xfId="5479"/>
    <cellStyle name="표준 23 7 2 4 2" xfId="14488"/>
    <cellStyle name="표준 23 7 2 4 2 2" xfId="35364"/>
    <cellStyle name="표준 23 7 2 4 3" xfId="26626"/>
    <cellStyle name="표준 23 7 2 5" xfId="7282"/>
    <cellStyle name="표준 23 7 2 5 2" xfId="16289"/>
    <cellStyle name="표준 23 7 2 5 2 2" xfId="37165"/>
    <cellStyle name="표준 23 7 2 5 3" xfId="28427"/>
    <cellStyle name="표준 23 7 2 6" xfId="7926"/>
    <cellStyle name="표준 23 7 2 6 2" xfId="16932"/>
    <cellStyle name="표준 23 7 2 6 2 2" xfId="37808"/>
    <cellStyle name="표준 23 7 2 6 3" xfId="29070"/>
    <cellStyle name="표준 23 7 2 7" xfId="8774"/>
    <cellStyle name="표준 23 7 2 7 2" xfId="17779"/>
    <cellStyle name="표준 23 7 2 7 2 2" xfId="38655"/>
    <cellStyle name="표준 23 7 2 7 3" xfId="29917"/>
    <cellStyle name="표준 23 7 2 8" xfId="9599"/>
    <cellStyle name="표준 23 7 2 8 2" xfId="18597"/>
    <cellStyle name="표준 23 7 2 8 2 2" xfId="39473"/>
    <cellStyle name="표준 23 7 2 8 3" xfId="30735"/>
    <cellStyle name="표준 23 7 2 9" xfId="10654"/>
    <cellStyle name="표준 23 7 2 9 2" xfId="19425"/>
    <cellStyle name="표준 23 7 2 9 2 2" xfId="40301"/>
    <cellStyle name="표준 23 7 2 9 3" xfId="31565"/>
    <cellStyle name="표준 23 7 3" xfId="3433"/>
    <cellStyle name="표준 23 7 3 10" xfId="12896"/>
    <cellStyle name="표준 23 7 3 10 2" xfId="33773"/>
    <cellStyle name="표준 23 7 3 11" xfId="25023"/>
    <cellStyle name="표준 23 7 3 2" xfId="5026"/>
    <cellStyle name="표준 23 7 3 2 2" xfId="6853"/>
    <cellStyle name="표준 23 7 3 2 2 2" xfId="15862"/>
    <cellStyle name="표준 23 7 3 2 2 2 2" xfId="36738"/>
    <cellStyle name="표준 23 7 3 2 2 3" xfId="28000"/>
    <cellStyle name="표준 23 7 3 2 3" xfId="14044"/>
    <cellStyle name="표준 23 7 3 2 3 2" xfId="34920"/>
    <cellStyle name="표준 23 7 3 2 4" xfId="26182"/>
    <cellStyle name="표준 23 7 3 3" xfId="5706"/>
    <cellStyle name="표준 23 7 3 3 2" xfId="14715"/>
    <cellStyle name="표준 23 7 3 3 2 2" xfId="35591"/>
    <cellStyle name="표준 23 7 3 3 3" xfId="26853"/>
    <cellStyle name="표준 23 7 3 4" xfId="7499"/>
    <cellStyle name="표준 23 7 3 4 2" xfId="16506"/>
    <cellStyle name="표준 23 7 3 4 2 2" xfId="37382"/>
    <cellStyle name="표준 23 7 3 4 3" xfId="28644"/>
    <cellStyle name="표준 23 7 3 5" xfId="8143"/>
    <cellStyle name="표준 23 7 3 5 2" xfId="17149"/>
    <cellStyle name="표준 23 7 3 5 2 2" xfId="38025"/>
    <cellStyle name="표준 23 7 3 5 3" xfId="29287"/>
    <cellStyle name="표준 23 7 3 6" xfId="8991"/>
    <cellStyle name="표준 23 7 3 6 2" xfId="17996"/>
    <cellStyle name="표준 23 7 3 6 2 2" xfId="38872"/>
    <cellStyle name="표준 23 7 3 6 3" xfId="30134"/>
    <cellStyle name="표준 23 7 3 7" xfId="9816"/>
    <cellStyle name="표준 23 7 3 7 2" xfId="18814"/>
    <cellStyle name="표준 23 7 3 7 2 2" xfId="39690"/>
    <cellStyle name="표준 23 7 3 7 3" xfId="30952"/>
    <cellStyle name="표준 23 7 3 8" xfId="10871"/>
    <cellStyle name="표준 23 7 3 8 2" xfId="19642"/>
    <cellStyle name="표준 23 7 3 8 2 2" xfId="40518"/>
    <cellStyle name="표준 23 7 3 8 3" xfId="31782"/>
    <cellStyle name="표준 23 7 3 9" xfId="11737"/>
    <cellStyle name="표준 23 7 3 9 2" xfId="20503"/>
    <cellStyle name="표준 23 7 3 9 2 2" xfId="41379"/>
    <cellStyle name="표준 23 7 3 9 3" xfId="32643"/>
    <cellStyle name="표준 23 7 4" xfId="4592"/>
    <cellStyle name="표준 23 7 4 2" xfId="6426"/>
    <cellStyle name="표준 23 7 4 2 2" xfId="15435"/>
    <cellStyle name="표준 23 7 4 2 2 2" xfId="36311"/>
    <cellStyle name="표준 23 7 4 2 3" xfId="27573"/>
    <cellStyle name="표준 23 7 4 3" xfId="11089"/>
    <cellStyle name="표준 23 7 4 3 2" xfId="19859"/>
    <cellStyle name="표준 23 7 4 3 2 2" xfId="40735"/>
    <cellStyle name="표준 23 7 4 3 3" xfId="31999"/>
    <cellStyle name="표준 23 7 4 4" xfId="11954"/>
    <cellStyle name="표준 23 7 4 4 2" xfId="20720"/>
    <cellStyle name="표준 23 7 4 4 2 2" xfId="41596"/>
    <cellStyle name="표준 23 7 4 4 3" xfId="32860"/>
    <cellStyle name="표준 23 7 4 5" xfId="13617"/>
    <cellStyle name="표준 23 7 4 5 2" xfId="34493"/>
    <cellStyle name="표준 23 7 4 6" xfId="25755"/>
    <cellStyle name="표준 23 7 5" xfId="5269"/>
    <cellStyle name="표준 23 7 5 2" xfId="14278"/>
    <cellStyle name="표준 23 7 5 2 2" xfId="35154"/>
    <cellStyle name="표준 23 7 5 3" xfId="26416"/>
    <cellStyle name="표준 23 7 6" xfId="7071"/>
    <cellStyle name="표준 23 7 6 2" xfId="16079"/>
    <cellStyle name="표준 23 7 6 2 2" xfId="36955"/>
    <cellStyle name="표준 23 7 6 3" xfId="28217"/>
    <cellStyle name="표준 23 7 7" xfId="7716"/>
    <cellStyle name="표준 23 7 7 2" xfId="16722"/>
    <cellStyle name="표준 23 7 7 2 2" xfId="37598"/>
    <cellStyle name="표준 23 7 7 3" xfId="28860"/>
    <cellStyle name="표준 23 7 8" xfId="8564"/>
    <cellStyle name="표준 23 7 8 2" xfId="17569"/>
    <cellStyle name="표준 23 7 8 2 2" xfId="38445"/>
    <cellStyle name="표준 23 7 8 3" xfId="29707"/>
    <cellStyle name="표준 23 7 9" xfId="9388"/>
    <cellStyle name="표준 23 7 9 2" xfId="18387"/>
    <cellStyle name="표준 23 7 9 2 2" xfId="39263"/>
    <cellStyle name="표준 23 7 9 3" xfId="30525"/>
    <cellStyle name="표준 23 8" xfId="3195"/>
    <cellStyle name="표준 23 8 10" xfId="11514"/>
    <cellStyle name="표준 23 8 10 2" xfId="20280"/>
    <cellStyle name="표준 23 8 10 2 2" xfId="41156"/>
    <cellStyle name="표준 23 8 10 3" xfId="32420"/>
    <cellStyle name="표준 23 8 11" xfId="12663"/>
    <cellStyle name="표준 23 8 11 2" xfId="33540"/>
    <cellStyle name="표준 23 8 12" xfId="24790"/>
    <cellStyle name="표준 23 8 2" xfId="3637"/>
    <cellStyle name="표준 23 8 2 2" xfId="5910"/>
    <cellStyle name="표준 23 8 2 2 2" xfId="14919"/>
    <cellStyle name="표준 23 8 2 2 2 2" xfId="35795"/>
    <cellStyle name="표준 23 8 2 2 3" xfId="27057"/>
    <cellStyle name="표준 23 8 2 3" xfId="13100"/>
    <cellStyle name="표준 23 8 2 3 2" xfId="33977"/>
    <cellStyle name="표준 23 8 2 4" xfId="25227"/>
    <cellStyle name="표준 23 8 3" xfId="4798"/>
    <cellStyle name="표준 23 8 3 2" xfId="6630"/>
    <cellStyle name="표준 23 8 3 2 2" xfId="15639"/>
    <cellStyle name="표준 23 8 3 2 2 2" xfId="36515"/>
    <cellStyle name="표준 23 8 3 2 3" xfId="27777"/>
    <cellStyle name="표준 23 8 3 3" xfId="13821"/>
    <cellStyle name="표준 23 8 3 3 2" xfId="34697"/>
    <cellStyle name="표준 23 8 3 4" xfId="25959"/>
    <cellStyle name="표준 23 8 4" xfId="5473"/>
    <cellStyle name="표준 23 8 4 2" xfId="14482"/>
    <cellStyle name="표준 23 8 4 2 2" xfId="35358"/>
    <cellStyle name="표준 23 8 4 3" xfId="26620"/>
    <cellStyle name="표준 23 8 5" xfId="7276"/>
    <cellStyle name="표준 23 8 5 2" xfId="16283"/>
    <cellStyle name="표준 23 8 5 2 2" xfId="37159"/>
    <cellStyle name="표준 23 8 5 3" xfId="28421"/>
    <cellStyle name="표준 23 8 6" xfId="7920"/>
    <cellStyle name="표준 23 8 6 2" xfId="16926"/>
    <cellStyle name="표준 23 8 6 2 2" xfId="37802"/>
    <cellStyle name="표준 23 8 6 3" xfId="29064"/>
    <cellStyle name="표준 23 8 7" xfId="8768"/>
    <cellStyle name="표준 23 8 7 2" xfId="17773"/>
    <cellStyle name="표준 23 8 7 2 2" xfId="38649"/>
    <cellStyle name="표준 23 8 7 3" xfId="29911"/>
    <cellStyle name="표준 23 8 8" xfId="9593"/>
    <cellStyle name="표준 23 8 8 2" xfId="18591"/>
    <cellStyle name="표준 23 8 8 2 2" xfId="39467"/>
    <cellStyle name="표준 23 8 8 3" xfId="30729"/>
    <cellStyle name="표준 23 8 9" xfId="10648"/>
    <cellStyle name="표준 23 8 9 2" xfId="19419"/>
    <cellStyle name="표준 23 8 9 2 2" xfId="40295"/>
    <cellStyle name="표준 23 8 9 3" xfId="31559"/>
    <cellStyle name="표준 23 9" xfId="3427"/>
    <cellStyle name="표준 23 9 10" xfId="12890"/>
    <cellStyle name="표준 23 9 10 2" xfId="33767"/>
    <cellStyle name="표준 23 9 11" xfId="25017"/>
    <cellStyle name="표준 23 9 2" xfId="5020"/>
    <cellStyle name="표준 23 9 2 2" xfId="6847"/>
    <cellStyle name="표준 23 9 2 2 2" xfId="15856"/>
    <cellStyle name="표준 23 9 2 2 2 2" xfId="36732"/>
    <cellStyle name="표준 23 9 2 2 3" xfId="27994"/>
    <cellStyle name="표준 23 9 2 3" xfId="14038"/>
    <cellStyle name="표준 23 9 2 3 2" xfId="34914"/>
    <cellStyle name="표준 23 9 2 4" xfId="26176"/>
    <cellStyle name="표준 23 9 3" xfId="5700"/>
    <cellStyle name="표준 23 9 3 2" xfId="14709"/>
    <cellStyle name="표준 23 9 3 2 2" xfId="35585"/>
    <cellStyle name="표준 23 9 3 3" xfId="26847"/>
    <cellStyle name="표준 23 9 4" xfId="7493"/>
    <cellStyle name="표준 23 9 4 2" xfId="16500"/>
    <cellStyle name="표준 23 9 4 2 2" xfId="37376"/>
    <cellStyle name="표준 23 9 4 3" xfId="28638"/>
    <cellStyle name="표준 23 9 5" xfId="8137"/>
    <cellStyle name="표준 23 9 5 2" xfId="17143"/>
    <cellStyle name="표준 23 9 5 2 2" xfId="38019"/>
    <cellStyle name="표준 23 9 5 3" xfId="29281"/>
    <cellStyle name="표준 23 9 6" xfId="8985"/>
    <cellStyle name="표준 23 9 6 2" xfId="17990"/>
    <cellStyle name="표준 23 9 6 2 2" xfId="38866"/>
    <cellStyle name="표준 23 9 6 3" xfId="30128"/>
    <cellStyle name="표준 23 9 7" xfId="9810"/>
    <cellStyle name="표준 23 9 7 2" xfId="18808"/>
    <cellStyle name="표준 23 9 7 2 2" xfId="39684"/>
    <cellStyle name="표준 23 9 7 3" xfId="30946"/>
    <cellStyle name="표준 23 9 8" xfId="10865"/>
    <cellStyle name="표준 23 9 8 2" xfId="19636"/>
    <cellStyle name="표준 23 9 8 2 2" xfId="40512"/>
    <cellStyle name="표준 23 9 8 3" xfId="31776"/>
    <cellStyle name="표준 23 9 9" xfId="11731"/>
    <cellStyle name="표준 23 9 9 2" xfId="20497"/>
    <cellStyle name="표준 23 9 9 2 2" xfId="41373"/>
    <cellStyle name="표준 23 9 9 3" xfId="32637"/>
    <cellStyle name="표준 24" xfId="2984"/>
    <cellStyle name="표준 24 10" xfId="4593"/>
    <cellStyle name="표준 24 10 2" xfId="6427"/>
    <cellStyle name="표준 24 10 2 2" xfId="15436"/>
    <cellStyle name="표준 24 10 2 2 2" xfId="36312"/>
    <cellStyle name="표준 24 10 2 3" xfId="27574"/>
    <cellStyle name="표준 24 10 3" xfId="11090"/>
    <cellStyle name="표준 24 10 3 2" xfId="19860"/>
    <cellStyle name="표준 24 10 3 2 2" xfId="40736"/>
    <cellStyle name="표준 24 10 3 3" xfId="32000"/>
    <cellStyle name="표준 24 10 4" xfId="11955"/>
    <cellStyle name="표준 24 10 4 2" xfId="20721"/>
    <cellStyle name="표준 24 10 4 2 2" xfId="41597"/>
    <cellStyle name="표준 24 10 4 3" xfId="32861"/>
    <cellStyle name="표준 24 10 5" xfId="13618"/>
    <cellStyle name="표준 24 10 5 2" xfId="34494"/>
    <cellStyle name="표준 24 10 6" xfId="25756"/>
    <cellStyle name="표준 24 11" xfId="5270"/>
    <cellStyle name="표준 24 11 2" xfId="14279"/>
    <cellStyle name="표준 24 11 2 2" xfId="35155"/>
    <cellStyle name="표준 24 11 3" xfId="26417"/>
    <cellStyle name="표준 24 12" xfId="7072"/>
    <cellStyle name="표준 24 12 2" xfId="16080"/>
    <cellStyle name="표준 24 12 2 2" xfId="36956"/>
    <cellStyle name="표준 24 12 3" xfId="28218"/>
    <cellStyle name="표준 24 13" xfId="7717"/>
    <cellStyle name="표준 24 13 2" xfId="16723"/>
    <cellStyle name="표준 24 13 2 2" xfId="37599"/>
    <cellStyle name="표준 24 13 3" xfId="28861"/>
    <cellStyle name="표준 24 14" xfId="8565"/>
    <cellStyle name="표준 24 14 2" xfId="17570"/>
    <cellStyle name="표준 24 14 2 2" xfId="38446"/>
    <cellStyle name="표준 24 14 3" xfId="29708"/>
    <cellStyle name="표준 24 15" xfId="9389"/>
    <cellStyle name="표준 24 15 2" xfId="18388"/>
    <cellStyle name="표준 24 15 2 2" xfId="39264"/>
    <cellStyle name="표준 24 15 3" xfId="30526"/>
    <cellStyle name="표준 24 16" xfId="10445"/>
    <cellStyle name="표준 24 16 2" xfId="19216"/>
    <cellStyle name="표준 24 16 2 2" xfId="40092"/>
    <cellStyle name="표준 24 16 3" xfId="31356"/>
    <cellStyle name="표준 24 17" xfId="11311"/>
    <cellStyle name="표준 24 17 2" xfId="20077"/>
    <cellStyle name="표준 24 17 2 2" xfId="40953"/>
    <cellStyle name="표준 24 17 3" xfId="32217"/>
    <cellStyle name="표준 24 18" xfId="12459"/>
    <cellStyle name="표준 24 18 2" xfId="33337"/>
    <cellStyle name="표준 24 19" xfId="24587"/>
    <cellStyle name="표준 24 2" xfId="2985"/>
    <cellStyle name="표준 24 2 10" xfId="10446"/>
    <cellStyle name="표준 24 2 10 2" xfId="19217"/>
    <cellStyle name="표준 24 2 10 2 2" xfId="40093"/>
    <cellStyle name="표준 24 2 10 3" xfId="31357"/>
    <cellStyle name="표준 24 2 11" xfId="11312"/>
    <cellStyle name="표준 24 2 11 2" xfId="20078"/>
    <cellStyle name="표준 24 2 11 2 2" xfId="40954"/>
    <cellStyle name="표준 24 2 11 3" xfId="32218"/>
    <cellStyle name="표준 24 2 12" xfId="12460"/>
    <cellStyle name="표준 24 2 12 2" xfId="33338"/>
    <cellStyle name="표준 24 2 13" xfId="24588"/>
    <cellStyle name="표준 24 2 2" xfId="3203"/>
    <cellStyle name="표준 24 2 2 10" xfId="11522"/>
    <cellStyle name="표준 24 2 2 10 2" xfId="20288"/>
    <cellStyle name="표준 24 2 2 10 2 2" xfId="41164"/>
    <cellStyle name="표준 24 2 2 10 3" xfId="32428"/>
    <cellStyle name="표준 24 2 2 11" xfId="12671"/>
    <cellStyle name="표준 24 2 2 11 2" xfId="33548"/>
    <cellStyle name="표준 24 2 2 12" xfId="24798"/>
    <cellStyle name="표준 24 2 2 2" xfId="3645"/>
    <cellStyle name="표준 24 2 2 2 2" xfId="5918"/>
    <cellStyle name="표준 24 2 2 2 2 2" xfId="14927"/>
    <cellStyle name="표준 24 2 2 2 2 2 2" xfId="35803"/>
    <cellStyle name="표준 24 2 2 2 2 3" xfId="27065"/>
    <cellStyle name="표준 24 2 2 2 3" xfId="13108"/>
    <cellStyle name="표준 24 2 2 2 3 2" xfId="33985"/>
    <cellStyle name="표준 24 2 2 2 4" xfId="25235"/>
    <cellStyle name="표준 24 2 2 3" xfId="4806"/>
    <cellStyle name="표준 24 2 2 3 2" xfId="6638"/>
    <cellStyle name="표준 24 2 2 3 2 2" xfId="15647"/>
    <cellStyle name="표준 24 2 2 3 2 2 2" xfId="36523"/>
    <cellStyle name="표준 24 2 2 3 2 3" xfId="27785"/>
    <cellStyle name="표준 24 2 2 3 3" xfId="13829"/>
    <cellStyle name="표준 24 2 2 3 3 2" xfId="34705"/>
    <cellStyle name="표준 24 2 2 3 4" xfId="25967"/>
    <cellStyle name="표준 24 2 2 4" xfId="5481"/>
    <cellStyle name="표준 24 2 2 4 2" xfId="14490"/>
    <cellStyle name="표준 24 2 2 4 2 2" xfId="35366"/>
    <cellStyle name="표준 24 2 2 4 3" xfId="26628"/>
    <cellStyle name="표준 24 2 2 5" xfId="7284"/>
    <cellStyle name="표준 24 2 2 5 2" xfId="16291"/>
    <cellStyle name="표준 24 2 2 5 2 2" xfId="37167"/>
    <cellStyle name="표준 24 2 2 5 3" xfId="28429"/>
    <cellStyle name="표준 24 2 2 6" xfId="7928"/>
    <cellStyle name="표준 24 2 2 6 2" xfId="16934"/>
    <cellStyle name="표준 24 2 2 6 2 2" xfId="37810"/>
    <cellStyle name="표준 24 2 2 6 3" xfId="29072"/>
    <cellStyle name="표준 24 2 2 7" xfId="8776"/>
    <cellStyle name="표준 24 2 2 7 2" xfId="17781"/>
    <cellStyle name="표준 24 2 2 7 2 2" xfId="38657"/>
    <cellStyle name="표준 24 2 2 7 3" xfId="29919"/>
    <cellStyle name="표준 24 2 2 8" xfId="9601"/>
    <cellStyle name="표준 24 2 2 8 2" xfId="18599"/>
    <cellStyle name="표준 24 2 2 8 2 2" xfId="39475"/>
    <cellStyle name="표준 24 2 2 8 3" xfId="30737"/>
    <cellStyle name="표준 24 2 2 9" xfId="10656"/>
    <cellStyle name="표준 24 2 2 9 2" xfId="19427"/>
    <cellStyle name="표준 24 2 2 9 2 2" xfId="40303"/>
    <cellStyle name="표준 24 2 2 9 3" xfId="31567"/>
    <cellStyle name="표준 24 2 3" xfId="3435"/>
    <cellStyle name="표준 24 2 3 10" xfId="12898"/>
    <cellStyle name="표준 24 2 3 10 2" xfId="33775"/>
    <cellStyle name="표준 24 2 3 11" xfId="25025"/>
    <cellStyle name="표준 24 2 3 2" xfId="5028"/>
    <cellStyle name="표준 24 2 3 2 2" xfId="6855"/>
    <cellStyle name="표준 24 2 3 2 2 2" xfId="15864"/>
    <cellStyle name="표준 24 2 3 2 2 2 2" xfId="36740"/>
    <cellStyle name="표준 24 2 3 2 2 3" xfId="28002"/>
    <cellStyle name="표준 24 2 3 2 3" xfId="14046"/>
    <cellStyle name="표준 24 2 3 2 3 2" xfId="34922"/>
    <cellStyle name="표준 24 2 3 2 4" xfId="26184"/>
    <cellStyle name="표준 24 2 3 3" xfId="5708"/>
    <cellStyle name="표준 24 2 3 3 2" xfId="14717"/>
    <cellStyle name="표준 24 2 3 3 2 2" xfId="35593"/>
    <cellStyle name="표준 24 2 3 3 3" xfId="26855"/>
    <cellStyle name="표준 24 2 3 4" xfId="7501"/>
    <cellStyle name="표준 24 2 3 4 2" xfId="16508"/>
    <cellStyle name="표준 24 2 3 4 2 2" xfId="37384"/>
    <cellStyle name="표준 24 2 3 4 3" xfId="28646"/>
    <cellStyle name="표준 24 2 3 5" xfId="8145"/>
    <cellStyle name="표준 24 2 3 5 2" xfId="17151"/>
    <cellStyle name="표준 24 2 3 5 2 2" xfId="38027"/>
    <cellStyle name="표준 24 2 3 5 3" xfId="29289"/>
    <cellStyle name="표준 24 2 3 6" xfId="8993"/>
    <cellStyle name="표준 24 2 3 6 2" xfId="17998"/>
    <cellStyle name="표준 24 2 3 6 2 2" xfId="38874"/>
    <cellStyle name="표준 24 2 3 6 3" xfId="30136"/>
    <cellStyle name="표준 24 2 3 7" xfId="9818"/>
    <cellStyle name="표준 24 2 3 7 2" xfId="18816"/>
    <cellStyle name="표준 24 2 3 7 2 2" xfId="39692"/>
    <cellStyle name="표준 24 2 3 7 3" xfId="30954"/>
    <cellStyle name="표준 24 2 3 8" xfId="10873"/>
    <cellStyle name="표준 24 2 3 8 2" xfId="19644"/>
    <cellStyle name="표준 24 2 3 8 2 2" xfId="40520"/>
    <cellStyle name="표준 24 2 3 8 3" xfId="31784"/>
    <cellStyle name="표준 24 2 3 9" xfId="11739"/>
    <cellStyle name="표준 24 2 3 9 2" xfId="20505"/>
    <cellStyle name="표준 24 2 3 9 2 2" xfId="41381"/>
    <cellStyle name="표준 24 2 3 9 3" xfId="32645"/>
    <cellStyle name="표준 24 2 4" xfId="4594"/>
    <cellStyle name="표준 24 2 4 2" xfId="6428"/>
    <cellStyle name="표준 24 2 4 2 2" xfId="15437"/>
    <cellStyle name="표준 24 2 4 2 2 2" xfId="36313"/>
    <cellStyle name="표준 24 2 4 2 3" xfId="27575"/>
    <cellStyle name="표준 24 2 4 3" xfId="11091"/>
    <cellStyle name="표준 24 2 4 3 2" xfId="19861"/>
    <cellStyle name="표준 24 2 4 3 2 2" xfId="40737"/>
    <cellStyle name="표준 24 2 4 3 3" xfId="32001"/>
    <cellStyle name="표준 24 2 4 4" xfId="11956"/>
    <cellStyle name="표준 24 2 4 4 2" xfId="20722"/>
    <cellStyle name="표준 24 2 4 4 2 2" xfId="41598"/>
    <cellStyle name="표준 24 2 4 4 3" xfId="32862"/>
    <cellStyle name="표준 24 2 4 5" xfId="13619"/>
    <cellStyle name="표준 24 2 4 5 2" xfId="34495"/>
    <cellStyle name="표준 24 2 4 6" xfId="25757"/>
    <cellStyle name="표준 24 2 5" xfId="5271"/>
    <cellStyle name="표준 24 2 5 2" xfId="14280"/>
    <cellStyle name="표준 24 2 5 2 2" xfId="35156"/>
    <cellStyle name="표준 24 2 5 3" xfId="26418"/>
    <cellStyle name="표준 24 2 6" xfId="7073"/>
    <cellStyle name="표준 24 2 6 2" xfId="16081"/>
    <cellStyle name="표준 24 2 6 2 2" xfId="36957"/>
    <cellStyle name="표준 24 2 6 3" xfId="28219"/>
    <cellStyle name="표준 24 2 7" xfId="7718"/>
    <cellStyle name="표준 24 2 7 2" xfId="16724"/>
    <cellStyle name="표준 24 2 7 2 2" xfId="37600"/>
    <cellStyle name="표준 24 2 7 3" xfId="28862"/>
    <cellStyle name="표준 24 2 8" xfId="8566"/>
    <cellStyle name="표준 24 2 8 2" xfId="17571"/>
    <cellStyle name="표준 24 2 8 2 2" xfId="38447"/>
    <cellStyle name="표준 24 2 8 3" xfId="29709"/>
    <cellStyle name="표준 24 2 9" xfId="9390"/>
    <cellStyle name="표준 24 2 9 2" xfId="18389"/>
    <cellStyle name="표준 24 2 9 2 2" xfId="39265"/>
    <cellStyle name="표준 24 2 9 3" xfId="30527"/>
    <cellStyle name="표준 24 3" xfId="2986"/>
    <cellStyle name="표준 24 3 10" xfId="10447"/>
    <cellStyle name="표준 24 3 10 2" xfId="19218"/>
    <cellStyle name="표준 24 3 10 2 2" xfId="40094"/>
    <cellStyle name="표준 24 3 10 3" xfId="31358"/>
    <cellStyle name="표준 24 3 11" xfId="11313"/>
    <cellStyle name="표준 24 3 11 2" xfId="20079"/>
    <cellStyle name="표준 24 3 11 2 2" xfId="40955"/>
    <cellStyle name="표준 24 3 11 3" xfId="32219"/>
    <cellStyle name="표준 24 3 12" xfId="12461"/>
    <cellStyle name="표준 24 3 12 2" xfId="33339"/>
    <cellStyle name="표준 24 3 13" xfId="24589"/>
    <cellStyle name="표준 24 3 2" xfId="3204"/>
    <cellStyle name="표준 24 3 2 10" xfId="11523"/>
    <cellStyle name="표준 24 3 2 10 2" xfId="20289"/>
    <cellStyle name="표준 24 3 2 10 2 2" xfId="41165"/>
    <cellStyle name="표준 24 3 2 10 3" xfId="32429"/>
    <cellStyle name="표준 24 3 2 11" xfId="12672"/>
    <cellStyle name="표준 24 3 2 11 2" xfId="33549"/>
    <cellStyle name="표준 24 3 2 12" xfId="24799"/>
    <cellStyle name="표준 24 3 2 2" xfId="3646"/>
    <cellStyle name="표준 24 3 2 2 2" xfId="5919"/>
    <cellStyle name="표준 24 3 2 2 2 2" xfId="14928"/>
    <cellStyle name="표준 24 3 2 2 2 2 2" xfId="35804"/>
    <cellStyle name="표준 24 3 2 2 2 3" xfId="27066"/>
    <cellStyle name="표준 24 3 2 2 3" xfId="13109"/>
    <cellStyle name="표준 24 3 2 2 3 2" xfId="33986"/>
    <cellStyle name="표준 24 3 2 2 4" xfId="25236"/>
    <cellStyle name="표준 24 3 2 3" xfId="4807"/>
    <cellStyle name="표준 24 3 2 3 2" xfId="6639"/>
    <cellStyle name="표준 24 3 2 3 2 2" xfId="15648"/>
    <cellStyle name="표준 24 3 2 3 2 2 2" xfId="36524"/>
    <cellStyle name="표준 24 3 2 3 2 3" xfId="27786"/>
    <cellStyle name="표준 24 3 2 3 3" xfId="13830"/>
    <cellStyle name="표준 24 3 2 3 3 2" xfId="34706"/>
    <cellStyle name="표준 24 3 2 3 4" xfId="25968"/>
    <cellStyle name="표준 24 3 2 4" xfId="5482"/>
    <cellStyle name="표준 24 3 2 4 2" xfId="14491"/>
    <cellStyle name="표준 24 3 2 4 2 2" xfId="35367"/>
    <cellStyle name="표준 24 3 2 4 3" xfId="26629"/>
    <cellStyle name="표준 24 3 2 5" xfId="7285"/>
    <cellStyle name="표준 24 3 2 5 2" xfId="16292"/>
    <cellStyle name="표준 24 3 2 5 2 2" xfId="37168"/>
    <cellStyle name="표준 24 3 2 5 3" xfId="28430"/>
    <cellStyle name="표준 24 3 2 6" xfId="7929"/>
    <cellStyle name="표준 24 3 2 6 2" xfId="16935"/>
    <cellStyle name="표준 24 3 2 6 2 2" xfId="37811"/>
    <cellStyle name="표준 24 3 2 6 3" xfId="29073"/>
    <cellStyle name="표준 24 3 2 7" xfId="8777"/>
    <cellStyle name="표준 24 3 2 7 2" xfId="17782"/>
    <cellStyle name="표준 24 3 2 7 2 2" xfId="38658"/>
    <cellStyle name="표준 24 3 2 7 3" xfId="29920"/>
    <cellStyle name="표준 24 3 2 8" xfId="9602"/>
    <cellStyle name="표준 24 3 2 8 2" xfId="18600"/>
    <cellStyle name="표준 24 3 2 8 2 2" xfId="39476"/>
    <cellStyle name="표준 24 3 2 8 3" xfId="30738"/>
    <cellStyle name="표준 24 3 2 9" xfId="10657"/>
    <cellStyle name="표준 24 3 2 9 2" xfId="19428"/>
    <cellStyle name="표준 24 3 2 9 2 2" xfId="40304"/>
    <cellStyle name="표준 24 3 2 9 3" xfId="31568"/>
    <cellStyle name="표준 24 3 3" xfId="3436"/>
    <cellStyle name="표준 24 3 3 10" xfId="12899"/>
    <cellStyle name="표준 24 3 3 10 2" xfId="33776"/>
    <cellStyle name="표준 24 3 3 11" xfId="25026"/>
    <cellStyle name="표준 24 3 3 2" xfId="5029"/>
    <cellStyle name="표준 24 3 3 2 2" xfId="6856"/>
    <cellStyle name="표준 24 3 3 2 2 2" xfId="15865"/>
    <cellStyle name="표준 24 3 3 2 2 2 2" xfId="36741"/>
    <cellStyle name="표준 24 3 3 2 2 3" xfId="28003"/>
    <cellStyle name="표준 24 3 3 2 3" xfId="14047"/>
    <cellStyle name="표준 24 3 3 2 3 2" xfId="34923"/>
    <cellStyle name="표준 24 3 3 2 4" xfId="26185"/>
    <cellStyle name="표준 24 3 3 3" xfId="5709"/>
    <cellStyle name="표준 24 3 3 3 2" xfId="14718"/>
    <cellStyle name="표준 24 3 3 3 2 2" xfId="35594"/>
    <cellStyle name="표준 24 3 3 3 3" xfId="26856"/>
    <cellStyle name="표준 24 3 3 4" xfId="7502"/>
    <cellStyle name="표준 24 3 3 4 2" xfId="16509"/>
    <cellStyle name="표준 24 3 3 4 2 2" xfId="37385"/>
    <cellStyle name="표준 24 3 3 4 3" xfId="28647"/>
    <cellStyle name="표준 24 3 3 5" xfId="8146"/>
    <cellStyle name="표준 24 3 3 5 2" xfId="17152"/>
    <cellStyle name="표준 24 3 3 5 2 2" xfId="38028"/>
    <cellStyle name="표준 24 3 3 5 3" xfId="29290"/>
    <cellStyle name="표준 24 3 3 6" xfId="8994"/>
    <cellStyle name="표준 24 3 3 6 2" xfId="17999"/>
    <cellStyle name="표준 24 3 3 6 2 2" xfId="38875"/>
    <cellStyle name="표준 24 3 3 6 3" xfId="30137"/>
    <cellStyle name="표준 24 3 3 7" xfId="9819"/>
    <cellStyle name="표준 24 3 3 7 2" xfId="18817"/>
    <cellStyle name="표준 24 3 3 7 2 2" xfId="39693"/>
    <cellStyle name="표준 24 3 3 7 3" xfId="30955"/>
    <cellStyle name="표준 24 3 3 8" xfId="10874"/>
    <cellStyle name="표준 24 3 3 8 2" xfId="19645"/>
    <cellStyle name="표준 24 3 3 8 2 2" xfId="40521"/>
    <cellStyle name="표준 24 3 3 8 3" xfId="31785"/>
    <cellStyle name="표준 24 3 3 9" xfId="11740"/>
    <cellStyle name="표준 24 3 3 9 2" xfId="20506"/>
    <cellStyle name="표준 24 3 3 9 2 2" xfId="41382"/>
    <cellStyle name="표준 24 3 3 9 3" xfId="32646"/>
    <cellStyle name="표준 24 3 4" xfId="4595"/>
    <cellStyle name="표준 24 3 4 2" xfId="6429"/>
    <cellStyle name="표준 24 3 4 2 2" xfId="15438"/>
    <cellStyle name="표준 24 3 4 2 2 2" xfId="36314"/>
    <cellStyle name="표준 24 3 4 2 3" xfId="27576"/>
    <cellStyle name="표준 24 3 4 3" xfId="11092"/>
    <cellStyle name="표준 24 3 4 3 2" xfId="19862"/>
    <cellStyle name="표준 24 3 4 3 2 2" xfId="40738"/>
    <cellStyle name="표준 24 3 4 3 3" xfId="32002"/>
    <cellStyle name="표준 24 3 4 4" xfId="11957"/>
    <cellStyle name="표준 24 3 4 4 2" xfId="20723"/>
    <cellStyle name="표준 24 3 4 4 2 2" xfId="41599"/>
    <cellStyle name="표준 24 3 4 4 3" xfId="32863"/>
    <cellStyle name="표준 24 3 4 5" xfId="13620"/>
    <cellStyle name="표준 24 3 4 5 2" xfId="34496"/>
    <cellStyle name="표준 24 3 4 6" xfId="25758"/>
    <cellStyle name="표준 24 3 5" xfId="5272"/>
    <cellStyle name="표준 24 3 5 2" xfId="14281"/>
    <cellStyle name="표준 24 3 5 2 2" xfId="35157"/>
    <cellStyle name="표준 24 3 5 3" xfId="26419"/>
    <cellStyle name="표준 24 3 6" xfId="7074"/>
    <cellStyle name="표준 24 3 6 2" xfId="16082"/>
    <cellStyle name="표준 24 3 6 2 2" xfId="36958"/>
    <cellStyle name="표준 24 3 6 3" xfId="28220"/>
    <cellStyle name="표준 24 3 7" xfId="7719"/>
    <cellStyle name="표준 24 3 7 2" xfId="16725"/>
    <cellStyle name="표준 24 3 7 2 2" xfId="37601"/>
    <cellStyle name="표준 24 3 7 3" xfId="28863"/>
    <cellStyle name="표준 24 3 8" xfId="8567"/>
    <cellStyle name="표준 24 3 8 2" xfId="17572"/>
    <cellStyle name="표준 24 3 8 2 2" xfId="38448"/>
    <cellStyle name="표준 24 3 8 3" xfId="29710"/>
    <cellStyle name="표준 24 3 9" xfId="9391"/>
    <cellStyle name="표준 24 3 9 2" xfId="18390"/>
    <cellStyle name="표준 24 3 9 2 2" xfId="39266"/>
    <cellStyle name="표준 24 3 9 3" xfId="30528"/>
    <cellStyle name="표준 24 4" xfId="2987"/>
    <cellStyle name="표준 24 4 10" xfId="10448"/>
    <cellStyle name="표준 24 4 10 2" xfId="19219"/>
    <cellStyle name="표준 24 4 10 2 2" xfId="40095"/>
    <cellStyle name="표준 24 4 10 3" xfId="31359"/>
    <cellStyle name="표준 24 4 11" xfId="11314"/>
    <cellStyle name="표준 24 4 11 2" xfId="20080"/>
    <cellStyle name="표준 24 4 11 2 2" xfId="40956"/>
    <cellStyle name="표준 24 4 11 3" xfId="32220"/>
    <cellStyle name="표준 24 4 12" xfId="12462"/>
    <cellStyle name="표준 24 4 12 2" xfId="33340"/>
    <cellStyle name="표준 24 4 13" xfId="24590"/>
    <cellStyle name="표준 24 4 2" xfId="3205"/>
    <cellStyle name="표준 24 4 2 10" xfId="11524"/>
    <cellStyle name="표준 24 4 2 10 2" xfId="20290"/>
    <cellStyle name="표준 24 4 2 10 2 2" xfId="41166"/>
    <cellStyle name="표준 24 4 2 10 3" xfId="32430"/>
    <cellStyle name="표준 24 4 2 11" xfId="12673"/>
    <cellStyle name="표준 24 4 2 11 2" xfId="33550"/>
    <cellStyle name="표준 24 4 2 12" xfId="24800"/>
    <cellStyle name="표준 24 4 2 2" xfId="3647"/>
    <cellStyle name="표준 24 4 2 2 2" xfId="5920"/>
    <cellStyle name="표준 24 4 2 2 2 2" xfId="14929"/>
    <cellStyle name="표준 24 4 2 2 2 2 2" xfId="35805"/>
    <cellStyle name="표준 24 4 2 2 2 3" xfId="27067"/>
    <cellStyle name="표준 24 4 2 2 3" xfId="13110"/>
    <cellStyle name="표준 24 4 2 2 3 2" xfId="33987"/>
    <cellStyle name="표준 24 4 2 2 4" xfId="25237"/>
    <cellStyle name="표준 24 4 2 3" xfId="4808"/>
    <cellStyle name="표준 24 4 2 3 2" xfId="6640"/>
    <cellStyle name="표준 24 4 2 3 2 2" xfId="15649"/>
    <cellStyle name="표준 24 4 2 3 2 2 2" xfId="36525"/>
    <cellStyle name="표준 24 4 2 3 2 3" xfId="27787"/>
    <cellStyle name="표준 24 4 2 3 3" xfId="13831"/>
    <cellStyle name="표준 24 4 2 3 3 2" xfId="34707"/>
    <cellStyle name="표준 24 4 2 3 4" xfId="25969"/>
    <cellStyle name="표준 24 4 2 4" xfId="5483"/>
    <cellStyle name="표준 24 4 2 4 2" xfId="14492"/>
    <cellStyle name="표준 24 4 2 4 2 2" xfId="35368"/>
    <cellStyle name="표준 24 4 2 4 3" xfId="26630"/>
    <cellStyle name="표준 24 4 2 5" xfId="7286"/>
    <cellStyle name="표준 24 4 2 5 2" xfId="16293"/>
    <cellStyle name="표준 24 4 2 5 2 2" xfId="37169"/>
    <cellStyle name="표준 24 4 2 5 3" xfId="28431"/>
    <cellStyle name="표준 24 4 2 6" xfId="7930"/>
    <cellStyle name="표준 24 4 2 6 2" xfId="16936"/>
    <cellStyle name="표준 24 4 2 6 2 2" xfId="37812"/>
    <cellStyle name="표준 24 4 2 6 3" xfId="29074"/>
    <cellStyle name="표준 24 4 2 7" xfId="8778"/>
    <cellStyle name="표준 24 4 2 7 2" xfId="17783"/>
    <cellStyle name="표준 24 4 2 7 2 2" xfId="38659"/>
    <cellStyle name="표준 24 4 2 7 3" xfId="29921"/>
    <cellStyle name="표준 24 4 2 8" xfId="9603"/>
    <cellStyle name="표준 24 4 2 8 2" xfId="18601"/>
    <cellStyle name="표준 24 4 2 8 2 2" xfId="39477"/>
    <cellStyle name="표준 24 4 2 8 3" xfId="30739"/>
    <cellStyle name="표준 24 4 2 9" xfId="10658"/>
    <cellStyle name="표준 24 4 2 9 2" xfId="19429"/>
    <cellStyle name="표준 24 4 2 9 2 2" xfId="40305"/>
    <cellStyle name="표준 24 4 2 9 3" xfId="31569"/>
    <cellStyle name="표준 24 4 3" xfId="3437"/>
    <cellStyle name="표준 24 4 3 10" xfId="12900"/>
    <cellStyle name="표준 24 4 3 10 2" xfId="33777"/>
    <cellStyle name="표준 24 4 3 11" xfId="25027"/>
    <cellStyle name="표준 24 4 3 2" xfId="5030"/>
    <cellStyle name="표준 24 4 3 2 2" xfId="6857"/>
    <cellStyle name="표준 24 4 3 2 2 2" xfId="15866"/>
    <cellStyle name="표준 24 4 3 2 2 2 2" xfId="36742"/>
    <cellStyle name="표준 24 4 3 2 2 3" xfId="28004"/>
    <cellStyle name="표준 24 4 3 2 3" xfId="14048"/>
    <cellStyle name="표준 24 4 3 2 3 2" xfId="34924"/>
    <cellStyle name="표준 24 4 3 2 4" xfId="26186"/>
    <cellStyle name="표준 24 4 3 3" xfId="5710"/>
    <cellStyle name="표준 24 4 3 3 2" xfId="14719"/>
    <cellStyle name="표준 24 4 3 3 2 2" xfId="35595"/>
    <cellStyle name="표준 24 4 3 3 3" xfId="26857"/>
    <cellStyle name="표준 24 4 3 4" xfId="7503"/>
    <cellStyle name="표준 24 4 3 4 2" xfId="16510"/>
    <cellStyle name="표준 24 4 3 4 2 2" xfId="37386"/>
    <cellStyle name="표준 24 4 3 4 3" xfId="28648"/>
    <cellStyle name="표준 24 4 3 5" xfId="8147"/>
    <cellStyle name="표준 24 4 3 5 2" xfId="17153"/>
    <cellStyle name="표준 24 4 3 5 2 2" xfId="38029"/>
    <cellStyle name="표준 24 4 3 5 3" xfId="29291"/>
    <cellStyle name="표준 24 4 3 6" xfId="8995"/>
    <cellStyle name="표준 24 4 3 6 2" xfId="18000"/>
    <cellStyle name="표준 24 4 3 6 2 2" xfId="38876"/>
    <cellStyle name="표준 24 4 3 6 3" xfId="30138"/>
    <cellStyle name="표준 24 4 3 7" xfId="9820"/>
    <cellStyle name="표준 24 4 3 7 2" xfId="18818"/>
    <cellStyle name="표준 24 4 3 7 2 2" xfId="39694"/>
    <cellStyle name="표준 24 4 3 7 3" xfId="30956"/>
    <cellStyle name="표준 24 4 3 8" xfId="10875"/>
    <cellStyle name="표준 24 4 3 8 2" xfId="19646"/>
    <cellStyle name="표준 24 4 3 8 2 2" xfId="40522"/>
    <cellStyle name="표준 24 4 3 8 3" xfId="31786"/>
    <cellStyle name="표준 24 4 3 9" xfId="11741"/>
    <cellStyle name="표준 24 4 3 9 2" xfId="20507"/>
    <cellStyle name="표준 24 4 3 9 2 2" xfId="41383"/>
    <cellStyle name="표준 24 4 3 9 3" xfId="32647"/>
    <cellStyle name="표준 24 4 4" xfId="4596"/>
    <cellStyle name="표준 24 4 4 2" xfId="6430"/>
    <cellStyle name="표준 24 4 4 2 2" xfId="15439"/>
    <cellStyle name="표준 24 4 4 2 2 2" xfId="36315"/>
    <cellStyle name="표준 24 4 4 2 3" xfId="27577"/>
    <cellStyle name="표준 24 4 4 3" xfId="11093"/>
    <cellStyle name="표준 24 4 4 3 2" xfId="19863"/>
    <cellStyle name="표준 24 4 4 3 2 2" xfId="40739"/>
    <cellStyle name="표준 24 4 4 3 3" xfId="32003"/>
    <cellStyle name="표준 24 4 4 4" xfId="11958"/>
    <cellStyle name="표준 24 4 4 4 2" xfId="20724"/>
    <cellStyle name="표준 24 4 4 4 2 2" xfId="41600"/>
    <cellStyle name="표준 24 4 4 4 3" xfId="32864"/>
    <cellStyle name="표준 24 4 4 5" xfId="13621"/>
    <cellStyle name="표준 24 4 4 5 2" xfId="34497"/>
    <cellStyle name="표준 24 4 4 6" xfId="25759"/>
    <cellStyle name="표준 24 4 5" xfId="5273"/>
    <cellStyle name="표준 24 4 5 2" xfId="14282"/>
    <cellStyle name="표준 24 4 5 2 2" xfId="35158"/>
    <cellStyle name="표준 24 4 5 3" xfId="26420"/>
    <cellStyle name="표준 24 4 6" xfId="7075"/>
    <cellStyle name="표준 24 4 6 2" xfId="16083"/>
    <cellStyle name="표준 24 4 6 2 2" xfId="36959"/>
    <cellStyle name="표준 24 4 6 3" xfId="28221"/>
    <cellStyle name="표준 24 4 7" xfId="7720"/>
    <cellStyle name="표준 24 4 7 2" xfId="16726"/>
    <cellStyle name="표준 24 4 7 2 2" xfId="37602"/>
    <cellStyle name="표준 24 4 7 3" xfId="28864"/>
    <cellStyle name="표준 24 4 8" xfId="8568"/>
    <cellStyle name="표준 24 4 8 2" xfId="17573"/>
    <cellStyle name="표준 24 4 8 2 2" xfId="38449"/>
    <cellStyle name="표준 24 4 8 3" xfId="29711"/>
    <cellStyle name="표준 24 4 9" xfId="9392"/>
    <cellStyle name="표준 24 4 9 2" xfId="18391"/>
    <cellStyle name="표준 24 4 9 2 2" xfId="39267"/>
    <cellStyle name="표준 24 4 9 3" xfId="30529"/>
    <cellStyle name="표준 24 5" xfId="2988"/>
    <cellStyle name="표준 24 5 10" xfId="10449"/>
    <cellStyle name="표준 24 5 10 2" xfId="19220"/>
    <cellStyle name="표준 24 5 10 2 2" xfId="40096"/>
    <cellStyle name="표준 24 5 10 3" xfId="31360"/>
    <cellStyle name="표준 24 5 11" xfId="11315"/>
    <cellStyle name="표준 24 5 11 2" xfId="20081"/>
    <cellStyle name="표준 24 5 11 2 2" xfId="40957"/>
    <cellStyle name="표준 24 5 11 3" xfId="32221"/>
    <cellStyle name="표준 24 5 12" xfId="12463"/>
    <cellStyle name="표준 24 5 12 2" xfId="33341"/>
    <cellStyle name="표준 24 5 13" xfId="24591"/>
    <cellStyle name="표준 24 5 2" xfId="3206"/>
    <cellStyle name="표준 24 5 2 10" xfId="11525"/>
    <cellStyle name="표준 24 5 2 10 2" xfId="20291"/>
    <cellStyle name="표준 24 5 2 10 2 2" xfId="41167"/>
    <cellStyle name="표준 24 5 2 10 3" xfId="32431"/>
    <cellStyle name="표준 24 5 2 11" xfId="12674"/>
    <cellStyle name="표준 24 5 2 11 2" xfId="33551"/>
    <cellStyle name="표준 24 5 2 12" xfId="24801"/>
    <cellStyle name="표준 24 5 2 2" xfId="3648"/>
    <cellStyle name="표준 24 5 2 2 2" xfId="5921"/>
    <cellStyle name="표준 24 5 2 2 2 2" xfId="14930"/>
    <cellStyle name="표준 24 5 2 2 2 2 2" xfId="35806"/>
    <cellStyle name="표준 24 5 2 2 2 3" xfId="27068"/>
    <cellStyle name="표준 24 5 2 2 3" xfId="13111"/>
    <cellStyle name="표준 24 5 2 2 3 2" xfId="33988"/>
    <cellStyle name="표준 24 5 2 2 4" xfId="25238"/>
    <cellStyle name="표준 24 5 2 3" xfId="4809"/>
    <cellStyle name="표준 24 5 2 3 2" xfId="6641"/>
    <cellStyle name="표준 24 5 2 3 2 2" xfId="15650"/>
    <cellStyle name="표준 24 5 2 3 2 2 2" xfId="36526"/>
    <cellStyle name="표준 24 5 2 3 2 3" xfId="27788"/>
    <cellStyle name="표준 24 5 2 3 3" xfId="13832"/>
    <cellStyle name="표준 24 5 2 3 3 2" xfId="34708"/>
    <cellStyle name="표준 24 5 2 3 4" xfId="25970"/>
    <cellStyle name="표준 24 5 2 4" xfId="5484"/>
    <cellStyle name="표준 24 5 2 4 2" xfId="14493"/>
    <cellStyle name="표준 24 5 2 4 2 2" xfId="35369"/>
    <cellStyle name="표준 24 5 2 4 3" xfId="26631"/>
    <cellStyle name="표준 24 5 2 5" xfId="7287"/>
    <cellStyle name="표준 24 5 2 5 2" xfId="16294"/>
    <cellStyle name="표준 24 5 2 5 2 2" xfId="37170"/>
    <cellStyle name="표준 24 5 2 5 3" xfId="28432"/>
    <cellStyle name="표준 24 5 2 6" xfId="7931"/>
    <cellStyle name="표준 24 5 2 6 2" xfId="16937"/>
    <cellStyle name="표준 24 5 2 6 2 2" xfId="37813"/>
    <cellStyle name="표준 24 5 2 6 3" xfId="29075"/>
    <cellStyle name="표준 24 5 2 7" xfId="8779"/>
    <cellStyle name="표준 24 5 2 7 2" xfId="17784"/>
    <cellStyle name="표준 24 5 2 7 2 2" xfId="38660"/>
    <cellStyle name="표준 24 5 2 7 3" xfId="29922"/>
    <cellStyle name="표준 24 5 2 8" xfId="9604"/>
    <cellStyle name="표준 24 5 2 8 2" xfId="18602"/>
    <cellStyle name="표준 24 5 2 8 2 2" xfId="39478"/>
    <cellStyle name="표준 24 5 2 8 3" xfId="30740"/>
    <cellStyle name="표준 24 5 2 9" xfId="10659"/>
    <cellStyle name="표준 24 5 2 9 2" xfId="19430"/>
    <cellStyle name="표준 24 5 2 9 2 2" xfId="40306"/>
    <cellStyle name="표준 24 5 2 9 3" xfId="31570"/>
    <cellStyle name="표준 24 5 3" xfId="3438"/>
    <cellStyle name="표준 24 5 3 10" xfId="12901"/>
    <cellStyle name="표준 24 5 3 10 2" xfId="33778"/>
    <cellStyle name="표준 24 5 3 11" xfId="25028"/>
    <cellStyle name="표준 24 5 3 2" xfId="5031"/>
    <cellStyle name="표준 24 5 3 2 2" xfId="6858"/>
    <cellStyle name="표준 24 5 3 2 2 2" xfId="15867"/>
    <cellStyle name="표준 24 5 3 2 2 2 2" xfId="36743"/>
    <cellStyle name="표준 24 5 3 2 2 3" xfId="28005"/>
    <cellStyle name="표준 24 5 3 2 3" xfId="14049"/>
    <cellStyle name="표준 24 5 3 2 3 2" xfId="34925"/>
    <cellStyle name="표준 24 5 3 2 4" xfId="26187"/>
    <cellStyle name="표준 24 5 3 3" xfId="5711"/>
    <cellStyle name="표준 24 5 3 3 2" xfId="14720"/>
    <cellStyle name="표준 24 5 3 3 2 2" xfId="35596"/>
    <cellStyle name="표준 24 5 3 3 3" xfId="26858"/>
    <cellStyle name="표준 24 5 3 4" xfId="7504"/>
    <cellStyle name="표준 24 5 3 4 2" xfId="16511"/>
    <cellStyle name="표준 24 5 3 4 2 2" xfId="37387"/>
    <cellStyle name="표준 24 5 3 4 3" xfId="28649"/>
    <cellStyle name="표준 24 5 3 5" xfId="8148"/>
    <cellStyle name="표준 24 5 3 5 2" xfId="17154"/>
    <cellStyle name="표준 24 5 3 5 2 2" xfId="38030"/>
    <cellStyle name="표준 24 5 3 5 3" xfId="29292"/>
    <cellStyle name="표준 24 5 3 6" xfId="8996"/>
    <cellStyle name="표준 24 5 3 6 2" xfId="18001"/>
    <cellStyle name="표준 24 5 3 6 2 2" xfId="38877"/>
    <cellStyle name="표준 24 5 3 6 3" xfId="30139"/>
    <cellStyle name="표준 24 5 3 7" xfId="9821"/>
    <cellStyle name="표준 24 5 3 7 2" xfId="18819"/>
    <cellStyle name="표준 24 5 3 7 2 2" xfId="39695"/>
    <cellStyle name="표준 24 5 3 7 3" xfId="30957"/>
    <cellStyle name="표준 24 5 3 8" xfId="10876"/>
    <cellStyle name="표준 24 5 3 8 2" xfId="19647"/>
    <cellStyle name="표준 24 5 3 8 2 2" xfId="40523"/>
    <cellStyle name="표준 24 5 3 8 3" xfId="31787"/>
    <cellStyle name="표준 24 5 3 9" xfId="11742"/>
    <cellStyle name="표준 24 5 3 9 2" xfId="20508"/>
    <cellStyle name="표준 24 5 3 9 2 2" xfId="41384"/>
    <cellStyle name="표준 24 5 3 9 3" xfId="32648"/>
    <cellStyle name="표준 24 5 4" xfId="4597"/>
    <cellStyle name="표준 24 5 4 2" xfId="6431"/>
    <cellStyle name="표준 24 5 4 2 2" xfId="15440"/>
    <cellStyle name="표준 24 5 4 2 2 2" xfId="36316"/>
    <cellStyle name="표준 24 5 4 2 3" xfId="27578"/>
    <cellStyle name="표준 24 5 4 3" xfId="11094"/>
    <cellStyle name="표준 24 5 4 3 2" xfId="19864"/>
    <cellStyle name="표준 24 5 4 3 2 2" xfId="40740"/>
    <cellStyle name="표준 24 5 4 3 3" xfId="32004"/>
    <cellStyle name="표준 24 5 4 4" xfId="11959"/>
    <cellStyle name="표준 24 5 4 4 2" xfId="20725"/>
    <cellStyle name="표준 24 5 4 4 2 2" xfId="41601"/>
    <cellStyle name="표준 24 5 4 4 3" xfId="32865"/>
    <cellStyle name="표준 24 5 4 5" xfId="13622"/>
    <cellStyle name="표준 24 5 4 5 2" xfId="34498"/>
    <cellStyle name="표준 24 5 4 6" xfId="25760"/>
    <cellStyle name="표준 24 5 5" xfId="5274"/>
    <cellStyle name="표준 24 5 5 2" xfId="14283"/>
    <cellStyle name="표준 24 5 5 2 2" xfId="35159"/>
    <cellStyle name="표준 24 5 5 3" xfId="26421"/>
    <cellStyle name="표준 24 5 6" xfId="7076"/>
    <cellStyle name="표준 24 5 6 2" xfId="16084"/>
    <cellStyle name="표준 24 5 6 2 2" xfId="36960"/>
    <cellStyle name="표준 24 5 6 3" xfId="28222"/>
    <cellStyle name="표준 24 5 7" xfId="7721"/>
    <cellStyle name="표준 24 5 7 2" xfId="16727"/>
    <cellStyle name="표준 24 5 7 2 2" xfId="37603"/>
    <cellStyle name="표준 24 5 7 3" xfId="28865"/>
    <cellStyle name="표준 24 5 8" xfId="8569"/>
    <cellStyle name="표준 24 5 8 2" xfId="17574"/>
    <cellStyle name="표준 24 5 8 2 2" xfId="38450"/>
    <cellStyle name="표준 24 5 8 3" xfId="29712"/>
    <cellStyle name="표준 24 5 9" xfId="9393"/>
    <cellStyle name="표준 24 5 9 2" xfId="18392"/>
    <cellStyle name="표준 24 5 9 2 2" xfId="39268"/>
    <cellStyle name="표준 24 5 9 3" xfId="30530"/>
    <cellStyle name="표준 24 6" xfId="2989"/>
    <cellStyle name="표준 24 6 10" xfId="10450"/>
    <cellStyle name="표준 24 6 10 2" xfId="19221"/>
    <cellStyle name="표준 24 6 10 2 2" xfId="40097"/>
    <cellStyle name="표준 24 6 10 3" xfId="31361"/>
    <cellStyle name="표준 24 6 11" xfId="11316"/>
    <cellStyle name="표준 24 6 11 2" xfId="20082"/>
    <cellStyle name="표준 24 6 11 2 2" xfId="40958"/>
    <cellStyle name="표준 24 6 11 3" xfId="32222"/>
    <cellStyle name="표준 24 6 12" xfId="12464"/>
    <cellStyle name="표준 24 6 12 2" xfId="33342"/>
    <cellStyle name="표준 24 6 13" xfId="24592"/>
    <cellStyle name="표준 24 6 2" xfId="3207"/>
    <cellStyle name="표준 24 6 2 10" xfId="11526"/>
    <cellStyle name="표준 24 6 2 10 2" xfId="20292"/>
    <cellStyle name="표준 24 6 2 10 2 2" xfId="41168"/>
    <cellStyle name="표준 24 6 2 10 3" xfId="32432"/>
    <cellStyle name="표준 24 6 2 11" xfId="12675"/>
    <cellStyle name="표준 24 6 2 11 2" xfId="33552"/>
    <cellStyle name="표준 24 6 2 12" xfId="24802"/>
    <cellStyle name="표준 24 6 2 2" xfId="3649"/>
    <cellStyle name="표준 24 6 2 2 2" xfId="5922"/>
    <cellStyle name="표준 24 6 2 2 2 2" xfId="14931"/>
    <cellStyle name="표준 24 6 2 2 2 2 2" xfId="35807"/>
    <cellStyle name="표준 24 6 2 2 2 3" xfId="27069"/>
    <cellStyle name="표준 24 6 2 2 3" xfId="13112"/>
    <cellStyle name="표준 24 6 2 2 3 2" xfId="33989"/>
    <cellStyle name="표준 24 6 2 2 4" xfId="25239"/>
    <cellStyle name="표준 24 6 2 3" xfId="4810"/>
    <cellStyle name="표준 24 6 2 3 2" xfId="6642"/>
    <cellStyle name="표준 24 6 2 3 2 2" xfId="15651"/>
    <cellStyle name="표준 24 6 2 3 2 2 2" xfId="36527"/>
    <cellStyle name="표준 24 6 2 3 2 3" xfId="27789"/>
    <cellStyle name="표준 24 6 2 3 3" xfId="13833"/>
    <cellStyle name="표준 24 6 2 3 3 2" xfId="34709"/>
    <cellStyle name="표준 24 6 2 3 4" xfId="25971"/>
    <cellStyle name="표준 24 6 2 4" xfId="5485"/>
    <cellStyle name="표준 24 6 2 4 2" xfId="14494"/>
    <cellStyle name="표준 24 6 2 4 2 2" xfId="35370"/>
    <cellStyle name="표준 24 6 2 4 3" xfId="26632"/>
    <cellStyle name="표준 24 6 2 5" xfId="7288"/>
    <cellStyle name="표준 24 6 2 5 2" xfId="16295"/>
    <cellStyle name="표준 24 6 2 5 2 2" xfId="37171"/>
    <cellStyle name="표준 24 6 2 5 3" xfId="28433"/>
    <cellStyle name="표준 24 6 2 6" xfId="7932"/>
    <cellStyle name="표준 24 6 2 6 2" xfId="16938"/>
    <cellStyle name="표준 24 6 2 6 2 2" xfId="37814"/>
    <cellStyle name="표준 24 6 2 6 3" xfId="29076"/>
    <cellStyle name="표준 24 6 2 7" xfId="8780"/>
    <cellStyle name="표준 24 6 2 7 2" xfId="17785"/>
    <cellStyle name="표준 24 6 2 7 2 2" xfId="38661"/>
    <cellStyle name="표준 24 6 2 7 3" xfId="29923"/>
    <cellStyle name="표준 24 6 2 8" xfId="9605"/>
    <cellStyle name="표준 24 6 2 8 2" xfId="18603"/>
    <cellStyle name="표준 24 6 2 8 2 2" xfId="39479"/>
    <cellStyle name="표준 24 6 2 8 3" xfId="30741"/>
    <cellStyle name="표준 24 6 2 9" xfId="10660"/>
    <cellStyle name="표준 24 6 2 9 2" xfId="19431"/>
    <cellStyle name="표준 24 6 2 9 2 2" xfId="40307"/>
    <cellStyle name="표준 24 6 2 9 3" xfId="31571"/>
    <cellStyle name="표준 24 6 3" xfId="3439"/>
    <cellStyle name="표준 24 6 3 10" xfId="12902"/>
    <cellStyle name="표준 24 6 3 10 2" xfId="33779"/>
    <cellStyle name="표준 24 6 3 11" xfId="25029"/>
    <cellStyle name="표준 24 6 3 2" xfId="5032"/>
    <cellStyle name="표준 24 6 3 2 2" xfId="6859"/>
    <cellStyle name="표준 24 6 3 2 2 2" xfId="15868"/>
    <cellStyle name="표준 24 6 3 2 2 2 2" xfId="36744"/>
    <cellStyle name="표준 24 6 3 2 2 3" xfId="28006"/>
    <cellStyle name="표준 24 6 3 2 3" xfId="14050"/>
    <cellStyle name="표준 24 6 3 2 3 2" xfId="34926"/>
    <cellStyle name="표준 24 6 3 2 4" xfId="26188"/>
    <cellStyle name="표준 24 6 3 3" xfId="5712"/>
    <cellStyle name="표준 24 6 3 3 2" xfId="14721"/>
    <cellStyle name="표준 24 6 3 3 2 2" xfId="35597"/>
    <cellStyle name="표준 24 6 3 3 3" xfId="26859"/>
    <cellStyle name="표준 24 6 3 4" xfId="7505"/>
    <cellStyle name="표준 24 6 3 4 2" xfId="16512"/>
    <cellStyle name="표준 24 6 3 4 2 2" xfId="37388"/>
    <cellStyle name="표준 24 6 3 4 3" xfId="28650"/>
    <cellStyle name="표준 24 6 3 5" xfId="8149"/>
    <cellStyle name="표준 24 6 3 5 2" xfId="17155"/>
    <cellStyle name="표준 24 6 3 5 2 2" xfId="38031"/>
    <cellStyle name="표준 24 6 3 5 3" xfId="29293"/>
    <cellStyle name="표준 24 6 3 6" xfId="8997"/>
    <cellStyle name="표준 24 6 3 6 2" xfId="18002"/>
    <cellStyle name="표준 24 6 3 6 2 2" xfId="38878"/>
    <cellStyle name="표준 24 6 3 6 3" xfId="30140"/>
    <cellStyle name="표준 24 6 3 7" xfId="9822"/>
    <cellStyle name="표준 24 6 3 7 2" xfId="18820"/>
    <cellStyle name="표준 24 6 3 7 2 2" xfId="39696"/>
    <cellStyle name="표준 24 6 3 7 3" xfId="30958"/>
    <cellStyle name="표준 24 6 3 8" xfId="10877"/>
    <cellStyle name="표준 24 6 3 8 2" xfId="19648"/>
    <cellStyle name="표준 24 6 3 8 2 2" xfId="40524"/>
    <cellStyle name="표준 24 6 3 8 3" xfId="31788"/>
    <cellStyle name="표준 24 6 3 9" xfId="11743"/>
    <cellStyle name="표준 24 6 3 9 2" xfId="20509"/>
    <cellStyle name="표준 24 6 3 9 2 2" xfId="41385"/>
    <cellStyle name="표준 24 6 3 9 3" xfId="32649"/>
    <cellStyle name="표준 24 6 4" xfId="4598"/>
    <cellStyle name="표준 24 6 4 2" xfId="6432"/>
    <cellStyle name="표준 24 6 4 2 2" xfId="15441"/>
    <cellStyle name="표준 24 6 4 2 2 2" xfId="36317"/>
    <cellStyle name="표준 24 6 4 2 3" xfId="27579"/>
    <cellStyle name="표준 24 6 4 3" xfId="11095"/>
    <cellStyle name="표준 24 6 4 3 2" xfId="19865"/>
    <cellStyle name="표준 24 6 4 3 2 2" xfId="40741"/>
    <cellStyle name="표준 24 6 4 3 3" xfId="32005"/>
    <cellStyle name="표준 24 6 4 4" xfId="11960"/>
    <cellStyle name="표준 24 6 4 4 2" xfId="20726"/>
    <cellStyle name="표준 24 6 4 4 2 2" xfId="41602"/>
    <cellStyle name="표준 24 6 4 4 3" xfId="32866"/>
    <cellStyle name="표준 24 6 4 5" xfId="13623"/>
    <cellStyle name="표준 24 6 4 5 2" xfId="34499"/>
    <cellStyle name="표준 24 6 4 6" xfId="25761"/>
    <cellStyle name="표준 24 6 5" xfId="5275"/>
    <cellStyle name="표준 24 6 5 2" xfId="14284"/>
    <cellStyle name="표준 24 6 5 2 2" xfId="35160"/>
    <cellStyle name="표준 24 6 5 3" xfId="26422"/>
    <cellStyle name="표준 24 6 6" xfId="7077"/>
    <cellStyle name="표준 24 6 6 2" xfId="16085"/>
    <cellStyle name="표준 24 6 6 2 2" xfId="36961"/>
    <cellStyle name="표준 24 6 6 3" xfId="28223"/>
    <cellStyle name="표준 24 6 7" xfId="7722"/>
    <cellStyle name="표준 24 6 7 2" xfId="16728"/>
    <cellStyle name="표준 24 6 7 2 2" xfId="37604"/>
    <cellStyle name="표준 24 6 7 3" xfId="28866"/>
    <cellStyle name="표준 24 6 8" xfId="8570"/>
    <cellStyle name="표준 24 6 8 2" xfId="17575"/>
    <cellStyle name="표준 24 6 8 2 2" xfId="38451"/>
    <cellStyle name="표준 24 6 8 3" xfId="29713"/>
    <cellStyle name="표준 24 6 9" xfId="9394"/>
    <cellStyle name="표준 24 6 9 2" xfId="18393"/>
    <cellStyle name="표준 24 6 9 2 2" xfId="39269"/>
    <cellStyle name="표준 24 6 9 3" xfId="30531"/>
    <cellStyle name="표준 24 7" xfId="2990"/>
    <cellStyle name="표준 24 7 10" xfId="10451"/>
    <cellStyle name="표준 24 7 10 2" xfId="19222"/>
    <cellStyle name="표준 24 7 10 2 2" xfId="40098"/>
    <cellStyle name="표준 24 7 10 3" xfId="31362"/>
    <cellStyle name="표준 24 7 11" xfId="11317"/>
    <cellStyle name="표준 24 7 11 2" xfId="20083"/>
    <cellStyle name="표준 24 7 11 2 2" xfId="40959"/>
    <cellStyle name="표준 24 7 11 3" xfId="32223"/>
    <cellStyle name="표준 24 7 12" xfId="12465"/>
    <cellStyle name="표준 24 7 12 2" xfId="33343"/>
    <cellStyle name="표준 24 7 13" xfId="24593"/>
    <cellStyle name="표준 24 7 2" xfId="3208"/>
    <cellStyle name="표준 24 7 2 10" xfId="11527"/>
    <cellStyle name="표준 24 7 2 10 2" xfId="20293"/>
    <cellStyle name="표준 24 7 2 10 2 2" xfId="41169"/>
    <cellStyle name="표준 24 7 2 10 3" xfId="32433"/>
    <cellStyle name="표준 24 7 2 11" xfId="12676"/>
    <cellStyle name="표준 24 7 2 11 2" xfId="33553"/>
    <cellStyle name="표준 24 7 2 12" xfId="24803"/>
    <cellStyle name="표준 24 7 2 2" xfId="3650"/>
    <cellStyle name="표준 24 7 2 2 2" xfId="5923"/>
    <cellStyle name="표준 24 7 2 2 2 2" xfId="14932"/>
    <cellStyle name="표준 24 7 2 2 2 2 2" xfId="35808"/>
    <cellStyle name="표준 24 7 2 2 2 3" xfId="27070"/>
    <cellStyle name="표준 24 7 2 2 3" xfId="13113"/>
    <cellStyle name="표준 24 7 2 2 3 2" xfId="33990"/>
    <cellStyle name="표준 24 7 2 2 4" xfId="25240"/>
    <cellStyle name="표준 24 7 2 3" xfId="4811"/>
    <cellStyle name="표준 24 7 2 3 2" xfId="6643"/>
    <cellStyle name="표준 24 7 2 3 2 2" xfId="15652"/>
    <cellStyle name="표준 24 7 2 3 2 2 2" xfId="36528"/>
    <cellStyle name="표준 24 7 2 3 2 3" xfId="27790"/>
    <cellStyle name="표준 24 7 2 3 3" xfId="13834"/>
    <cellStyle name="표준 24 7 2 3 3 2" xfId="34710"/>
    <cellStyle name="표준 24 7 2 3 4" xfId="25972"/>
    <cellStyle name="표준 24 7 2 4" xfId="5486"/>
    <cellStyle name="표준 24 7 2 4 2" xfId="14495"/>
    <cellStyle name="표준 24 7 2 4 2 2" xfId="35371"/>
    <cellStyle name="표준 24 7 2 4 3" xfId="26633"/>
    <cellStyle name="표준 24 7 2 5" xfId="7289"/>
    <cellStyle name="표준 24 7 2 5 2" xfId="16296"/>
    <cellStyle name="표준 24 7 2 5 2 2" xfId="37172"/>
    <cellStyle name="표준 24 7 2 5 3" xfId="28434"/>
    <cellStyle name="표준 24 7 2 6" xfId="7933"/>
    <cellStyle name="표준 24 7 2 6 2" xfId="16939"/>
    <cellStyle name="표준 24 7 2 6 2 2" xfId="37815"/>
    <cellStyle name="표준 24 7 2 6 3" xfId="29077"/>
    <cellStyle name="표준 24 7 2 7" xfId="8781"/>
    <cellStyle name="표준 24 7 2 7 2" xfId="17786"/>
    <cellStyle name="표준 24 7 2 7 2 2" xfId="38662"/>
    <cellStyle name="표준 24 7 2 7 3" xfId="29924"/>
    <cellStyle name="표준 24 7 2 8" xfId="9606"/>
    <cellStyle name="표준 24 7 2 8 2" xfId="18604"/>
    <cellStyle name="표준 24 7 2 8 2 2" xfId="39480"/>
    <cellStyle name="표준 24 7 2 8 3" xfId="30742"/>
    <cellStyle name="표준 24 7 2 9" xfId="10661"/>
    <cellStyle name="표준 24 7 2 9 2" xfId="19432"/>
    <cellStyle name="표준 24 7 2 9 2 2" xfId="40308"/>
    <cellStyle name="표준 24 7 2 9 3" xfId="31572"/>
    <cellStyle name="표준 24 7 3" xfId="3440"/>
    <cellStyle name="표준 24 7 3 10" xfId="12903"/>
    <cellStyle name="표준 24 7 3 10 2" xfId="33780"/>
    <cellStyle name="표준 24 7 3 11" xfId="25030"/>
    <cellStyle name="표준 24 7 3 2" xfId="5033"/>
    <cellStyle name="표준 24 7 3 2 2" xfId="6860"/>
    <cellStyle name="표준 24 7 3 2 2 2" xfId="15869"/>
    <cellStyle name="표준 24 7 3 2 2 2 2" xfId="36745"/>
    <cellStyle name="표준 24 7 3 2 2 3" xfId="28007"/>
    <cellStyle name="표준 24 7 3 2 3" xfId="14051"/>
    <cellStyle name="표준 24 7 3 2 3 2" xfId="34927"/>
    <cellStyle name="표준 24 7 3 2 4" xfId="26189"/>
    <cellStyle name="표준 24 7 3 3" xfId="5713"/>
    <cellStyle name="표준 24 7 3 3 2" xfId="14722"/>
    <cellStyle name="표준 24 7 3 3 2 2" xfId="35598"/>
    <cellStyle name="표준 24 7 3 3 3" xfId="26860"/>
    <cellStyle name="표준 24 7 3 4" xfId="7506"/>
    <cellStyle name="표준 24 7 3 4 2" xfId="16513"/>
    <cellStyle name="표준 24 7 3 4 2 2" xfId="37389"/>
    <cellStyle name="표준 24 7 3 4 3" xfId="28651"/>
    <cellStyle name="표준 24 7 3 5" xfId="8150"/>
    <cellStyle name="표준 24 7 3 5 2" xfId="17156"/>
    <cellStyle name="표준 24 7 3 5 2 2" xfId="38032"/>
    <cellStyle name="표준 24 7 3 5 3" xfId="29294"/>
    <cellStyle name="표준 24 7 3 6" xfId="8998"/>
    <cellStyle name="표준 24 7 3 6 2" xfId="18003"/>
    <cellStyle name="표준 24 7 3 6 2 2" xfId="38879"/>
    <cellStyle name="표준 24 7 3 6 3" xfId="30141"/>
    <cellStyle name="표준 24 7 3 7" xfId="9823"/>
    <cellStyle name="표준 24 7 3 7 2" xfId="18821"/>
    <cellStyle name="표준 24 7 3 7 2 2" xfId="39697"/>
    <cellStyle name="표준 24 7 3 7 3" xfId="30959"/>
    <cellStyle name="표준 24 7 3 8" xfId="10878"/>
    <cellStyle name="표준 24 7 3 8 2" xfId="19649"/>
    <cellStyle name="표준 24 7 3 8 2 2" xfId="40525"/>
    <cellStyle name="표준 24 7 3 8 3" xfId="31789"/>
    <cellStyle name="표준 24 7 3 9" xfId="11744"/>
    <cellStyle name="표준 24 7 3 9 2" xfId="20510"/>
    <cellStyle name="표준 24 7 3 9 2 2" xfId="41386"/>
    <cellStyle name="표준 24 7 3 9 3" xfId="32650"/>
    <cellStyle name="표준 24 7 4" xfId="4599"/>
    <cellStyle name="표준 24 7 4 2" xfId="6433"/>
    <cellStyle name="표준 24 7 4 2 2" xfId="15442"/>
    <cellStyle name="표준 24 7 4 2 2 2" xfId="36318"/>
    <cellStyle name="표준 24 7 4 2 3" xfId="27580"/>
    <cellStyle name="표준 24 7 4 3" xfId="11096"/>
    <cellStyle name="표준 24 7 4 3 2" xfId="19866"/>
    <cellStyle name="표준 24 7 4 3 2 2" xfId="40742"/>
    <cellStyle name="표준 24 7 4 3 3" xfId="32006"/>
    <cellStyle name="표준 24 7 4 4" xfId="11961"/>
    <cellStyle name="표준 24 7 4 4 2" xfId="20727"/>
    <cellStyle name="표준 24 7 4 4 2 2" xfId="41603"/>
    <cellStyle name="표준 24 7 4 4 3" xfId="32867"/>
    <cellStyle name="표준 24 7 4 5" xfId="13624"/>
    <cellStyle name="표준 24 7 4 5 2" xfId="34500"/>
    <cellStyle name="표준 24 7 4 6" xfId="25762"/>
    <cellStyle name="표준 24 7 5" xfId="5276"/>
    <cellStyle name="표준 24 7 5 2" xfId="14285"/>
    <cellStyle name="표준 24 7 5 2 2" xfId="35161"/>
    <cellStyle name="표준 24 7 5 3" xfId="26423"/>
    <cellStyle name="표준 24 7 6" xfId="7078"/>
    <cellStyle name="표준 24 7 6 2" xfId="16086"/>
    <cellStyle name="표준 24 7 6 2 2" xfId="36962"/>
    <cellStyle name="표준 24 7 6 3" xfId="28224"/>
    <cellStyle name="표준 24 7 7" xfId="7723"/>
    <cellStyle name="표준 24 7 7 2" xfId="16729"/>
    <cellStyle name="표준 24 7 7 2 2" xfId="37605"/>
    <cellStyle name="표준 24 7 7 3" xfId="28867"/>
    <cellStyle name="표준 24 7 8" xfId="8571"/>
    <cellStyle name="표준 24 7 8 2" xfId="17576"/>
    <cellStyle name="표준 24 7 8 2 2" xfId="38452"/>
    <cellStyle name="표준 24 7 8 3" xfId="29714"/>
    <cellStyle name="표준 24 7 9" xfId="9395"/>
    <cellStyle name="표준 24 7 9 2" xfId="18394"/>
    <cellStyle name="표준 24 7 9 2 2" xfId="39270"/>
    <cellStyle name="표준 24 7 9 3" xfId="30532"/>
    <cellStyle name="표준 24 8" xfId="3202"/>
    <cellStyle name="표준 24 8 10" xfId="11521"/>
    <cellStyle name="표준 24 8 10 2" xfId="20287"/>
    <cellStyle name="표준 24 8 10 2 2" xfId="41163"/>
    <cellStyle name="표준 24 8 10 3" xfId="32427"/>
    <cellStyle name="표준 24 8 11" xfId="12670"/>
    <cellStyle name="표준 24 8 11 2" xfId="33547"/>
    <cellStyle name="표준 24 8 12" xfId="24797"/>
    <cellStyle name="표준 24 8 2" xfId="3644"/>
    <cellStyle name="표준 24 8 2 2" xfId="5917"/>
    <cellStyle name="표준 24 8 2 2 2" xfId="14926"/>
    <cellStyle name="표준 24 8 2 2 2 2" xfId="35802"/>
    <cellStyle name="표준 24 8 2 2 3" xfId="27064"/>
    <cellStyle name="표준 24 8 2 3" xfId="13107"/>
    <cellStyle name="표준 24 8 2 3 2" xfId="33984"/>
    <cellStyle name="표준 24 8 2 4" xfId="25234"/>
    <cellStyle name="표준 24 8 3" xfId="4805"/>
    <cellStyle name="표준 24 8 3 2" xfId="6637"/>
    <cellStyle name="표준 24 8 3 2 2" xfId="15646"/>
    <cellStyle name="표준 24 8 3 2 2 2" xfId="36522"/>
    <cellStyle name="표준 24 8 3 2 3" xfId="27784"/>
    <cellStyle name="표준 24 8 3 3" xfId="13828"/>
    <cellStyle name="표준 24 8 3 3 2" xfId="34704"/>
    <cellStyle name="표준 24 8 3 4" xfId="25966"/>
    <cellStyle name="표준 24 8 4" xfId="5480"/>
    <cellStyle name="표준 24 8 4 2" xfId="14489"/>
    <cellStyle name="표준 24 8 4 2 2" xfId="35365"/>
    <cellStyle name="표준 24 8 4 3" xfId="26627"/>
    <cellStyle name="표준 24 8 5" xfId="7283"/>
    <cellStyle name="표준 24 8 5 2" xfId="16290"/>
    <cellStyle name="표준 24 8 5 2 2" xfId="37166"/>
    <cellStyle name="표준 24 8 5 3" xfId="28428"/>
    <cellStyle name="표준 24 8 6" xfId="7927"/>
    <cellStyle name="표준 24 8 6 2" xfId="16933"/>
    <cellStyle name="표준 24 8 6 2 2" xfId="37809"/>
    <cellStyle name="표준 24 8 6 3" xfId="29071"/>
    <cellStyle name="표준 24 8 7" xfId="8775"/>
    <cellStyle name="표준 24 8 7 2" xfId="17780"/>
    <cellStyle name="표준 24 8 7 2 2" xfId="38656"/>
    <cellStyle name="표준 24 8 7 3" xfId="29918"/>
    <cellStyle name="표준 24 8 8" xfId="9600"/>
    <cellStyle name="표준 24 8 8 2" xfId="18598"/>
    <cellStyle name="표준 24 8 8 2 2" xfId="39474"/>
    <cellStyle name="표준 24 8 8 3" xfId="30736"/>
    <cellStyle name="표준 24 8 9" xfId="10655"/>
    <cellStyle name="표준 24 8 9 2" xfId="19426"/>
    <cellStyle name="표준 24 8 9 2 2" xfId="40302"/>
    <cellStyle name="표준 24 8 9 3" xfId="31566"/>
    <cellStyle name="표준 24 9" xfId="3434"/>
    <cellStyle name="표준 24 9 10" xfId="12897"/>
    <cellStyle name="표준 24 9 10 2" xfId="33774"/>
    <cellStyle name="표준 24 9 11" xfId="25024"/>
    <cellStyle name="표준 24 9 2" xfId="5027"/>
    <cellStyle name="표준 24 9 2 2" xfId="6854"/>
    <cellStyle name="표준 24 9 2 2 2" xfId="15863"/>
    <cellStyle name="표준 24 9 2 2 2 2" xfId="36739"/>
    <cellStyle name="표준 24 9 2 2 3" xfId="28001"/>
    <cellStyle name="표준 24 9 2 3" xfId="14045"/>
    <cellStyle name="표준 24 9 2 3 2" xfId="34921"/>
    <cellStyle name="표준 24 9 2 4" xfId="26183"/>
    <cellStyle name="표준 24 9 3" xfId="5707"/>
    <cellStyle name="표준 24 9 3 2" xfId="14716"/>
    <cellStyle name="표준 24 9 3 2 2" xfId="35592"/>
    <cellStyle name="표준 24 9 3 3" xfId="26854"/>
    <cellStyle name="표준 24 9 4" xfId="7500"/>
    <cellStyle name="표준 24 9 4 2" xfId="16507"/>
    <cellStyle name="표준 24 9 4 2 2" xfId="37383"/>
    <cellStyle name="표준 24 9 4 3" xfId="28645"/>
    <cellStyle name="표준 24 9 5" xfId="8144"/>
    <cellStyle name="표준 24 9 5 2" xfId="17150"/>
    <cellStyle name="표준 24 9 5 2 2" xfId="38026"/>
    <cellStyle name="표준 24 9 5 3" xfId="29288"/>
    <cellStyle name="표준 24 9 6" xfId="8992"/>
    <cellStyle name="표준 24 9 6 2" xfId="17997"/>
    <cellStyle name="표준 24 9 6 2 2" xfId="38873"/>
    <cellStyle name="표준 24 9 6 3" xfId="30135"/>
    <cellStyle name="표준 24 9 7" xfId="9817"/>
    <cellStyle name="표준 24 9 7 2" xfId="18815"/>
    <cellStyle name="표준 24 9 7 2 2" xfId="39691"/>
    <cellStyle name="표준 24 9 7 3" xfId="30953"/>
    <cellStyle name="표준 24 9 8" xfId="10872"/>
    <cellStyle name="표준 24 9 8 2" xfId="19643"/>
    <cellStyle name="표준 24 9 8 2 2" xfId="40519"/>
    <cellStyle name="표준 24 9 8 3" xfId="31783"/>
    <cellStyle name="표준 24 9 9" xfId="11738"/>
    <cellStyle name="표준 24 9 9 2" xfId="20504"/>
    <cellStyle name="표준 24 9 9 2 2" xfId="41380"/>
    <cellStyle name="표준 24 9 9 3" xfId="32644"/>
    <cellStyle name="표준 25" xfId="2991"/>
    <cellStyle name="표준 25 10" xfId="4600"/>
    <cellStyle name="표준 25 10 2" xfId="6434"/>
    <cellStyle name="표준 25 10 2 2" xfId="15443"/>
    <cellStyle name="표준 25 10 2 2 2" xfId="36319"/>
    <cellStyle name="표준 25 10 2 3" xfId="27581"/>
    <cellStyle name="표준 25 10 3" xfId="11097"/>
    <cellStyle name="표준 25 10 3 2" xfId="19867"/>
    <cellStyle name="표준 25 10 3 2 2" xfId="40743"/>
    <cellStyle name="표준 25 10 3 3" xfId="32007"/>
    <cellStyle name="표준 25 10 4" xfId="11962"/>
    <cellStyle name="표준 25 10 4 2" xfId="20728"/>
    <cellStyle name="표준 25 10 4 2 2" xfId="41604"/>
    <cellStyle name="표준 25 10 4 3" xfId="32868"/>
    <cellStyle name="표준 25 10 5" xfId="13625"/>
    <cellStyle name="표준 25 10 5 2" xfId="34501"/>
    <cellStyle name="표준 25 10 6" xfId="25763"/>
    <cellStyle name="표준 25 11" xfId="5277"/>
    <cellStyle name="표준 25 11 2" xfId="14286"/>
    <cellStyle name="표준 25 11 2 2" xfId="35162"/>
    <cellStyle name="표준 25 11 3" xfId="26424"/>
    <cellStyle name="표준 25 12" xfId="7079"/>
    <cellStyle name="표준 25 12 2" xfId="16087"/>
    <cellStyle name="표준 25 12 2 2" xfId="36963"/>
    <cellStyle name="표준 25 12 3" xfId="28225"/>
    <cellStyle name="표준 25 13" xfId="7724"/>
    <cellStyle name="표준 25 13 2" xfId="16730"/>
    <cellStyle name="표준 25 13 2 2" xfId="37606"/>
    <cellStyle name="표준 25 13 3" xfId="28868"/>
    <cellStyle name="표준 25 14" xfId="8572"/>
    <cellStyle name="표준 25 14 2" xfId="17577"/>
    <cellStyle name="표준 25 14 2 2" xfId="38453"/>
    <cellStyle name="표준 25 14 3" xfId="29715"/>
    <cellStyle name="표준 25 15" xfId="9396"/>
    <cellStyle name="표준 25 15 2" xfId="18395"/>
    <cellStyle name="표준 25 15 2 2" xfId="39271"/>
    <cellStyle name="표준 25 15 3" xfId="30533"/>
    <cellStyle name="표준 25 16" xfId="10452"/>
    <cellStyle name="표준 25 16 2" xfId="19223"/>
    <cellStyle name="표준 25 16 2 2" xfId="40099"/>
    <cellStyle name="표준 25 16 3" xfId="31363"/>
    <cellStyle name="표준 25 17" xfId="11318"/>
    <cellStyle name="표준 25 17 2" xfId="20084"/>
    <cellStyle name="표준 25 17 2 2" xfId="40960"/>
    <cellStyle name="표준 25 17 3" xfId="32224"/>
    <cellStyle name="표준 25 18" xfId="12466"/>
    <cellStyle name="표준 25 18 2" xfId="33344"/>
    <cellStyle name="표준 25 19" xfId="24594"/>
    <cellStyle name="표준 25 2" xfId="2992"/>
    <cellStyle name="표준 25 2 10" xfId="10453"/>
    <cellStyle name="표준 25 2 10 2" xfId="19224"/>
    <cellStyle name="표준 25 2 10 2 2" xfId="40100"/>
    <cellStyle name="표준 25 2 10 3" xfId="31364"/>
    <cellStyle name="표준 25 2 11" xfId="11319"/>
    <cellStyle name="표준 25 2 11 2" xfId="20085"/>
    <cellStyle name="표준 25 2 11 2 2" xfId="40961"/>
    <cellStyle name="표준 25 2 11 3" xfId="32225"/>
    <cellStyle name="표준 25 2 12" xfId="12467"/>
    <cellStyle name="표준 25 2 12 2" xfId="33345"/>
    <cellStyle name="표준 25 2 13" xfId="24595"/>
    <cellStyle name="표준 25 2 2" xfId="3210"/>
    <cellStyle name="표준 25 2 2 10" xfId="11529"/>
    <cellStyle name="표준 25 2 2 10 2" xfId="20295"/>
    <cellStyle name="표준 25 2 2 10 2 2" xfId="41171"/>
    <cellStyle name="표준 25 2 2 10 3" xfId="32435"/>
    <cellStyle name="표준 25 2 2 11" xfId="12678"/>
    <cellStyle name="표준 25 2 2 11 2" xfId="33555"/>
    <cellStyle name="표준 25 2 2 12" xfId="24805"/>
    <cellStyle name="표준 25 2 2 2" xfId="3652"/>
    <cellStyle name="표준 25 2 2 2 2" xfId="5925"/>
    <cellStyle name="표준 25 2 2 2 2 2" xfId="14934"/>
    <cellStyle name="표준 25 2 2 2 2 2 2" xfId="35810"/>
    <cellStyle name="표준 25 2 2 2 2 3" xfId="27072"/>
    <cellStyle name="표준 25 2 2 2 3" xfId="13115"/>
    <cellStyle name="표준 25 2 2 2 3 2" xfId="33992"/>
    <cellStyle name="표준 25 2 2 2 4" xfId="25242"/>
    <cellStyle name="표준 25 2 2 3" xfId="4813"/>
    <cellStyle name="표준 25 2 2 3 2" xfId="6645"/>
    <cellStyle name="표준 25 2 2 3 2 2" xfId="15654"/>
    <cellStyle name="표준 25 2 2 3 2 2 2" xfId="36530"/>
    <cellStyle name="표준 25 2 2 3 2 3" xfId="27792"/>
    <cellStyle name="표준 25 2 2 3 3" xfId="13836"/>
    <cellStyle name="표준 25 2 2 3 3 2" xfId="34712"/>
    <cellStyle name="표준 25 2 2 3 4" xfId="25974"/>
    <cellStyle name="표준 25 2 2 4" xfId="5488"/>
    <cellStyle name="표준 25 2 2 4 2" xfId="14497"/>
    <cellStyle name="표준 25 2 2 4 2 2" xfId="35373"/>
    <cellStyle name="표준 25 2 2 4 3" xfId="26635"/>
    <cellStyle name="표준 25 2 2 5" xfId="7291"/>
    <cellStyle name="표준 25 2 2 5 2" xfId="16298"/>
    <cellStyle name="표준 25 2 2 5 2 2" xfId="37174"/>
    <cellStyle name="표준 25 2 2 5 3" xfId="28436"/>
    <cellStyle name="표준 25 2 2 6" xfId="7935"/>
    <cellStyle name="표준 25 2 2 6 2" xfId="16941"/>
    <cellStyle name="표준 25 2 2 6 2 2" xfId="37817"/>
    <cellStyle name="표준 25 2 2 6 3" xfId="29079"/>
    <cellStyle name="표준 25 2 2 7" xfId="8783"/>
    <cellStyle name="표준 25 2 2 7 2" xfId="17788"/>
    <cellStyle name="표준 25 2 2 7 2 2" xfId="38664"/>
    <cellStyle name="표준 25 2 2 7 3" xfId="29926"/>
    <cellStyle name="표준 25 2 2 8" xfId="9608"/>
    <cellStyle name="표준 25 2 2 8 2" xfId="18606"/>
    <cellStyle name="표준 25 2 2 8 2 2" xfId="39482"/>
    <cellStyle name="표준 25 2 2 8 3" xfId="30744"/>
    <cellStyle name="표준 25 2 2 9" xfId="10663"/>
    <cellStyle name="표준 25 2 2 9 2" xfId="19434"/>
    <cellStyle name="표준 25 2 2 9 2 2" xfId="40310"/>
    <cellStyle name="표준 25 2 2 9 3" xfId="31574"/>
    <cellStyle name="표준 25 2 3" xfId="3442"/>
    <cellStyle name="표준 25 2 3 10" xfId="12905"/>
    <cellStyle name="표준 25 2 3 10 2" xfId="33782"/>
    <cellStyle name="표준 25 2 3 11" xfId="25032"/>
    <cellStyle name="표준 25 2 3 2" xfId="5035"/>
    <cellStyle name="표준 25 2 3 2 2" xfId="6862"/>
    <cellStyle name="표준 25 2 3 2 2 2" xfId="15871"/>
    <cellStyle name="표준 25 2 3 2 2 2 2" xfId="36747"/>
    <cellStyle name="표준 25 2 3 2 2 3" xfId="28009"/>
    <cellStyle name="표준 25 2 3 2 3" xfId="14053"/>
    <cellStyle name="표준 25 2 3 2 3 2" xfId="34929"/>
    <cellStyle name="표준 25 2 3 2 4" xfId="26191"/>
    <cellStyle name="표준 25 2 3 3" xfId="5715"/>
    <cellStyle name="표준 25 2 3 3 2" xfId="14724"/>
    <cellStyle name="표준 25 2 3 3 2 2" xfId="35600"/>
    <cellStyle name="표준 25 2 3 3 3" xfId="26862"/>
    <cellStyle name="표준 25 2 3 4" xfId="7508"/>
    <cellStyle name="표준 25 2 3 4 2" xfId="16515"/>
    <cellStyle name="표준 25 2 3 4 2 2" xfId="37391"/>
    <cellStyle name="표준 25 2 3 4 3" xfId="28653"/>
    <cellStyle name="표준 25 2 3 5" xfId="8152"/>
    <cellStyle name="표준 25 2 3 5 2" xfId="17158"/>
    <cellStyle name="표준 25 2 3 5 2 2" xfId="38034"/>
    <cellStyle name="표준 25 2 3 5 3" xfId="29296"/>
    <cellStyle name="표준 25 2 3 6" xfId="9000"/>
    <cellStyle name="표준 25 2 3 6 2" xfId="18005"/>
    <cellStyle name="표준 25 2 3 6 2 2" xfId="38881"/>
    <cellStyle name="표준 25 2 3 6 3" xfId="30143"/>
    <cellStyle name="표준 25 2 3 7" xfId="9825"/>
    <cellStyle name="표준 25 2 3 7 2" xfId="18823"/>
    <cellStyle name="표준 25 2 3 7 2 2" xfId="39699"/>
    <cellStyle name="표준 25 2 3 7 3" xfId="30961"/>
    <cellStyle name="표준 25 2 3 8" xfId="10880"/>
    <cellStyle name="표준 25 2 3 8 2" xfId="19651"/>
    <cellStyle name="표준 25 2 3 8 2 2" xfId="40527"/>
    <cellStyle name="표준 25 2 3 8 3" xfId="31791"/>
    <cellStyle name="표준 25 2 3 9" xfId="11746"/>
    <cellStyle name="표준 25 2 3 9 2" xfId="20512"/>
    <cellStyle name="표준 25 2 3 9 2 2" xfId="41388"/>
    <cellStyle name="표준 25 2 3 9 3" xfId="32652"/>
    <cellStyle name="표준 25 2 4" xfId="4601"/>
    <cellStyle name="표준 25 2 4 2" xfId="6435"/>
    <cellStyle name="표준 25 2 4 2 2" xfId="15444"/>
    <cellStyle name="표준 25 2 4 2 2 2" xfId="36320"/>
    <cellStyle name="표준 25 2 4 2 3" xfId="27582"/>
    <cellStyle name="표준 25 2 4 3" xfId="11098"/>
    <cellStyle name="표준 25 2 4 3 2" xfId="19868"/>
    <cellStyle name="표준 25 2 4 3 2 2" xfId="40744"/>
    <cellStyle name="표준 25 2 4 3 3" xfId="32008"/>
    <cellStyle name="표준 25 2 4 4" xfId="11963"/>
    <cellStyle name="표준 25 2 4 4 2" xfId="20729"/>
    <cellStyle name="표준 25 2 4 4 2 2" xfId="41605"/>
    <cellStyle name="표준 25 2 4 4 3" xfId="32869"/>
    <cellStyle name="표준 25 2 4 5" xfId="13626"/>
    <cellStyle name="표준 25 2 4 5 2" xfId="34502"/>
    <cellStyle name="표준 25 2 4 6" xfId="25764"/>
    <cellStyle name="표준 25 2 5" xfId="5278"/>
    <cellStyle name="표준 25 2 5 2" xfId="14287"/>
    <cellStyle name="표준 25 2 5 2 2" xfId="35163"/>
    <cellStyle name="표준 25 2 5 3" xfId="26425"/>
    <cellStyle name="표준 25 2 6" xfId="7080"/>
    <cellStyle name="표준 25 2 6 2" xfId="16088"/>
    <cellStyle name="표준 25 2 6 2 2" xfId="36964"/>
    <cellStyle name="표준 25 2 6 3" xfId="28226"/>
    <cellStyle name="표준 25 2 7" xfId="7725"/>
    <cellStyle name="표준 25 2 7 2" xfId="16731"/>
    <cellStyle name="표준 25 2 7 2 2" xfId="37607"/>
    <cellStyle name="표준 25 2 7 3" xfId="28869"/>
    <cellStyle name="표준 25 2 8" xfId="8573"/>
    <cellStyle name="표준 25 2 8 2" xfId="17578"/>
    <cellStyle name="표준 25 2 8 2 2" xfId="38454"/>
    <cellStyle name="표준 25 2 8 3" xfId="29716"/>
    <cellStyle name="표준 25 2 9" xfId="9397"/>
    <cellStyle name="표준 25 2 9 2" xfId="18396"/>
    <cellStyle name="표준 25 2 9 2 2" xfId="39272"/>
    <cellStyle name="표준 25 2 9 3" xfId="30534"/>
    <cellStyle name="표준 25 3" xfId="2993"/>
    <cellStyle name="표준 25 3 10" xfId="10454"/>
    <cellStyle name="표준 25 3 10 2" xfId="19225"/>
    <cellStyle name="표준 25 3 10 2 2" xfId="40101"/>
    <cellStyle name="표준 25 3 10 3" xfId="31365"/>
    <cellStyle name="표준 25 3 11" xfId="11320"/>
    <cellStyle name="표준 25 3 11 2" xfId="20086"/>
    <cellStyle name="표준 25 3 11 2 2" xfId="40962"/>
    <cellStyle name="표준 25 3 11 3" xfId="32226"/>
    <cellStyle name="표준 25 3 12" xfId="12468"/>
    <cellStyle name="표준 25 3 12 2" xfId="33346"/>
    <cellStyle name="표준 25 3 13" xfId="24596"/>
    <cellStyle name="표준 25 3 2" xfId="3211"/>
    <cellStyle name="표준 25 3 2 10" xfId="11530"/>
    <cellStyle name="표준 25 3 2 10 2" xfId="20296"/>
    <cellStyle name="표준 25 3 2 10 2 2" xfId="41172"/>
    <cellStyle name="표준 25 3 2 10 3" xfId="32436"/>
    <cellStyle name="표준 25 3 2 11" xfId="12679"/>
    <cellStyle name="표준 25 3 2 11 2" xfId="33556"/>
    <cellStyle name="표준 25 3 2 12" xfId="24806"/>
    <cellStyle name="표준 25 3 2 2" xfId="3653"/>
    <cellStyle name="표준 25 3 2 2 2" xfId="5926"/>
    <cellStyle name="표준 25 3 2 2 2 2" xfId="14935"/>
    <cellStyle name="표준 25 3 2 2 2 2 2" xfId="35811"/>
    <cellStyle name="표준 25 3 2 2 2 3" xfId="27073"/>
    <cellStyle name="표준 25 3 2 2 3" xfId="13116"/>
    <cellStyle name="표준 25 3 2 2 3 2" xfId="33993"/>
    <cellStyle name="표준 25 3 2 2 4" xfId="25243"/>
    <cellStyle name="표준 25 3 2 3" xfId="4814"/>
    <cellStyle name="표준 25 3 2 3 2" xfId="6646"/>
    <cellStyle name="표준 25 3 2 3 2 2" xfId="15655"/>
    <cellStyle name="표준 25 3 2 3 2 2 2" xfId="36531"/>
    <cellStyle name="표준 25 3 2 3 2 3" xfId="27793"/>
    <cellStyle name="표준 25 3 2 3 3" xfId="13837"/>
    <cellStyle name="표준 25 3 2 3 3 2" xfId="34713"/>
    <cellStyle name="표준 25 3 2 3 4" xfId="25975"/>
    <cellStyle name="표준 25 3 2 4" xfId="5489"/>
    <cellStyle name="표준 25 3 2 4 2" xfId="14498"/>
    <cellStyle name="표준 25 3 2 4 2 2" xfId="35374"/>
    <cellStyle name="표준 25 3 2 4 3" xfId="26636"/>
    <cellStyle name="표준 25 3 2 5" xfId="7292"/>
    <cellStyle name="표준 25 3 2 5 2" xfId="16299"/>
    <cellStyle name="표준 25 3 2 5 2 2" xfId="37175"/>
    <cellStyle name="표준 25 3 2 5 3" xfId="28437"/>
    <cellStyle name="표준 25 3 2 6" xfId="7936"/>
    <cellStyle name="표준 25 3 2 6 2" xfId="16942"/>
    <cellStyle name="표준 25 3 2 6 2 2" xfId="37818"/>
    <cellStyle name="표준 25 3 2 6 3" xfId="29080"/>
    <cellStyle name="표준 25 3 2 7" xfId="8784"/>
    <cellStyle name="표준 25 3 2 7 2" xfId="17789"/>
    <cellStyle name="표준 25 3 2 7 2 2" xfId="38665"/>
    <cellStyle name="표준 25 3 2 7 3" xfId="29927"/>
    <cellStyle name="표준 25 3 2 8" xfId="9609"/>
    <cellStyle name="표준 25 3 2 8 2" xfId="18607"/>
    <cellStyle name="표준 25 3 2 8 2 2" xfId="39483"/>
    <cellStyle name="표준 25 3 2 8 3" xfId="30745"/>
    <cellStyle name="표준 25 3 2 9" xfId="10664"/>
    <cellStyle name="표준 25 3 2 9 2" xfId="19435"/>
    <cellStyle name="표준 25 3 2 9 2 2" xfId="40311"/>
    <cellStyle name="표준 25 3 2 9 3" xfId="31575"/>
    <cellStyle name="표준 25 3 3" xfId="3443"/>
    <cellStyle name="표준 25 3 3 10" xfId="12906"/>
    <cellStyle name="표준 25 3 3 10 2" xfId="33783"/>
    <cellStyle name="표준 25 3 3 11" xfId="25033"/>
    <cellStyle name="표준 25 3 3 2" xfId="5036"/>
    <cellStyle name="표준 25 3 3 2 2" xfId="6863"/>
    <cellStyle name="표준 25 3 3 2 2 2" xfId="15872"/>
    <cellStyle name="표준 25 3 3 2 2 2 2" xfId="36748"/>
    <cellStyle name="표준 25 3 3 2 2 3" xfId="28010"/>
    <cellStyle name="표준 25 3 3 2 3" xfId="14054"/>
    <cellStyle name="표준 25 3 3 2 3 2" xfId="34930"/>
    <cellStyle name="표준 25 3 3 2 4" xfId="26192"/>
    <cellStyle name="표준 25 3 3 3" xfId="5716"/>
    <cellStyle name="표준 25 3 3 3 2" xfId="14725"/>
    <cellStyle name="표준 25 3 3 3 2 2" xfId="35601"/>
    <cellStyle name="표준 25 3 3 3 3" xfId="26863"/>
    <cellStyle name="표준 25 3 3 4" xfId="7509"/>
    <cellStyle name="표준 25 3 3 4 2" xfId="16516"/>
    <cellStyle name="표준 25 3 3 4 2 2" xfId="37392"/>
    <cellStyle name="표준 25 3 3 4 3" xfId="28654"/>
    <cellStyle name="표준 25 3 3 5" xfId="8153"/>
    <cellStyle name="표준 25 3 3 5 2" xfId="17159"/>
    <cellStyle name="표준 25 3 3 5 2 2" xfId="38035"/>
    <cellStyle name="표준 25 3 3 5 3" xfId="29297"/>
    <cellStyle name="표준 25 3 3 6" xfId="9001"/>
    <cellStyle name="표준 25 3 3 6 2" xfId="18006"/>
    <cellStyle name="표준 25 3 3 6 2 2" xfId="38882"/>
    <cellStyle name="표준 25 3 3 6 3" xfId="30144"/>
    <cellStyle name="표준 25 3 3 7" xfId="9826"/>
    <cellStyle name="표준 25 3 3 7 2" xfId="18824"/>
    <cellStyle name="표준 25 3 3 7 2 2" xfId="39700"/>
    <cellStyle name="표준 25 3 3 7 3" xfId="30962"/>
    <cellStyle name="표준 25 3 3 8" xfId="10881"/>
    <cellStyle name="표준 25 3 3 8 2" xfId="19652"/>
    <cellStyle name="표준 25 3 3 8 2 2" xfId="40528"/>
    <cellStyle name="표준 25 3 3 8 3" xfId="31792"/>
    <cellStyle name="표준 25 3 3 9" xfId="11747"/>
    <cellStyle name="표준 25 3 3 9 2" xfId="20513"/>
    <cellStyle name="표준 25 3 3 9 2 2" xfId="41389"/>
    <cellStyle name="표준 25 3 3 9 3" xfId="32653"/>
    <cellStyle name="표준 25 3 4" xfId="4602"/>
    <cellStyle name="표준 25 3 4 2" xfId="6436"/>
    <cellStyle name="표준 25 3 4 2 2" xfId="15445"/>
    <cellStyle name="표준 25 3 4 2 2 2" xfId="36321"/>
    <cellStyle name="표준 25 3 4 2 3" xfId="27583"/>
    <cellStyle name="표준 25 3 4 3" xfId="11099"/>
    <cellStyle name="표준 25 3 4 3 2" xfId="19869"/>
    <cellStyle name="표준 25 3 4 3 2 2" xfId="40745"/>
    <cellStyle name="표준 25 3 4 3 3" xfId="32009"/>
    <cellStyle name="표준 25 3 4 4" xfId="11964"/>
    <cellStyle name="표준 25 3 4 4 2" xfId="20730"/>
    <cellStyle name="표준 25 3 4 4 2 2" xfId="41606"/>
    <cellStyle name="표준 25 3 4 4 3" xfId="32870"/>
    <cellStyle name="표준 25 3 4 5" xfId="13627"/>
    <cellStyle name="표준 25 3 4 5 2" xfId="34503"/>
    <cellStyle name="표준 25 3 4 6" xfId="25765"/>
    <cellStyle name="표준 25 3 5" xfId="5279"/>
    <cellStyle name="표준 25 3 5 2" xfId="14288"/>
    <cellStyle name="표준 25 3 5 2 2" xfId="35164"/>
    <cellStyle name="표준 25 3 5 3" xfId="26426"/>
    <cellStyle name="표준 25 3 6" xfId="7081"/>
    <cellStyle name="표준 25 3 6 2" xfId="16089"/>
    <cellStyle name="표준 25 3 6 2 2" xfId="36965"/>
    <cellStyle name="표준 25 3 6 3" xfId="28227"/>
    <cellStyle name="표준 25 3 7" xfId="7726"/>
    <cellStyle name="표준 25 3 7 2" xfId="16732"/>
    <cellStyle name="표준 25 3 7 2 2" xfId="37608"/>
    <cellStyle name="표준 25 3 7 3" xfId="28870"/>
    <cellStyle name="표준 25 3 8" xfId="8574"/>
    <cellStyle name="표준 25 3 8 2" xfId="17579"/>
    <cellStyle name="표준 25 3 8 2 2" xfId="38455"/>
    <cellStyle name="표준 25 3 8 3" xfId="29717"/>
    <cellStyle name="표준 25 3 9" xfId="9398"/>
    <cellStyle name="표준 25 3 9 2" xfId="18397"/>
    <cellStyle name="표준 25 3 9 2 2" xfId="39273"/>
    <cellStyle name="표준 25 3 9 3" xfId="30535"/>
    <cellStyle name="표준 25 4" xfId="2994"/>
    <cellStyle name="표준 25 4 10" xfId="10455"/>
    <cellStyle name="표준 25 4 10 2" xfId="19226"/>
    <cellStyle name="표준 25 4 10 2 2" xfId="40102"/>
    <cellStyle name="표준 25 4 10 3" xfId="31366"/>
    <cellStyle name="표준 25 4 11" xfId="11321"/>
    <cellStyle name="표준 25 4 11 2" xfId="20087"/>
    <cellStyle name="표준 25 4 11 2 2" xfId="40963"/>
    <cellStyle name="표준 25 4 11 3" xfId="32227"/>
    <cellStyle name="표준 25 4 12" xfId="12469"/>
    <cellStyle name="표준 25 4 12 2" xfId="33347"/>
    <cellStyle name="표준 25 4 13" xfId="24597"/>
    <cellStyle name="표준 25 4 2" xfId="3212"/>
    <cellStyle name="표준 25 4 2 10" xfId="11531"/>
    <cellStyle name="표준 25 4 2 10 2" xfId="20297"/>
    <cellStyle name="표준 25 4 2 10 2 2" xfId="41173"/>
    <cellStyle name="표준 25 4 2 10 3" xfId="32437"/>
    <cellStyle name="표준 25 4 2 11" xfId="12680"/>
    <cellStyle name="표준 25 4 2 11 2" xfId="33557"/>
    <cellStyle name="표준 25 4 2 12" xfId="24807"/>
    <cellStyle name="표준 25 4 2 2" xfId="3654"/>
    <cellStyle name="표준 25 4 2 2 2" xfId="5927"/>
    <cellStyle name="표준 25 4 2 2 2 2" xfId="14936"/>
    <cellStyle name="표준 25 4 2 2 2 2 2" xfId="35812"/>
    <cellStyle name="표준 25 4 2 2 2 3" xfId="27074"/>
    <cellStyle name="표준 25 4 2 2 3" xfId="13117"/>
    <cellStyle name="표준 25 4 2 2 3 2" xfId="33994"/>
    <cellStyle name="표준 25 4 2 2 4" xfId="25244"/>
    <cellStyle name="표준 25 4 2 3" xfId="4815"/>
    <cellStyle name="표준 25 4 2 3 2" xfId="6647"/>
    <cellStyle name="표준 25 4 2 3 2 2" xfId="15656"/>
    <cellStyle name="표준 25 4 2 3 2 2 2" xfId="36532"/>
    <cellStyle name="표준 25 4 2 3 2 3" xfId="27794"/>
    <cellStyle name="표준 25 4 2 3 3" xfId="13838"/>
    <cellStyle name="표준 25 4 2 3 3 2" xfId="34714"/>
    <cellStyle name="표준 25 4 2 3 4" xfId="25976"/>
    <cellStyle name="표준 25 4 2 4" xfId="5490"/>
    <cellStyle name="표준 25 4 2 4 2" xfId="14499"/>
    <cellStyle name="표준 25 4 2 4 2 2" xfId="35375"/>
    <cellStyle name="표준 25 4 2 4 3" xfId="26637"/>
    <cellStyle name="표준 25 4 2 5" xfId="7293"/>
    <cellStyle name="표준 25 4 2 5 2" xfId="16300"/>
    <cellStyle name="표준 25 4 2 5 2 2" xfId="37176"/>
    <cellStyle name="표준 25 4 2 5 3" xfId="28438"/>
    <cellStyle name="표준 25 4 2 6" xfId="7937"/>
    <cellStyle name="표준 25 4 2 6 2" xfId="16943"/>
    <cellStyle name="표준 25 4 2 6 2 2" xfId="37819"/>
    <cellStyle name="표준 25 4 2 6 3" xfId="29081"/>
    <cellStyle name="표준 25 4 2 7" xfId="8785"/>
    <cellStyle name="표준 25 4 2 7 2" xfId="17790"/>
    <cellStyle name="표준 25 4 2 7 2 2" xfId="38666"/>
    <cellStyle name="표준 25 4 2 7 3" xfId="29928"/>
    <cellStyle name="표준 25 4 2 8" xfId="9610"/>
    <cellStyle name="표준 25 4 2 8 2" xfId="18608"/>
    <cellStyle name="표준 25 4 2 8 2 2" xfId="39484"/>
    <cellStyle name="표준 25 4 2 8 3" xfId="30746"/>
    <cellStyle name="표준 25 4 2 9" xfId="10665"/>
    <cellStyle name="표준 25 4 2 9 2" xfId="19436"/>
    <cellStyle name="표준 25 4 2 9 2 2" xfId="40312"/>
    <cellStyle name="표준 25 4 2 9 3" xfId="31576"/>
    <cellStyle name="표준 25 4 3" xfId="3444"/>
    <cellStyle name="표준 25 4 3 10" xfId="12907"/>
    <cellStyle name="표준 25 4 3 10 2" xfId="33784"/>
    <cellStyle name="표준 25 4 3 11" xfId="25034"/>
    <cellStyle name="표준 25 4 3 2" xfId="5037"/>
    <cellStyle name="표준 25 4 3 2 2" xfId="6864"/>
    <cellStyle name="표준 25 4 3 2 2 2" xfId="15873"/>
    <cellStyle name="표준 25 4 3 2 2 2 2" xfId="36749"/>
    <cellStyle name="표준 25 4 3 2 2 3" xfId="28011"/>
    <cellStyle name="표준 25 4 3 2 3" xfId="14055"/>
    <cellStyle name="표준 25 4 3 2 3 2" xfId="34931"/>
    <cellStyle name="표준 25 4 3 2 4" xfId="26193"/>
    <cellStyle name="표준 25 4 3 3" xfId="5717"/>
    <cellStyle name="표준 25 4 3 3 2" xfId="14726"/>
    <cellStyle name="표준 25 4 3 3 2 2" xfId="35602"/>
    <cellStyle name="표준 25 4 3 3 3" xfId="26864"/>
    <cellStyle name="표준 25 4 3 4" xfId="7510"/>
    <cellStyle name="표준 25 4 3 4 2" xfId="16517"/>
    <cellStyle name="표준 25 4 3 4 2 2" xfId="37393"/>
    <cellStyle name="표준 25 4 3 4 3" xfId="28655"/>
    <cellStyle name="표준 25 4 3 5" xfId="8154"/>
    <cellStyle name="표준 25 4 3 5 2" xfId="17160"/>
    <cellStyle name="표준 25 4 3 5 2 2" xfId="38036"/>
    <cellStyle name="표준 25 4 3 5 3" xfId="29298"/>
    <cellStyle name="표준 25 4 3 6" xfId="9002"/>
    <cellStyle name="표준 25 4 3 6 2" xfId="18007"/>
    <cellStyle name="표준 25 4 3 6 2 2" xfId="38883"/>
    <cellStyle name="표준 25 4 3 6 3" xfId="30145"/>
    <cellStyle name="표준 25 4 3 7" xfId="9827"/>
    <cellStyle name="표준 25 4 3 7 2" xfId="18825"/>
    <cellStyle name="표준 25 4 3 7 2 2" xfId="39701"/>
    <cellStyle name="표준 25 4 3 7 3" xfId="30963"/>
    <cellStyle name="표준 25 4 3 8" xfId="10882"/>
    <cellStyle name="표준 25 4 3 8 2" xfId="19653"/>
    <cellStyle name="표준 25 4 3 8 2 2" xfId="40529"/>
    <cellStyle name="표준 25 4 3 8 3" xfId="31793"/>
    <cellStyle name="표준 25 4 3 9" xfId="11748"/>
    <cellStyle name="표준 25 4 3 9 2" xfId="20514"/>
    <cellStyle name="표준 25 4 3 9 2 2" xfId="41390"/>
    <cellStyle name="표준 25 4 3 9 3" xfId="32654"/>
    <cellStyle name="표준 25 4 4" xfId="4603"/>
    <cellStyle name="표준 25 4 4 2" xfId="6437"/>
    <cellStyle name="표준 25 4 4 2 2" xfId="15446"/>
    <cellStyle name="표준 25 4 4 2 2 2" xfId="36322"/>
    <cellStyle name="표준 25 4 4 2 3" xfId="27584"/>
    <cellStyle name="표준 25 4 4 3" xfId="11100"/>
    <cellStyle name="표준 25 4 4 3 2" xfId="19870"/>
    <cellStyle name="표준 25 4 4 3 2 2" xfId="40746"/>
    <cellStyle name="표준 25 4 4 3 3" xfId="32010"/>
    <cellStyle name="표준 25 4 4 4" xfId="11965"/>
    <cellStyle name="표준 25 4 4 4 2" xfId="20731"/>
    <cellStyle name="표준 25 4 4 4 2 2" xfId="41607"/>
    <cellStyle name="표준 25 4 4 4 3" xfId="32871"/>
    <cellStyle name="표준 25 4 4 5" xfId="13628"/>
    <cellStyle name="표준 25 4 4 5 2" xfId="34504"/>
    <cellStyle name="표준 25 4 4 6" xfId="25766"/>
    <cellStyle name="표준 25 4 5" xfId="5280"/>
    <cellStyle name="표준 25 4 5 2" xfId="14289"/>
    <cellStyle name="표준 25 4 5 2 2" xfId="35165"/>
    <cellStyle name="표준 25 4 5 3" xfId="26427"/>
    <cellStyle name="표준 25 4 6" xfId="7082"/>
    <cellStyle name="표준 25 4 6 2" xfId="16090"/>
    <cellStyle name="표준 25 4 6 2 2" xfId="36966"/>
    <cellStyle name="표준 25 4 6 3" xfId="28228"/>
    <cellStyle name="표준 25 4 7" xfId="7727"/>
    <cellStyle name="표준 25 4 7 2" xfId="16733"/>
    <cellStyle name="표준 25 4 7 2 2" xfId="37609"/>
    <cellStyle name="표준 25 4 7 3" xfId="28871"/>
    <cellStyle name="표준 25 4 8" xfId="8575"/>
    <cellStyle name="표준 25 4 8 2" xfId="17580"/>
    <cellStyle name="표준 25 4 8 2 2" xfId="38456"/>
    <cellStyle name="표준 25 4 8 3" xfId="29718"/>
    <cellStyle name="표준 25 4 9" xfId="9399"/>
    <cellStyle name="표준 25 4 9 2" xfId="18398"/>
    <cellStyle name="표준 25 4 9 2 2" xfId="39274"/>
    <cellStyle name="표준 25 4 9 3" xfId="30536"/>
    <cellStyle name="표준 25 5" xfId="2995"/>
    <cellStyle name="표준 25 5 10" xfId="10456"/>
    <cellStyle name="표준 25 5 10 2" xfId="19227"/>
    <cellStyle name="표준 25 5 10 2 2" xfId="40103"/>
    <cellStyle name="표준 25 5 10 3" xfId="31367"/>
    <cellStyle name="표준 25 5 11" xfId="11322"/>
    <cellStyle name="표준 25 5 11 2" xfId="20088"/>
    <cellStyle name="표준 25 5 11 2 2" xfId="40964"/>
    <cellStyle name="표준 25 5 11 3" xfId="32228"/>
    <cellStyle name="표준 25 5 12" xfId="12470"/>
    <cellStyle name="표준 25 5 12 2" xfId="33348"/>
    <cellStyle name="표준 25 5 13" xfId="24598"/>
    <cellStyle name="표준 25 5 2" xfId="3213"/>
    <cellStyle name="표준 25 5 2 10" xfId="11532"/>
    <cellStyle name="표준 25 5 2 10 2" xfId="20298"/>
    <cellStyle name="표준 25 5 2 10 2 2" xfId="41174"/>
    <cellStyle name="표준 25 5 2 10 3" xfId="32438"/>
    <cellStyle name="표준 25 5 2 11" xfId="12681"/>
    <cellStyle name="표준 25 5 2 11 2" xfId="33558"/>
    <cellStyle name="표준 25 5 2 12" xfId="24808"/>
    <cellStyle name="표준 25 5 2 2" xfId="3655"/>
    <cellStyle name="표준 25 5 2 2 2" xfId="5928"/>
    <cellStyle name="표준 25 5 2 2 2 2" xfId="14937"/>
    <cellStyle name="표준 25 5 2 2 2 2 2" xfId="35813"/>
    <cellStyle name="표준 25 5 2 2 2 3" xfId="27075"/>
    <cellStyle name="표준 25 5 2 2 3" xfId="13118"/>
    <cellStyle name="표준 25 5 2 2 3 2" xfId="33995"/>
    <cellStyle name="표준 25 5 2 2 4" xfId="25245"/>
    <cellStyle name="표준 25 5 2 3" xfId="4816"/>
    <cellStyle name="표준 25 5 2 3 2" xfId="6648"/>
    <cellStyle name="표준 25 5 2 3 2 2" xfId="15657"/>
    <cellStyle name="표준 25 5 2 3 2 2 2" xfId="36533"/>
    <cellStyle name="표준 25 5 2 3 2 3" xfId="27795"/>
    <cellStyle name="표준 25 5 2 3 3" xfId="13839"/>
    <cellStyle name="표준 25 5 2 3 3 2" xfId="34715"/>
    <cellStyle name="표준 25 5 2 3 4" xfId="25977"/>
    <cellStyle name="표준 25 5 2 4" xfId="5491"/>
    <cellStyle name="표준 25 5 2 4 2" xfId="14500"/>
    <cellStyle name="표준 25 5 2 4 2 2" xfId="35376"/>
    <cellStyle name="표준 25 5 2 4 3" xfId="26638"/>
    <cellStyle name="표준 25 5 2 5" xfId="7294"/>
    <cellStyle name="표준 25 5 2 5 2" xfId="16301"/>
    <cellStyle name="표준 25 5 2 5 2 2" xfId="37177"/>
    <cellStyle name="표준 25 5 2 5 3" xfId="28439"/>
    <cellStyle name="표준 25 5 2 6" xfId="7938"/>
    <cellStyle name="표준 25 5 2 6 2" xfId="16944"/>
    <cellStyle name="표준 25 5 2 6 2 2" xfId="37820"/>
    <cellStyle name="표준 25 5 2 6 3" xfId="29082"/>
    <cellStyle name="표준 25 5 2 7" xfId="8786"/>
    <cellStyle name="표준 25 5 2 7 2" xfId="17791"/>
    <cellStyle name="표준 25 5 2 7 2 2" xfId="38667"/>
    <cellStyle name="표준 25 5 2 7 3" xfId="29929"/>
    <cellStyle name="표준 25 5 2 8" xfId="9611"/>
    <cellStyle name="표준 25 5 2 8 2" xfId="18609"/>
    <cellStyle name="표준 25 5 2 8 2 2" xfId="39485"/>
    <cellStyle name="표준 25 5 2 8 3" xfId="30747"/>
    <cellStyle name="표준 25 5 2 9" xfId="10666"/>
    <cellStyle name="표준 25 5 2 9 2" xfId="19437"/>
    <cellStyle name="표준 25 5 2 9 2 2" xfId="40313"/>
    <cellStyle name="표준 25 5 2 9 3" xfId="31577"/>
    <cellStyle name="표준 25 5 3" xfId="3445"/>
    <cellStyle name="표준 25 5 3 10" xfId="12908"/>
    <cellStyle name="표준 25 5 3 10 2" xfId="33785"/>
    <cellStyle name="표준 25 5 3 11" xfId="25035"/>
    <cellStyle name="표준 25 5 3 2" xfId="5038"/>
    <cellStyle name="표준 25 5 3 2 2" xfId="6865"/>
    <cellStyle name="표준 25 5 3 2 2 2" xfId="15874"/>
    <cellStyle name="표준 25 5 3 2 2 2 2" xfId="36750"/>
    <cellStyle name="표준 25 5 3 2 2 3" xfId="28012"/>
    <cellStyle name="표준 25 5 3 2 3" xfId="14056"/>
    <cellStyle name="표준 25 5 3 2 3 2" xfId="34932"/>
    <cellStyle name="표준 25 5 3 2 4" xfId="26194"/>
    <cellStyle name="표준 25 5 3 3" xfId="5718"/>
    <cellStyle name="표준 25 5 3 3 2" xfId="14727"/>
    <cellStyle name="표준 25 5 3 3 2 2" xfId="35603"/>
    <cellStyle name="표준 25 5 3 3 3" xfId="26865"/>
    <cellStyle name="표준 25 5 3 4" xfId="7511"/>
    <cellStyle name="표준 25 5 3 4 2" xfId="16518"/>
    <cellStyle name="표준 25 5 3 4 2 2" xfId="37394"/>
    <cellStyle name="표준 25 5 3 4 3" xfId="28656"/>
    <cellStyle name="표준 25 5 3 5" xfId="8155"/>
    <cellStyle name="표준 25 5 3 5 2" xfId="17161"/>
    <cellStyle name="표준 25 5 3 5 2 2" xfId="38037"/>
    <cellStyle name="표준 25 5 3 5 3" xfId="29299"/>
    <cellStyle name="표준 25 5 3 6" xfId="9003"/>
    <cellStyle name="표준 25 5 3 6 2" xfId="18008"/>
    <cellStyle name="표준 25 5 3 6 2 2" xfId="38884"/>
    <cellStyle name="표준 25 5 3 6 3" xfId="30146"/>
    <cellStyle name="표준 25 5 3 7" xfId="9828"/>
    <cellStyle name="표준 25 5 3 7 2" xfId="18826"/>
    <cellStyle name="표준 25 5 3 7 2 2" xfId="39702"/>
    <cellStyle name="표준 25 5 3 7 3" xfId="30964"/>
    <cellStyle name="표준 25 5 3 8" xfId="10883"/>
    <cellStyle name="표준 25 5 3 8 2" xfId="19654"/>
    <cellStyle name="표준 25 5 3 8 2 2" xfId="40530"/>
    <cellStyle name="표준 25 5 3 8 3" xfId="31794"/>
    <cellStyle name="표준 25 5 3 9" xfId="11749"/>
    <cellStyle name="표준 25 5 3 9 2" xfId="20515"/>
    <cellStyle name="표준 25 5 3 9 2 2" xfId="41391"/>
    <cellStyle name="표준 25 5 3 9 3" xfId="32655"/>
    <cellStyle name="표준 25 5 4" xfId="4604"/>
    <cellStyle name="표준 25 5 4 2" xfId="6438"/>
    <cellStyle name="표준 25 5 4 2 2" xfId="15447"/>
    <cellStyle name="표준 25 5 4 2 2 2" xfId="36323"/>
    <cellStyle name="표준 25 5 4 2 3" xfId="27585"/>
    <cellStyle name="표준 25 5 4 3" xfId="11101"/>
    <cellStyle name="표준 25 5 4 3 2" xfId="19871"/>
    <cellStyle name="표준 25 5 4 3 2 2" xfId="40747"/>
    <cellStyle name="표준 25 5 4 3 3" xfId="32011"/>
    <cellStyle name="표준 25 5 4 4" xfId="11966"/>
    <cellStyle name="표준 25 5 4 4 2" xfId="20732"/>
    <cellStyle name="표준 25 5 4 4 2 2" xfId="41608"/>
    <cellStyle name="표준 25 5 4 4 3" xfId="32872"/>
    <cellStyle name="표준 25 5 4 5" xfId="13629"/>
    <cellStyle name="표준 25 5 4 5 2" xfId="34505"/>
    <cellStyle name="표준 25 5 4 6" xfId="25767"/>
    <cellStyle name="표준 25 5 5" xfId="5281"/>
    <cellStyle name="표준 25 5 5 2" xfId="14290"/>
    <cellStyle name="표준 25 5 5 2 2" xfId="35166"/>
    <cellStyle name="표준 25 5 5 3" xfId="26428"/>
    <cellStyle name="표준 25 5 6" xfId="7083"/>
    <cellStyle name="표준 25 5 6 2" xfId="16091"/>
    <cellStyle name="표준 25 5 6 2 2" xfId="36967"/>
    <cellStyle name="표준 25 5 6 3" xfId="28229"/>
    <cellStyle name="표준 25 5 7" xfId="7728"/>
    <cellStyle name="표준 25 5 7 2" xfId="16734"/>
    <cellStyle name="표준 25 5 7 2 2" xfId="37610"/>
    <cellStyle name="표준 25 5 7 3" xfId="28872"/>
    <cellStyle name="표준 25 5 8" xfId="8576"/>
    <cellStyle name="표준 25 5 8 2" xfId="17581"/>
    <cellStyle name="표준 25 5 8 2 2" xfId="38457"/>
    <cellStyle name="표준 25 5 8 3" xfId="29719"/>
    <cellStyle name="표준 25 5 9" xfId="9400"/>
    <cellStyle name="표준 25 5 9 2" xfId="18399"/>
    <cellStyle name="표준 25 5 9 2 2" xfId="39275"/>
    <cellStyle name="표준 25 5 9 3" xfId="30537"/>
    <cellStyle name="표준 25 6" xfId="2996"/>
    <cellStyle name="표준 25 6 10" xfId="10457"/>
    <cellStyle name="표준 25 6 10 2" xfId="19228"/>
    <cellStyle name="표준 25 6 10 2 2" xfId="40104"/>
    <cellStyle name="표준 25 6 10 3" xfId="31368"/>
    <cellStyle name="표준 25 6 11" xfId="11323"/>
    <cellStyle name="표준 25 6 11 2" xfId="20089"/>
    <cellStyle name="표준 25 6 11 2 2" xfId="40965"/>
    <cellStyle name="표준 25 6 11 3" xfId="32229"/>
    <cellStyle name="표준 25 6 12" xfId="12471"/>
    <cellStyle name="표준 25 6 12 2" xfId="33349"/>
    <cellStyle name="표준 25 6 13" xfId="24599"/>
    <cellStyle name="표준 25 6 2" xfId="3214"/>
    <cellStyle name="표준 25 6 2 10" xfId="11533"/>
    <cellStyle name="표준 25 6 2 10 2" xfId="20299"/>
    <cellStyle name="표준 25 6 2 10 2 2" xfId="41175"/>
    <cellStyle name="표준 25 6 2 10 3" xfId="32439"/>
    <cellStyle name="표준 25 6 2 11" xfId="12682"/>
    <cellStyle name="표준 25 6 2 11 2" xfId="33559"/>
    <cellStyle name="표준 25 6 2 12" xfId="24809"/>
    <cellStyle name="표준 25 6 2 2" xfId="3656"/>
    <cellStyle name="표준 25 6 2 2 2" xfId="5929"/>
    <cellStyle name="표준 25 6 2 2 2 2" xfId="14938"/>
    <cellStyle name="표준 25 6 2 2 2 2 2" xfId="35814"/>
    <cellStyle name="표준 25 6 2 2 2 3" xfId="27076"/>
    <cellStyle name="표준 25 6 2 2 3" xfId="13119"/>
    <cellStyle name="표준 25 6 2 2 3 2" xfId="33996"/>
    <cellStyle name="표준 25 6 2 2 4" xfId="25246"/>
    <cellStyle name="표준 25 6 2 3" xfId="4817"/>
    <cellStyle name="표준 25 6 2 3 2" xfId="6649"/>
    <cellStyle name="표준 25 6 2 3 2 2" xfId="15658"/>
    <cellStyle name="표준 25 6 2 3 2 2 2" xfId="36534"/>
    <cellStyle name="표준 25 6 2 3 2 3" xfId="27796"/>
    <cellStyle name="표준 25 6 2 3 3" xfId="13840"/>
    <cellStyle name="표준 25 6 2 3 3 2" xfId="34716"/>
    <cellStyle name="표준 25 6 2 3 4" xfId="25978"/>
    <cellStyle name="표준 25 6 2 4" xfId="5492"/>
    <cellStyle name="표준 25 6 2 4 2" xfId="14501"/>
    <cellStyle name="표준 25 6 2 4 2 2" xfId="35377"/>
    <cellStyle name="표준 25 6 2 4 3" xfId="26639"/>
    <cellStyle name="표준 25 6 2 5" xfId="7295"/>
    <cellStyle name="표준 25 6 2 5 2" xfId="16302"/>
    <cellStyle name="표준 25 6 2 5 2 2" xfId="37178"/>
    <cellStyle name="표준 25 6 2 5 3" xfId="28440"/>
    <cellStyle name="표준 25 6 2 6" xfId="7939"/>
    <cellStyle name="표준 25 6 2 6 2" xfId="16945"/>
    <cellStyle name="표준 25 6 2 6 2 2" xfId="37821"/>
    <cellStyle name="표준 25 6 2 6 3" xfId="29083"/>
    <cellStyle name="표준 25 6 2 7" xfId="8787"/>
    <cellStyle name="표준 25 6 2 7 2" xfId="17792"/>
    <cellStyle name="표준 25 6 2 7 2 2" xfId="38668"/>
    <cellStyle name="표준 25 6 2 7 3" xfId="29930"/>
    <cellStyle name="표준 25 6 2 8" xfId="9612"/>
    <cellStyle name="표준 25 6 2 8 2" xfId="18610"/>
    <cellStyle name="표준 25 6 2 8 2 2" xfId="39486"/>
    <cellStyle name="표준 25 6 2 8 3" xfId="30748"/>
    <cellStyle name="표준 25 6 2 9" xfId="10667"/>
    <cellStyle name="표준 25 6 2 9 2" xfId="19438"/>
    <cellStyle name="표준 25 6 2 9 2 2" xfId="40314"/>
    <cellStyle name="표준 25 6 2 9 3" xfId="31578"/>
    <cellStyle name="표준 25 6 3" xfId="3446"/>
    <cellStyle name="표준 25 6 3 10" xfId="12909"/>
    <cellStyle name="표준 25 6 3 10 2" xfId="33786"/>
    <cellStyle name="표준 25 6 3 11" xfId="25036"/>
    <cellStyle name="표준 25 6 3 2" xfId="5039"/>
    <cellStyle name="표준 25 6 3 2 2" xfId="6866"/>
    <cellStyle name="표준 25 6 3 2 2 2" xfId="15875"/>
    <cellStyle name="표준 25 6 3 2 2 2 2" xfId="36751"/>
    <cellStyle name="표준 25 6 3 2 2 3" xfId="28013"/>
    <cellStyle name="표준 25 6 3 2 3" xfId="14057"/>
    <cellStyle name="표준 25 6 3 2 3 2" xfId="34933"/>
    <cellStyle name="표준 25 6 3 2 4" xfId="26195"/>
    <cellStyle name="표준 25 6 3 3" xfId="5719"/>
    <cellStyle name="표준 25 6 3 3 2" xfId="14728"/>
    <cellStyle name="표준 25 6 3 3 2 2" xfId="35604"/>
    <cellStyle name="표준 25 6 3 3 3" xfId="26866"/>
    <cellStyle name="표준 25 6 3 4" xfId="7512"/>
    <cellStyle name="표준 25 6 3 4 2" xfId="16519"/>
    <cellStyle name="표준 25 6 3 4 2 2" xfId="37395"/>
    <cellStyle name="표준 25 6 3 4 3" xfId="28657"/>
    <cellStyle name="표준 25 6 3 5" xfId="8156"/>
    <cellStyle name="표준 25 6 3 5 2" xfId="17162"/>
    <cellStyle name="표준 25 6 3 5 2 2" xfId="38038"/>
    <cellStyle name="표준 25 6 3 5 3" xfId="29300"/>
    <cellStyle name="표준 25 6 3 6" xfId="9004"/>
    <cellStyle name="표준 25 6 3 6 2" xfId="18009"/>
    <cellStyle name="표준 25 6 3 6 2 2" xfId="38885"/>
    <cellStyle name="표준 25 6 3 6 3" xfId="30147"/>
    <cellStyle name="표준 25 6 3 7" xfId="9829"/>
    <cellStyle name="표준 25 6 3 7 2" xfId="18827"/>
    <cellStyle name="표준 25 6 3 7 2 2" xfId="39703"/>
    <cellStyle name="표준 25 6 3 7 3" xfId="30965"/>
    <cellStyle name="표준 25 6 3 8" xfId="10884"/>
    <cellStyle name="표준 25 6 3 8 2" xfId="19655"/>
    <cellStyle name="표준 25 6 3 8 2 2" xfId="40531"/>
    <cellStyle name="표준 25 6 3 8 3" xfId="31795"/>
    <cellStyle name="표준 25 6 3 9" xfId="11750"/>
    <cellStyle name="표준 25 6 3 9 2" xfId="20516"/>
    <cellStyle name="표준 25 6 3 9 2 2" xfId="41392"/>
    <cellStyle name="표준 25 6 3 9 3" xfId="32656"/>
    <cellStyle name="표준 25 6 4" xfId="4605"/>
    <cellStyle name="표준 25 6 4 2" xfId="6439"/>
    <cellStyle name="표준 25 6 4 2 2" xfId="15448"/>
    <cellStyle name="표준 25 6 4 2 2 2" xfId="36324"/>
    <cellStyle name="표준 25 6 4 2 3" xfId="27586"/>
    <cellStyle name="표준 25 6 4 3" xfId="11102"/>
    <cellStyle name="표준 25 6 4 3 2" xfId="19872"/>
    <cellStyle name="표준 25 6 4 3 2 2" xfId="40748"/>
    <cellStyle name="표준 25 6 4 3 3" xfId="32012"/>
    <cellStyle name="표준 25 6 4 4" xfId="11967"/>
    <cellStyle name="표준 25 6 4 4 2" xfId="20733"/>
    <cellStyle name="표준 25 6 4 4 2 2" xfId="41609"/>
    <cellStyle name="표준 25 6 4 4 3" xfId="32873"/>
    <cellStyle name="표준 25 6 4 5" xfId="13630"/>
    <cellStyle name="표준 25 6 4 5 2" xfId="34506"/>
    <cellStyle name="표준 25 6 4 6" xfId="25768"/>
    <cellStyle name="표준 25 6 5" xfId="5282"/>
    <cellStyle name="표준 25 6 5 2" xfId="14291"/>
    <cellStyle name="표준 25 6 5 2 2" xfId="35167"/>
    <cellStyle name="표준 25 6 5 3" xfId="26429"/>
    <cellStyle name="표준 25 6 6" xfId="7084"/>
    <cellStyle name="표준 25 6 6 2" xfId="16092"/>
    <cellStyle name="표준 25 6 6 2 2" xfId="36968"/>
    <cellStyle name="표준 25 6 6 3" xfId="28230"/>
    <cellStyle name="표준 25 6 7" xfId="7729"/>
    <cellStyle name="표준 25 6 7 2" xfId="16735"/>
    <cellStyle name="표준 25 6 7 2 2" xfId="37611"/>
    <cellStyle name="표준 25 6 7 3" xfId="28873"/>
    <cellStyle name="표준 25 6 8" xfId="8577"/>
    <cellStyle name="표준 25 6 8 2" xfId="17582"/>
    <cellStyle name="표준 25 6 8 2 2" xfId="38458"/>
    <cellStyle name="표준 25 6 8 3" xfId="29720"/>
    <cellStyle name="표준 25 6 9" xfId="9401"/>
    <cellStyle name="표준 25 6 9 2" xfId="18400"/>
    <cellStyle name="표준 25 6 9 2 2" xfId="39276"/>
    <cellStyle name="표준 25 6 9 3" xfId="30538"/>
    <cellStyle name="표준 25 7" xfId="2997"/>
    <cellStyle name="표준 25 7 10" xfId="10458"/>
    <cellStyle name="표준 25 7 10 2" xfId="19229"/>
    <cellStyle name="표준 25 7 10 2 2" xfId="40105"/>
    <cellStyle name="표준 25 7 10 3" xfId="31369"/>
    <cellStyle name="표준 25 7 11" xfId="11324"/>
    <cellStyle name="표준 25 7 11 2" xfId="20090"/>
    <cellStyle name="표준 25 7 11 2 2" xfId="40966"/>
    <cellStyle name="표준 25 7 11 3" xfId="32230"/>
    <cellStyle name="표준 25 7 12" xfId="12472"/>
    <cellStyle name="표준 25 7 12 2" xfId="33350"/>
    <cellStyle name="표준 25 7 13" xfId="24600"/>
    <cellStyle name="표준 25 7 2" xfId="3215"/>
    <cellStyle name="표준 25 7 2 10" xfId="11534"/>
    <cellStyle name="표준 25 7 2 10 2" xfId="20300"/>
    <cellStyle name="표준 25 7 2 10 2 2" xfId="41176"/>
    <cellStyle name="표준 25 7 2 10 3" xfId="32440"/>
    <cellStyle name="표준 25 7 2 11" xfId="12683"/>
    <cellStyle name="표준 25 7 2 11 2" xfId="33560"/>
    <cellStyle name="표준 25 7 2 12" xfId="24810"/>
    <cellStyle name="표준 25 7 2 2" xfId="3657"/>
    <cellStyle name="표준 25 7 2 2 2" xfId="5930"/>
    <cellStyle name="표준 25 7 2 2 2 2" xfId="14939"/>
    <cellStyle name="표준 25 7 2 2 2 2 2" xfId="35815"/>
    <cellStyle name="표준 25 7 2 2 2 3" xfId="27077"/>
    <cellStyle name="표준 25 7 2 2 3" xfId="13120"/>
    <cellStyle name="표준 25 7 2 2 3 2" xfId="33997"/>
    <cellStyle name="표준 25 7 2 2 4" xfId="25247"/>
    <cellStyle name="표준 25 7 2 3" xfId="4818"/>
    <cellStyle name="표준 25 7 2 3 2" xfId="6650"/>
    <cellStyle name="표준 25 7 2 3 2 2" xfId="15659"/>
    <cellStyle name="표준 25 7 2 3 2 2 2" xfId="36535"/>
    <cellStyle name="표준 25 7 2 3 2 3" xfId="27797"/>
    <cellStyle name="표준 25 7 2 3 3" xfId="13841"/>
    <cellStyle name="표준 25 7 2 3 3 2" xfId="34717"/>
    <cellStyle name="표준 25 7 2 3 4" xfId="25979"/>
    <cellStyle name="표준 25 7 2 4" xfId="5493"/>
    <cellStyle name="표준 25 7 2 4 2" xfId="14502"/>
    <cellStyle name="표준 25 7 2 4 2 2" xfId="35378"/>
    <cellStyle name="표준 25 7 2 4 3" xfId="26640"/>
    <cellStyle name="표준 25 7 2 5" xfId="7296"/>
    <cellStyle name="표준 25 7 2 5 2" xfId="16303"/>
    <cellStyle name="표준 25 7 2 5 2 2" xfId="37179"/>
    <cellStyle name="표준 25 7 2 5 3" xfId="28441"/>
    <cellStyle name="표준 25 7 2 6" xfId="7940"/>
    <cellStyle name="표준 25 7 2 6 2" xfId="16946"/>
    <cellStyle name="표준 25 7 2 6 2 2" xfId="37822"/>
    <cellStyle name="표준 25 7 2 6 3" xfId="29084"/>
    <cellStyle name="표준 25 7 2 7" xfId="8788"/>
    <cellStyle name="표준 25 7 2 7 2" xfId="17793"/>
    <cellStyle name="표준 25 7 2 7 2 2" xfId="38669"/>
    <cellStyle name="표준 25 7 2 7 3" xfId="29931"/>
    <cellStyle name="표준 25 7 2 8" xfId="9613"/>
    <cellStyle name="표준 25 7 2 8 2" xfId="18611"/>
    <cellStyle name="표준 25 7 2 8 2 2" xfId="39487"/>
    <cellStyle name="표준 25 7 2 8 3" xfId="30749"/>
    <cellStyle name="표준 25 7 2 9" xfId="10668"/>
    <cellStyle name="표준 25 7 2 9 2" xfId="19439"/>
    <cellStyle name="표준 25 7 2 9 2 2" xfId="40315"/>
    <cellStyle name="표준 25 7 2 9 3" xfId="31579"/>
    <cellStyle name="표준 25 7 3" xfId="3447"/>
    <cellStyle name="표준 25 7 3 10" xfId="12910"/>
    <cellStyle name="표준 25 7 3 10 2" xfId="33787"/>
    <cellStyle name="표준 25 7 3 11" xfId="25037"/>
    <cellStyle name="표준 25 7 3 2" xfId="5040"/>
    <cellStyle name="표준 25 7 3 2 2" xfId="6867"/>
    <cellStyle name="표준 25 7 3 2 2 2" xfId="15876"/>
    <cellStyle name="표준 25 7 3 2 2 2 2" xfId="36752"/>
    <cellStyle name="표준 25 7 3 2 2 3" xfId="28014"/>
    <cellStyle name="표준 25 7 3 2 3" xfId="14058"/>
    <cellStyle name="표준 25 7 3 2 3 2" xfId="34934"/>
    <cellStyle name="표준 25 7 3 2 4" xfId="26196"/>
    <cellStyle name="표준 25 7 3 3" xfId="5720"/>
    <cellStyle name="표준 25 7 3 3 2" xfId="14729"/>
    <cellStyle name="표준 25 7 3 3 2 2" xfId="35605"/>
    <cellStyle name="표준 25 7 3 3 3" xfId="26867"/>
    <cellStyle name="표준 25 7 3 4" xfId="7513"/>
    <cellStyle name="표준 25 7 3 4 2" xfId="16520"/>
    <cellStyle name="표준 25 7 3 4 2 2" xfId="37396"/>
    <cellStyle name="표준 25 7 3 4 3" xfId="28658"/>
    <cellStyle name="표준 25 7 3 5" xfId="8157"/>
    <cellStyle name="표준 25 7 3 5 2" xfId="17163"/>
    <cellStyle name="표준 25 7 3 5 2 2" xfId="38039"/>
    <cellStyle name="표준 25 7 3 5 3" xfId="29301"/>
    <cellStyle name="표준 25 7 3 6" xfId="9005"/>
    <cellStyle name="표준 25 7 3 6 2" xfId="18010"/>
    <cellStyle name="표준 25 7 3 6 2 2" xfId="38886"/>
    <cellStyle name="표준 25 7 3 6 3" xfId="30148"/>
    <cellStyle name="표준 25 7 3 7" xfId="9830"/>
    <cellStyle name="표준 25 7 3 7 2" xfId="18828"/>
    <cellStyle name="표준 25 7 3 7 2 2" xfId="39704"/>
    <cellStyle name="표준 25 7 3 7 3" xfId="30966"/>
    <cellStyle name="표준 25 7 3 8" xfId="10885"/>
    <cellStyle name="표준 25 7 3 8 2" xfId="19656"/>
    <cellStyle name="표준 25 7 3 8 2 2" xfId="40532"/>
    <cellStyle name="표준 25 7 3 8 3" xfId="31796"/>
    <cellStyle name="표준 25 7 3 9" xfId="11751"/>
    <cellStyle name="표준 25 7 3 9 2" xfId="20517"/>
    <cellStyle name="표준 25 7 3 9 2 2" xfId="41393"/>
    <cellStyle name="표준 25 7 3 9 3" xfId="32657"/>
    <cellStyle name="표준 25 7 4" xfId="4606"/>
    <cellStyle name="표준 25 7 4 2" xfId="6440"/>
    <cellStyle name="표준 25 7 4 2 2" xfId="15449"/>
    <cellStyle name="표준 25 7 4 2 2 2" xfId="36325"/>
    <cellStyle name="표준 25 7 4 2 3" xfId="27587"/>
    <cellStyle name="표준 25 7 4 3" xfId="11103"/>
    <cellStyle name="표준 25 7 4 3 2" xfId="19873"/>
    <cellStyle name="표준 25 7 4 3 2 2" xfId="40749"/>
    <cellStyle name="표준 25 7 4 3 3" xfId="32013"/>
    <cellStyle name="표준 25 7 4 4" xfId="11968"/>
    <cellStyle name="표준 25 7 4 4 2" xfId="20734"/>
    <cellStyle name="표준 25 7 4 4 2 2" xfId="41610"/>
    <cellStyle name="표준 25 7 4 4 3" xfId="32874"/>
    <cellStyle name="표준 25 7 4 5" xfId="13631"/>
    <cellStyle name="표준 25 7 4 5 2" xfId="34507"/>
    <cellStyle name="표준 25 7 4 6" xfId="25769"/>
    <cellStyle name="표준 25 7 5" xfId="5283"/>
    <cellStyle name="표준 25 7 5 2" xfId="14292"/>
    <cellStyle name="표준 25 7 5 2 2" xfId="35168"/>
    <cellStyle name="표준 25 7 5 3" xfId="26430"/>
    <cellStyle name="표준 25 7 6" xfId="7085"/>
    <cellStyle name="표준 25 7 6 2" xfId="16093"/>
    <cellStyle name="표준 25 7 6 2 2" xfId="36969"/>
    <cellStyle name="표준 25 7 6 3" xfId="28231"/>
    <cellStyle name="표준 25 7 7" xfId="7730"/>
    <cellStyle name="표준 25 7 7 2" xfId="16736"/>
    <cellStyle name="표준 25 7 7 2 2" xfId="37612"/>
    <cellStyle name="표준 25 7 7 3" xfId="28874"/>
    <cellStyle name="표준 25 7 8" xfId="8578"/>
    <cellStyle name="표준 25 7 8 2" xfId="17583"/>
    <cellStyle name="표준 25 7 8 2 2" xfId="38459"/>
    <cellStyle name="표준 25 7 8 3" xfId="29721"/>
    <cellStyle name="표준 25 7 9" xfId="9402"/>
    <cellStyle name="표준 25 7 9 2" xfId="18401"/>
    <cellStyle name="표준 25 7 9 2 2" xfId="39277"/>
    <cellStyle name="표준 25 7 9 3" xfId="30539"/>
    <cellStyle name="표준 25 8" xfId="3209"/>
    <cellStyle name="표준 25 8 10" xfId="11528"/>
    <cellStyle name="표준 25 8 10 2" xfId="20294"/>
    <cellStyle name="표준 25 8 10 2 2" xfId="41170"/>
    <cellStyle name="표준 25 8 10 3" xfId="32434"/>
    <cellStyle name="표준 25 8 11" xfId="12677"/>
    <cellStyle name="표준 25 8 11 2" xfId="33554"/>
    <cellStyle name="표준 25 8 12" xfId="24804"/>
    <cellStyle name="표준 25 8 2" xfId="3651"/>
    <cellStyle name="표준 25 8 2 2" xfId="5924"/>
    <cellStyle name="표준 25 8 2 2 2" xfId="14933"/>
    <cellStyle name="표준 25 8 2 2 2 2" xfId="35809"/>
    <cellStyle name="표준 25 8 2 2 3" xfId="27071"/>
    <cellStyle name="표준 25 8 2 3" xfId="13114"/>
    <cellStyle name="표준 25 8 2 3 2" xfId="33991"/>
    <cellStyle name="표준 25 8 2 4" xfId="25241"/>
    <cellStyle name="표준 25 8 3" xfId="4812"/>
    <cellStyle name="표준 25 8 3 2" xfId="6644"/>
    <cellStyle name="표준 25 8 3 2 2" xfId="15653"/>
    <cellStyle name="표준 25 8 3 2 2 2" xfId="36529"/>
    <cellStyle name="표준 25 8 3 2 3" xfId="27791"/>
    <cellStyle name="표준 25 8 3 3" xfId="13835"/>
    <cellStyle name="표준 25 8 3 3 2" xfId="34711"/>
    <cellStyle name="표준 25 8 3 4" xfId="25973"/>
    <cellStyle name="표준 25 8 4" xfId="5487"/>
    <cellStyle name="표준 25 8 4 2" xfId="14496"/>
    <cellStyle name="표준 25 8 4 2 2" xfId="35372"/>
    <cellStyle name="표준 25 8 4 3" xfId="26634"/>
    <cellStyle name="표준 25 8 5" xfId="7290"/>
    <cellStyle name="표준 25 8 5 2" xfId="16297"/>
    <cellStyle name="표준 25 8 5 2 2" xfId="37173"/>
    <cellStyle name="표준 25 8 5 3" xfId="28435"/>
    <cellStyle name="표준 25 8 6" xfId="7934"/>
    <cellStyle name="표준 25 8 6 2" xfId="16940"/>
    <cellStyle name="표준 25 8 6 2 2" xfId="37816"/>
    <cellStyle name="표준 25 8 6 3" xfId="29078"/>
    <cellStyle name="표준 25 8 7" xfId="8782"/>
    <cellStyle name="표준 25 8 7 2" xfId="17787"/>
    <cellStyle name="표준 25 8 7 2 2" xfId="38663"/>
    <cellStyle name="표준 25 8 7 3" xfId="29925"/>
    <cellStyle name="표준 25 8 8" xfId="9607"/>
    <cellStyle name="표준 25 8 8 2" xfId="18605"/>
    <cellStyle name="표준 25 8 8 2 2" xfId="39481"/>
    <cellStyle name="표준 25 8 8 3" xfId="30743"/>
    <cellStyle name="표준 25 8 9" xfId="10662"/>
    <cellStyle name="표준 25 8 9 2" xfId="19433"/>
    <cellStyle name="표준 25 8 9 2 2" xfId="40309"/>
    <cellStyle name="표준 25 8 9 3" xfId="31573"/>
    <cellStyle name="표준 25 9" xfId="3441"/>
    <cellStyle name="표준 25 9 10" xfId="12904"/>
    <cellStyle name="표준 25 9 10 2" xfId="33781"/>
    <cellStyle name="표준 25 9 11" xfId="25031"/>
    <cellStyle name="표준 25 9 2" xfId="5034"/>
    <cellStyle name="표준 25 9 2 2" xfId="6861"/>
    <cellStyle name="표준 25 9 2 2 2" xfId="15870"/>
    <cellStyle name="표준 25 9 2 2 2 2" xfId="36746"/>
    <cellStyle name="표준 25 9 2 2 3" xfId="28008"/>
    <cellStyle name="표준 25 9 2 3" xfId="14052"/>
    <cellStyle name="표준 25 9 2 3 2" xfId="34928"/>
    <cellStyle name="표준 25 9 2 4" xfId="26190"/>
    <cellStyle name="표준 25 9 3" xfId="5714"/>
    <cellStyle name="표준 25 9 3 2" xfId="14723"/>
    <cellStyle name="표준 25 9 3 2 2" xfId="35599"/>
    <cellStyle name="표준 25 9 3 3" xfId="26861"/>
    <cellStyle name="표준 25 9 4" xfId="7507"/>
    <cellStyle name="표준 25 9 4 2" xfId="16514"/>
    <cellStyle name="표준 25 9 4 2 2" xfId="37390"/>
    <cellStyle name="표준 25 9 4 3" xfId="28652"/>
    <cellStyle name="표준 25 9 5" xfId="8151"/>
    <cellStyle name="표준 25 9 5 2" xfId="17157"/>
    <cellStyle name="표준 25 9 5 2 2" xfId="38033"/>
    <cellStyle name="표준 25 9 5 3" xfId="29295"/>
    <cellStyle name="표준 25 9 6" xfId="8999"/>
    <cellStyle name="표준 25 9 6 2" xfId="18004"/>
    <cellStyle name="표준 25 9 6 2 2" xfId="38880"/>
    <cellStyle name="표준 25 9 6 3" xfId="30142"/>
    <cellStyle name="표준 25 9 7" xfId="9824"/>
    <cellStyle name="표준 25 9 7 2" xfId="18822"/>
    <cellStyle name="표준 25 9 7 2 2" xfId="39698"/>
    <cellStyle name="표준 25 9 7 3" xfId="30960"/>
    <cellStyle name="표준 25 9 8" xfId="10879"/>
    <cellStyle name="표준 25 9 8 2" xfId="19650"/>
    <cellStyle name="표준 25 9 8 2 2" xfId="40526"/>
    <cellStyle name="표준 25 9 8 3" xfId="31790"/>
    <cellStyle name="표준 25 9 9" xfId="11745"/>
    <cellStyle name="표준 25 9 9 2" xfId="20511"/>
    <cellStyle name="표준 25 9 9 2 2" xfId="41387"/>
    <cellStyle name="표준 25 9 9 3" xfId="32651"/>
    <cellStyle name="표준 26" xfId="2998"/>
    <cellStyle name="표준 26 10" xfId="4607"/>
    <cellStyle name="표준 26 10 2" xfId="6441"/>
    <cellStyle name="표준 26 10 2 2" xfId="15450"/>
    <cellStyle name="표준 26 10 2 2 2" xfId="36326"/>
    <cellStyle name="표준 26 10 2 3" xfId="27588"/>
    <cellStyle name="표준 26 10 3" xfId="11104"/>
    <cellStyle name="표준 26 10 3 2" xfId="19874"/>
    <cellStyle name="표준 26 10 3 2 2" xfId="40750"/>
    <cellStyle name="표준 26 10 3 3" xfId="32014"/>
    <cellStyle name="표준 26 10 4" xfId="11969"/>
    <cellStyle name="표준 26 10 4 2" xfId="20735"/>
    <cellStyle name="표준 26 10 4 2 2" xfId="41611"/>
    <cellStyle name="표준 26 10 4 3" xfId="32875"/>
    <cellStyle name="표준 26 10 5" xfId="13632"/>
    <cellStyle name="표준 26 10 5 2" xfId="34508"/>
    <cellStyle name="표준 26 10 6" xfId="25770"/>
    <cellStyle name="표준 26 11" xfId="5284"/>
    <cellStyle name="표준 26 11 2" xfId="14293"/>
    <cellStyle name="표준 26 11 2 2" xfId="35169"/>
    <cellStyle name="표준 26 11 3" xfId="26431"/>
    <cellStyle name="표준 26 12" xfId="7086"/>
    <cellStyle name="표준 26 12 2" xfId="16094"/>
    <cellStyle name="표준 26 12 2 2" xfId="36970"/>
    <cellStyle name="표준 26 12 3" xfId="28232"/>
    <cellStyle name="표준 26 13" xfId="7731"/>
    <cellStyle name="표준 26 13 2" xfId="16737"/>
    <cellStyle name="표준 26 13 2 2" xfId="37613"/>
    <cellStyle name="표준 26 13 3" xfId="28875"/>
    <cellStyle name="표준 26 14" xfId="8579"/>
    <cellStyle name="표준 26 14 2" xfId="17584"/>
    <cellStyle name="표준 26 14 2 2" xfId="38460"/>
    <cellStyle name="표준 26 14 3" xfId="29722"/>
    <cellStyle name="표준 26 15" xfId="9403"/>
    <cellStyle name="표준 26 15 2" xfId="18402"/>
    <cellStyle name="표준 26 15 2 2" xfId="39278"/>
    <cellStyle name="표준 26 15 3" xfId="30540"/>
    <cellStyle name="표준 26 16" xfId="10459"/>
    <cellStyle name="표준 26 16 2" xfId="19230"/>
    <cellStyle name="표준 26 16 2 2" xfId="40106"/>
    <cellStyle name="표준 26 16 3" xfId="31370"/>
    <cellStyle name="표준 26 17" xfId="11325"/>
    <cellStyle name="표준 26 17 2" xfId="20091"/>
    <cellStyle name="표준 26 17 2 2" xfId="40967"/>
    <cellStyle name="표준 26 17 3" xfId="32231"/>
    <cellStyle name="표준 26 18" xfId="12473"/>
    <cellStyle name="표준 26 18 2" xfId="33351"/>
    <cellStyle name="표준 26 19" xfId="24601"/>
    <cellStyle name="표준 26 2" xfId="2999"/>
    <cellStyle name="표준 26 2 10" xfId="10460"/>
    <cellStyle name="표준 26 2 10 2" xfId="19231"/>
    <cellStyle name="표준 26 2 10 2 2" xfId="40107"/>
    <cellStyle name="표준 26 2 10 3" xfId="31371"/>
    <cellStyle name="표준 26 2 11" xfId="11326"/>
    <cellStyle name="표준 26 2 11 2" xfId="20092"/>
    <cellStyle name="표준 26 2 11 2 2" xfId="40968"/>
    <cellStyle name="표준 26 2 11 3" xfId="32232"/>
    <cellStyle name="표준 26 2 12" xfId="12474"/>
    <cellStyle name="표준 26 2 12 2" xfId="33352"/>
    <cellStyle name="표준 26 2 13" xfId="24602"/>
    <cellStyle name="표준 26 2 2" xfId="3217"/>
    <cellStyle name="표준 26 2 2 10" xfId="11536"/>
    <cellStyle name="표준 26 2 2 10 2" xfId="20302"/>
    <cellStyle name="표준 26 2 2 10 2 2" xfId="41178"/>
    <cellStyle name="표준 26 2 2 10 3" xfId="32442"/>
    <cellStyle name="표준 26 2 2 11" xfId="12685"/>
    <cellStyle name="표준 26 2 2 11 2" xfId="33562"/>
    <cellStyle name="표준 26 2 2 12" xfId="24812"/>
    <cellStyle name="표준 26 2 2 2" xfId="3659"/>
    <cellStyle name="표준 26 2 2 2 2" xfId="5932"/>
    <cellStyle name="표준 26 2 2 2 2 2" xfId="14941"/>
    <cellStyle name="표준 26 2 2 2 2 2 2" xfId="35817"/>
    <cellStyle name="표준 26 2 2 2 2 3" xfId="27079"/>
    <cellStyle name="표준 26 2 2 2 3" xfId="13122"/>
    <cellStyle name="표준 26 2 2 2 3 2" xfId="33999"/>
    <cellStyle name="표준 26 2 2 2 4" xfId="25249"/>
    <cellStyle name="표준 26 2 2 3" xfId="4820"/>
    <cellStyle name="표준 26 2 2 3 2" xfId="6652"/>
    <cellStyle name="표준 26 2 2 3 2 2" xfId="15661"/>
    <cellStyle name="표준 26 2 2 3 2 2 2" xfId="36537"/>
    <cellStyle name="표준 26 2 2 3 2 3" xfId="27799"/>
    <cellStyle name="표준 26 2 2 3 3" xfId="13843"/>
    <cellStyle name="표준 26 2 2 3 3 2" xfId="34719"/>
    <cellStyle name="표준 26 2 2 3 4" xfId="25981"/>
    <cellStyle name="표준 26 2 2 4" xfId="5495"/>
    <cellStyle name="표준 26 2 2 4 2" xfId="14504"/>
    <cellStyle name="표준 26 2 2 4 2 2" xfId="35380"/>
    <cellStyle name="표준 26 2 2 4 3" xfId="26642"/>
    <cellStyle name="표준 26 2 2 5" xfId="7298"/>
    <cellStyle name="표준 26 2 2 5 2" xfId="16305"/>
    <cellStyle name="표준 26 2 2 5 2 2" xfId="37181"/>
    <cellStyle name="표준 26 2 2 5 3" xfId="28443"/>
    <cellStyle name="표준 26 2 2 6" xfId="7942"/>
    <cellStyle name="표준 26 2 2 6 2" xfId="16948"/>
    <cellStyle name="표준 26 2 2 6 2 2" xfId="37824"/>
    <cellStyle name="표준 26 2 2 6 3" xfId="29086"/>
    <cellStyle name="표준 26 2 2 7" xfId="8790"/>
    <cellStyle name="표준 26 2 2 7 2" xfId="17795"/>
    <cellStyle name="표준 26 2 2 7 2 2" xfId="38671"/>
    <cellStyle name="표준 26 2 2 7 3" xfId="29933"/>
    <cellStyle name="표준 26 2 2 8" xfId="9615"/>
    <cellStyle name="표준 26 2 2 8 2" xfId="18613"/>
    <cellStyle name="표준 26 2 2 8 2 2" xfId="39489"/>
    <cellStyle name="표준 26 2 2 8 3" xfId="30751"/>
    <cellStyle name="표준 26 2 2 9" xfId="10670"/>
    <cellStyle name="표준 26 2 2 9 2" xfId="19441"/>
    <cellStyle name="표준 26 2 2 9 2 2" xfId="40317"/>
    <cellStyle name="표준 26 2 2 9 3" xfId="31581"/>
    <cellStyle name="표준 26 2 3" xfId="3449"/>
    <cellStyle name="표준 26 2 3 10" xfId="12912"/>
    <cellStyle name="표준 26 2 3 10 2" xfId="33789"/>
    <cellStyle name="표준 26 2 3 11" xfId="25039"/>
    <cellStyle name="표준 26 2 3 2" xfId="5042"/>
    <cellStyle name="표준 26 2 3 2 2" xfId="6869"/>
    <cellStyle name="표준 26 2 3 2 2 2" xfId="15878"/>
    <cellStyle name="표준 26 2 3 2 2 2 2" xfId="36754"/>
    <cellStyle name="표준 26 2 3 2 2 3" xfId="28016"/>
    <cellStyle name="표준 26 2 3 2 3" xfId="14060"/>
    <cellStyle name="표준 26 2 3 2 3 2" xfId="34936"/>
    <cellStyle name="표준 26 2 3 2 4" xfId="26198"/>
    <cellStyle name="표준 26 2 3 3" xfId="5722"/>
    <cellStyle name="표준 26 2 3 3 2" xfId="14731"/>
    <cellStyle name="표준 26 2 3 3 2 2" xfId="35607"/>
    <cellStyle name="표준 26 2 3 3 3" xfId="26869"/>
    <cellStyle name="표준 26 2 3 4" xfId="7515"/>
    <cellStyle name="표준 26 2 3 4 2" xfId="16522"/>
    <cellStyle name="표준 26 2 3 4 2 2" xfId="37398"/>
    <cellStyle name="표준 26 2 3 4 3" xfId="28660"/>
    <cellStyle name="표준 26 2 3 5" xfId="8159"/>
    <cellStyle name="표준 26 2 3 5 2" xfId="17165"/>
    <cellStyle name="표준 26 2 3 5 2 2" xfId="38041"/>
    <cellStyle name="표준 26 2 3 5 3" xfId="29303"/>
    <cellStyle name="표준 26 2 3 6" xfId="9007"/>
    <cellStyle name="표준 26 2 3 6 2" xfId="18012"/>
    <cellStyle name="표준 26 2 3 6 2 2" xfId="38888"/>
    <cellStyle name="표준 26 2 3 6 3" xfId="30150"/>
    <cellStyle name="표준 26 2 3 7" xfId="9832"/>
    <cellStyle name="표준 26 2 3 7 2" xfId="18830"/>
    <cellStyle name="표준 26 2 3 7 2 2" xfId="39706"/>
    <cellStyle name="표준 26 2 3 7 3" xfId="30968"/>
    <cellStyle name="표준 26 2 3 8" xfId="10887"/>
    <cellStyle name="표준 26 2 3 8 2" xfId="19658"/>
    <cellStyle name="표준 26 2 3 8 2 2" xfId="40534"/>
    <cellStyle name="표준 26 2 3 8 3" xfId="31798"/>
    <cellStyle name="표준 26 2 3 9" xfId="11753"/>
    <cellStyle name="표준 26 2 3 9 2" xfId="20519"/>
    <cellStyle name="표준 26 2 3 9 2 2" xfId="41395"/>
    <cellStyle name="표준 26 2 3 9 3" xfId="32659"/>
    <cellStyle name="표준 26 2 4" xfId="4608"/>
    <cellStyle name="표준 26 2 4 2" xfId="6442"/>
    <cellStyle name="표준 26 2 4 2 2" xfId="15451"/>
    <cellStyle name="표준 26 2 4 2 2 2" xfId="36327"/>
    <cellStyle name="표준 26 2 4 2 3" xfId="27589"/>
    <cellStyle name="표준 26 2 4 3" xfId="11105"/>
    <cellStyle name="표준 26 2 4 3 2" xfId="19875"/>
    <cellStyle name="표준 26 2 4 3 2 2" xfId="40751"/>
    <cellStyle name="표준 26 2 4 3 3" xfId="32015"/>
    <cellStyle name="표준 26 2 4 4" xfId="11970"/>
    <cellStyle name="표준 26 2 4 4 2" xfId="20736"/>
    <cellStyle name="표준 26 2 4 4 2 2" xfId="41612"/>
    <cellStyle name="표준 26 2 4 4 3" xfId="32876"/>
    <cellStyle name="표준 26 2 4 5" xfId="13633"/>
    <cellStyle name="표준 26 2 4 5 2" xfId="34509"/>
    <cellStyle name="표준 26 2 4 6" xfId="25771"/>
    <cellStyle name="표준 26 2 5" xfId="5285"/>
    <cellStyle name="표준 26 2 5 2" xfId="14294"/>
    <cellStyle name="표준 26 2 5 2 2" xfId="35170"/>
    <cellStyle name="표준 26 2 5 3" xfId="26432"/>
    <cellStyle name="표준 26 2 6" xfId="7087"/>
    <cellStyle name="표준 26 2 6 2" xfId="16095"/>
    <cellStyle name="표준 26 2 6 2 2" xfId="36971"/>
    <cellStyle name="표준 26 2 6 3" xfId="28233"/>
    <cellStyle name="표준 26 2 7" xfId="7732"/>
    <cellStyle name="표준 26 2 7 2" xfId="16738"/>
    <cellStyle name="표준 26 2 7 2 2" xfId="37614"/>
    <cellStyle name="표준 26 2 7 3" xfId="28876"/>
    <cellStyle name="표준 26 2 8" xfId="8580"/>
    <cellStyle name="표준 26 2 8 2" xfId="17585"/>
    <cellStyle name="표준 26 2 8 2 2" xfId="38461"/>
    <cellStyle name="표준 26 2 8 3" xfId="29723"/>
    <cellStyle name="표준 26 2 9" xfId="9404"/>
    <cellStyle name="표준 26 2 9 2" xfId="18403"/>
    <cellStyle name="표준 26 2 9 2 2" xfId="39279"/>
    <cellStyle name="표준 26 2 9 3" xfId="30541"/>
    <cellStyle name="표준 26 3" xfId="3000"/>
    <cellStyle name="표준 26 3 10" xfId="10461"/>
    <cellStyle name="표준 26 3 10 2" xfId="19232"/>
    <cellStyle name="표준 26 3 10 2 2" xfId="40108"/>
    <cellStyle name="표준 26 3 10 3" xfId="31372"/>
    <cellStyle name="표준 26 3 11" xfId="11327"/>
    <cellStyle name="표준 26 3 11 2" xfId="20093"/>
    <cellStyle name="표준 26 3 11 2 2" xfId="40969"/>
    <cellStyle name="표준 26 3 11 3" xfId="32233"/>
    <cellStyle name="표준 26 3 12" xfId="12475"/>
    <cellStyle name="표준 26 3 12 2" xfId="33353"/>
    <cellStyle name="표준 26 3 13" xfId="24603"/>
    <cellStyle name="표준 26 3 2" xfId="3218"/>
    <cellStyle name="표준 26 3 2 10" xfId="11537"/>
    <cellStyle name="표준 26 3 2 10 2" xfId="20303"/>
    <cellStyle name="표준 26 3 2 10 2 2" xfId="41179"/>
    <cellStyle name="표준 26 3 2 10 3" xfId="32443"/>
    <cellStyle name="표준 26 3 2 11" xfId="12686"/>
    <cellStyle name="표준 26 3 2 11 2" xfId="33563"/>
    <cellStyle name="표준 26 3 2 12" xfId="24813"/>
    <cellStyle name="표준 26 3 2 2" xfId="3660"/>
    <cellStyle name="표준 26 3 2 2 2" xfId="5933"/>
    <cellStyle name="표준 26 3 2 2 2 2" xfId="14942"/>
    <cellStyle name="표준 26 3 2 2 2 2 2" xfId="35818"/>
    <cellStyle name="표준 26 3 2 2 2 3" xfId="27080"/>
    <cellStyle name="표준 26 3 2 2 3" xfId="13123"/>
    <cellStyle name="표준 26 3 2 2 3 2" xfId="34000"/>
    <cellStyle name="표준 26 3 2 2 4" xfId="25250"/>
    <cellStyle name="표준 26 3 2 3" xfId="4821"/>
    <cellStyle name="표준 26 3 2 3 2" xfId="6653"/>
    <cellStyle name="표준 26 3 2 3 2 2" xfId="15662"/>
    <cellStyle name="표준 26 3 2 3 2 2 2" xfId="36538"/>
    <cellStyle name="표준 26 3 2 3 2 3" xfId="27800"/>
    <cellStyle name="표준 26 3 2 3 3" xfId="13844"/>
    <cellStyle name="표준 26 3 2 3 3 2" xfId="34720"/>
    <cellStyle name="표준 26 3 2 3 4" xfId="25982"/>
    <cellStyle name="표준 26 3 2 4" xfId="5496"/>
    <cellStyle name="표준 26 3 2 4 2" xfId="14505"/>
    <cellStyle name="표준 26 3 2 4 2 2" xfId="35381"/>
    <cellStyle name="표준 26 3 2 4 3" xfId="26643"/>
    <cellStyle name="표준 26 3 2 5" xfId="7299"/>
    <cellStyle name="표준 26 3 2 5 2" xfId="16306"/>
    <cellStyle name="표준 26 3 2 5 2 2" xfId="37182"/>
    <cellStyle name="표준 26 3 2 5 3" xfId="28444"/>
    <cellStyle name="표준 26 3 2 6" xfId="7943"/>
    <cellStyle name="표준 26 3 2 6 2" xfId="16949"/>
    <cellStyle name="표준 26 3 2 6 2 2" xfId="37825"/>
    <cellStyle name="표준 26 3 2 6 3" xfId="29087"/>
    <cellStyle name="표준 26 3 2 7" xfId="8791"/>
    <cellStyle name="표준 26 3 2 7 2" xfId="17796"/>
    <cellStyle name="표준 26 3 2 7 2 2" xfId="38672"/>
    <cellStyle name="표준 26 3 2 7 3" xfId="29934"/>
    <cellStyle name="표준 26 3 2 8" xfId="9616"/>
    <cellStyle name="표준 26 3 2 8 2" xfId="18614"/>
    <cellStyle name="표준 26 3 2 8 2 2" xfId="39490"/>
    <cellStyle name="표준 26 3 2 8 3" xfId="30752"/>
    <cellStyle name="표준 26 3 2 9" xfId="10671"/>
    <cellStyle name="표준 26 3 2 9 2" xfId="19442"/>
    <cellStyle name="표준 26 3 2 9 2 2" xfId="40318"/>
    <cellStyle name="표준 26 3 2 9 3" xfId="31582"/>
    <cellStyle name="표준 26 3 3" xfId="3450"/>
    <cellStyle name="표준 26 3 3 10" xfId="12913"/>
    <cellStyle name="표준 26 3 3 10 2" xfId="33790"/>
    <cellStyle name="표준 26 3 3 11" xfId="25040"/>
    <cellStyle name="표준 26 3 3 2" xfId="5043"/>
    <cellStyle name="표준 26 3 3 2 2" xfId="6870"/>
    <cellStyle name="표준 26 3 3 2 2 2" xfId="15879"/>
    <cellStyle name="표준 26 3 3 2 2 2 2" xfId="36755"/>
    <cellStyle name="표준 26 3 3 2 2 3" xfId="28017"/>
    <cellStyle name="표준 26 3 3 2 3" xfId="14061"/>
    <cellStyle name="표준 26 3 3 2 3 2" xfId="34937"/>
    <cellStyle name="표준 26 3 3 2 4" xfId="26199"/>
    <cellStyle name="표준 26 3 3 3" xfId="5723"/>
    <cellStyle name="표준 26 3 3 3 2" xfId="14732"/>
    <cellStyle name="표준 26 3 3 3 2 2" xfId="35608"/>
    <cellStyle name="표준 26 3 3 3 3" xfId="26870"/>
    <cellStyle name="표준 26 3 3 4" xfId="7516"/>
    <cellStyle name="표준 26 3 3 4 2" xfId="16523"/>
    <cellStyle name="표준 26 3 3 4 2 2" xfId="37399"/>
    <cellStyle name="표준 26 3 3 4 3" xfId="28661"/>
    <cellStyle name="표준 26 3 3 5" xfId="8160"/>
    <cellStyle name="표준 26 3 3 5 2" xfId="17166"/>
    <cellStyle name="표준 26 3 3 5 2 2" xfId="38042"/>
    <cellStyle name="표준 26 3 3 5 3" xfId="29304"/>
    <cellStyle name="표준 26 3 3 6" xfId="9008"/>
    <cellStyle name="표준 26 3 3 6 2" xfId="18013"/>
    <cellStyle name="표준 26 3 3 6 2 2" xfId="38889"/>
    <cellStyle name="표준 26 3 3 6 3" xfId="30151"/>
    <cellStyle name="표준 26 3 3 7" xfId="9833"/>
    <cellStyle name="표준 26 3 3 7 2" xfId="18831"/>
    <cellStyle name="표준 26 3 3 7 2 2" xfId="39707"/>
    <cellStyle name="표준 26 3 3 7 3" xfId="30969"/>
    <cellStyle name="표준 26 3 3 8" xfId="10888"/>
    <cellStyle name="표준 26 3 3 8 2" xfId="19659"/>
    <cellStyle name="표준 26 3 3 8 2 2" xfId="40535"/>
    <cellStyle name="표준 26 3 3 8 3" xfId="31799"/>
    <cellStyle name="표준 26 3 3 9" xfId="11754"/>
    <cellStyle name="표준 26 3 3 9 2" xfId="20520"/>
    <cellStyle name="표준 26 3 3 9 2 2" xfId="41396"/>
    <cellStyle name="표준 26 3 3 9 3" xfId="32660"/>
    <cellStyle name="표준 26 3 4" xfId="4609"/>
    <cellStyle name="표준 26 3 4 2" xfId="6443"/>
    <cellStyle name="표준 26 3 4 2 2" xfId="15452"/>
    <cellStyle name="표준 26 3 4 2 2 2" xfId="36328"/>
    <cellStyle name="표준 26 3 4 2 3" xfId="27590"/>
    <cellStyle name="표준 26 3 4 3" xfId="11106"/>
    <cellStyle name="표준 26 3 4 3 2" xfId="19876"/>
    <cellStyle name="표준 26 3 4 3 2 2" xfId="40752"/>
    <cellStyle name="표준 26 3 4 3 3" xfId="32016"/>
    <cellStyle name="표준 26 3 4 4" xfId="11971"/>
    <cellStyle name="표준 26 3 4 4 2" xfId="20737"/>
    <cellStyle name="표준 26 3 4 4 2 2" xfId="41613"/>
    <cellStyle name="표준 26 3 4 4 3" xfId="32877"/>
    <cellStyle name="표준 26 3 4 5" xfId="13634"/>
    <cellStyle name="표준 26 3 4 5 2" xfId="34510"/>
    <cellStyle name="표준 26 3 4 6" xfId="25772"/>
    <cellStyle name="표준 26 3 5" xfId="5286"/>
    <cellStyle name="표준 26 3 5 2" xfId="14295"/>
    <cellStyle name="표준 26 3 5 2 2" xfId="35171"/>
    <cellStyle name="표준 26 3 5 3" xfId="26433"/>
    <cellStyle name="표준 26 3 6" xfId="7088"/>
    <cellStyle name="표준 26 3 6 2" xfId="16096"/>
    <cellStyle name="표준 26 3 6 2 2" xfId="36972"/>
    <cellStyle name="표준 26 3 6 3" xfId="28234"/>
    <cellStyle name="표준 26 3 7" xfId="7733"/>
    <cellStyle name="표준 26 3 7 2" xfId="16739"/>
    <cellStyle name="표준 26 3 7 2 2" xfId="37615"/>
    <cellStyle name="표준 26 3 7 3" xfId="28877"/>
    <cellStyle name="표준 26 3 8" xfId="8581"/>
    <cellStyle name="표준 26 3 8 2" xfId="17586"/>
    <cellStyle name="표준 26 3 8 2 2" xfId="38462"/>
    <cellStyle name="표준 26 3 8 3" xfId="29724"/>
    <cellStyle name="표준 26 3 9" xfId="9405"/>
    <cellStyle name="표준 26 3 9 2" xfId="18404"/>
    <cellStyle name="표준 26 3 9 2 2" xfId="39280"/>
    <cellStyle name="표준 26 3 9 3" xfId="30542"/>
    <cellStyle name="표준 26 4" xfId="3001"/>
    <cellStyle name="표준 26 4 10" xfId="10462"/>
    <cellStyle name="표준 26 4 10 2" xfId="19233"/>
    <cellStyle name="표준 26 4 10 2 2" xfId="40109"/>
    <cellStyle name="표준 26 4 10 3" xfId="31373"/>
    <cellStyle name="표준 26 4 11" xfId="11328"/>
    <cellStyle name="표준 26 4 11 2" xfId="20094"/>
    <cellStyle name="표준 26 4 11 2 2" xfId="40970"/>
    <cellStyle name="표준 26 4 11 3" xfId="32234"/>
    <cellStyle name="표준 26 4 12" xfId="12476"/>
    <cellStyle name="표준 26 4 12 2" xfId="33354"/>
    <cellStyle name="표준 26 4 13" xfId="24604"/>
    <cellStyle name="표준 26 4 2" xfId="3219"/>
    <cellStyle name="표준 26 4 2 10" xfId="11538"/>
    <cellStyle name="표준 26 4 2 10 2" xfId="20304"/>
    <cellStyle name="표준 26 4 2 10 2 2" xfId="41180"/>
    <cellStyle name="표준 26 4 2 10 3" xfId="32444"/>
    <cellStyle name="표준 26 4 2 11" xfId="12687"/>
    <cellStyle name="표준 26 4 2 11 2" xfId="33564"/>
    <cellStyle name="표준 26 4 2 12" xfId="24814"/>
    <cellStyle name="표준 26 4 2 2" xfId="3661"/>
    <cellStyle name="표준 26 4 2 2 2" xfId="5934"/>
    <cellStyle name="표준 26 4 2 2 2 2" xfId="14943"/>
    <cellStyle name="표준 26 4 2 2 2 2 2" xfId="35819"/>
    <cellStyle name="표준 26 4 2 2 2 3" xfId="27081"/>
    <cellStyle name="표준 26 4 2 2 3" xfId="13124"/>
    <cellStyle name="표준 26 4 2 2 3 2" xfId="34001"/>
    <cellStyle name="표준 26 4 2 2 4" xfId="25251"/>
    <cellStyle name="표준 26 4 2 3" xfId="4822"/>
    <cellStyle name="표준 26 4 2 3 2" xfId="6654"/>
    <cellStyle name="표준 26 4 2 3 2 2" xfId="15663"/>
    <cellStyle name="표준 26 4 2 3 2 2 2" xfId="36539"/>
    <cellStyle name="표준 26 4 2 3 2 3" xfId="27801"/>
    <cellStyle name="표준 26 4 2 3 3" xfId="13845"/>
    <cellStyle name="표준 26 4 2 3 3 2" xfId="34721"/>
    <cellStyle name="표준 26 4 2 3 4" xfId="25983"/>
    <cellStyle name="표준 26 4 2 4" xfId="5497"/>
    <cellStyle name="표준 26 4 2 4 2" xfId="14506"/>
    <cellStyle name="표준 26 4 2 4 2 2" xfId="35382"/>
    <cellStyle name="표준 26 4 2 4 3" xfId="26644"/>
    <cellStyle name="표준 26 4 2 5" xfId="7300"/>
    <cellStyle name="표준 26 4 2 5 2" xfId="16307"/>
    <cellStyle name="표준 26 4 2 5 2 2" xfId="37183"/>
    <cellStyle name="표준 26 4 2 5 3" xfId="28445"/>
    <cellStyle name="표준 26 4 2 6" xfId="7944"/>
    <cellStyle name="표준 26 4 2 6 2" xfId="16950"/>
    <cellStyle name="표준 26 4 2 6 2 2" xfId="37826"/>
    <cellStyle name="표준 26 4 2 6 3" xfId="29088"/>
    <cellStyle name="표준 26 4 2 7" xfId="8792"/>
    <cellStyle name="표준 26 4 2 7 2" xfId="17797"/>
    <cellStyle name="표준 26 4 2 7 2 2" xfId="38673"/>
    <cellStyle name="표준 26 4 2 7 3" xfId="29935"/>
    <cellStyle name="표준 26 4 2 8" xfId="9617"/>
    <cellStyle name="표준 26 4 2 8 2" xfId="18615"/>
    <cellStyle name="표준 26 4 2 8 2 2" xfId="39491"/>
    <cellStyle name="표준 26 4 2 8 3" xfId="30753"/>
    <cellStyle name="표준 26 4 2 9" xfId="10672"/>
    <cellStyle name="표준 26 4 2 9 2" xfId="19443"/>
    <cellStyle name="표준 26 4 2 9 2 2" xfId="40319"/>
    <cellStyle name="표준 26 4 2 9 3" xfId="31583"/>
    <cellStyle name="표준 26 4 3" xfId="3451"/>
    <cellStyle name="표준 26 4 3 10" xfId="12914"/>
    <cellStyle name="표준 26 4 3 10 2" xfId="33791"/>
    <cellStyle name="표준 26 4 3 11" xfId="25041"/>
    <cellStyle name="표준 26 4 3 2" xfId="5044"/>
    <cellStyle name="표준 26 4 3 2 2" xfId="6871"/>
    <cellStyle name="표준 26 4 3 2 2 2" xfId="15880"/>
    <cellStyle name="표준 26 4 3 2 2 2 2" xfId="36756"/>
    <cellStyle name="표준 26 4 3 2 2 3" xfId="28018"/>
    <cellStyle name="표준 26 4 3 2 3" xfId="14062"/>
    <cellStyle name="표준 26 4 3 2 3 2" xfId="34938"/>
    <cellStyle name="표준 26 4 3 2 4" xfId="26200"/>
    <cellStyle name="표준 26 4 3 3" xfId="5724"/>
    <cellStyle name="표준 26 4 3 3 2" xfId="14733"/>
    <cellStyle name="표준 26 4 3 3 2 2" xfId="35609"/>
    <cellStyle name="표준 26 4 3 3 3" xfId="26871"/>
    <cellStyle name="표준 26 4 3 4" xfId="7517"/>
    <cellStyle name="표준 26 4 3 4 2" xfId="16524"/>
    <cellStyle name="표준 26 4 3 4 2 2" xfId="37400"/>
    <cellStyle name="표준 26 4 3 4 3" xfId="28662"/>
    <cellStyle name="표준 26 4 3 5" xfId="8161"/>
    <cellStyle name="표준 26 4 3 5 2" xfId="17167"/>
    <cellStyle name="표준 26 4 3 5 2 2" xfId="38043"/>
    <cellStyle name="표준 26 4 3 5 3" xfId="29305"/>
    <cellStyle name="표준 26 4 3 6" xfId="9009"/>
    <cellStyle name="표준 26 4 3 6 2" xfId="18014"/>
    <cellStyle name="표준 26 4 3 6 2 2" xfId="38890"/>
    <cellStyle name="표준 26 4 3 6 3" xfId="30152"/>
    <cellStyle name="표준 26 4 3 7" xfId="9834"/>
    <cellStyle name="표준 26 4 3 7 2" xfId="18832"/>
    <cellStyle name="표준 26 4 3 7 2 2" xfId="39708"/>
    <cellStyle name="표준 26 4 3 7 3" xfId="30970"/>
    <cellStyle name="표준 26 4 3 8" xfId="10889"/>
    <cellStyle name="표준 26 4 3 8 2" xfId="19660"/>
    <cellStyle name="표준 26 4 3 8 2 2" xfId="40536"/>
    <cellStyle name="표준 26 4 3 8 3" xfId="31800"/>
    <cellStyle name="표준 26 4 3 9" xfId="11755"/>
    <cellStyle name="표준 26 4 3 9 2" xfId="20521"/>
    <cellStyle name="표준 26 4 3 9 2 2" xfId="41397"/>
    <cellStyle name="표준 26 4 3 9 3" xfId="32661"/>
    <cellStyle name="표준 26 4 4" xfId="4610"/>
    <cellStyle name="표준 26 4 4 2" xfId="6444"/>
    <cellStyle name="표준 26 4 4 2 2" xfId="15453"/>
    <cellStyle name="표준 26 4 4 2 2 2" xfId="36329"/>
    <cellStyle name="표준 26 4 4 2 3" xfId="27591"/>
    <cellStyle name="표준 26 4 4 3" xfId="11107"/>
    <cellStyle name="표준 26 4 4 3 2" xfId="19877"/>
    <cellStyle name="표준 26 4 4 3 2 2" xfId="40753"/>
    <cellStyle name="표준 26 4 4 3 3" xfId="32017"/>
    <cellStyle name="표준 26 4 4 4" xfId="11972"/>
    <cellStyle name="표준 26 4 4 4 2" xfId="20738"/>
    <cellStyle name="표준 26 4 4 4 2 2" xfId="41614"/>
    <cellStyle name="표준 26 4 4 4 3" xfId="32878"/>
    <cellStyle name="표준 26 4 4 5" xfId="13635"/>
    <cellStyle name="표준 26 4 4 5 2" xfId="34511"/>
    <cellStyle name="표준 26 4 4 6" xfId="25773"/>
    <cellStyle name="표준 26 4 5" xfId="5287"/>
    <cellStyle name="표준 26 4 5 2" xfId="14296"/>
    <cellStyle name="표준 26 4 5 2 2" xfId="35172"/>
    <cellStyle name="표준 26 4 5 3" xfId="26434"/>
    <cellStyle name="표준 26 4 6" xfId="7089"/>
    <cellStyle name="표준 26 4 6 2" xfId="16097"/>
    <cellStyle name="표준 26 4 6 2 2" xfId="36973"/>
    <cellStyle name="표준 26 4 6 3" xfId="28235"/>
    <cellStyle name="표준 26 4 7" xfId="7734"/>
    <cellStyle name="표준 26 4 7 2" xfId="16740"/>
    <cellStyle name="표준 26 4 7 2 2" xfId="37616"/>
    <cellStyle name="표준 26 4 7 3" xfId="28878"/>
    <cellStyle name="표준 26 4 8" xfId="8582"/>
    <cellStyle name="표준 26 4 8 2" xfId="17587"/>
    <cellStyle name="표준 26 4 8 2 2" xfId="38463"/>
    <cellStyle name="표준 26 4 8 3" xfId="29725"/>
    <cellStyle name="표준 26 4 9" xfId="9406"/>
    <cellStyle name="표준 26 4 9 2" xfId="18405"/>
    <cellStyle name="표준 26 4 9 2 2" xfId="39281"/>
    <cellStyle name="표준 26 4 9 3" xfId="30543"/>
    <cellStyle name="표준 26 5" xfId="3002"/>
    <cellStyle name="표준 26 5 10" xfId="10463"/>
    <cellStyle name="표준 26 5 10 2" xfId="19234"/>
    <cellStyle name="표준 26 5 10 2 2" xfId="40110"/>
    <cellStyle name="표준 26 5 10 3" xfId="31374"/>
    <cellStyle name="표준 26 5 11" xfId="11329"/>
    <cellStyle name="표준 26 5 11 2" xfId="20095"/>
    <cellStyle name="표준 26 5 11 2 2" xfId="40971"/>
    <cellStyle name="표준 26 5 11 3" xfId="32235"/>
    <cellStyle name="표준 26 5 12" xfId="12477"/>
    <cellStyle name="표준 26 5 12 2" xfId="33355"/>
    <cellStyle name="표준 26 5 13" xfId="24605"/>
    <cellStyle name="표준 26 5 2" xfId="3220"/>
    <cellStyle name="표준 26 5 2 10" xfId="11539"/>
    <cellStyle name="표준 26 5 2 10 2" xfId="20305"/>
    <cellStyle name="표준 26 5 2 10 2 2" xfId="41181"/>
    <cellStyle name="표준 26 5 2 10 3" xfId="32445"/>
    <cellStyle name="표준 26 5 2 11" xfId="12688"/>
    <cellStyle name="표준 26 5 2 11 2" xfId="33565"/>
    <cellStyle name="표준 26 5 2 12" xfId="24815"/>
    <cellStyle name="표준 26 5 2 2" xfId="3662"/>
    <cellStyle name="표준 26 5 2 2 2" xfId="5935"/>
    <cellStyle name="표준 26 5 2 2 2 2" xfId="14944"/>
    <cellStyle name="표준 26 5 2 2 2 2 2" xfId="35820"/>
    <cellStyle name="표준 26 5 2 2 2 3" xfId="27082"/>
    <cellStyle name="표준 26 5 2 2 3" xfId="13125"/>
    <cellStyle name="표준 26 5 2 2 3 2" xfId="34002"/>
    <cellStyle name="표준 26 5 2 2 4" xfId="25252"/>
    <cellStyle name="표준 26 5 2 3" xfId="4823"/>
    <cellStyle name="표준 26 5 2 3 2" xfId="6655"/>
    <cellStyle name="표준 26 5 2 3 2 2" xfId="15664"/>
    <cellStyle name="표준 26 5 2 3 2 2 2" xfId="36540"/>
    <cellStyle name="표준 26 5 2 3 2 3" xfId="27802"/>
    <cellStyle name="표준 26 5 2 3 3" xfId="13846"/>
    <cellStyle name="표준 26 5 2 3 3 2" xfId="34722"/>
    <cellStyle name="표준 26 5 2 3 4" xfId="25984"/>
    <cellStyle name="표준 26 5 2 4" xfId="5498"/>
    <cellStyle name="표준 26 5 2 4 2" xfId="14507"/>
    <cellStyle name="표준 26 5 2 4 2 2" xfId="35383"/>
    <cellStyle name="표준 26 5 2 4 3" xfId="26645"/>
    <cellStyle name="표준 26 5 2 5" xfId="7301"/>
    <cellStyle name="표준 26 5 2 5 2" xfId="16308"/>
    <cellStyle name="표준 26 5 2 5 2 2" xfId="37184"/>
    <cellStyle name="표준 26 5 2 5 3" xfId="28446"/>
    <cellStyle name="표준 26 5 2 6" xfId="7945"/>
    <cellStyle name="표준 26 5 2 6 2" xfId="16951"/>
    <cellStyle name="표준 26 5 2 6 2 2" xfId="37827"/>
    <cellStyle name="표준 26 5 2 6 3" xfId="29089"/>
    <cellStyle name="표준 26 5 2 7" xfId="8793"/>
    <cellStyle name="표준 26 5 2 7 2" xfId="17798"/>
    <cellStyle name="표준 26 5 2 7 2 2" xfId="38674"/>
    <cellStyle name="표준 26 5 2 7 3" xfId="29936"/>
    <cellStyle name="표준 26 5 2 8" xfId="9618"/>
    <cellStyle name="표준 26 5 2 8 2" xfId="18616"/>
    <cellStyle name="표준 26 5 2 8 2 2" xfId="39492"/>
    <cellStyle name="표준 26 5 2 8 3" xfId="30754"/>
    <cellStyle name="표준 26 5 2 9" xfId="10673"/>
    <cellStyle name="표준 26 5 2 9 2" xfId="19444"/>
    <cellStyle name="표준 26 5 2 9 2 2" xfId="40320"/>
    <cellStyle name="표준 26 5 2 9 3" xfId="31584"/>
    <cellStyle name="표준 26 5 3" xfId="3452"/>
    <cellStyle name="표준 26 5 3 10" xfId="12915"/>
    <cellStyle name="표준 26 5 3 10 2" xfId="33792"/>
    <cellStyle name="표준 26 5 3 11" xfId="25042"/>
    <cellStyle name="표준 26 5 3 2" xfId="5045"/>
    <cellStyle name="표준 26 5 3 2 2" xfId="6872"/>
    <cellStyle name="표준 26 5 3 2 2 2" xfId="15881"/>
    <cellStyle name="표준 26 5 3 2 2 2 2" xfId="36757"/>
    <cellStyle name="표준 26 5 3 2 2 3" xfId="28019"/>
    <cellStyle name="표준 26 5 3 2 3" xfId="14063"/>
    <cellStyle name="표준 26 5 3 2 3 2" xfId="34939"/>
    <cellStyle name="표준 26 5 3 2 4" xfId="26201"/>
    <cellStyle name="표준 26 5 3 3" xfId="5725"/>
    <cellStyle name="표준 26 5 3 3 2" xfId="14734"/>
    <cellStyle name="표준 26 5 3 3 2 2" xfId="35610"/>
    <cellStyle name="표준 26 5 3 3 3" xfId="26872"/>
    <cellStyle name="표준 26 5 3 4" xfId="7518"/>
    <cellStyle name="표준 26 5 3 4 2" xfId="16525"/>
    <cellStyle name="표준 26 5 3 4 2 2" xfId="37401"/>
    <cellStyle name="표준 26 5 3 4 3" xfId="28663"/>
    <cellStyle name="표준 26 5 3 5" xfId="8162"/>
    <cellStyle name="표준 26 5 3 5 2" xfId="17168"/>
    <cellStyle name="표준 26 5 3 5 2 2" xfId="38044"/>
    <cellStyle name="표준 26 5 3 5 3" xfId="29306"/>
    <cellStyle name="표준 26 5 3 6" xfId="9010"/>
    <cellStyle name="표준 26 5 3 6 2" xfId="18015"/>
    <cellStyle name="표준 26 5 3 6 2 2" xfId="38891"/>
    <cellStyle name="표준 26 5 3 6 3" xfId="30153"/>
    <cellStyle name="표준 26 5 3 7" xfId="9835"/>
    <cellStyle name="표준 26 5 3 7 2" xfId="18833"/>
    <cellStyle name="표준 26 5 3 7 2 2" xfId="39709"/>
    <cellStyle name="표준 26 5 3 7 3" xfId="30971"/>
    <cellStyle name="표준 26 5 3 8" xfId="10890"/>
    <cellStyle name="표준 26 5 3 8 2" xfId="19661"/>
    <cellStyle name="표준 26 5 3 8 2 2" xfId="40537"/>
    <cellStyle name="표준 26 5 3 8 3" xfId="31801"/>
    <cellStyle name="표준 26 5 3 9" xfId="11756"/>
    <cellStyle name="표준 26 5 3 9 2" xfId="20522"/>
    <cellStyle name="표준 26 5 3 9 2 2" xfId="41398"/>
    <cellStyle name="표준 26 5 3 9 3" xfId="32662"/>
    <cellStyle name="표준 26 5 4" xfId="4611"/>
    <cellStyle name="표준 26 5 4 2" xfId="6445"/>
    <cellStyle name="표준 26 5 4 2 2" xfId="15454"/>
    <cellStyle name="표준 26 5 4 2 2 2" xfId="36330"/>
    <cellStyle name="표준 26 5 4 2 3" xfId="27592"/>
    <cellStyle name="표준 26 5 4 3" xfId="11108"/>
    <cellStyle name="표준 26 5 4 3 2" xfId="19878"/>
    <cellStyle name="표준 26 5 4 3 2 2" xfId="40754"/>
    <cellStyle name="표준 26 5 4 3 3" xfId="32018"/>
    <cellStyle name="표준 26 5 4 4" xfId="11973"/>
    <cellStyle name="표준 26 5 4 4 2" xfId="20739"/>
    <cellStyle name="표준 26 5 4 4 2 2" xfId="41615"/>
    <cellStyle name="표준 26 5 4 4 3" xfId="32879"/>
    <cellStyle name="표준 26 5 4 5" xfId="13636"/>
    <cellStyle name="표준 26 5 4 5 2" xfId="34512"/>
    <cellStyle name="표준 26 5 4 6" xfId="25774"/>
    <cellStyle name="표준 26 5 5" xfId="5288"/>
    <cellStyle name="표준 26 5 5 2" xfId="14297"/>
    <cellStyle name="표준 26 5 5 2 2" xfId="35173"/>
    <cellStyle name="표준 26 5 5 3" xfId="26435"/>
    <cellStyle name="표준 26 5 6" xfId="7090"/>
    <cellStyle name="표준 26 5 6 2" xfId="16098"/>
    <cellStyle name="표준 26 5 6 2 2" xfId="36974"/>
    <cellStyle name="표준 26 5 6 3" xfId="28236"/>
    <cellStyle name="표준 26 5 7" xfId="7735"/>
    <cellStyle name="표준 26 5 7 2" xfId="16741"/>
    <cellStyle name="표준 26 5 7 2 2" xfId="37617"/>
    <cellStyle name="표준 26 5 7 3" xfId="28879"/>
    <cellStyle name="표준 26 5 8" xfId="8583"/>
    <cellStyle name="표준 26 5 8 2" xfId="17588"/>
    <cellStyle name="표준 26 5 8 2 2" xfId="38464"/>
    <cellStyle name="표준 26 5 8 3" xfId="29726"/>
    <cellStyle name="표준 26 5 9" xfId="9407"/>
    <cellStyle name="표준 26 5 9 2" xfId="18406"/>
    <cellStyle name="표준 26 5 9 2 2" xfId="39282"/>
    <cellStyle name="표준 26 5 9 3" xfId="30544"/>
    <cellStyle name="표준 26 6" xfId="3003"/>
    <cellStyle name="표준 26 6 10" xfId="10464"/>
    <cellStyle name="표준 26 6 10 2" xfId="19235"/>
    <cellStyle name="표준 26 6 10 2 2" xfId="40111"/>
    <cellStyle name="표준 26 6 10 3" xfId="31375"/>
    <cellStyle name="표준 26 6 11" xfId="11330"/>
    <cellStyle name="표준 26 6 11 2" xfId="20096"/>
    <cellStyle name="표준 26 6 11 2 2" xfId="40972"/>
    <cellStyle name="표준 26 6 11 3" xfId="32236"/>
    <cellStyle name="표준 26 6 12" xfId="12478"/>
    <cellStyle name="표준 26 6 12 2" xfId="33356"/>
    <cellStyle name="표준 26 6 13" xfId="24606"/>
    <cellStyle name="표준 26 6 2" xfId="3221"/>
    <cellStyle name="표준 26 6 2 10" xfId="11540"/>
    <cellStyle name="표준 26 6 2 10 2" xfId="20306"/>
    <cellStyle name="표준 26 6 2 10 2 2" xfId="41182"/>
    <cellStyle name="표준 26 6 2 10 3" xfId="32446"/>
    <cellStyle name="표준 26 6 2 11" xfId="12689"/>
    <cellStyle name="표준 26 6 2 11 2" xfId="33566"/>
    <cellStyle name="표준 26 6 2 12" xfId="24816"/>
    <cellStyle name="표준 26 6 2 2" xfId="3663"/>
    <cellStyle name="표준 26 6 2 2 2" xfId="5936"/>
    <cellStyle name="표준 26 6 2 2 2 2" xfId="14945"/>
    <cellStyle name="표준 26 6 2 2 2 2 2" xfId="35821"/>
    <cellStyle name="표준 26 6 2 2 2 3" xfId="27083"/>
    <cellStyle name="표준 26 6 2 2 3" xfId="13126"/>
    <cellStyle name="표준 26 6 2 2 3 2" xfId="34003"/>
    <cellStyle name="표준 26 6 2 2 4" xfId="25253"/>
    <cellStyle name="표준 26 6 2 3" xfId="4824"/>
    <cellStyle name="표준 26 6 2 3 2" xfId="6656"/>
    <cellStyle name="표준 26 6 2 3 2 2" xfId="15665"/>
    <cellStyle name="표준 26 6 2 3 2 2 2" xfId="36541"/>
    <cellStyle name="표준 26 6 2 3 2 3" xfId="27803"/>
    <cellStyle name="표준 26 6 2 3 3" xfId="13847"/>
    <cellStyle name="표준 26 6 2 3 3 2" xfId="34723"/>
    <cellStyle name="표준 26 6 2 3 4" xfId="25985"/>
    <cellStyle name="표준 26 6 2 4" xfId="5499"/>
    <cellStyle name="표준 26 6 2 4 2" xfId="14508"/>
    <cellStyle name="표준 26 6 2 4 2 2" xfId="35384"/>
    <cellStyle name="표준 26 6 2 4 3" xfId="26646"/>
    <cellStyle name="표준 26 6 2 5" xfId="7302"/>
    <cellStyle name="표준 26 6 2 5 2" xfId="16309"/>
    <cellStyle name="표준 26 6 2 5 2 2" xfId="37185"/>
    <cellStyle name="표준 26 6 2 5 3" xfId="28447"/>
    <cellStyle name="표준 26 6 2 6" xfId="7946"/>
    <cellStyle name="표준 26 6 2 6 2" xfId="16952"/>
    <cellStyle name="표준 26 6 2 6 2 2" xfId="37828"/>
    <cellStyle name="표준 26 6 2 6 3" xfId="29090"/>
    <cellStyle name="표준 26 6 2 7" xfId="8794"/>
    <cellStyle name="표준 26 6 2 7 2" xfId="17799"/>
    <cellStyle name="표준 26 6 2 7 2 2" xfId="38675"/>
    <cellStyle name="표준 26 6 2 7 3" xfId="29937"/>
    <cellStyle name="표준 26 6 2 8" xfId="9619"/>
    <cellStyle name="표준 26 6 2 8 2" xfId="18617"/>
    <cellStyle name="표준 26 6 2 8 2 2" xfId="39493"/>
    <cellStyle name="표준 26 6 2 8 3" xfId="30755"/>
    <cellStyle name="표준 26 6 2 9" xfId="10674"/>
    <cellStyle name="표준 26 6 2 9 2" xfId="19445"/>
    <cellStyle name="표준 26 6 2 9 2 2" xfId="40321"/>
    <cellStyle name="표준 26 6 2 9 3" xfId="31585"/>
    <cellStyle name="표준 26 6 3" xfId="3453"/>
    <cellStyle name="표준 26 6 3 10" xfId="12916"/>
    <cellStyle name="표준 26 6 3 10 2" xfId="33793"/>
    <cellStyle name="표준 26 6 3 11" xfId="25043"/>
    <cellStyle name="표준 26 6 3 2" xfId="5046"/>
    <cellStyle name="표준 26 6 3 2 2" xfId="6873"/>
    <cellStyle name="표준 26 6 3 2 2 2" xfId="15882"/>
    <cellStyle name="표준 26 6 3 2 2 2 2" xfId="36758"/>
    <cellStyle name="표준 26 6 3 2 2 3" xfId="28020"/>
    <cellStyle name="표준 26 6 3 2 3" xfId="14064"/>
    <cellStyle name="표준 26 6 3 2 3 2" xfId="34940"/>
    <cellStyle name="표준 26 6 3 2 4" xfId="26202"/>
    <cellStyle name="표준 26 6 3 3" xfId="5726"/>
    <cellStyle name="표준 26 6 3 3 2" xfId="14735"/>
    <cellStyle name="표준 26 6 3 3 2 2" xfId="35611"/>
    <cellStyle name="표준 26 6 3 3 3" xfId="26873"/>
    <cellStyle name="표준 26 6 3 4" xfId="7519"/>
    <cellStyle name="표준 26 6 3 4 2" xfId="16526"/>
    <cellStyle name="표준 26 6 3 4 2 2" xfId="37402"/>
    <cellStyle name="표준 26 6 3 4 3" xfId="28664"/>
    <cellStyle name="표준 26 6 3 5" xfId="8163"/>
    <cellStyle name="표준 26 6 3 5 2" xfId="17169"/>
    <cellStyle name="표준 26 6 3 5 2 2" xfId="38045"/>
    <cellStyle name="표준 26 6 3 5 3" xfId="29307"/>
    <cellStyle name="표준 26 6 3 6" xfId="9011"/>
    <cellStyle name="표준 26 6 3 6 2" xfId="18016"/>
    <cellStyle name="표준 26 6 3 6 2 2" xfId="38892"/>
    <cellStyle name="표준 26 6 3 6 3" xfId="30154"/>
    <cellStyle name="표준 26 6 3 7" xfId="9836"/>
    <cellStyle name="표준 26 6 3 7 2" xfId="18834"/>
    <cellStyle name="표준 26 6 3 7 2 2" xfId="39710"/>
    <cellStyle name="표준 26 6 3 7 3" xfId="30972"/>
    <cellStyle name="표준 26 6 3 8" xfId="10891"/>
    <cellStyle name="표준 26 6 3 8 2" xfId="19662"/>
    <cellStyle name="표준 26 6 3 8 2 2" xfId="40538"/>
    <cellStyle name="표준 26 6 3 8 3" xfId="31802"/>
    <cellStyle name="표준 26 6 3 9" xfId="11757"/>
    <cellStyle name="표준 26 6 3 9 2" xfId="20523"/>
    <cellStyle name="표준 26 6 3 9 2 2" xfId="41399"/>
    <cellStyle name="표준 26 6 3 9 3" xfId="32663"/>
    <cellStyle name="표준 26 6 4" xfId="4612"/>
    <cellStyle name="표준 26 6 4 2" xfId="6446"/>
    <cellStyle name="표준 26 6 4 2 2" xfId="15455"/>
    <cellStyle name="표준 26 6 4 2 2 2" xfId="36331"/>
    <cellStyle name="표준 26 6 4 2 3" xfId="27593"/>
    <cellStyle name="표준 26 6 4 3" xfId="11109"/>
    <cellStyle name="표준 26 6 4 3 2" xfId="19879"/>
    <cellStyle name="표준 26 6 4 3 2 2" xfId="40755"/>
    <cellStyle name="표준 26 6 4 3 3" xfId="32019"/>
    <cellStyle name="표준 26 6 4 4" xfId="11974"/>
    <cellStyle name="표준 26 6 4 4 2" xfId="20740"/>
    <cellStyle name="표준 26 6 4 4 2 2" xfId="41616"/>
    <cellStyle name="표준 26 6 4 4 3" xfId="32880"/>
    <cellStyle name="표준 26 6 4 5" xfId="13637"/>
    <cellStyle name="표준 26 6 4 5 2" xfId="34513"/>
    <cellStyle name="표준 26 6 4 6" xfId="25775"/>
    <cellStyle name="표준 26 6 5" xfId="5289"/>
    <cellStyle name="표준 26 6 5 2" xfId="14298"/>
    <cellStyle name="표준 26 6 5 2 2" xfId="35174"/>
    <cellStyle name="표준 26 6 5 3" xfId="26436"/>
    <cellStyle name="표준 26 6 6" xfId="7091"/>
    <cellStyle name="표준 26 6 6 2" xfId="16099"/>
    <cellStyle name="표준 26 6 6 2 2" xfId="36975"/>
    <cellStyle name="표준 26 6 6 3" xfId="28237"/>
    <cellStyle name="표준 26 6 7" xfId="7736"/>
    <cellStyle name="표준 26 6 7 2" xfId="16742"/>
    <cellStyle name="표준 26 6 7 2 2" xfId="37618"/>
    <cellStyle name="표준 26 6 7 3" xfId="28880"/>
    <cellStyle name="표준 26 6 8" xfId="8584"/>
    <cellStyle name="표준 26 6 8 2" xfId="17589"/>
    <cellStyle name="표준 26 6 8 2 2" xfId="38465"/>
    <cellStyle name="표준 26 6 8 3" xfId="29727"/>
    <cellStyle name="표준 26 6 9" xfId="9408"/>
    <cellStyle name="표준 26 6 9 2" xfId="18407"/>
    <cellStyle name="표준 26 6 9 2 2" xfId="39283"/>
    <cellStyle name="표준 26 6 9 3" xfId="30545"/>
    <cellStyle name="표준 26 7" xfId="3004"/>
    <cellStyle name="표준 26 7 10" xfId="10465"/>
    <cellStyle name="표준 26 7 10 2" xfId="19236"/>
    <cellStyle name="표준 26 7 10 2 2" xfId="40112"/>
    <cellStyle name="표준 26 7 10 3" xfId="31376"/>
    <cellStyle name="표준 26 7 11" xfId="11331"/>
    <cellStyle name="표준 26 7 11 2" xfId="20097"/>
    <cellStyle name="표준 26 7 11 2 2" xfId="40973"/>
    <cellStyle name="표준 26 7 11 3" xfId="32237"/>
    <cellStyle name="표준 26 7 12" xfId="12479"/>
    <cellStyle name="표준 26 7 12 2" xfId="33357"/>
    <cellStyle name="표준 26 7 13" xfId="24607"/>
    <cellStyle name="표준 26 7 2" xfId="3222"/>
    <cellStyle name="표준 26 7 2 10" xfId="11541"/>
    <cellStyle name="표준 26 7 2 10 2" xfId="20307"/>
    <cellStyle name="표준 26 7 2 10 2 2" xfId="41183"/>
    <cellStyle name="표준 26 7 2 10 3" xfId="32447"/>
    <cellStyle name="표준 26 7 2 11" xfId="12690"/>
    <cellStyle name="표준 26 7 2 11 2" xfId="33567"/>
    <cellStyle name="표준 26 7 2 12" xfId="24817"/>
    <cellStyle name="표준 26 7 2 2" xfId="3664"/>
    <cellStyle name="표준 26 7 2 2 2" xfId="5937"/>
    <cellStyle name="표준 26 7 2 2 2 2" xfId="14946"/>
    <cellStyle name="표준 26 7 2 2 2 2 2" xfId="35822"/>
    <cellStyle name="표준 26 7 2 2 2 3" xfId="27084"/>
    <cellStyle name="표준 26 7 2 2 3" xfId="13127"/>
    <cellStyle name="표준 26 7 2 2 3 2" xfId="34004"/>
    <cellStyle name="표준 26 7 2 2 4" xfId="25254"/>
    <cellStyle name="표준 26 7 2 3" xfId="4825"/>
    <cellStyle name="표준 26 7 2 3 2" xfId="6657"/>
    <cellStyle name="표준 26 7 2 3 2 2" xfId="15666"/>
    <cellStyle name="표준 26 7 2 3 2 2 2" xfId="36542"/>
    <cellStyle name="표준 26 7 2 3 2 3" xfId="27804"/>
    <cellStyle name="표준 26 7 2 3 3" xfId="13848"/>
    <cellStyle name="표준 26 7 2 3 3 2" xfId="34724"/>
    <cellStyle name="표준 26 7 2 3 4" xfId="25986"/>
    <cellStyle name="표준 26 7 2 4" xfId="5500"/>
    <cellStyle name="표준 26 7 2 4 2" xfId="14509"/>
    <cellStyle name="표준 26 7 2 4 2 2" xfId="35385"/>
    <cellStyle name="표준 26 7 2 4 3" xfId="26647"/>
    <cellStyle name="표준 26 7 2 5" xfId="7303"/>
    <cellStyle name="표준 26 7 2 5 2" xfId="16310"/>
    <cellStyle name="표준 26 7 2 5 2 2" xfId="37186"/>
    <cellStyle name="표준 26 7 2 5 3" xfId="28448"/>
    <cellStyle name="표준 26 7 2 6" xfId="7947"/>
    <cellStyle name="표준 26 7 2 6 2" xfId="16953"/>
    <cellStyle name="표준 26 7 2 6 2 2" xfId="37829"/>
    <cellStyle name="표준 26 7 2 6 3" xfId="29091"/>
    <cellStyle name="표준 26 7 2 7" xfId="8795"/>
    <cellStyle name="표준 26 7 2 7 2" xfId="17800"/>
    <cellStyle name="표준 26 7 2 7 2 2" xfId="38676"/>
    <cellStyle name="표준 26 7 2 7 3" xfId="29938"/>
    <cellStyle name="표준 26 7 2 8" xfId="9620"/>
    <cellStyle name="표준 26 7 2 8 2" xfId="18618"/>
    <cellStyle name="표준 26 7 2 8 2 2" xfId="39494"/>
    <cellStyle name="표준 26 7 2 8 3" xfId="30756"/>
    <cellStyle name="표준 26 7 2 9" xfId="10675"/>
    <cellStyle name="표준 26 7 2 9 2" xfId="19446"/>
    <cellStyle name="표준 26 7 2 9 2 2" xfId="40322"/>
    <cellStyle name="표준 26 7 2 9 3" xfId="31586"/>
    <cellStyle name="표준 26 7 3" xfId="3454"/>
    <cellStyle name="표준 26 7 3 10" xfId="12917"/>
    <cellStyle name="표준 26 7 3 10 2" xfId="33794"/>
    <cellStyle name="표준 26 7 3 11" xfId="25044"/>
    <cellStyle name="표준 26 7 3 2" xfId="5047"/>
    <cellStyle name="표준 26 7 3 2 2" xfId="6874"/>
    <cellStyle name="표준 26 7 3 2 2 2" xfId="15883"/>
    <cellStyle name="표준 26 7 3 2 2 2 2" xfId="36759"/>
    <cellStyle name="표준 26 7 3 2 2 3" xfId="28021"/>
    <cellStyle name="표준 26 7 3 2 3" xfId="14065"/>
    <cellStyle name="표준 26 7 3 2 3 2" xfId="34941"/>
    <cellStyle name="표준 26 7 3 2 4" xfId="26203"/>
    <cellStyle name="표준 26 7 3 3" xfId="5727"/>
    <cellStyle name="표준 26 7 3 3 2" xfId="14736"/>
    <cellStyle name="표준 26 7 3 3 2 2" xfId="35612"/>
    <cellStyle name="표준 26 7 3 3 3" xfId="26874"/>
    <cellStyle name="표준 26 7 3 4" xfId="7520"/>
    <cellStyle name="표준 26 7 3 4 2" xfId="16527"/>
    <cellStyle name="표준 26 7 3 4 2 2" xfId="37403"/>
    <cellStyle name="표준 26 7 3 4 3" xfId="28665"/>
    <cellStyle name="표준 26 7 3 5" xfId="8164"/>
    <cellStyle name="표준 26 7 3 5 2" xfId="17170"/>
    <cellStyle name="표준 26 7 3 5 2 2" xfId="38046"/>
    <cellStyle name="표준 26 7 3 5 3" xfId="29308"/>
    <cellStyle name="표준 26 7 3 6" xfId="9012"/>
    <cellStyle name="표준 26 7 3 6 2" xfId="18017"/>
    <cellStyle name="표준 26 7 3 6 2 2" xfId="38893"/>
    <cellStyle name="표준 26 7 3 6 3" xfId="30155"/>
    <cellStyle name="표준 26 7 3 7" xfId="9837"/>
    <cellStyle name="표준 26 7 3 7 2" xfId="18835"/>
    <cellStyle name="표준 26 7 3 7 2 2" xfId="39711"/>
    <cellStyle name="표준 26 7 3 7 3" xfId="30973"/>
    <cellStyle name="표준 26 7 3 8" xfId="10892"/>
    <cellStyle name="표준 26 7 3 8 2" xfId="19663"/>
    <cellStyle name="표준 26 7 3 8 2 2" xfId="40539"/>
    <cellStyle name="표준 26 7 3 8 3" xfId="31803"/>
    <cellStyle name="표준 26 7 3 9" xfId="11758"/>
    <cellStyle name="표준 26 7 3 9 2" xfId="20524"/>
    <cellStyle name="표준 26 7 3 9 2 2" xfId="41400"/>
    <cellStyle name="표준 26 7 3 9 3" xfId="32664"/>
    <cellStyle name="표준 26 7 4" xfId="4613"/>
    <cellStyle name="표준 26 7 4 2" xfId="6447"/>
    <cellStyle name="표준 26 7 4 2 2" xfId="15456"/>
    <cellStyle name="표준 26 7 4 2 2 2" xfId="36332"/>
    <cellStyle name="표준 26 7 4 2 3" xfId="27594"/>
    <cellStyle name="표준 26 7 4 3" xfId="11110"/>
    <cellStyle name="표준 26 7 4 3 2" xfId="19880"/>
    <cellStyle name="표준 26 7 4 3 2 2" xfId="40756"/>
    <cellStyle name="표준 26 7 4 3 3" xfId="32020"/>
    <cellStyle name="표준 26 7 4 4" xfId="11975"/>
    <cellStyle name="표준 26 7 4 4 2" xfId="20741"/>
    <cellStyle name="표준 26 7 4 4 2 2" xfId="41617"/>
    <cellStyle name="표준 26 7 4 4 3" xfId="32881"/>
    <cellStyle name="표준 26 7 4 5" xfId="13638"/>
    <cellStyle name="표준 26 7 4 5 2" xfId="34514"/>
    <cellStyle name="표준 26 7 4 6" xfId="25776"/>
    <cellStyle name="표준 26 7 5" xfId="5290"/>
    <cellStyle name="표준 26 7 5 2" xfId="14299"/>
    <cellStyle name="표준 26 7 5 2 2" xfId="35175"/>
    <cellStyle name="표준 26 7 5 3" xfId="26437"/>
    <cellStyle name="표준 26 7 6" xfId="7092"/>
    <cellStyle name="표준 26 7 6 2" xfId="16100"/>
    <cellStyle name="표준 26 7 6 2 2" xfId="36976"/>
    <cellStyle name="표준 26 7 6 3" xfId="28238"/>
    <cellStyle name="표준 26 7 7" xfId="7737"/>
    <cellStyle name="표준 26 7 7 2" xfId="16743"/>
    <cellStyle name="표준 26 7 7 2 2" xfId="37619"/>
    <cellStyle name="표준 26 7 7 3" xfId="28881"/>
    <cellStyle name="표준 26 7 8" xfId="8585"/>
    <cellStyle name="표준 26 7 8 2" xfId="17590"/>
    <cellStyle name="표준 26 7 8 2 2" xfId="38466"/>
    <cellStyle name="표준 26 7 8 3" xfId="29728"/>
    <cellStyle name="표준 26 7 9" xfId="9409"/>
    <cellStyle name="표준 26 7 9 2" xfId="18408"/>
    <cellStyle name="표준 26 7 9 2 2" xfId="39284"/>
    <cellStyle name="표준 26 7 9 3" xfId="30546"/>
    <cellStyle name="표준 26 8" xfId="3216"/>
    <cellStyle name="표준 26 8 10" xfId="11535"/>
    <cellStyle name="표준 26 8 10 2" xfId="20301"/>
    <cellStyle name="표준 26 8 10 2 2" xfId="41177"/>
    <cellStyle name="표준 26 8 10 3" xfId="32441"/>
    <cellStyle name="표준 26 8 11" xfId="12684"/>
    <cellStyle name="표준 26 8 11 2" xfId="33561"/>
    <cellStyle name="표준 26 8 12" xfId="24811"/>
    <cellStyle name="표준 26 8 2" xfId="3658"/>
    <cellStyle name="표준 26 8 2 2" xfId="5931"/>
    <cellStyle name="표준 26 8 2 2 2" xfId="14940"/>
    <cellStyle name="표준 26 8 2 2 2 2" xfId="35816"/>
    <cellStyle name="표준 26 8 2 2 3" xfId="27078"/>
    <cellStyle name="표준 26 8 2 3" xfId="13121"/>
    <cellStyle name="표준 26 8 2 3 2" xfId="33998"/>
    <cellStyle name="표준 26 8 2 4" xfId="25248"/>
    <cellStyle name="표준 26 8 3" xfId="4819"/>
    <cellStyle name="표준 26 8 3 2" xfId="6651"/>
    <cellStyle name="표준 26 8 3 2 2" xfId="15660"/>
    <cellStyle name="표준 26 8 3 2 2 2" xfId="36536"/>
    <cellStyle name="표준 26 8 3 2 3" xfId="27798"/>
    <cellStyle name="표준 26 8 3 3" xfId="13842"/>
    <cellStyle name="표준 26 8 3 3 2" xfId="34718"/>
    <cellStyle name="표준 26 8 3 4" xfId="25980"/>
    <cellStyle name="표준 26 8 4" xfId="5494"/>
    <cellStyle name="표준 26 8 4 2" xfId="14503"/>
    <cellStyle name="표준 26 8 4 2 2" xfId="35379"/>
    <cellStyle name="표준 26 8 4 3" xfId="26641"/>
    <cellStyle name="표준 26 8 5" xfId="7297"/>
    <cellStyle name="표준 26 8 5 2" xfId="16304"/>
    <cellStyle name="표준 26 8 5 2 2" xfId="37180"/>
    <cellStyle name="표준 26 8 5 3" xfId="28442"/>
    <cellStyle name="표준 26 8 6" xfId="7941"/>
    <cellStyle name="표준 26 8 6 2" xfId="16947"/>
    <cellStyle name="표준 26 8 6 2 2" xfId="37823"/>
    <cellStyle name="표준 26 8 6 3" xfId="29085"/>
    <cellStyle name="표준 26 8 7" xfId="8789"/>
    <cellStyle name="표준 26 8 7 2" xfId="17794"/>
    <cellStyle name="표준 26 8 7 2 2" xfId="38670"/>
    <cellStyle name="표준 26 8 7 3" xfId="29932"/>
    <cellStyle name="표준 26 8 8" xfId="9614"/>
    <cellStyle name="표준 26 8 8 2" xfId="18612"/>
    <cellStyle name="표준 26 8 8 2 2" xfId="39488"/>
    <cellStyle name="표준 26 8 8 3" xfId="30750"/>
    <cellStyle name="표준 26 8 9" xfId="10669"/>
    <cellStyle name="표준 26 8 9 2" xfId="19440"/>
    <cellStyle name="표준 26 8 9 2 2" xfId="40316"/>
    <cellStyle name="표준 26 8 9 3" xfId="31580"/>
    <cellStyle name="표준 26 9" xfId="3448"/>
    <cellStyle name="표준 26 9 10" xfId="12911"/>
    <cellStyle name="표준 26 9 10 2" xfId="33788"/>
    <cellStyle name="표준 26 9 11" xfId="25038"/>
    <cellStyle name="표준 26 9 2" xfId="5041"/>
    <cellStyle name="표준 26 9 2 2" xfId="6868"/>
    <cellStyle name="표준 26 9 2 2 2" xfId="15877"/>
    <cellStyle name="표준 26 9 2 2 2 2" xfId="36753"/>
    <cellStyle name="표준 26 9 2 2 3" xfId="28015"/>
    <cellStyle name="표준 26 9 2 3" xfId="14059"/>
    <cellStyle name="표준 26 9 2 3 2" xfId="34935"/>
    <cellStyle name="표준 26 9 2 4" xfId="26197"/>
    <cellStyle name="표준 26 9 3" xfId="5721"/>
    <cellStyle name="표준 26 9 3 2" xfId="14730"/>
    <cellStyle name="표준 26 9 3 2 2" xfId="35606"/>
    <cellStyle name="표준 26 9 3 3" xfId="26868"/>
    <cellStyle name="표준 26 9 4" xfId="7514"/>
    <cellStyle name="표준 26 9 4 2" xfId="16521"/>
    <cellStyle name="표준 26 9 4 2 2" xfId="37397"/>
    <cellStyle name="표준 26 9 4 3" xfId="28659"/>
    <cellStyle name="표준 26 9 5" xfId="8158"/>
    <cellStyle name="표준 26 9 5 2" xfId="17164"/>
    <cellStyle name="표준 26 9 5 2 2" xfId="38040"/>
    <cellStyle name="표준 26 9 5 3" xfId="29302"/>
    <cellStyle name="표준 26 9 6" xfId="9006"/>
    <cellStyle name="표준 26 9 6 2" xfId="18011"/>
    <cellStyle name="표준 26 9 6 2 2" xfId="38887"/>
    <cellStyle name="표준 26 9 6 3" xfId="30149"/>
    <cellStyle name="표준 26 9 7" xfId="9831"/>
    <cellStyle name="표준 26 9 7 2" xfId="18829"/>
    <cellStyle name="표준 26 9 7 2 2" xfId="39705"/>
    <cellStyle name="표준 26 9 7 3" xfId="30967"/>
    <cellStyle name="표준 26 9 8" xfId="10886"/>
    <cellStyle name="표준 26 9 8 2" xfId="19657"/>
    <cellStyle name="표준 26 9 8 2 2" xfId="40533"/>
    <cellStyle name="표준 26 9 8 3" xfId="31797"/>
    <cellStyle name="표준 26 9 9" xfId="11752"/>
    <cellStyle name="표준 26 9 9 2" xfId="20518"/>
    <cellStyle name="표준 26 9 9 2 2" xfId="41394"/>
    <cellStyle name="표준 26 9 9 3" xfId="32658"/>
    <cellStyle name="표준 27" xfId="3005"/>
    <cellStyle name="표준 27 10" xfId="4614"/>
    <cellStyle name="표준 27 10 2" xfId="6448"/>
    <cellStyle name="표준 27 10 2 2" xfId="15457"/>
    <cellStyle name="표준 27 10 2 2 2" xfId="36333"/>
    <cellStyle name="표준 27 10 2 3" xfId="27595"/>
    <cellStyle name="표준 27 10 3" xfId="11111"/>
    <cellStyle name="표준 27 10 3 2" xfId="19881"/>
    <cellStyle name="표준 27 10 3 2 2" xfId="40757"/>
    <cellStyle name="표준 27 10 3 3" xfId="32021"/>
    <cellStyle name="표준 27 10 4" xfId="11976"/>
    <cellStyle name="표준 27 10 4 2" xfId="20742"/>
    <cellStyle name="표준 27 10 4 2 2" xfId="41618"/>
    <cellStyle name="표준 27 10 4 3" xfId="32882"/>
    <cellStyle name="표준 27 10 5" xfId="13639"/>
    <cellStyle name="표준 27 10 5 2" xfId="34515"/>
    <cellStyle name="표준 27 10 6" xfId="25777"/>
    <cellStyle name="표준 27 11" xfId="5291"/>
    <cellStyle name="표준 27 11 2" xfId="14300"/>
    <cellStyle name="표준 27 11 2 2" xfId="35176"/>
    <cellStyle name="표준 27 11 3" xfId="26438"/>
    <cellStyle name="표준 27 12" xfId="7093"/>
    <cellStyle name="표준 27 12 2" xfId="16101"/>
    <cellStyle name="표준 27 12 2 2" xfId="36977"/>
    <cellStyle name="표준 27 12 3" xfId="28239"/>
    <cellStyle name="표준 27 13" xfId="7738"/>
    <cellStyle name="표준 27 13 2" xfId="16744"/>
    <cellStyle name="표준 27 13 2 2" xfId="37620"/>
    <cellStyle name="표준 27 13 3" xfId="28882"/>
    <cellStyle name="표준 27 14" xfId="8586"/>
    <cellStyle name="표준 27 14 2" xfId="17591"/>
    <cellStyle name="표준 27 14 2 2" xfId="38467"/>
    <cellStyle name="표준 27 14 3" xfId="29729"/>
    <cellStyle name="표준 27 15" xfId="9410"/>
    <cellStyle name="표준 27 15 2" xfId="18409"/>
    <cellStyle name="표준 27 15 2 2" xfId="39285"/>
    <cellStyle name="표준 27 15 3" xfId="30547"/>
    <cellStyle name="표준 27 16" xfId="10466"/>
    <cellStyle name="표준 27 16 2" xfId="19237"/>
    <cellStyle name="표준 27 16 2 2" xfId="40113"/>
    <cellStyle name="표준 27 16 3" xfId="31377"/>
    <cellStyle name="표준 27 17" xfId="11332"/>
    <cellStyle name="표준 27 17 2" xfId="20098"/>
    <cellStyle name="표준 27 17 2 2" xfId="40974"/>
    <cellStyle name="표준 27 17 3" xfId="32238"/>
    <cellStyle name="표준 27 18" xfId="12480"/>
    <cellStyle name="표준 27 18 2" xfId="33358"/>
    <cellStyle name="표준 27 19" xfId="24608"/>
    <cellStyle name="표준 27 2" xfId="3006"/>
    <cellStyle name="표준 27 2 10" xfId="10467"/>
    <cellStyle name="표준 27 2 10 2" xfId="19238"/>
    <cellStyle name="표준 27 2 10 2 2" xfId="40114"/>
    <cellStyle name="표준 27 2 10 3" xfId="31378"/>
    <cellStyle name="표준 27 2 11" xfId="11333"/>
    <cellStyle name="표준 27 2 11 2" xfId="20099"/>
    <cellStyle name="표준 27 2 11 2 2" xfId="40975"/>
    <cellStyle name="표준 27 2 11 3" xfId="32239"/>
    <cellStyle name="표준 27 2 12" xfId="12481"/>
    <cellStyle name="표준 27 2 12 2" xfId="33359"/>
    <cellStyle name="표준 27 2 13" xfId="24609"/>
    <cellStyle name="표준 27 2 2" xfId="3224"/>
    <cellStyle name="표준 27 2 2 10" xfId="11543"/>
    <cellStyle name="표준 27 2 2 10 2" xfId="20309"/>
    <cellStyle name="표준 27 2 2 10 2 2" xfId="41185"/>
    <cellStyle name="표준 27 2 2 10 3" xfId="32449"/>
    <cellStyle name="표준 27 2 2 11" xfId="12692"/>
    <cellStyle name="표준 27 2 2 11 2" xfId="33569"/>
    <cellStyle name="표준 27 2 2 12" xfId="24819"/>
    <cellStyle name="표준 27 2 2 2" xfId="3666"/>
    <cellStyle name="표준 27 2 2 2 2" xfId="5939"/>
    <cellStyle name="표준 27 2 2 2 2 2" xfId="14948"/>
    <cellStyle name="표준 27 2 2 2 2 2 2" xfId="35824"/>
    <cellStyle name="표준 27 2 2 2 2 3" xfId="27086"/>
    <cellStyle name="표준 27 2 2 2 3" xfId="13129"/>
    <cellStyle name="표준 27 2 2 2 3 2" xfId="34006"/>
    <cellStyle name="표준 27 2 2 2 4" xfId="25256"/>
    <cellStyle name="표준 27 2 2 3" xfId="4827"/>
    <cellStyle name="표준 27 2 2 3 2" xfId="6659"/>
    <cellStyle name="표준 27 2 2 3 2 2" xfId="15668"/>
    <cellStyle name="표준 27 2 2 3 2 2 2" xfId="36544"/>
    <cellStyle name="표준 27 2 2 3 2 3" xfId="27806"/>
    <cellStyle name="표준 27 2 2 3 3" xfId="13850"/>
    <cellStyle name="표준 27 2 2 3 3 2" xfId="34726"/>
    <cellStyle name="표준 27 2 2 3 4" xfId="25988"/>
    <cellStyle name="표준 27 2 2 4" xfId="5502"/>
    <cellStyle name="표준 27 2 2 4 2" xfId="14511"/>
    <cellStyle name="표준 27 2 2 4 2 2" xfId="35387"/>
    <cellStyle name="표준 27 2 2 4 3" xfId="26649"/>
    <cellStyle name="표준 27 2 2 5" xfId="7305"/>
    <cellStyle name="표준 27 2 2 5 2" xfId="16312"/>
    <cellStyle name="표준 27 2 2 5 2 2" xfId="37188"/>
    <cellStyle name="표준 27 2 2 5 3" xfId="28450"/>
    <cellStyle name="표준 27 2 2 6" xfId="7949"/>
    <cellStyle name="표준 27 2 2 6 2" xfId="16955"/>
    <cellStyle name="표준 27 2 2 6 2 2" xfId="37831"/>
    <cellStyle name="표준 27 2 2 6 3" xfId="29093"/>
    <cellStyle name="표준 27 2 2 7" xfId="8797"/>
    <cellStyle name="표준 27 2 2 7 2" xfId="17802"/>
    <cellStyle name="표준 27 2 2 7 2 2" xfId="38678"/>
    <cellStyle name="표준 27 2 2 7 3" xfId="29940"/>
    <cellStyle name="표준 27 2 2 8" xfId="9622"/>
    <cellStyle name="표준 27 2 2 8 2" xfId="18620"/>
    <cellStyle name="표준 27 2 2 8 2 2" xfId="39496"/>
    <cellStyle name="표준 27 2 2 8 3" xfId="30758"/>
    <cellStyle name="표준 27 2 2 9" xfId="10677"/>
    <cellStyle name="표준 27 2 2 9 2" xfId="19448"/>
    <cellStyle name="표준 27 2 2 9 2 2" xfId="40324"/>
    <cellStyle name="표준 27 2 2 9 3" xfId="31588"/>
    <cellStyle name="표준 27 2 3" xfId="3456"/>
    <cellStyle name="표준 27 2 3 10" xfId="12919"/>
    <cellStyle name="표준 27 2 3 10 2" xfId="33796"/>
    <cellStyle name="표준 27 2 3 11" xfId="25046"/>
    <cellStyle name="표준 27 2 3 2" xfId="5049"/>
    <cellStyle name="표준 27 2 3 2 2" xfId="6876"/>
    <cellStyle name="표준 27 2 3 2 2 2" xfId="15885"/>
    <cellStyle name="표준 27 2 3 2 2 2 2" xfId="36761"/>
    <cellStyle name="표준 27 2 3 2 2 3" xfId="28023"/>
    <cellStyle name="표준 27 2 3 2 3" xfId="14067"/>
    <cellStyle name="표준 27 2 3 2 3 2" xfId="34943"/>
    <cellStyle name="표준 27 2 3 2 4" xfId="26205"/>
    <cellStyle name="표준 27 2 3 3" xfId="5729"/>
    <cellStyle name="표준 27 2 3 3 2" xfId="14738"/>
    <cellStyle name="표준 27 2 3 3 2 2" xfId="35614"/>
    <cellStyle name="표준 27 2 3 3 3" xfId="26876"/>
    <cellStyle name="표준 27 2 3 4" xfId="7522"/>
    <cellStyle name="표준 27 2 3 4 2" xfId="16529"/>
    <cellStyle name="표준 27 2 3 4 2 2" xfId="37405"/>
    <cellStyle name="표준 27 2 3 4 3" xfId="28667"/>
    <cellStyle name="표준 27 2 3 5" xfId="8166"/>
    <cellStyle name="표준 27 2 3 5 2" xfId="17172"/>
    <cellStyle name="표준 27 2 3 5 2 2" xfId="38048"/>
    <cellStyle name="표준 27 2 3 5 3" xfId="29310"/>
    <cellStyle name="표준 27 2 3 6" xfId="9014"/>
    <cellStyle name="표준 27 2 3 6 2" xfId="18019"/>
    <cellStyle name="표준 27 2 3 6 2 2" xfId="38895"/>
    <cellStyle name="표준 27 2 3 6 3" xfId="30157"/>
    <cellStyle name="표준 27 2 3 7" xfId="9839"/>
    <cellStyle name="표준 27 2 3 7 2" xfId="18837"/>
    <cellStyle name="표준 27 2 3 7 2 2" xfId="39713"/>
    <cellStyle name="표준 27 2 3 7 3" xfId="30975"/>
    <cellStyle name="표준 27 2 3 8" xfId="10894"/>
    <cellStyle name="표준 27 2 3 8 2" xfId="19665"/>
    <cellStyle name="표준 27 2 3 8 2 2" xfId="40541"/>
    <cellStyle name="표준 27 2 3 8 3" xfId="31805"/>
    <cellStyle name="표준 27 2 3 9" xfId="11760"/>
    <cellStyle name="표준 27 2 3 9 2" xfId="20526"/>
    <cellStyle name="표준 27 2 3 9 2 2" xfId="41402"/>
    <cellStyle name="표준 27 2 3 9 3" xfId="32666"/>
    <cellStyle name="표준 27 2 4" xfId="4615"/>
    <cellStyle name="표준 27 2 4 2" xfId="6449"/>
    <cellStyle name="표준 27 2 4 2 2" xfId="15458"/>
    <cellStyle name="표준 27 2 4 2 2 2" xfId="36334"/>
    <cellStyle name="표준 27 2 4 2 3" xfId="27596"/>
    <cellStyle name="표준 27 2 4 3" xfId="11112"/>
    <cellStyle name="표준 27 2 4 3 2" xfId="19882"/>
    <cellStyle name="표준 27 2 4 3 2 2" xfId="40758"/>
    <cellStyle name="표준 27 2 4 3 3" xfId="32022"/>
    <cellStyle name="표준 27 2 4 4" xfId="11977"/>
    <cellStyle name="표준 27 2 4 4 2" xfId="20743"/>
    <cellStyle name="표준 27 2 4 4 2 2" xfId="41619"/>
    <cellStyle name="표준 27 2 4 4 3" xfId="32883"/>
    <cellStyle name="표준 27 2 4 5" xfId="13640"/>
    <cellStyle name="표준 27 2 4 5 2" xfId="34516"/>
    <cellStyle name="표준 27 2 4 6" xfId="25778"/>
    <cellStyle name="표준 27 2 5" xfId="5292"/>
    <cellStyle name="표준 27 2 5 2" xfId="14301"/>
    <cellStyle name="표준 27 2 5 2 2" xfId="35177"/>
    <cellStyle name="표준 27 2 5 3" xfId="26439"/>
    <cellStyle name="표준 27 2 6" xfId="7094"/>
    <cellStyle name="표준 27 2 6 2" xfId="16102"/>
    <cellStyle name="표준 27 2 6 2 2" xfId="36978"/>
    <cellStyle name="표준 27 2 6 3" xfId="28240"/>
    <cellStyle name="표준 27 2 7" xfId="7739"/>
    <cellStyle name="표준 27 2 7 2" xfId="16745"/>
    <cellStyle name="표준 27 2 7 2 2" xfId="37621"/>
    <cellStyle name="표준 27 2 7 3" xfId="28883"/>
    <cellStyle name="표준 27 2 8" xfId="8587"/>
    <cellStyle name="표준 27 2 8 2" xfId="17592"/>
    <cellStyle name="표준 27 2 8 2 2" xfId="38468"/>
    <cellStyle name="표준 27 2 8 3" xfId="29730"/>
    <cellStyle name="표준 27 2 9" xfId="9411"/>
    <cellStyle name="표준 27 2 9 2" xfId="18410"/>
    <cellStyle name="표준 27 2 9 2 2" xfId="39286"/>
    <cellStyle name="표준 27 2 9 3" xfId="30548"/>
    <cellStyle name="표준 27 3" xfId="3007"/>
    <cellStyle name="표준 27 3 10" xfId="10468"/>
    <cellStyle name="표준 27 3 10 2" xfId="19239"/>
    <cellStyle name="표준 27 3 10 2 2" xfId="40115"/>
    <cellStyle name="표준 27 3 10 3" xfId="31379"/>
    <cellStyle name="표준 27 3 11" xfId="11334"/>
    <cellStyle name="표준 27 3 11 2" xfId="20100"/>
    <cellStyle name="표준 27 3 11 2 2" xfId="40976"/>
    <cellStyle name="표준 27 3 11 3" xfId="32240"/>
    <cellStyle name="표준 27 3 12" xfId="12482"/>
    <cellStyle name="표준 27 3 12 2" xfId="33360"/>
    <cellStyle name="표준 27 3 13" xfId="24610"/>
    <cellStyle name="표준 27 3 2" xfId="3225"/>
    <cellStyle name="표준 27 3 2 10" xfId="11544"/>
    <cellStyle name="표준 27 3 2 10 2" xfId="20310"/>
    <cellStyle name="표준 27 3 2 10 2 2" xfId="41186"/>
    <cellStyle name="표준 27 3 2 10 3" xfId="32450"/>
    <cellStyle name="표준 27 3 2 11" xfId="12693"/>
    <cellStyle name="표준 27 3 2 11 2" xfId="33570"/>
    <cellStyle name="표준 27 3 2 12" xfId="24820"/>
    <cellStyle name="표준 27 3 2 2" xfId="3667"/>
    <cellStyle name="표준 27 3 2 2 2" xfId="5940"/>
    <cellStyle name="표준 27 3 2 2 2 2" xfId="14949"/>
    <cellStyle name="표준 27 3 2 2 2 2 2" xfId="35825"/>
    <cellStyle name="표준 27 3 2 2 2 3" xfId="27087"/>
    <cellStyle name="표준 27 3 2 2 3" xfId="13130"/>
    <cellStyle name="표준 27 3 2 2 3 2" xfId="34007"/>
    <cellStyle name="표준 27 3 2 2 4" xfId="25257"/>
    <cellStyle name="표준 27 3 2 3" xfId="4828"/>
    <cellStyle name="표준 27 3 2 3 2" xfId="6660"/>
    <cellStyle name="표준 27 3 2 3 2 2" xfId="15669"/>
    <cellStyle name="표준 27 3 2 3 2 2 2" xfId="36545"/>
    <cellStyle name="표준 27 3 2 3 2 3" xfId="27807"/>
    <cellStyle name="표준 27 3 2 3 3" xfId="13851"/>
    <cellStyle name="표준 27 3 2 3 3 2" xfId="34727"/>
    <cellStyle name="표준 27 3 2 3 4" xfId="25989"/>
    <cellStyle name="표준 27 3 2 4" xfId="5503"/>
    <cellStyle name="표준 27 3 2 4 2" xfId="14512"/>
    <cellStyle name="표준 27 3 2 4 2 2" xfId="35388"/>
    <cellStyle name="표준 27 3 2 4 3" xfId="26650"/>
    <cellStyle name="표준 27 3 2 5" xfId="7306"/>
    <cellStyle name="표준 27 3 2 5 2" xfId="16313"/>
    <cellStyle name="표준 27 3 2 5 2 2" xfId="37189"/>
    <cellStyle name="표준 27 3 2 5 3" xfId="28451"/>
    <cellStyle name="표준 27 3 2 6" xfId="7950"/>
    <cellStyle name="표준 27 3 2 6 2" xfId="16956"/>
    <cellStyle name="표준 27 3 2 6 2 2" xfId="37832"/>
    <cellStyle name="표준 27 3 2 6 3" xfId="29094"/>
    <cellStyle name="표준 27 3 2 7" xfId="8798"/>
    <cellStyle name="표준 27 3 2 7 2" xfId="17803"/>
    <cellStyle name="표준 27 3 2 7 2 2" xfId="38679"/>
    <cellStyle name="표준 27 3 2 7 3" xfId="29941"/>
    <cellStyle name="표준 27 3 2 8" xfId="9623"/>
    <cellStyle name="표준 27 3 2 8 2" xfId="18621"/>
    <cellStyle name="표준 27 3 2 8 2 2" xfId="39497"/>
    <cellStyle name="표준 27 3 2 8 3" xfId="30759"/>
    <cellStyle name="표준 27 3 2 9" xfId="10678"/>
    <cellStyle name="표준 27 3 2 9 2" xfId="19449"/>
    <cellStyle name="표준 27 3 2 9 2 2" xfId="40325"/>
    <cellStyle name="표준 27 3 2 9 3" xfId="31589"/>
    <cellStyle name="표준 27 3 3" xfId="3457"/>
    <cellStyle name="표준 27 3 3 10" xfId="12920"/>
    <cellStyle name="표준 27 3 3 10 2" xfId="33797"/>
    <cellStyle name="표준 27 3 3 11" xfId="25047"/>
    <cellStyle name="표준 27 3 3 2" xfId="5050"/>
    <cellStyle name="표준 27 3 3 2 2" xfId="6877"/>
    <cellStyle name="표준 27 3 3 2 2 2" xfId="15886"/>
    <cellStyle name="표준 27 3 3 2 2 2 2" xfId="36762"/>
    <cellStyle name="표준 27 3 3 2 2 3" xfId="28024"/>
    <cellStyle name="표준 27 3 3 2 3" xfId="14068"/>
    <cellStyle name="표준 27 3 3 2 3 2" xfId="34944"/>
    <cellStyle name="표준 27 3 3 2 4" xfId="26206"/>
    <cellStyle name="표준 27 3 3 3" xfId="5730"/>
    <cellStyle name="표준 27 3 3 3 2" xfId="14739"/>
    <cellStyle name="표준 27 3 3 3 2 2" xfId="35615"/>
    <cellStyle name="표준 27 3 3 3 3" xfId="26877"/>
    <cellStyle name="표준 27 3 3 4" xfId="7523"/>
    <cellStyle name="표준 27 3 3 4 2" xfId="16530"/>
    <cellStyle name="표준 27 3 3 4 2 2" xfId="37406"/>
    <cellStyle name="표준 27 3 3 4 3" xfId="28668"/>
    <cellStyle name="표준 27 3 3 5" xfId="8167"/>
    <cellStyle name="표준 27 3 3 5 2" xfId="17173"/>
    <cellStyle name="표준 27 3 3 5 2 2" xfId="38049"/>
    <cellStyle name="표준 27 3 3 5 3" xfId="29311"/>
    <cellStyle name="표준 27 3 3 6" xfId="9015"/>
    <cellStyle name="표준 27 3 3 6 2" xfId="18020"/>
    <cellStyle name="표준 27 3 3 6 2 2" xfId="38896"/>
    <cellStyle name="표준 27 3 3 6 3" xfId="30158"/>
    <cellStyle name="표준 27 3 3 7" xfId="9840"/>
    <cellStyle name="표준 27 3 3 7 2" xfId="18838"/>
    <cellStyle name="표준 27 3 3 7 2 2" xfId="39714"/>
    <cellStyle name="표준 27 3 3 7 3" xfId="30976"/>
    <cellStyle name="표준 27 3 3 8" xfId="10895"/>
    <cellStyle name="표준 27 3 3 8 2" xfId="19666"/>
    <cellStyle name="표준 27 3 3 8 2 2" xfId="40542"/>
    <cellStyle name="표준 27 3 3 8 3" xfId="31806"/>
    <cellStyle name="표준 27 3 3 9" xfId="11761"/>
    <cellStyle name="표준 27 3 3 9 2" xfId="20527"/>
    <cellStyle name="표준 27 3 3 9 2 2" xfId="41403"/>
    <cellStyle name="표준 27 3 3 9 3" xfId="32667"/>
    <cellStyle name="표준 27 3 4" xfId="4616"/>
    <cellStyle name="표준 27 3 4 2" xfId="6450"/>
    <cellStyle name="표준 27 3 4 2 2" xfId="15459"/>
    <cellStyle name="표준 27 3 4 2 2 2" xfId="36335"/>
    <cellStyle name="표준 27 3 4 2 3" xfId="27597"/>
    <cellStyle name="표준 27 3 4 3" xfId="11113"/>
    <cellStyle name="표준 27 3 4 3 2" xfId="19883"/>
    <cellStyle name="표준 27 3 4 3 2 2" xfId="40759"/>
    <cellStyle name="표준 27 3 4 3 3" xfId="32023"/>
    <cellStyle name="표준 27 3 4 4" xfId="11978"/>
    <cellStyle name="표준 27 3 4 4 2" xfId="20744"/>
    <cellStyle name="표준 27 3 4 4 2 2" xfId="41620"/>
    <cellStyle name="표준 27 3 4 4 3" xfId="32884"/>
    <cellStyle name="표준 27 3 4 5" xfId="13641"/>
    <cellStyle name="표준 27 3 4 5 2" xfId="34517"/>
    <cellStyle name="표준 27 3 4 6" xfId="25779"/>
    <cellStyle name="표준 27 3 5" xfId="5293"/>
    <cellStyle name="표준 27 3 5 2" xfId="14302"/>
    <cellStyle name="표준 27 3 5 2 2" xfId="35178"/>
    <cellStyle name="표준 27 3 5 3" xfId="26440"/>
    <cellStyle name="표준 27 3 6" xfId="7095"/>
    <cellStyle name="표준 27 3 6 2" xfId="16103"/>
    <cellStyle name="표준 27 3 6 2 2" xfId="36979"/>
    <cellStyle name="표준 27 3 6 3" xfId="28241"/>
    <cellStyle name="표준 27 3 7" xfId="7740"/>
    <cellStyle name="표준 27 3 7 2" xfId="16746"/>
    <cellStyle name="표준 27 3 7 2 2" xfId="37622"/>
    <cellStyle name="표준 27 3 7 3" xfId="28884"/>
    <cellStyle name="표준 27 3 8" xfId="8588"/>
    <cellStyle name="표준 27 3 8 2" xfId="17593"/>
    <cellStyle name="표준 27 3 8 2 2" xfId="38469"/>
    <cellStyle name="표준 27 3 8 3" xfId="29731"/>
    <cellStyle name="표준 27 3 9" xfId="9412"/>
    <cellStyle name="표준 27 3 9 2" xfId="18411"/>
    <cellStyle name="표준 27 3 9 2 2" xfId="39287"/>
    <cellStyle name="표준 27 3 9 3" xfId="30549"/>
    <cellStyle name="표준 27 4" xfId="3008"/>
    <cellStyle name="표준 27 4 10" xfId="10469"/>
    <cellStyle name="표준 27 4 10 2" xfId="19240"/>
    <cellStyle name="표준 27 4 10 2 2" xfId="40116"/>
    <cellStyle name="표준 27 4 10 3" xfId="31380"/>
    <cellStyle name="표준 27 4 11" xfId="11335"/>
    <cellStyle name="표준 27 4 11 2" xfId="20101"/>
    <cellStyle name="표준 27 4 11 2 2" xfId="40977"/>
    <cellStyle name="표준 27 4 11 3" xfId="32241"/>
    <cellStyle name="표준 27 4 12" xfId="12483"/>
    <cellStyle name="표준 27 4 12 2" xfId="33361"/>
    <cellStyle name="표준 27 4 13" xfId="24611"/>
    <cellStyle name="표준 27 4 2" xfId="3226"/>
    <cellStyle name="표준 27 4 2 10" xfId="11545"/>
    <cellStyle name="표준 27 4 2 10 2" xfId="20311"/>
    <cellStyle name="표준 27 4 2 10 2 2" xfId="41187"/>
    <cellStyle name="표준 27 4 2 10 3" xfId="32451"/>
    <cellStyle name="표준 27 4 2 11" xfId="12694"/>
    <cellStyle name="표준 27 4 2 11 2" xfId="33571"/>
    <cellStyle name="표준 27 4 2 12" xfId="24821"/>
    <cellStyle name="표준 27 4 2 2" xfId="3668"/>
    <cellStyle name="표준 27 4 2 2 2" xfId="5941"/>
    <cellStyle name="표준 27 4 2 2 2 2" xfId="14950"/>
    <cellStyle name="표준 27 4 2 2 2 2 2" xfId="35826"/>
    <cellStyle name="표준 27 4 2 2 2 3" xfId="27088"/>
    <cellStyle name="표준 27 4 2 2 3" xfId="13131"/>
    <cellStyle name="표준 27 4 2 2 3 2" xfId="34008"/>
    <cellStyle name="표준 27 4 2 2 4" xfId="25258"/>
    <cellStyle name="표준 27 4 2 3" xfId="4829"/>
    <cellStyle name="표준 27 4 2 3 2" xfId="6661"/>
    <cellStyle name="표준 27 4 2 3 2 2" xfId="15670"/>
    <cellStyle name="표준 27 4 2 3 2 2 2" xfId="36546"/>
    <cellStyle name="표준 27 4 2 3 2 3" xfId="27808"/>
    <cellStyle name="표준 27 4 2 3 3" xfId="13852"/>
    <cellStyle name="표준 27 4 2 3 3 2" xfId="34728"/>
    <cellStyle name="표준 27 4 2 3 4" xfId="25990"/>
    <cellStyle name="표준 27 4 2 4" xfId="5504"/>
    <cellStyle name="표준 27 4 2 4 2" xfId="14513"/>
    <cellStyle name="표준 27 4 2 4 2 2" xfId="35389"/>
    <cellStyle name="표준 27 4 2 4 3" xfId="26651"/>
    <cellStyle name="표준 27 4 2 5" xfId="7307"/>
    <cellStyle name="표준 27 4 2 5 2" xfId="16314"/>
    <cellStyle name="표준 27 4 2 5 2 2" xfId="37190"/>
    <cellStyle name="표준 27 4 2 5 3" xfId="28452"/>
    <cellStyle name="표준 27 4 2 6" xfId="7951"/>
    <cellStyle name="표준 27 4 2 6 2" xfId="16957"/>
    <cellStyle name="표준 27 4 2 6 2 2" xfId="37833"/>
    <cellStyle name="표준 27 4 2 6 3" xfId="29095"/>
    <cellStyle name="표준 27 4 2 7" xfId="8799"/>
    <cellStyle name="표준 27 4 2 7 2" xfId="17804"/>
    <cellStyle name="표준 27 4 2 7 2 2" xfId="38680"/>
    <cellStyle name="표준 27 4 2 7 3" xfId="29942"/>
    <cellStyle name="표준 27 4 2 8" xfId="9624"/>
    <cellStyle name="표준 27 4 2 8 2" xfId="18622"/>
    <cellStyle name="표준 27 4 2 8 2 2" xfId="39498"/>
    <cellStyle name="표준 27 4 2 8 3" xfId="30760"/>
    <cellStyle name="표준 27 4 2 9" xfId="10679"/>
    <cellStyle name="표준 27 4 2 9 2" xfId="19450"/>
    <cellStyle name="표준 27 4 2 9 2 2" xfId="40326"/>
    <cellStyle name="표준 27 4 2 9 3" xfId="31590"/>
    <cellStyle name="표준 27 4 3" xfId="3458"/>
    <cellStyle name="표준 27 4 3 10" xfId="12921"/>
    <cellStyle name="표준 27 4 3 10 2" xfId="33798"/>
    <cellStyle name="표준 27 4 3 11" xfId="25048"/>
    <cellStyle name="표준 27 4 3 2" xfId="5051"/>
    <cellStyle name="표준 27 4 3 2 2" xfId="6878"/>
    <cellStyle name="표준 27 4 3 2 2 2" xfId="15887"/>
    <cellStyle name="표준 27 4 3 2 2 2 2" xfId="36763"/>
    <cellStyle name="표준 27 4 3 2 2 3" xfId="28025"/>
    <cellStyle name="표준 27 4 3 2 3" xfId="14069"/>
    <cellStyle name="표준 27 4 3 2 3 2" xfId="34945"/>
    <cellStyle name="표준 27 4 3 2 4" xfId="26207"/>
    <cellStyle name="표준 27 4 3 3" xfId="5731"/>
    <cellStyle name="표준 27 4 3 3 2" xfId="14740"/>
    <cellStyle name="표준 27 4 3 3 2 2" xfId="35616"/>
    <cellStyle name="표준 27 4 3 3 3" xfId="26878"/>
    <cellStyle name="표준 27 4 3 4" xfId="7524"/>
    <cellStyle name="표준 27 4 3 4 2" xfId="16531"/>
    <cellStyle name="표준 27 4 3 4 2 2" xfId="37407"/>
    <cellStyle name="표준 27 4 3 4 3" xfId="28669"/>
    <cellStyle name="표준 27 4 3 5" xfId="8168"/>
    <cellStyle name="표준 27 4 3 5 2" xfId="17174"/>
    <cellStyle name="표준 27 4 3 5 2 2" xfId="38050"/>
    <cellStyle name="표준 27 4 3 5 3" xfId="29312"/>
    <cellStyle name="표준 27 4 3 6" xfId="9016"/>
    <cellStyle name="표준 27 4 3 6 2" xfId="18021"/>
    <cellStyle name="표준 27 4 3 6 2 2" xfId="38897"/>
    <cellStyle name="표준 27 4 3 6 3" xfId="30159"/>
    <cellStyle name="표준 27 4 3 7" xfId="9841"/>
    <cellStyle name="표준 27 4 3 7 2" xfId="18839"/>
    <cellStyle name="표준 27 4 3 7 2 2" xfId="39715"/>
    <cellStyle name="표준 27 4 3 7 3" xfId="30977"/>
    <cellStyle name="표준 27 4 3 8" xfId="10896"/>
    <cellStyle name="표준 27 4 3 8 2" xfId="19667"/>
    <cellStyle name="표준 27 4 3 8 2 2" xfId="40543"/>
    <cellStyle name="표준 27 4 3 8 3" xfId="31807"/>
    <cellStyle name="표준 27 4 3 9" xfId="11762"/>
    <cellStyle name="표준 27 4 3 9 2" xfId="20528"/>
    <cellStyle name="표준 27 4 3 9 2 2" xfId="41404"/>
    <cellStyle name="표준 27 4 3 9 3" xfId="32668"/>
    <cellStyle name="표준 27 4 4" xfId="4617"/>
    <cellStyle name="표준 27 4 4 2" xfId="6451"/>
    <cellStyle name="표준 27 4 4 2 2" xfId="15460"/>
    <cellStyle name="표준 27 4 4 2 2 2" xfId="36336"/>
    <cellStyle name="표준 27 4 4 2 3" xfId="27598"/>
    <cellStyle name="표준 27 4 4 3" xfId="11114"/>
    <cellStyle name="표준 27 4 4 3 2" xfId="19884"/>
    <cellStyle name="표준 27 4 4 3 2 2" xfId="40760"/>
    <cellStyle name="표준 27 4 4 3 3" xfId="32024"/>
    <cellStyle name="표준 27 4 4 4" xfId="11979"/>
    <cellStyle name="표준 27 4 4 4 2" xfId="20745"/>
    <cellStyle name="표준 27 4 4 4 2 2" xfId="41621"/>
    <cellStyle name="표준 27 4 4 4 3" xfId="32885"/>
    <cellStyle name="표준 27 4 4 5" xfId="13642"/>
    <cellStyle name="표준 27 4 4 5 2" xfId="34518"/>
    <cellStyle name="표준 27 4 4 6" xfId="25780"/>
    <cellStyle name="표준 27 4 5" xfId="5294"/>
    <cellStyle name="표준 27 4 5 2" xfId="14303"/>
    <cellStyle name="표준 27 4 5 2 2" xfId="35179"/>
    <cellStyle name="표준 27 4 5 3" xfId="26441"/>
    <cellStyle name="표준 27 4 6" xfId="7096"/>
    <cellStyle name="표준 27 4 6 2" xfId="16104"/>
    <cellStyle name="표준 27 4 6 2 2" xfId="36980"/>
    <cellStyle name="표준 27 4 6 3" xfId="28242"/>
    <cellStyle name="표준 27 4 7" xfId="7741"/>
    <cellStyle name="표준 27 4 7 2" xfId="16747"/>
    <cellStyle name="표준 27 4 7 2 2" xfId="37623"/>
    <cellStyle name="표준 27 4 7 3" xfId="28885"/>
    <cellStyle name="표준 27 4 8" xfId="8589"/>
    <cellStyle name="표준 27 4 8 2" xfId="17594"/>
    <cellStyle name="표준 27 4 8 2 2" xfId="38470"/>
    <cellStyle name="표준 27 4 8 3" xfId="29732"/>
    <cellStyle name="표준 27 4 9" xfId="9413"/>
    <cellStyle name="표준 27 4 9 2" xfId="18412"/>
    <cellStyle name="표준 27 4 9 2 2" xfId="39288"/>
    <cellStyle name="표준 27 4 9 3" xfId="30550"/>
    <cellStyle name="표준 27 5" xfId="3009"/>
    <cellStyle name="표준 27 5 10" xfId="10470"/>
    <cellStyle name="표준 27 5 10 2" xfId="19241"/>
    <cellStyle name="표준 27 5 10 2 2" xfId="40117"/>
    <cellStyle name="표준 27 5 10 3" xfId="31381"/>
    <cellStyle name="표준 27 5 11" xfId="11336"/>
    <cellStyle name="표준 27 5 11 2" xfId="20102"/>
    <cellStyle name="표준 27 5 11 2 2" xfId="40978"/>
    <cellStyle name="표준 27 5 11 3" xfId="32242"/>
    <cellStyle name="표준 27 5 12" xfId="12484"/>
    <cellStyle name="표준 27 5 12 2" xfId="33362"/>
    <cellStyle name="표준 27 5 13" xfId="24612"/>
    <cellStyle name="표준 27 5 2" xfId="3227"/>
    <cellStyle name="표준 27 5 2 10" xfId="11546"/>
    <cellStyle name="표준 27 5 2 10 2" xfId="20312"/>
    <cellStyle name="표준 27 5 2 10 2 2" xfId="41188"/>
    <cellStyle name="표준 27 5 2 10 3" xfId="32452"/>
    <cellStyle name="표준 27 5 2 11" xfId="12695"/>
    <cellStyle name="표준 27 5 2 11 2" xfId="33572"/>
    <cellStyle name="표준 27 5 2 12" xfId="24822"/>
    <cellStyle name="표준 27 5 2 2" xfId="3669"/>
    <cellStyle name="표준 27 5 2 2 2" xfId="5942"/>
    <cellStyle name="표준 27 5 2 2 2 2" xfId="14951"/>
    <cellStyle name="표준 27 5 2 2 2 2 2" xfId="35827"/>
    <cellStyle name="표준 27 5 2 2 2 3" xfId="27089"/>
    <cellStyle name="표준 27 5 2 2 3" xfId="13132"/>
    <cellStyle name="표준 27 5 2 2 3 2" xfId="34009"/>
    <cellStyle name="표준 27 5 2 2 4" xfId="25259"/>
    <cellStyle name="표준 27 5 2 3" xfId="4830"/>
    <cellStyle name="표준 27 5 2 3 2" xfId="6662"/>
    <cellStyle name="표준 27 5 2 3 2 2" xfId="15671"/>
    <cellStyle name="표준 27 5 2 3 2 2 2" xfId="36547"/>
    <cellStyle name="표준 27 5 2 3 2 3" xfId="27809"/>
    <cellStyle name="표준 27 5 2 3 3" xfId="13853"/>
    <cellStyle name="표준 27 5 2 3 3 2" xfId="34729"/>
    <cellStyle name="표준 27 5 2 3 4" xfId="25991"/>
    <cellStyle name="표준 27 5 2 4" xfId="5505"/>
    <cellStyle name="표준 27 5 2 4 2" xfId="14514"/>
    <cellStyle name="표준 27 5 2 4 2 2" xfId="35390"/>
    <cellStyle name="표준 27 5 2 4 3" xfId="26652"/>
    <cellStyle name="표준 27 5 2 5" xfId="7308"/>
    <cellStyle name="표준 27 5 2 5 2" xfId="16315"/>
    <cellStyle name="표준 27 5 2 5 2 2" xfId="37191"/>
    <cellStyle name="표준 27 5 2 5 3" xfId="28453"/>
    <cellStyle name="표준 27 5 2 6" xfId="7952"/>
    <cellStyle name="표준 27 5 2 6 2" xfId="16958"/>
    <cellStyle name="표준 27 5 2 6 2 2" xfId="37834"/>
    <cellStyle name="표준 27 5 2 6 3" xfId="29096"/>
    <cellStyle name="표준 27 5 2 7" xfId="8800"/>
    <cellStyle name="표준 27 5 2 7 2" xfId="17805"/>
    <cellStyle name="표준 27 5 2 7 2 2" xfId="38681"/>
    <cellStyle name="표준 27 5 2 7 3" xfId="29943"/>
    <cellStyle name="표준 27 5 2 8" xfId="9625"/>
    <cellStyle name="표준 27 5 2 8 2" xfId="18623"/>
    <cellStyle name="표준 27 5 2 8 2 2" xfId="39499"/>
    <cellStyle name="표준 27 5 2 8 3" xfId="30761"/>
    <cellStyle name="표준 27 5 2 9" xfId="10680"/>
    <cellStyle name="표준 27 5 2 9 2" xfId="19451"/>
    <cellStyle name="표준 27 5 2 9 2 2" xfId="40327"/>
    <cellStyle name="표준 27 5 2 9 3" xfId="31591"/>
    <cellStyle name="표준 27 5 3" xfId="3459"/>
    <cellStyle name="표준 27 5 3 10" xfId="12922"/>
    <cellStyle name="표준 27 5 3 10 2" xfId="33799"/>
    <cellStyle name="표준 27 5 3 11" xfId="25049"/>
    <cellStyle name="표준 27 5 3 2" xfId="5052"/>
    <cellStyle name="표준 27 5 3 2 2" xfId="6879"/>
    <cellStyle name="표준 27 5 3 2 2 2" xfId="15888"/>
    <cellStyle name="표준 27 5 3 2 2 2 2" xfId="36764"/>
    <cellStyle name="표준 27 5 3 2 2 3" xfId="28026"/>
    <cellStyle name="표준 27 5 3 2 3" xfId="14070"/>
    <cellStyle name="표준 27 5 3 2 3 2" xfId="34946"/>
    <cellStyle name="표준 27 5 3 2 4" xfId="26208"/>
    <cellStyle name="표준 27 5 3 3" xfId="5732"/>
    <cellStyle name="표준 27 5 3 3 2" xfId="14741"/>
    <cellStyle name="표준 27 5 3 3 2 2" xfId="35617"/>
    <cellStyle name="표준 27 5 3 3 3" xfId="26879"/>
    <cellStyle name="표준 27 5 3 4" xfId="7525"/>
    <cellStyle name="표준 27 5 3 4 2" xfId="16532"/>
    <cellStyle name="표준 27 5 3 4 2 2" xfId="37408"/>
    <cellStyle name="표준 27 5 3 4 3" xfId="28670"/>
    <cellStyle name="표준 27 5 3 5" xfId="8169"/>
    <cellStyle name="표준 27 5 3 5 2" xfId="17175"/>
    <cellStyle name="표준 27 5 3 5 2 2" xfId="38051"/>
    <cellStyle name="표준 27 5 3 5 3" xfId="29313"/>
    <cellStyle name="표준 27 5 3 6" xfId="9017"/>
    <cellStyle name="표준 27 5 3 6 2" xfId="18022"/>
    <cellStyle name="표준 27 5 3 6 2 2" xfId="38898"/>
    <cellStyle name="표준 27 5 3 6 3" xfId="30160"/>
    <cellStyle name="표준 27 5 3 7" xfId="9842"/>
    <cellStyle name="표준 27 5 3 7 2" xfId="18840"/>
    <cellStyle name="표준 27 5 3 7 2 2" xfId="39716"/>
    <cellStyle name="표준 27 5 3 7 3" xfId="30978"/>
    <cellStyle name="표준 27 5 3 8" xfId="10897"/>
    <cellStyle name="표준 27 5 3 8 2" xfId="19668"/>
    <cellStyle name="표준 27 5 3 8 2 2" xfId="40544"/>
    <cellStyle name="표준 27 5 3 8 3" xfId="31808"/>
    <cellStyle name="표준 27 5 3 9" xfId="11763"/>
    <cellStyle name="표준 27 5 3 9 2" xfId="20529"/>
    <cellStyle name="표준 27 5 3 9 2 2" xfId="41405"/>
    <cellStyle name="표준 27 5 3 9 3" xfId="32669"/>
    <cellStyle name="표준 27 5 4" xfId="4618"/>
    <cellStyle name="표준 27 5 4 2" xfId="6452"/>
    <cellStyle name="표준 27 5 4 2 2" xfId="15461"/>
    <cellStyle name="표준 27 5 4 2 2 2" xfId="36337"/>
    <cellStyle name="표준 27 5 4 2 3" xfId="27599"/>
    <cellStyle name="표준 27 5 4 3" xfId="11115"/>
    <cellStyle name="표준 27 5 4 3 2" xfId="19885"/>
    <cellStyle name="표준 27 5 4 3 2 2" xfId="40761"/>
    <cellStyle name="표준 27 5 4 3 3" xfId="32025"/>
    <cellStyle name="표준 27 5 4 4" xfId="11980"/>
    <cellStyle name="표준 27 5 4 4 2" xfId="20746"/>
    <cellStyle name="표준 27 5 4 4 2 2" xfId="41622"/>
    <cellStyle name="표준 27 5 4 4 3" xfId="32886"/>
    <cellStyle name="표준 27 5 4 5" xfId="13643"/>
    <cellStyle name="표준 27 5 4 5 2" xfId="34519"/>
    <cellStyle name="표준 27 5 4 6" xfId="25781"/>
    <cellStyle name="표준 27 5 5" xfId="5295"/>
    <cellStyle name="표준 27 5 5 2" xfId="14304"/>
    <cellStyle name="표준 27 5 5 2 2" xfId="35180"/>
    <cellStyle name="표준 27 5 5 3" xfId="26442"/>
    <cellStyle name="표준 27 5 6" xfId="7097"/>
    <cellStyle name="표준 27 5 6 2" xfId="16105"/>
    <cellStyle name="표준 27 5 6 2 2" xfId="36981"/>
    <cellStyle name="표준 27 5 6 3" xfId="28243"/>
    <cellStyle name="표준 27 5 7" xfId="7742"/>
    <cellStyle name="표준 27 5 7 2" xfId="16748"/>
    <cellStyle name="표준 27 5 7 2 2" xfId="37624"/>
    <cellStyle name="표준 27 5 7 3" xfId="28886"/>
    <cellStyle name="표준 27 5 8" xfId="8590"/>
    <cellStyle name="표준 27 5 8 2" xfId="17595"/>
    <cellStyle name="표준 27 5 8 2 2" xfId="38471"/>
    <cellStyle name="표준 27 5 8 3" xfId="29733"/>
    <cellStyle name="표준 27 5 9" xfId="9414"/>
    <cellStyle name="표준 27 5 9 2" xfId="18413"/>
    <cellStyle name="표준 27 5 9 2 2" xfId="39289"/>
    <cellStyle name="표준 27 5 9 3" xfId="30551"/>
    <cellStyle name="표준 27 6" xfId="3010"/>
    <cellStyle name="표준 27 6 10" xfId="10471"/>
    <cellStyle name="표준 27 6 10 2" xfId="19242"/>
    <cellStyle name="표준 27 6 10 2 2" xfId="40118"/>
    <cellStyle name="표준 27 6 10 3" xfId="31382"/>
    <cellStyle name="표준 27 6 11" xfId="11337"/>
    <cellStyle name="표준 27 6 11 2" xfId="20103"/>
    <cellStyle name="표준 27 6 11 2 2" xfId="40979"/>
    <cellStyle name="표준 27 6 11 3" xfId="32243"/>
    <cellStyle name="표준 27 6 12" xfId="12485"/>
    <cellStyle name="표준 27 6 12 2" xfId="33363"/>
    <cellStyle name="표준 27 6 13" xfId="24613"/>
    <cellStyle name="표준 27 6 2" xfId="3228"/>
    <cellStyle name="표준 27 6 2 10" xfId="11547"/>
    <cellStyle name="표준 27 6 2 10 2" xfId="20313"/>
    <cellStyle name="표준 27 6 2 10 2 2" xfId="41189"/>
    <cellStyle name="표준 27 6 2 10 3" xfId="32453"/>
    <cellStyle name="표준 27 6 2 11" xfId="12696"/>
    <cellStyle name="표준 27 6 2 11 2" xfId="33573"/>
    <cellStyle name="표준 27 6 2 12" xfId="24823"/>
    <cellStyle name="표준 27 6 2 2" xfId="3670"/>
    <cellStyle name="표준 27 6 2 2 2" xfId="5943"/>
    <cellStyle name="표준 27 6 2 2 2 2" xfId="14952"/>
    <cellStyle name="표준 27 6 2 2 2 2 2" xfId="35828"/>
    <cellStyle name="표준 27 6 2 2 2 3" xfId="27090"/>
    <cellStyle name="표준 27 6 2 2 3" xfId="13133"/>
    <cellStyle name="표준 27 6 2 2 3 2" xfId="34010"/>
    <cellStyle name="표준 27 6 2 2 4" xfId="25260"/>
    <cellStyle name="표준 27 6 2 3" xfId="4831"/>
    <cellStyle name="표준 27 6 2 3 2" xfId="6663"/>
    <cellStyle name="표준 27 6 2 3 2 2" xfId="15672"/>
    <cellStyle name="표준 27 6 2 3 2 2 2" xfId="36548"/>
    <cellStyle name="표준 27 6 2 3 2 3" xfId="27810"/>
    <cellStyle name="표준 27 6 2 3 3" xfId="13854"/>
    <cellStyle name="표준 27 6 2 3 3 2" xfId="34730"/>
    <cellStyle name="표준 27 6 2 3 4" xfId="25992"/>
    <cellStyle name="표준 27 6 2 4" xfId="5506"/>
    <cellStyle name="표준 27 6 2 4 2" xfId="14515"/>
    <cellStyle name="표준 27 6 2 4 2 2" xfId="35391"/>
    <cellStyle name="표준 27 6 2 4 3" xfId="26653"/>
    <cellStyle name="표준 27 6 2 5" xfId="7309"/>
    <cellStyle name="표준 27 6 2 5 2" xfId="16316"/>
    <cellStyle name="표준 27 6 2 5 2 2" xfId="37192"/>
    <cellStyle name="표준 27 6 2 5 3" xfId="28454"/>
    <cellStyle name="표준 27 6 2 6" xfId="7953"/>
    <cellStyle name="표준 27 6 2 6 2" xfId="16959"/>
    <cellStyle name="표준 27 6 2 6 2 2" xfId="37835"/>
    <cellStyle name="표준 27 6 2 6 3" xfId="29097"/>
    <cellStyle name="표준 27 6 2 7" xfId="8801"/>
    <cellStyle name="표준 27 6 2 7 2" xfId="17806"/>
    <cellStyle name="표준 27 6 2 7 2 2" xfId="38682"/>
    <cellStyle name="표준 27 6 2 7 3" xfId="29944"/>
    <cellStyle name="표준 27 6 2 8" xfId="9626"/>
    <cellStyle name="표준 27 6 2 8 2" xfId="18624"/>
    <cellStyle name="표준 27 6 2 8 2 2" xfId="39500"/>
    <cellStyle name="표준 27 6 2 8 3" xfId="30762"/>
    <cellStyle name="표준 27 6 2 9" xfId="10681"/>
    <cellStyle name="표준 27 6 2 9 2" xfId="19452"/>
    <cellStyle name="표준 27 6 2 9 2 2" xfId="40328"/>
    <cellStyle name="표준 27 6 2 9 3" xfId="31592"/>
    <cellStyle name="표준 27 6 3" xfId="3460"/>
    <cellStyle name="표준 27 6 3 10" xfId="12923"/>
    <cellStyle name="표준 27 6 3 10 2" xfId="33800"/>
    <cellStyle name="표준 27 6 3 11" xfId="25050"/>
    <cellStyle name="표준 27 6 3 2" xfId="5053"/>
    <cellStyle name="표준 27 6 3 2 2" xfId="6880"/>
    <cellStyle name="표준 27 6 3 2 2 2" xfId="15889"/>
    <cellStyle name="표준 27 6 3 2 2 2 2" xfId="36765"/>
    <cellStyle name="표준 27 6 3 2 2 3" xfId="28027"/>
    <cellStyle name="표준 27 6 3 2 3" xfId="14071"/>
    <cellStyle name="표준 27 6 3 2 3 2" xfId="34947"/>
    <cellStyle name="표준 27 6 3 2 4" xfId="26209"/>
    <cellStyle name="표준 27 6 3 3" xfId="5733"/>
    <cellStyle name="표준 27 6 3 3 2" xfId="14742"/>
    <cellStyle name="표준 27 6 3 3 2 2" xfId="35618"/>
    <cellStyle name="표준 27 6 3 3 3" xfId="26880"/>
    <cellStyle name="표준 27 6 3 4" xfId="7526"/>
    <cellStyle name="표준 27 6 3 4 2" xfId="16533"/>
    <cellStyle name="표준 27 6 3 4 2 2" xfId="37409"/>
    <cellStyle name="표준 27 6 3 4 3" xfId="28671"/>
    <cellStyle name="표준 27 6 3 5" xfId="8170"/>
    <cellStyle name="표준 27 6 3 5 2" xfId="17176"/>
    <cellStyle name="표준 27 6 3 5 2 2" xfId="38052"/>
    <cellStyle name="표준 27 6 3 5 3" xfId="29314"/>
    <cellStyle name="표준 27 6 3 6" xfId="9018"/>
    <cellStyle name="표준 27 6 3 6 2" xfId="18023"/>
    <cellStyle name="표준 27 6 3 6 2 2" xfId="38899"/>
    <cellStyle name="표준 27 6 3 6 3" xfId="30161"/>
    <cellStyle name="표준 27 6 3 7" xfId="9843"/>
    <cellStyle name="표준 27 6 3 7 2" xfId="18841"/>
    <cellStyle name="표준 27 6 3 7 2 2" xfId="39717"/>
    <cellStyle name="표준 27 6 3 7 3" xfId="30979"/>
    <cellStyle name="표준 27 6 3 8" xfId="10898"/>
    <cellStyle name="표준 27 6 3 8 2" xfId="19669"/>
    <cellStyle name="표준 27 6 3 8 2 2" xfId="40545"/>
    <cellStyle name="표준 27 6 3 8 3" xfId="31809"/>
    <cellStyle name="표준 27 6 3 9" xfId="11764"/>
    <cellStyle name="표준 27 6 3 9 2" xfId="20530"/>
    <cellStyle name="표준 27 6 3 9 2 2" xfId="41406"/>
    <cellStyle name="표준 27 6 3 9 3" xfId="32670"/>
    <cellStyle name="표준 27 6 4" xfId="4619"/>
    <cellStyle name="표준 27 6 4 2" xfId="6453"/>
    <cellStyle name="표준 27 6 4 2 2" xfId="15462"/>
    <cellStyle name="표준 27 6 4 2 2 2" xfId="36338"/>
    <cellStyle name="표준 27 6 4 2 3" xfId="27600"/>
    <cellStyle name="표준 27 6 4 3" xfId="11116"/>
    <cellStyle name="표준 27 6 4 3 2" xfId="19886"/>
    <cellStyle name="표준 27 6 4 3 2 2" xfId="40762"/>
    <cellStyle name="표준 27 6 4 3 3" xfId="32026"/>
    <cellStyle name="표준 27 6 4 4" xfId="11981"/>
    <cellStyle name="표준 27 6 4 4 2" xfId="20747"/>
    <cellStyle name="표준 27 6 4 4 2 2" xfId="41623"/>
    <cellStyle name="표준 27 6 4 4 3" xfId="32887"/>
    <cellStyle name="표준 27 6 4 5" xfId="13644"/>
    <cellStyle name="표준 27 6 4 5 2" xfId="34520"/>
    <cellStyle name="표준 27 6 4 6" xfId="25782"/>
    <cellStyle name="표준 27 6 5" xfId="5296"/>
    <cellStyle name="표준 27 6 5 2" xfId="14305"/>
    <cellStyle name="표준 27 6 5 2 2" xfId="35181"/>
    <cellStyle name="표준 27 6 5 3" xfId="26443"/>
    <cellStyle name="표준 27 6 6" xfId="7098"/>
    <cellStyle name="표준 27 6 6 2" xfId="16106"/>
    <cellStyle name="표준 27 6 6 2 2" xfId="36982"/>
    <cellStyle name="표준 27 6 6 3" xfId="28244"/>
    <cellStyle name="표준 27 6 7" xfId="7743"/>
    <cellStyle name="표준 27 6 7 2" xfId="16749"/>
    <cellStyle name="표준 27 6 7 2 2" xfId="37625"/>
    <cellStyle name="표준 27 6 7 3" xfId="28887"/>
    <cellStyle name="표준 27 6 8" xfId="8591"/>
    <cellStyle name="표준 27 6 8 2" xfId="17596"/>
    <cellStyle name="표준 27 6 8 2 2" xfId="38472"/>
    <cellStyle name="표준 27 6 8 3" xfId="29734"/>
    <cellStyle name="표준 27 6 9" xfId="9415"/>
    <cellStyle name="표준 27 6 9 2" xfId="18414"/>
    <cellStyle name="표준 27 6 9 2 2" xfId="39290"/>
    <cellStyle name="표준 27 6 9 3" xfId="30552"/>
    <cellStyle name="표준 27 7" xfId="3011"/>
    <cellStyle name="표준 27 7 10" xfId="10472"/>
    <cellStyle name="표준 27 7 10 2" xfId="19243"/>
    <cellStyle name="표준 27 7 10 2 2" xfId="40119"/>
    <cellStyle name="표준 27 7 10 3" xfId="31383"/>
    <cellStyle name="표준 27 7 11" xfId="11338"/>
    <cellStyle name="표준 27 7 11 2" xfId="20104"/>
    <cellStyle name="표준 27 7 11 2 2" xfId="40980"/>
    <cellStyle name="표준 27 7 11 3" xfId="32244"/>
    <cellStyle name="표준 27 7 12" xfId="12486"/>
    <cellStyle name="표준 27 7 12 2" xfId="33364"/>
    <cellStyle name="표준 27 7 13" xfId="24614"/>
    <cellStyle name="표준 27 7 2" xfId="3229"/>
    <cellStyle name="표준 27 7 2 10" xfId="11548"/>
    <cellStyle name="표준 27 7 2 10 2" xfId="20314"/>
    <cellStyle name="표준 27 7 2 10 2 2" xfId="41190"/>
    <cellStyle name="표준 27 7 2 10 3" xfId="32454"/>
    <cellStyle name="표준 27 7 2 11" xfId="12697"/>
    <cellStyle name="표준 27 7 2 11 2" xfId="33574"/>
    <cellStyle name="표준 27 7 2 12" xfId="24824"/>
    <cellStyle name="표준 27 7 2 2" xfId="3671"/>
    <cellStyle name="표준 27 7 2 2 2" xfId="5944"/>
    <cellStyle name="표준 27 7 2 2 2 2" xfId="14953"/>
    <cellStyle name="표준 27 7 2 2 2 2 2" xfId="35829"/>
    <cellStyle name="표준 27 7 2 2 2 3" xfId="27091"/>
    <cellStyle name="표준 27 7 2 2 3" xfId="13134"/>
    <cellStyle name="표준 27 7 2 2 3 2" xfId="34011"/>
    <cellStyle name="표준 27 7 2 2 4" xfId="25261"/>
    <cellStyle name="표준 27 7 2 3" xfId="4832"/>
    <cellStyle name="표준 27 7 2 3 2" xfId="6664"/>
    <cellStyle name="표준 27 7 2 3 2 2" xfId="15673"/>
    <cellStyle name="표준 27 7 2 3 2 2 2" xfId="36549"/>
    <cellStyle name="표준 27 7 2 3 2 3" xfId="27811"/>
    <cellStyle name="표준 27 7 2 3 3" xfId="13855"/>
    <cellStyle name="표준 27 7 2 3 3 2" xfId="34731"/>
    <cellStyle name="표준 27 7 2 3 4" xfId="25993"/>
    <cellStyle name="표준 27 7 2 4" xfId="5507"/>
    <cellStyle name="표준 27 7 2 4 2" xfId="14516"/>
    <cellStyle name="표준 27 7 2 4 2 2" xfId="35392"/>
    <cellStyle name="표준 27 7 2 4 3" xfId="26654"/>
    <cellStyle name="표준 27 7 2 5" xfId="7310"/>
    <cellStyle name="표준 27 7 2 5 2" xfId="16317"/>
    <cellStyle name="표준 27 7 2 5 2 2" xfId="37193"/>
    <cellStyle name="표준 27 7 2 5 3" xfId="28455"/>
    <cellStyle name="표준 27 7 2 6" xfId="7954"/>
    <cellStyle name="표준 27 7 2 6 2" xfId="16960"/>
    <cellStyle name="표준 27 7 2 6 2 2" xfId="37836"/>
    <cellStyle name="표준 27 7 2 6 3" xfId="29098"/>
    <cellStyle name="표준 27 7 2 7" xfId="8802"/>
    <cellStyle name="표준 27 7 2 7 2" xfId="17807"/>
    <cellStyle name="표준 27 7 2 7 2 2" xfId="38683"/>
    <cellStyle name="표준 27 7 2 7 3" xfId="29945"/>
    <cellStyle name="표준 27 7 2 8" xfId="9627"/>
    <cellStyle name="표준 27 7 2 8 2" xfId="18625"/>
    <cellStyle name="표준 27 7 2 8 2 2" xfId="39501"/>
    <cellStyle name="표준 27 7 2 8 3" xfId="30763"/>
    <cellStyle name="표준 27 7 2 9" xfId="10682"/>
    <cellStyle name="표준 27 7 2 9 2" xfId="19453"/>
    <cellStyle name="표준 27 7 2 9 2 2" xfId="40329"/>
    <cellStyle name="표준 27 7 2 9 3" xfId="31593"/>
    <cellStyle name="표준 27 7 3" xfId="3461"/>
    <cellStyle name="표준 27 7 3 10" xfId="12924"/>
    <cellStyle name="표준 27 7 3 10 2" xfId="33801"/>
    <cellStyle name="표준 27 7 3 11" xfId="25051"/>
    <cellStyle name="표준 27 7 3 2" xfId="5054"/>
    <cellStyle name="표준 27 7 3 2 2" xfId="6881"/>
    <cellStyle name="표준 27 7 3 2 2 2" xfId="15890"/>
    <cellStyle name="표준 27 7 3 2 2 2 2" xfId="36766"/>
    <cellStyle name="표준 27 7 3 2 2 3" xfId="28028"/>
    <cellStyle name="표준 27 7 3 2 3" xfId="14072"/>
    <cellStyle name="표준 27 7 3 2 3 2" xfId="34948"/>
    <cellStyle name="표준 27 7 3 2 4" xfId="26210"/>
    <cellStyle name="표준 27 7 3 3" xfId="5734"/>
    <cellStyle name="표준 27 7 3 3 2" xfId="14743"/>
    <cellStyle name="표준 27 7 3 3 2 2" xfId="35619"/>
    <cellStyle name="표준 27 7 3 3 3" xfId="26881"/>
    <cellStyle name="표준 27 7 3 4" xfId="7527"/>
    <cellStyle name="표준 27 7 3 4 2" xfId="16534"/>
    <cellStyle name="표준 27 7 3 4 2 2" xfId="37410"/>
    <cellStyle name="표준 27 7 3 4 3" xfId="28672"/>
    <cellStyle name="표준 27 7 3 5" xfId="8171"/>
    <cellStyle name="표준 27 7 3 5 2" xfId="17177"/>
    <cellStyle name="표준 27 7 3 5 2 2" xfId="38053"/>
    <cellStyle name="표준 27 7 3 5 3" xfId="29315"/>
    <cellStyle name="표준 27 7 3 6" xfId="9019"/>
    <cellStyle name="표준 27 7 3 6 2" xfId="18024"/>
    <cellStyle name="표준 27 7 3 6 2 2" xfId="38900"/>
    <cellStyle name="표준 27 7 3 6 3" xfId="30162"/>
    <cellStyle name="표준 27 7 3 7" xfId="9844"/>
    <cellStyle name="표준 27 7 3 7 2" xfId="18842"/>
    <cellStyle name="표준 27 7 3 7 2 2" xfId="39718"/>
    <cellStyle name="표준 27 7 3 7 3" xfId="30980"/>
    <cellStyle name="표준 27 7 3 8" xfId="10899"/>
    <cellStyle name="표준 27 7 3 8 2" xfId="19670"/>
    <cellStyle name="표준 27 7 3 8 2 2" xfId="40546"/>
    <cellStyle name="표준 27 7 3 8 3" xfId="31810"/>
    <cellStyle name="표준 27 7 3 9" xfId="11765"/>
    <cellStyle name="표준 27 7 3 9 2" xfId="20531"/>
    <cellStyle name="표준 27 7 3 9 2 2" xfId="41407"/>
    <cellStyle name="표준 27 7 3 9 3" xfId="32671"/>
    <cellStyle name="표준 27 7 4" xfId="4620"/>
    <cellStyle name="표준 27 7 4 2" xfId="6454"/>
    <cellStyle name="표준 27 7 4 2 2" xfId="15463"/>
    <cellStyle name="표준 27 7 4 2 2 2" xfId="36339"/>
    <cellStyle name="표준 27 7 4 2 3" xfId="27601"/>
    <cellStyle name="표준 27 7 4 3" xfId="11117"/>
    <cellStyle name="표준 27 7 4 3 2" xfId="19887"/>
    <cellStyle name="표준 27 7 4 3 2 2" xfId="40763"/>
    <cellStyle name="표준 27 7 4 3 3" xfId="32027"/>
    <cellStyle name="표준 27 7 4 4" xfId="11982"/>
    <cellStyle name="표준 27 7 4 4 2" xfId="20748"/>
    <cellStyle name="표준 27 7 4 4 2 2" xfId="41624"/>
    <cellStyle name="표준 27 7 4 4 3" xfId="32888"/>
    <cellStyle name="표준 27 7 4 5" xfId="13645"/>
    <cellStyle name="표준 27 7 4 5 2" xfId="34521"/>
    <cellStyle name="표준 27 7 4 6" xfId="25783"/>
    <cellStyle name="표준 27 7 5" xfId="5297"/>
    <cellStyle name="표준 27 7 5 2" xfId="14306"/>
    <cellStyle name="표준 27 7 5 2 2" xfId="35182"/>
    <cellStyle name="표준 27 7 5 3" xfId="26444"/>
    <cellStyle name="표준 27 7 6" xfId="7099"/>
    <cellStyle name="표준 27 7 6 2" xfId="16107"/>
    <cellStyle name="표준 27 7 6 2 2" xfId="36983"/>
    <cellStyle name="표준 27 7 6 3" xfId="28245"/>
    <cellStyle name="표준 27 7 7" xfId="7744"/>
    <cellStyle name="표준 27 7 7 2" xfId="16750"/>
    <cellStyle name="표준 27 7 7 2 2" xfId="37626"/>
    <cellStyle name="표준 27 7 7 3" xfId="28888"/>
    <cellStyle name="표준 27 7 8" xfId="8592"/>
    <cellStyle name="표준 27 7 8 2" xfId="17597"/>
    <cellStyle name="표준 27 7 8 2 2" xfId="38473"/>
    <cellStyle name="표준 27 7 8 3" xfId="29735"/>
    <cellStyle name="표준 27 7 9" xfId="9416"/>
    <cellStyle name="표준 27 7 9 2" xfId="18415"/>
    <cellStyle name="표준 27 7 9 2 2" xfId="39291"/>
    <cellStyle name="표준 27 7 9 3" xfId="30553"/>
    <cellStyle name="표준 27 8" xfId="3223"/>
    <cellStyle name="표준 27 8 10" xfId="11542"/>
    <cellStyle name="표준 27 8 10 2" xfId="20308"/>
    <cellStyle name="표준 27 8 10 2 2" xfId="41184"/>
    <cellStyle name="표준 27 8 10 3" xfId="32448"/>
    <cellStyle name="표준 27 8 11" xfId="12691"/>
    <cellStyle name="표준 27 8 11 2" xfId="33568"/>
    <cellStyle name="표준 27 8 12" xfId="24818"/>
    <cellStyle name="표준 27 8 2" xfId="3665"/>
    <cellStyle name="표준 27 8 2 2" xfId="5938"/>
    <cellStyle name="표준 27 8 2 2 2" xfId="14947"/>
    <cellStyle name="표준 27 8 2 2 2 2" xfId="35823"/>
    <cellStyle name="표준 27 8 2 2 3" xfId="27085"/>
    <cellStyle name="표준 27 8 2 3" xfId="13128"/>
    <cellStyle name="표준 27 8 2 3 2" xfId="34005"/>
    <cellStyle name="표준 27 8 2 4" xfId="25255"/>
    <cellStyle name="표준 27 8 3" xfId="4826"/>
    <cellStyle name="표준 27 8 3 2" xfId="6658"/>
    <cellStyle name="표준 27 8 3 2 2" xfId="15667"/>
    <cellStyle name="표준 27 8 3 2 2 2" xfId="36543"/>
    <cellStyle name="표준 27 8 3 2 3" xfId="27805"/>
    <cellStyle name="표준 27 8 3 3" xfId="13849"/>
    <cellStyle name="표준 27 8 3 3 2" xfId="34725"/>
    <cellStyle name="표준 27 8 3 4" xfId="25987"/>
    <cellStyle name="표준 27 8 4" xfId="5501"/>
    <cellStyle name="표준 27 8 4 2" xfId="14510"/>
    <cellStyle name="표준 27 8 4 2 2" xfId="35386"/>
    <cellStyle name="표준 27 8 4 3" xfId="26648"/>
    <cellStyle name="표준 27 8 5" xfId="7304"/>
    <cellStyle name="표준 27 8 5 2" xfId="16311"/>
    <cellStyle name="표준 27 8 5 2 2" xfId="37187"/>
    <cellStyle name="표준 27 8 5 3" xfId="28449"/>
    <cellStyle name="표준 27 8 6" xfId="7948"/>
    <cellStyle name="표준 27 8 6 2" xfId="16954"/>
    <cellStyle name="표준 27 8 6 2 2" xfId="37830"/>
    <cellStyle name="표준 27 8 6 3" xfId="29092"/>
    <cellStyle name="표준 27 8 7" xfId="8796"/>
    <cellStyle name="표준 27 8 7 2" xfId="17801"/>
    <cellStyle name="표준 27 8 7 2 2" xfId="38677"/>
    <cellStyle name="표준 27 8 7 3" xfId="29939"/>
    <cellStyle name="표준 27 8 8" xfId="9621"/>
    <cellStyle name="표준 27 8 8 2" xfId="18619"/>
    <cellStyle name="표준 27 8 8 2 2" xfId="39495"/>
    <cellStyle name="표준 27 8 8 3" xfId="30757"/>
    <cellStyle name="표준 27 8 9" xfId="10676"/>
    <cellStyle name="표준 27 8 9 2" xfId="19447"/>
    <cellStyle name="표준 27 8 9 2 2" xfId="40323"/>
    <cellStyle name="표준 27 8 9 3" xfId="31587"/>
    <cellStyle name="표준 27 9" xfId="3455"/>
    <cellStyle name="표준 27 9 10" xfId="12918"/>
    <cellStyle name="표준 27 9 10 2" xfId="33795"/>
    <cellStyle name="표준 27 9 11" xfId="25045"/>
    <cellStyle name="표준 27 9 2" xfId="5048"/>
    <cellStyle name="표준 27 9 2 2" xfId="6875"/>
    <cellStyle name="표준 27 9 2 2 2" xfId="15884"/>
    <cellStyle name="표준 27 9 2 2 2 2" xfId="36760"/>
    <cellStyle name="표준 27 9 2 2 3" xfId="28022"/>
    <cellStyle name="표준 27 9 2 3" xfId="14066"/>
    <cellStyle name="표준 27 9 2 3 2" xfId="34942"/>
    <cellStyle name="표준 27 9 2 4" xfId="26204"/>
    <cellStyle name="표준 27 9 3" xfId="5728"/>
    <cellStyle name="표준 27 9 3 2" xfId="14737"/>
    <cellStyle name="표준 27 9 3 2 2" xfId="35613"/>
    <cellStyle name="표준 27 9 3 3" xfId="26875"/>
    <cellStyle name="표준 27 9 4" xfId="7521"/>
    <cellStyle name="표준 27 9 4 2" xfId="16528"/>
    <cellStyle name="표준 27 9 4 2 2" xfId="37404"/>
    <cellStyle name="표준 27 9 4 3" xfId="28666"/>
    <cellStyle name="표준 27 9 5" xfId="8165"/>
    <cellStyle name="표준 27 9 5 2" xfId="17171"/>
    <cellStyle name="표준 27 9 5 2 2" xfId="38047"/>
    <cellStyle name="표준 27 9 5 3" xfId="29309"/>
    <cellStyle name="표준 27 9 6" xfId="9013"/>
    <cellStyle name="표준 27 9 6 2" xfId="18018"/>
    <cellStyle name="표준 27 9 6 2 2" xfId="38894"/>
    <cellStyle name="표준 27 9 6 3" xfId="30156"/>
    <cellStyle name="표준 27 9 7" xfId="9838"/>
    <cellStyle name="표준 27 9 7 2" xfId="18836"/>
    <cellStyle name="표준 27 9 7 2 2" xfId="39712"/>
    <cellStyle name="표준 27 9 7 3" xfId="30974"/>
    <cellStyle name="표준 27 9 8" xfId="10893"/>
    <cellStyle name="표준 27 9 8 2" xfId="19664"/>
    <cellStyle name="표준 27 9 8 2 2" xfId="40540"/>
    <cellStyle name="표준 27 9 8 3" xfId="31804"/>
    <cellStyle name="표준 27 9 9" xfId="11759"/>
    <cellStyle name="표준 27 9 9 2" xfId="20525"/>
    <cellStyle name="표준 27 9 9 2 2" xfId="41401"/>
    <cellStyle name="표준 27 9 9 3" xfId="32665"/>
    <cellStyle name="표준 28" xfId="3012"/>
    <cellStyle name="표준 28 10" xfId="4621"/>
    <cellStyle name="표준 28 10 2" xfId="6455"/>
    <cellStyle name="표준 28 10 2 2" xfId="15464"/>
    <cellStyle name="표준 28 10 2 2 2" xfId="36340"/>
    <cellStyle name="표준 28 10 2 3" xfId="27602"/>
    <cellStyle name="표준 28 10 3" xfId="11118"/>
    <cellStyle name="표준 28 10 3 2" xfId="19888"/>
    <cellStyle name="표준 28 10 3 2 2" xfId="40764"/>
    <cellStyle name="표준 28 10 3 3" xfId="32028"/>
    <cellStyle name="표준 28 10 4" xfId="11983"/>
    <cellStyle name="표준 28 10 4 2" xfId="20749"/>
    <cellStyle name="표준 28 10 4 2 2" xfId="41625"/>
    <cellStyle name="표준 28 10 4 3" xfId="32889"/>
    <cellStyle name="표준 28 10 5" xfId="13646"/>
    <cellStyle name="표준 28 10 5 2" xfId="34522"/>
    <cellStyle name="표준 28 10 6" xfId="25784"/>
    <cellStyle name="표준 28 11" xfId="5298"/>
    <cellStyle name="표준 28 11 2" xfId="14307"/>
    <cellStyle name="표준 28 11 2 2" xfId="35183"/>
    <cellStyle name="표준 28 11 3" xfId="26445"/>
    <cellStyle name="표준 28 12" xfId="7100"/>
    <cellStyle name="표준 28 12 2" xfId="16108"/>
    <cellStyle name="표준 28 12 2 2" xfId="36984"/>
    <cellStyle name="표준 28 12 3" xfId="28246"/>
    <cellStyle name="표준 28 13" xfId="7745"/>
    <cellStyle name="표준 28 13 2" xfId="16751"/>
    <cellStyle name="표준 28 13 2 2" xfId="37627"/>
    <cellStyle name="표준 28 13 3" xfId="28889"/>
    <cellStyle name="표준 28 14" xfId="8593"/>
    <cellStyle name="표준 28 14 2" xfId="17598"/>
    <cellStyle name="표준 28 14 2 2" xfId="38474"/>
    <cellStyle name="표준 28 14 3" xfId="29736"/>
    <cellStyle name="표준 28 15" xfId="9417"/>
    <cellStyle name="표준 28 15 2" xfId="18416"/>
    <cellStyle name="표준 28 15 2 2" xfId="39292"/>
    <cellStyle name="표준 28 15 3" xfId="30554"/>
    <cellStyle name="표준 28 16" xfId="10473"/>
    <cellStyle name="표준 28 16 2" xfId="19244"/>
    <cellStyle name="표준 28 16 2 2" xfId="40120"/>
    <cellStyle name="표준 28 16 3" xfId="31384"/>
    <cellStyle name="표준 28 17" xfId="11339"/>
    <cellStyle name="표준 28 17 2" xfId="20105"/>
    <cellStyle name="표준 28 17 2 2" xfId="40981"/>
    <cellStyle name="표준 28 17 3" xfId="32245"/>
    <cellStyle name="표준 28 18" xfId="12487"/>
    <cellStyle name="표준 28 18 2" xfId="33365"/>
    <cellStyle name="표준 28 19" xfId="24615"/>
    <cellStyle name="표준 28 2" xfId="3013"/>
    <cellStyle name="표준 28 2 10" xfId="10474"/>
    <cellStyle name="표준 28 2 10 2" xfId="19245"/>
    <cellStyle name="표준 28 2 10 2 2" xfId="40121"/>
    <cellStyle name="표준 28 2 10 3" xfId="31385"/>
    <cellStyle name="표준 28 2 11" xfId="11340"/>
    <cellStyle name="표준 28 2 11 2" xfId="20106"/>
    <cellStyle name="표준 28 2 11 2 2" xfId="40982"/>
    <cellStyle name="표준 28 2 11 3" xfId="32246"/>
    <cellStyle name="표준 28 2 12" xfId="12488"/>
    <cellStyle name="표준 28 2 12 2" xfId="33366"/>
    <cellStyle name="표준 28 2 13" xfId="24616"/>
    <cellStyle name="표준 28 2 2" xfId="3231"/>
    <cellStyle name="표준 28 2 2 10" xfId="11550"/>
    <cellStyle name="표준 28 2 2 10 2" xfId="20316"/>
    <cellStyle name="표준 28 2 2 10 2 2" xfId="41192"/>
    <cellStyle name="표준 28 2 2 10 3" xfId="32456"/>
    <cellStyle name="표준 28 2 2 11" xfId="12699"/>
    <cellStyle name="표준 28 2 2 11 2" xfId="33576"/>
    <cellStyle name="표준 28 2 2 12" xfId="24826"/>
    <cellStyle name="표준 28 2 2 2" xfId="3673"/>
    <cellStyle name="표준 28 2 2 2 2" xfId="5946"/>
    <cellStyle name="표준 28 2 2 2 2 2" xfId="14955"/>
    <cellStyle name="표준 28 2 2 2 2 2 2" xfId="35831"/>
    <cellStyle name="표준 28 2 2 2 2 3" xfId="27093"/>
    <cellStyle name="표준 28 2 2 2 3" xfId="13136"/>
    <cellStyle name="표준 28 2 2 2 3 2" xfId="34013"/>
    <cellStyle name="표준 28 2 2 2 4" xfId="25263"/>
    <cellStyle name="표준 28 2 2 3" xfId="4834"/>
    <cellStyle name="표준 28 2 2 3 2" xfId="6666"/>
    <cellStyle name="표준 28 2 2 3 2 2" xfId="15675"/>
    <cellStyle name="표준 28 2 2 3 2 2 2" xfId="36551"/>
    <cellStyle name="표준 28 2 2 3 2 3" xfId="27813"/>
    <cellStyle name="표준 28 2 2 3 3" xfId="13857"/>
    <cellStyle name="표준 28 2 2 3 3 2" xfId="34733"/>
    <cellStyle name="표준 28 2 2 3 4" xfId="25995"/>
    <cellStyle name="표준 28 2 2 4" xfId="5509"/>
    <cellStyle name="표준 28 2 2 4 2" xfId="14518"/>
    <cellStyle name="표준 28 2 2 4 2 2" xfId="35394"/>
    <cellStyle name="표준 28 2 2 4 3" xfId="26656"/>
    <cellStyle name="표준 28 2 2 5" xfId="7312"/>
    <cellStyle name="표준 28 2 2 5 2" xfId="16319"/>
    <cellStyle name="표준 28 2 2 5 2 2" xfId="37195"/>
    <cellStyle name="표준 28 2 2 5 3" xfId="28457"/>
    <cellStyle name="표준 28 2 2 6" xfId="7956"/>
    <cellStyle name="표준 28 2 2 6 2" xfId="16962"/>
    <cellStyle name="표준 28 2 2 6 2 2" xfId="37838"/>
    <cellStyle name="표준 28 2 2 6 3" xfId="29100"/>
    <cellStyle name="표준 28 2 2 7" xfId="8804"/>
    <cellStyle name="표준 28 2 2 7 2" xfId="17809"/>
    <cellStyle name="표준 28 2 2 7 2 2" xfId="38685"/>
    <cellStyle name="표준 28 2 2 7 3" xfId="29947"/>
    <cellStyle name="표준 28 2 2 8" xfId="9629"/>
    <cellStyle name="표준 28 2 2 8 2" xfId="18627"/>
    <cellStyle name="표준 28 2 2 8 2 2" xfId="39503"/>
    <cellStyle name="표준 28 2 2 8 3" xfId="30765"/>
    <cellStyle name="표준 28 2 2 9" xfId="10684"/>
    <cellStyle name="표준 28 2 2 9 2" xfId="19455"/>
    <cellStyle name="표준 28 2 2 9 2 2" xfId="40331"/>
    <cellStyle name="표준 28 2 2 9 3" xfId="31595"/>
    <cellStyle name="표준 28 2 3" xfId="3463"/>
    <cellStyle name="표준 28 2 3 10" xfId="12926"/>
    <cellStyle name="표준 28 2 3 10 2" xfId="33803"/>
    <cellStyle name="표준 28 2 3 11" xfId="25053"/>
    <cellStyle name="표준 28 2 3 2" xfId="5056"/>
    <cellStyle name="표준 28 2 3 2 2" xfId="6883"/>
    <cellStyle name="표준 28 2 3 2 2 2" xfId="15892"/>
    <cellStyle name="표준 28 2 3 2 2 2 2" xfId="36768"/>
    <cellStyle name="표준 28 2 3 2 2 3" xfId="28030"/>
    <cellStyle name="표준 28 2 3 2 3" xfId="14074"/>
    <cellStyle name="표준 28 2 3 2 3 2" xfId="34950"/>
    <cellStyle name="표준 28 2 3 2 4" xfId="26212"/>
    <cellStyle name="표준 28 2 3 3" xfId="5736"/>
    <cellStyle name="표준 28 2 3 3 2" xfId="14745"/>
    <cellStyle name="표준 28 2 3 3 2 2" xfId="35621"/>
    <cellStyle name="표준 28 2 3 3 3" xfId="26883"/>
    <cellStyle name="표준 28 2 3 4" xfId="7529"/>
    <cellStyle name="표준 28 2 3 4 2" xfId="16536"/>
    <cellStyle name="표준 28 2 3 4 2 2" xfId="37412"/>
    <cellStyle name="표준 28 2 3 4 3" xfId="28674"/>
    <cellStyle name="표준 28 2 3 5" xfId="8173"/>
    <cellStyle name="표준 28 2 3 5 2" xfId="17179"/>
    <cellStyle name="표준 28 2 3 5 2 2" xfId="38055"/>
    <cellStyle name="표준 28 2 3 5 3" xfId="29317"/>
    <cellStyle name="표준 28 2 3 6" xfId="9021"/>
    <cellStyle name="표준 28 2 3 6 2" xfId="18026"/>
    <cellStyle name="표준 28 2 3 6 2 2" xfId="38902"/>
    <cellStyle name="표준 28 2 3 6 3" xfId="30164"/>
    <cellStyle name="표준 28 2 3 7" xfId="9846"/>
    <cellStyle name="표준 28 2 3 7 2" xfId="18844"/>
    <cellStyle name="표준 28 2 3 7 2 2" xfId="39720"/>
    <cellStyle name="표준 28 2 3 7 3" xfId="30982"/>
    <cellStyle name="표준 28 2 3 8" xfId="10901"/>
    <cellStyle name="표준 28 2 3 8 2" xfId="19672"/>
    <cellStyle name="표준 28 2 3 8 2 2" xfId="40548"/>
    <cellStyle name="표준 28 2 3 8 3" xfId="31812"/>
    <cellStyle name="표준 28 2 3 9" xfId="11767"/>
    <cellStyle name="표준 28 2 3 9 2" xfId="20533"/>
    <cellStyle name="표준 28 2 3 9 2 2" xfId="41409"/>
    <cellStyle name="표준 28 2 3 9 3" xfId="32673"/>
    <cellStyle name="표준 28 2 4" xfId="4622"/>
    <cellStyle name="표준 28 2 4 2" xfId="6456"/>
    <cellStyle name="표준 28 2 4 2 2" xfId="15465"/>
    <cellStyle name="표준 28 2 4 2 2 2" xfId="36341"/>
    <cellStyle name="표준 28 2 4 2 3" xfId="27603"/>
    <cellStyle name="표준 28 2 4 3" xfId="11119"/>
    <cellStyle name="표준 28 2 4 3 2" xfId="19889"/>
    <cellStyle name="표준 28 2 4 3 2 2" xfId="40765"/>
    <cellStyle name="표준 28 2 4 3 3" xfId="32029"/>
    <cellStyle name="표준 28 2 4 4" xfId="11984"/>
    <cellStyle name="표준 28 2 4 4 2" xfId="20750"/>
    <cellStyle name="표준 28 2 4 4 2 2" xfId="41626"/>
    <cellStyle name="표준 28 2 4 4 3" xfId="32890"/>
    <cellStyle name="표준 28 2 4 5" xfId="13647"/>
    <cellStyle name="표준 28 2 4 5 2" xfId="34523"/>
    <cellStyle name="표준 28 2 4 6" xfId="25785"/>
    <cellStyle name="표준 28 2 5" xfId="5299"/>
    <cellStyle name="표준 28 2 5 2" xfId="14308"/>
    <cellStyle name="표준 28 2 5 2 2" xfId="35184"/>
    <cellStyle name="표준 28 2 5 3" xfId="26446"/>
    <cellStyle name="표준 28 2 6" xfId="7101"/>
    <cellStyle name="표준 28 2 6 2" xfId="16109"/>
    <cellStyle name="표준 28 2 6 2 2" xfId="36985"/>
    <cellStyle name="표준 28 2 6 3" xfId="28247"/>
    <cellStyle name="표준 28 2 7" xfId="7746"/>
    <cellStyle name="표준 28 2 7 2" xfId="16752"/>
    <cellStyle name="표준 28 2 7 2 2" xfId="37628"/>
    <cellStyle name="표준 28 2 7 3" xfId="28890"/>
    <cellStyle name="표준 28 2 8" xfId="8594"/>
    <cellStyle name="표준 28 2 8 2" xfId="17599"/>
    <cellStyle name="표준 28 2 8 2 2" xfId="38475"/>
    <cellStyle name="표준 28 2 8 3" xfId="29737"/>
    <cellStyle name="표준 28 2 9" xfId="9418"/>
    <cellStyle name="표준 28 2 9 2" xfId="18417"/>
    <cellStyle name="표준 28 2 9 2 2" xfId="39293"/>
    <cellStyle name="표준 28 2 9 3" xfId="30555"/>
    <cellStyle name="표준 28 3" xfId="3014"/>
    <cellStyle name="표준 28 3 10" xfId="10475"/>
    <cellStyle name="표준 28 3 10 2" xfId="19246"/>
    <cellStyle name="표준 28 3 10 2 2" xfId="40122"/>
    <cellStyle name="표준 28 3 10 3" xfId="31386"/>
    <cellStyle name="표준 28 3 11" xfId="11341"/>
    <cellStyle name="표준 28 3 11 2" xfId="20107"/>
    <cellStyle name="표준 28 3 11 2 2" xfId="40983"/>
    <cellStyle name="표준 28 3 11 3" xfId="32247"/>
    <cellStyle name="표준 28 3 12" xfId="12489"/>
    <cellStyle name="표준 28 3 12 2" xfId="33367"/>
    <cellStyle name="표준 28 3 13" xfId="24617"/>
    <cellStyle name="표준 28 3 2" xfId="3232"/>
    <cellStyle name="표준 28 3 2 10" xfId="11551"/>
    <cellStyle name="표준 28 3 2 10 2" xfId="20317"/>
    <cellStyle name="표준 28 3 2 10 2 2" xfId="41193"/>
    <cellStyle name="표준 28 3 2 10 3" xfId="32457"/>
    <cellStyle name="표준 28 3 2 11" xfId="12700"/>
    <cellStyle name="표준 28 3 2 11 2" xfId="33577"/>
    <cellStyle name="표준 28 3 2 12" xfId="24827"/>
    <cellStyle name="표준 28 3 2 2" xfId="3674"/>
    <cellStyle name="표준 28 3 2 2 2" xfId="5947"/>
    <cellStyle name="표준 28 3 2 2 2 2" xfId="14956"/>
    <cellStyle name="표준 28 3 2 2 2 2 2" xfId="35832"/>
    <cellStyle name="표준 28 3 2 2 2 3" xfId="27094"/>
    <cellStyle name="표준 28 3 2 2 3" xfId="13137"/>
    <cellStyle name="표준 28 3 2 2 3 2" xfId="34014"/>
    <cellStyle name="표준 28 3 2 2 4" xfId="25264"/>
    <cellStyle name="표준 28 3 2 3" xfId="4835"/>
    <cellStyle name="표준 28 3 2 3 2" xfId="6667"/>
    <cellStyle name="표준 28 3 2 3 2 2" xfId="15676"/>
    <cellStyle name="표준 28 3 2 3 2 2 2" xfId="36552"/>
    <cellStyle name="표준 28 3 2 3 2 3" xfId="27814"/>
    <cellStyle name="표준 28 3 2 3 3" xfId="13858"/>
    <cellStyle name="표준 28 3 2 3 3 2" xfId="34734"/>
    <cellStyle name="표준 28 3 2 3 4" xfId="25996"/>
    <cellStyle name="표준 28 3 2 4" xfId="5510"/>
    <cellStyle name="표준 28 3 2 4 2" xfId="14519"/>
    <cellStyle name="표준 28 3 2 4 2 2" xfId="35395"/>
    <cellStyle name="표준 28 3 2 4 3" xfId="26657"/>
    <cellStyle name="표준 28 3 2 5" xfId="7313"/>
    <cellStyle name="표준 28 3 2 5 2" xfId="16320"/>
    <cellStyle name="표준 28 3 2 5 2 2" xfId="37196"/>
    <cellStyle name="표준 28 3 2 5 3" xfId="28458"/>
    <cellStyle name="표준 28 3 2 6" xfId="7957"/>
    <cellStyle name="표준 28 3 2 6 2" xfId="16963"/>
    <cellStyle name="표준 28 3 2 6 2 2" xfId="37839"/>
    <cellStyle name="표준 28 3 2 6 3" xfId="29101"/>
    <cellStyle name="표준 28 3 2 7" xfId="8805"/>
    <cellStyle name="표준 28 3 2 7 2" xfId="17810"/>
    <cellStyle name="표준 28 3 2 7 2 2" xfId="38686"/>
    <cellStyle name="표준 28 3 2 7 3" xfId="29948"/>
    <cellStyle name="표준 28 3 2 8" xfId="9630"/>
    <cellStyle name="표준 28 3 2 8 2" xfId="18628"/>
    <cellStyle name="표준 28 3 2 8 2 2" xfId="39504"/>
    <cellStyle name="표준 28 3 2 8 3" xfId="30766"/>
    <cellStyle name="표준 28 3 2 9" xfId="10685"/>
    <cellStyle name="표준 28 3 2 9 2" xfId="19456"/>
    <cellStyle name="표준 28 3 2 9 2 2" xfId="40332"/>
    <cellStyle name="표준 28 3 2 9 3" xfId="31596"/>
    <cellStyle name="표준 28 3 3" xfId="3464"/>
    <cellStyle name="표준 28 3 3 10" xfId="12927"/>
    <cellStyle name="표준 28 3 3 10 2" xfId="33804"/>
    <cellStyle name="표준 28 3 3 11" xfId="25054"/>
    <cellStyle name="표준 28 3 3 2" xfId="5057"/>
    <cellStyle name="표준 28 3 3 2 2" xfId="6884"/>
    <cellStyle name="표준 28 3 3 2 2 2" xfId="15893"/>
    <cellStyle name="표준 28 3 3 2 2 2 2" xfId="36769"/>
    <cellStyle name="표준 28 3 3 2 2 3" xfId="28031"/>
    <cellStyle name="표준 28 3 3 2 3" xfId="14075"/>
    <cellStyle name="표준 28 3 3 2 3 2" xfId="34951"/>
    <cellStyle name="표준 28 3 3 2 4" xfId="26213"/>
    <cellStyle name="표준 28 3 3 3" xfId="5737"/>
    <cellStyle name="표준 28 3 3 3 2" xfId="14746"/>
    <cellStyle name="표준 28 3 3 3 2 2" xfId="35622"/>
    <cellStyle name="표준 28 3 3 3 3" xfId="26884"/>
    <cellStyle name="표준 28 3 3 4" xfId="7530"/>
    <cellStyle name="표준 28 3 3 4 2" xfId="16537"/>
    <cellStyle name="표준 28 3 3 4 2 2" xfId="37413"/>
    <cellStyle name="표준 28 3 3 4 3" xfId="28675"/>
    <cellStyle name="표준 28 3 3 5" xfId="8174"/>
    <cellStyle name="표준 28 3 3 5 2" xfId="17180"/>
    <cellStyle name="표준 28 3 3 5 2 2" xfId="38056"/>
    <cellStyle name="표준 28 3 3 5 3" xfId="29318"/>
    <cellStyle name="표준 28 3 3 6" xfId="9022"/>
    <cellStyle name="표준 28 3 3 6 2" xfId="18027"/>
    <cellStyle name="표준 28 3 3 6 2 2" xfId="38903"/>
    <cellStyle name="표준 28 3 3 6 3" xfId="30165"/>
    <cellStyle name="표준 28 3 3 7" xfId="9847"/>
    <cellStyle name="표준 28 3 3 7 2" xfId="18845"/>
    <cellStyle name="표준 28 3 3 7 2 2" xfId="39721"/>
    <cellStyle name="표준 28 3 3 7 3" xfId="30983"/>
    <cellStyle name="표준 28 3 3 8" xfId="10902"/>
    <cellStyle name="표준 28 3 3 8 2" xfId="19673"/>
    <cellStyle name="표준 28 3 3 8 2 2" xfId="40549"/>
    <cellStyle name="표준 28 3 3 8 3" xfId="31813"/>
    <cellStyle name="표준 28 3 3 9" xfId="11768"/>
    <cellStyle name="표준 28 3 3 9 2" xfId="20534"/>
    <cellStyle name="표준 28 3 3 9 2 2" xfId="41410"/>
    <cellStyle name="표준 28 3 3 9 3" xfId="32674"/>
    <cellStyle name="표준 28 3 4" xfId="4623"/>
    <cellStyle name="표준 28 3 4 2" xfId="6457"/>
    <cellStyle name="표준 28 3 4 2 2" xfId="15466"/>
    <cellStyle name="표준 28 3 4 2 2 2" xfId="36342"/>
    <cellStyle name="표준 28 3 4 2 3" xfId="27604"/>
    <cellStyle name="표준 28 3 4 3" xfId="11120"/>
    <cellStyle name="표준 28 3 4 3 2" xfId="19890"/>
    <cellStyle name="표준 28 3 4 3 2 2" xfId="40766"/>
    <cellStyle name="표준 28 3 4 3 3" xfId="32030"/>
    <cellStyle name="표준 28 3 4 4" xfId="11985"/>
    <cellStyle name="표준 28 3 4 4 2" xfId="20751"/>
    <cellStyle name="표준 28 3 4 4 2 2" xfId="41627"/>
    <cellStyle name="표준 28 3 4 4 3" xfId="32891"/>
    <cellStyle name="표준 28 3 4 5" xfId="13648"/>
    <cellStyle name="표준 28 3 4 5 2" xfId="34524"/>
    <cellStyle name="표준 28 3 4 6" xfId="25786"/>
    <cellStyle name="표준 28 3 5" xfId="5300"/>
    <cellStyle name="표준 28 3 5 2" xfId="14309"/>
    <cellStyle name="표준 28 3 5 2 2" xfId="35185"/>
    <cellStyle name="표준 28 3 5 3" xfId="26447"/>
    <cellStyle name="표준 28 3 6" xfId="7102"/>
    <cellStyle name="표준 28 3 6 2" xfId="16110"/>
    <cellStyle name="표준 28 3 6 2 2" xfId="36986"/>
    <cellStyle name="표준 28 3 6 3" xfId="28248"/>
    <cellStyle name="표준 28 3 7" xfId="7747"/>
    <cellStyle name="표준 28 3 7 2" xfId="16753"/>
    <cellStyle name="표준 28 3 7 2 2" xfId="37629"/>
    <cellStyle name="표준 28 3 7 3" xfId="28891"/>
    <cellStyle name="표준 28 3 8" xfId="8595"/>
    <cellStyle name="표준 28 3 8 2" xfId="17600"/>
    <cellStyle name="표준 28 3 8 2 2" xfId="38476"/>
    <cellStyle name="표준 28 3 8 3" xfId="29738"/>
    <cellStyle name="표준 28 3 9" xfId="9419"/>
    <cellStyle name="표준 28 3 9 2" xfId="18418"/>
    <cellStyle name="표준 28 3 9 2 2" xfId="39294"/>
    <cellStyle name="표준 28 3 9 3" xfId="30556"/>
    <cellStyle name="표준 28 4" xfId="3015"/>
    <cellStyle name="표준 28 4 10" xfId="10476"/>
    <cellStyle name="표준 28 4 10 2" xfId="19247"/>
    <cellStyle name="표준 28 4 10 2 2" xfId="40123"/>
    <cellStyle name="표준 28 4 10 3" xfId="31387"/>
    <cellStyle name="표준 28 4 11" xfId="11342"/>
    <cellStyle name="표준 28 4 11 2" xfId="20108"/>
    <cellStyle name="표준 28 4 11 2 2" xfId="40984"/>
    <cellStyle name="표준 28 4 11 3" xfId="32248"/>
    <cellStyle name="표준 28 4 12" xfId="12490"/>
    <cellStyle name="표준 28 4 12 2" xfId="33368"/>
    <cellStyle name="표준 28 4 13" xfId="24618"/>
    <cellStyle name="표준 28 4 2" xfId="3233"/>
    <cellStyle name="표준 28 4 2 10" xfId="11552"/>
    <cellStyle name="표준 28 4 2 10 2" xfId="20318"/>
    <cellStyle name="표준 28 4 2 10 2 2" xfId="41194"/>
    <cellStyle name="표준 28 4 2 10 3" xfId="32458"/>
    <cellStyle name="표준 28 4 2 11" xfId="12701"/>
    <cellStyle name="표준 28 4 2 11 2" xfId="33578"/>
    <cellStyle name="표준 28 4 2 12" xfId="24828"/>
    <cellStyle name="표준 28 4 2 2" xfId="3675"/>
    <cellStyle name="표준 28 4 2 2 2" xfId="5948"/>
    <cellStyle name="표준 28 4 2 2 2 2" xfId="14957"/>
    <cellStyle name="표준 28 4 2 2 2 2 2" xfId="35833"/>
    <cellStyle name="표준 28 4 2 2 2 3" xfId="27095"/>
    <cellStyle name="표준 28 4 2 2 3" xfId="13138"/>
    <cellStyle name="표준 28 4 2 2 3 2" xfId="34015"/>
    <cellStyle name="표준 28 4 2 2 4" xfId="25265"/>
    <cellStyle name="표준 28 4 2 3" xfId="4836"/>
    <cellStyle name="표준 28 4 2 3 2" xfId="6668"/>
    <cellStyle name="표준 28 4 2 3 2 2" xfId="15677"/>
    <cellStyle name="표준 28 4 2 3 2 2 2" xfId="36553"/>
    <cellStyle name="표준 28 4 2 3 2 3" xfId="27815"/>
    <cellStyle name="표준 28 4 2 3 3" xfId="13859"/>
    <cellStyle name="표준 28 4 2 3 3 2" xfId="34735"/>
    <cellStyle name="표준 28 4 2 3 4" xfId="25997"/>
    <cellStyle name="표준 28 4 2 4" xfId="5511"/>
    <cellStyle name="표준 28 4 2 4 2" xfId="14520"/>
    <cellStyle name="표준 28 4 2 4 2 2" xfId="35396"/>
    <cellStyle name="표준 28 4 2 4 3" xfId="26658"/>
    <cellStyle name="표준 28 4 2 5" xfId="7314"/>
    <cellStyle name="표준 28 4 2 5 2" xfId="16321"/>
    <cellStyle name="표준 28 4 2 5 2 2" xfId="37197"/>
    <cellStyle name="표준 28 4 2 5 3" xfId="28459"/>
    <cellStyle name="표준 28 4 2 6" xfId="7958"/>
    <cellStyle name="표준 28 4 2 6 2" xfId="16964"/>
    <cellStyle name="표준 28 4 2 6 2 2" xfId="37840"/>
    <cellStyle name="표준 28 4 2 6 3" xfId="29102"/>
    <cellStyle name="표준 28 4 2 7" xfId="8806"/>
    <cellStyle name="표준 28 4 2 7 2" xfId="17811"/>
    <cellStyle name="표준 28 4 2 7 2 2" xfId="38687"/>
    <cellStyle name="표준 28 4 2 7 3" xfId="29949"/>
    <cellStyle name="표준 28 4 2 8" xfId="9631"/>
    <cellStyle name="표준 28 4 2 8 2" xfId="18629"/>
    <cellStyle name="표준 28 4 2 8 2 2" xfId="39505"/>
    <cellStyle name="표준 28 4 2 8 3" xfId="30767"/>
    <cellStyle name="표준 28 4 2 9" xfId="10686"/>
    <cellStyle name="표준 28 4 2 9 2" xfId="19457"/>
    <cellStyle name="표준 28 4 2 9 2 2" xfId="40333"/>
    <cellStyle name="표준 28 4 2 9 3" xfId="31597"/>
    <cellStyle name="표준 28 4 3" xfId="3465"/>
    <cellStyle name="표준 28 4 3 10" xfId="12928"/>
    <cellStyle name="표준 28 4 3 10 2" xfId="33805"/>
    <cellStyle name="표준 28 4 3 11" xfId="25055"/>
    <cellStyle name="표준 28 4 3 2" xfId="5058"/>
    <cellStyle name="표준 28 4 3 2 2" xfId="6885"/>
    <cellStyle name="표준 28 4 3 2 2 2" xfId="15894"/>
    <cellStyle name="표준 28 4 3 2 2 2 2" xfId="36770"/>
    <cellStyle name="표준 28 4 3 2 2 3" xfId="28032"/>
    <cellStyle name="표준 28 4 3 2 3" xfId="14076"/>
    <cellStyle name="표준 28 4 3 2 3 2" xfId="34952"/>
    <cellStyle name="표준 28 4 3 2 4" xfId="26214"/>
    <cellStyle name="표준 28 4 3 3" xfId="5738"/>
    <cellStyle name="표준 28 4 3 3 2" xfId="14747"/>
    <cellStyle name="표준 28 4 3 3 2 2" xfId="35623"/>
    <cellStyle name="표준 28 4 3 3 3" xfId="26885"/>
    <cellStyle name="표준 28 4 3 4" xfId="7531"/>
    <cellStyle name="표준 28 4 3 4 2" xfId="16538"/>
    <cellStyle name="표준 28 4 3 4 2 2" xfId="37414"/>
    <cellStyle name="표준 28 4 3 4 3" xfId="28676"/>
    <cellStyle name="표준 28 4 3 5" xfId="8175"/>
    <cellStyle name="표준 28 4 3 5 2" xfId="17181"/>
    <cellStyle name="표준 28 4 3 5 2 2" xfId="38057"/>
    <cellStyle name="표준 28 4 3 5 3" xfId="29319"/>
    <cellStyle name="표준 28 4 3 6" xfId="9023"/>
    <cellStyle name="표준 28 4 3 6 2" xfId="18028"/>
    <cellStyle name="표준 28 4 3 6 2 2" xfId="38904"/>
    <cellStyle name="표준 28 4 3 6 3" xfId="30166"/>
    <cellStyle name="표준 28 4 3 7" xfId="9848"/>
    <cellStyle name="표준 28 4 3 7 2" xfId="18846"/>
    <cellStyle name="표준 28 4 3 7 2 2" xfId="39722"/>
    <cellStyle name="표준 28 4 3 7 3" xfId="30984"/>
    <cellStyle name="표준 28 4 3 8" xfId="10903"/>
    <cellStyle name="표준 28 4 3 8 2" xfId="19674"/>
    <cellStyle name="표준 28 4 3 8 2 2" xfId="40550"/>
    <cellStyle name="표준 28 4 3 8 3" xfId="31814"/>
    <cellStyle name="표준 28 4 3 9" xfId="11769"/>
    <cellStyle name="표준 28 4 3 9 2" xfId="20535"/>
    <cellStyle name="표준 28 4 3 9 2 2" xfId="41411"/>
    <cellStyle name="표준 28 4 3 9 3" xfId="32675"/>
    <cellStyle name="표준 28 4 4" xfId="4624"/>
    <cellStyle name="표준 28 4 4 2" xfId="6458"/>
    <cellStyle name="표준 28 4 4 2 2" xfId="15467"/>
    <cellStyle name="표준 28 4 4 2 2 2" xfId="36343"/>
    <cellStyle name="표준 28 4 4 2 3" xfId="27605"/>
    <cellStyle name="표준 28 4 4 3" xfId="11121"/>
    <cellStyle name="표준 28 4 4 3 2" xfId="19891"/>
    <cellStyle name="표준 28 4 4 3 2 2" xfId="40767"/>
    <cellStyle name="표준 28 4 4 3 3" xfId="32031"/>
    <cellStyle name="표준 28 4 4 4" xfId="11986"/>
    <cellStyle name="표준 28 4 4 4 2" xfId="20752"/>
    <cellStyle name="표준 28 4 4 4 2 2" xfId="41628"/>
    <cellStyle name="표준 28 4 4 4 3" xfId="32892"/>
    <cellStyle name="표준 28 4 4 5" xfId="13649"/>
    <cellStyle name="표준 28 4 4 5 2" xfId="34525"/>
    <cellStyle name="표준 28 4 4 6" xfId="25787"/>
    <cellStyle name="표준 28 4 5" xfId="5301"/>
    <cellStyle name="표준 28 4 5 2" xfId="14310"/>
    <cellStyle name="표준 28 4 5 2 2" xfId="35186"/>
    <cellStyle name="표준 28 4 5 3" xfId="26448"/>
    <cellStyle name="표준 28 4 6" xfId="7103"/>
    <cellStyle name="표준 28 4 6 2" xfId="16111"/>
    <cellStyle name="표준 28 4 6 2 2" xfId="36987"/>
    <cellStyle name="표준 28 4 6 3" xfId="28249"/>
    <cellStyle name="표준 28 4 7" xfId="7748"/>
    <cellStyle name="표준 28 4 7 2" xfId="16754"/>
    <cellStyle name="표준 28 4 7 2 2" xfId="37630"/>
    <cellStyle name="표준 28 4 7 3" xfId="28892"/>
    <cellStyle name="표준 28 4 8" xfId="8596"/>
    <cellStyle name="표준 28 4 8 2" xfId="17601"/>
    <cellStyle name="표준 28 4 8 2 2" xfId="38477"/>
    <cellStyle name="표준 28 4 8 3" xfId="29739"/>
    <cellStyle name="표준 28 4 9" xfId="9420"/>
    <cellStyle name="표준 28 4 9 2" xfId="18419"/>
    <cellStyle name="표준 28 4 9 2 2" xfId="39295"/>
    <cellStyle name="표준 28 4 9 3" xfId="30557"/>
    <cellStyle name="표준 28 5" xfId="3016"/>
    <cellStyle name="표준 28 5 10" xfId="10477"/>
    <cellStyle name="표준 28 5 10 2" xfId="19248"/>
    <cellStyle name="표준 28 5 10 2 2" xfId="40124"/>
    <cellStyle name="표준 28 5 10 3" xfId="31388"/>
    <cellStyle name="표준 28 5 11" xfId="11343"/>
    <cellStyle name="표준 28 5 11 2" xfId="20109"/>
    <cellStyle name="표준 28 5 11 2 2" xfId="40985"/>
    <cellStyle name="표준 28 5 11 3" xfId="32249"/>
    <cellStyle name="표준 28 5 12" xfId="12491"/>
    <cellStyle name="표준 28 5 12 2" xfId="33369"/>
    <cellStyle name="표준 28 5 13" xfId="24619"/>
    <cellStyle name="표준 28 5 2" xfId="3234"/>
    <cellStyle name="표준 28 5 2 10" xfId="11553"/>
    <cellStyle name="표준 28 5 2 10 2" xfId="20319"/>
    <cellStyle name="표준 28 5 2 10 2 2" xfId="41195"/>
    <cellStyle name="표준 28 5 2 10 3" xfId="32459"/>
    <cellStyle name="표준 28 5 2 11" xfId="12702"/>
    <cellStyle name="표준 28 5 2 11 2" xfId="33579"/>
    <cellStyle name="표준 28 5 2 12" xfId="24829"/>
    <cellStyle name="표준 28 5 2 2" xfId="3676"/>
    <cellStyle name="표준 28 5 2 2 2" xfId="5949"/>
    <cellStyle name="표준 28 5 2 2 2 2" xfId="14958"/>
    <cellStyle name="표준 28 5 2 2 2 2 2" xfId="35834"/>
    <cellStyle name="표준 28 5 2 2 2 3" xfId="27096"/>
    <cellStyle name="표준 28 5 2 2 3" xfId="13139"/>
    <cellStyle name="표준 28 5 2 2 3 2" xfId="34016"/>
    <cellStyle name="표준 28 5 2 2 4" xfId="25266"/>
    <cellStyle name="표준 28 5 2 3" xfId="4837"/>
    <cellStyle name="표준 28 5 2 3 2" xfId="6669"/>
    <cellStyle name="표준 28 5 2 3 2 2" xfId="15678"/>
    <cellStyle name="표준 28 5 2 3 2 2 2" xfId="36554"/>
    <cellStyle name="표준 28 5 2 3 2 3" xfId="27816"/>
    <cellStyle name="표준 28 5 2 3 3" xfId="13860"/>
    <cellStyle name="표준 28 5 2 3 3 2" xfId="34736"/>
    <cellStyle name="표준 28 5 2 3 4" xfId="25998"/>
    <cellStyle name="표준 28 5 2 4" xfId="5512"/>
    <cellStyle name="표준 28 5 2 4 2" xfId="14521"/>
    <cellStyle name="표준 28 5 2 4 2 2" xfId="35397"/>
    <cellStyle name="표준 28 5 2 4 3" xfId="26659"/>
    <cellStyle name="표준 28 5 2 5" xfId="7315"/>
    <cellStyle name="표준 28 5 2 5 2" xfId="16322"/>
    <cellStyle name="표준 28 5 2 5 2 2" xfId="37198"/>
    <cellStyle name="표준 28 5 2 5 3" xfId="28460"/>
    <cellStyle name="표준 28 5 2 6" xfId="7959"/>
    <cellStyle name="표준 28 5 2 6 2" xfId="16965"/>
    <cellStyle name="표준 28 5 2 6 2 2" xfId="37841"/>
    <cellStyle name="표준 28 5 2 6 3" xfId="29103"/>
    <cellStyle name="표준 28 5 2 7" xfId="8807"/>
    <cellStyle name="표준 28 5 2 7 2" xfId="17812"/>
    <cellStyle name="표준 28 5 2 7 2 2" xfId="38688"/>
    <cellStyle name="표준 28 5 2 7 3" xfId="29950"/>
    <cellStyle name="표준 28 5 2 8" xfId="9632"/>
    <cellStyle name="표준 28 5 2 8 2" xfId="18630"/>
    <cellStyle name="표준 28 5 2 8 2 2" xfId="39506"/>
    <cellStyle name="표준 28 5 2 8 3" xfId="30768"/>
    <cellStyle name="표준 28 5 2 9" xfId="10687"/>
    <cellStyle name="표준 28 5 2 9 2" xfId="19458"/>
    <cellStyle name="표준 28 5 2 9 2 2" xfId="40334"/>
    <cellStyle name="표준 28 5 2 9 3" xfId="31598"/>
    <cellStyle name="표준 28 5 3" xfId="3466"/>
    <cellStyle name="표준 28 5 3 10" xfId="12929"/>
    <cellStyle name="표준 28 5 3 10 2" xfId="33806"/>
    <cellStyle name="표준 28 5 3 11" xfId="25056"/>
    <cellStyle name="표준 28 5 3 2" xfId="5059"/>
    <cellStyle name="표준 28 5 3 2 2" xfId="6886"/>
    <cellStyle name="표준 28 5 3 2 2 2" xfId="15895"/>
    <cellStyle name="표준 28 5 3 2 2 2 2" xfId="36771"/>
    <cellStyle name="표준 28 5 3 2 2 3" xfId="28033"/>
    <cellStyle name="표준 28 5 3 2 3" xfId="14077"/>
    <cellStyle name="표준 28 5 3 2 3 2" xfId="34953"/>
    <cellStyle name="표준 28 5 3 2 4" xfId="26215"/>
    <cellStyle name="표준 28 5 3 3" xfId="5739"/>
    <cellStyle name="표준 28 5 3 3 2" xfId="14748"/>
    <cellStyle name="표준 28 5 3 3 2 2" xfId="35624"/>
    <cellStyle name="표준 28 5 3 3 3" xfId="26886"/>
    <cellStyle name="표준 28 5 3 4" xfId="7532"/>
    <cellStyle name="표준 28 5 3 4 2" xfId="16539"/>
    <cellStyle name="표준 28 5 3 4 2 2" xfId="37415"/>
    <cellStyle name="표준 28 5 3 4 3" xfId="28677"/>
    <cellStyle name="표준 28 5 3 5" xfId="8176"/>
    <cellStyle name="표준 28 5 3 5 2" xfId="17182"/>
    <cellStyle name="표준 28 5 3 5 2 2" xfId="38058"/>
    <cellStyle name="표준 28 5 3 5 3" xfId="29320"/>
    <cellStyle name="표준 28 5 3 6" xfId="9024"/>
    <cellStyle name="표준 28 5 3 6 2" xfId="18029"/>
    <cellStyle name="표준 28 5 3 6 2 2" xfId="38905"/>
    <cellStyle name="표준 28 5 3 6 3" xfId="30167"/>
    <cellStyle name="표준 28 5 3 7" xfId="9849"/>
    <cellStyle name="표준 28 5 3 7 2" xfId="18847"/>
    <cellStyle name="표준 28 5 3 7 2 2" xfId="39723"/>
    <cellStyle name="표준 28 5 3 7 3" xfId="30985"/>
    <cellStyle name="표준 28 5 3 8" xfId="10904"/>
    <cellStyle name="표준 28 5 3 8 2" xfId="19675"/>
    <cellStyle name="표준 28 5 3 8 2 2" xfId="40551"/>
    <cellStyle name="표준 28 5 3 8 3" xfId="31815"/>
    <cellStyle name="표준 28 5 3 9" xfId="11770"/>
    <cellStyle name="표준 28 5 3 9 2" xfId="20536"/>
    <cellStyle name="표준 28 5 3 9 2 2" xfId="41412"/>
    <cellStyle name="표준 28 5 3 9 3" xfId="32676"/>
    <cellStyle name="표준 28 5 4" xfId="4625"/>
    <cellStyle name="표준 28 5 4 2" xfId="6459"/>
    <cellStyle name="표준 28 5 4 2 2" xfId="15468"/>
    <cellStyle name="표준 28 5 4 2 2 2" xfId="36344"/>
    <cellStyle name="표준 28 5 4 2 3" xfId="27606"/>
    <cellStyle name="표준 28 5 4 3" xfId="11122"/>
    <cellStyle name="표준 28 5 4 3 2" xfId="19892"/>
    <cellStyle name="표준 28 5 4 3 2 2" xfId="40768"/>
    <cellStyle name="표준 28 5 4 3 3" xfId="32032"/>
    <cellStyle name="표준 28 5 4 4" xfId="11987"/>
    <cellStyle name="표준 28 5 4 4 2" xfId="20753"/>
    <cellStyle name="표준 28 5 4 4 2 2" xfId="41629"/>
    <cellStyle name="표준 28 5 4 4 3" xfId="32893"/>
    <cellStyle name="표준 28 5 4 5" xfId="13650"/>
    <cellStyle name="표준 28 5 4 5 2" xfId="34526"/>
    <cellStyle name="표준 28 5 4 6" xfId="25788"/>
    <cellStyle name="표준 28 5 5" xfId="5302"/>
    <cellStyle name="표준 28 5 5 2" xfId="14311"/>
    <cellStyle name="표준 28 5 5 2 2" xfId="35187"/>
    <cellStyle name="표준 28 5 5 3" xfId="26449"/>
    <cellStyle name="표준 28 5 6" xfId="7104"/>
    <cellStyle name="표준 28 5 6 2" xfId="16112"/>
    <cellStyle name="표준 28 5 6 2 2" xfId="36988"/>
    <cellStyle name="표준 28 5 6 3" xfId="28250"/>
    <cellStyle name="표준 28 5 7" xfId="7749"/>
    <cellStyle name="표준 28 5 7 2" xfId="16755"/>
    <cellStyle name="표준 28 5 7 2 2" xfId="37631"/>
    <cellStyle name="표준 28 5 7 3" xfId="28893"/>
    <cellStyle name="표준 28 5 8" xfId="8597"/>
    <cellStyle name="표준 28 5 8 2" xfId="17602"/>
    <cellStyle name="표준 28 5 8 2 2" xfId="38478"/>
    <cellStyle name="표준 28 5 8 3" xfId="29740"/>
    <cellStyle name="표준 28 5 9" xfId="9421"/>
    <cellStyle name="표준 28 5 9 2" xfId="18420"/>
    <cellStyle name="표준 28 5 9 2 2" xfId="39296"/>
    <cellStyle name="표준 28 5 9 3" xfId="30558"/>
    <cellStyle name="표준 28 6" xfId="3017"/>
    <cellStyle name="표준 28 6 10" xfId="10478"/>
    <cellStyle name="표준 28 6 10 2" xfId="19249"/>
    <cellStyle name="표준 28 6 10 2 2" xfId="40125"/>
    <cellStyle name="표준 28 6 10 3" xfId="31389"/>
    <cellStyle name="표준 28 6 11" xfId="11344"/>
    <cellStyle name="표준 28 6 11 2" xfId="20110"/>
    <cellStyle name="표준 28 6 11 2 2" xfId="40986"/>
    <cellStyle name="표준 28 6 11 3" xfId="32250"/>
    <cellStyle name="표준 28 6 12" xfId="12492"/>
    <cellStyle name="표준 28 6 12 2" xfId="33370"/>
    <cellStyle name="표준 28 6 13" xfId="24620"/>
    <cellStyle name="표준 28 6 2" xfId="3235"/>
    <cellStyle name="표준 28 6 2 10" xfId="11554"/>
    <cellStyle name="표준 28 6 2 10 2" xfId="20320"/>
    <cellStyle name="표준 28 6 2 10 2 2" xfId="41196"/>
    <cellStyle name="표준 28 6 2 10 3" xfId="32460"/>
    <cellStyle name="표준 28 6 2 11" xfId="12703"/>
    <cellStyle name="표준 28 6 2 11 2" xfId="33580"/>
    <cellStyle name="표준 28 6 2 12" xfId="24830"/>
    <cellStyle name="표준 28 6 2 2" xfId="3677"/>
    <cellStyle name="표준 28 6 2 2 2" xfId="5950"/>
    <cellStyle name="표준 28 6 2 2 2 2" xfId="14959"/>
    <cellStyle name="표준 28 6 2 2 2 2 2" xfId="35835"/>
    <cellStyle name="표준 28 6 2 2 2 3" xfId="27097"/>
    <cellStyle name="표준 28 6 2 2 3" xfId="13140"/>
    <cellStyle name="표준 28 6 2 2 3 2" xfId="34017"/>
    <cellStyle name="표준 28 6 2 2 4" xfId="25267"/>
    <cellStyle name="표준 28 6 2 3" xfId="4838"/>
    <cellStyle name="표준 28 6 2 3 2" xfId="6670"/>
    <cellStyle name="표준 28 6 2 3 2 2" xfId="15679"/>
    <cellStyle name="표준 28 6 2 3 2 2 2" xfId="36555"/>
    <cellStyle name="표준 28 6 2 3 2 3" xfId="27817"/>
    <cellStyle name="표준 28 6 2 3 3" xfId="13861"/>
    <cellStyle name="표준 28 6 2 3 3 2" xfId="34737"/>
    <cellStyle name="표준 28 6 2 3 4" xfId="25999"/>
    <cellStyle name="표준 28 6 2 4" xfId="5513"/>
    <cellStyle name="표준 28 6 2 4 2" xfId="14522"/>
    <cellStyle name="표준 28 6 2 4 2 2" xfId="35398"/>
    <cellStyle name="표준 28 6 2 4 3" xfId="26660"/>
    <cellStyle name="표준 28 6 2 5" xfId="7316"/>
    <cellStyle name="표준 28 6 2 5 2" xfId="16323"/>
    <cellStyle name="표준 28 6 2 5 2 2" xfId="37199"/>
    <cellStyle name="표준 28 6 2 5 3" xfId="28461"/>
    <cellStyle name="표준 28 6 2 6" xfId="7960"/>
    <cellStyle name="표준 28 6 2 6 2" xfId="16966"/>
    <cellStyle name="표준 28 6 2 6 2 2" xfId="37842"/>
    <cellStyle name="표준 28 6 2 6 3" xfId="29104"/>
    <cellStyle name="표준 28 6 2 7" xfId="8808"/>
    <cellStyle name="표준 28 6 2 7 2" xfId="17813"/>
    <cellStyle name="표준 28 6 2 7 2 2" xfId="38689"/>
    <cellStyle name="표준 28 6 2 7 3" xfId="29951"/>
    <cellStyle name="표준 28 6 2 8" xfId="9633"/>
    <cellStyle name="표준 28 6 2 8 2" xfId="18631"/>
    <cellStyle name="표준 28 6 2 8 2 2" xfId="39507"/>
    <cellStyle name="표준 28 6 2 8 3" xfId="30769"/>
    <cellStyle name="표준 28 6 2 9" xfId="10688"/>
    <cellStyle name="표준 28 6 2 9 2" xfId="19459"/>
    <cellStyle name="표준 28 6 2 9 2 2" xfId="40335"/>
    <cellStyle name="표준 28 6 2 9 3" xfId="31599"/>
    <cellStyle name="표준 28 6 3" xfId="3467"/>
    <cellStyle name="표준 28 6 3 10" xfId="12930"/>
    <cellStyle name="표준 28 6 3 10 2" xfId="33807"/>
    <cellStyle name="표준 28 6 3 11" xfId="25057"/>
    <cellStyle name="표준 28 6 3 2" xfId="5060"/>
    <cellStyle name="표준 28 6 3 2 2" xfId="6887"/>
    <cellStyle name="표준 28 6 3 2 2 2" xfId="15896"/>
    <cellStyle name="표준 28 6 3 2 2 2 2" xfId="36772"/>
    <cellStyle name="표준 28 6 3 2 2 3" xfId="28034"/>
    <cellStyle name="표준 28 6 3 2 3" xfId="14078"/>
    <cellStyle name="표준 28 6 3 2 3 2" xfId="34954"/>
    <cellStyle name="표준 28 6 3 2 4" xfId="26216"/>
    <cellStyle name="표준 28 6 3 3" xfId="5740"/>
    <cellStyle name="표준 28 6 3 3 2" xfId="14749"/>
    <cellStyle name="표준 28 6 3 3 2 2" xfId="35625"/>
    <cellStyle name="표준 28 6 3 3 3" xfId="26887"/>
    <cellStyle name="표준 28 6 3 4" xfId="7533"/>
    <cellStyle name="표준 28 6 3 4 2" xfId="16540"/>
    <cellStyle name="표준 28 6 3 4 2 2" xfId="37416"/>
    <cellStyle name="표준 28 6 3 4 3" xfId="28678"/>
    <cellStyle name="표준 28 6 3 5" xfId="8177"/>
    <cellStyle name="표준 28 6 3 5 2" xfId="17183"/>
    <cellStyle name="표준 28 6 3 5 2 2" xfId="38059"/>
    <cellStyle name="표준 28 6 3 5 3" xfId="29321"/>
    <cellStyle name="표준 28 6 3 6" xfId="9025"/>
    <cellStyle name="표준 28 6 3 6 2" xfId="18030"/>
    <cellStyle name="표준 28 6 3 6 2 2" xfId="38906"/>
    <cellStyle name="표준 28 6 3 6 3" xfId="30168"/>
    <cellStyle name="표준 28 6 3 7" xfId="9850"/>
    <cellStyle name="표준 28 6 3 7 2" xfId="18848"/>
    <cellStyle name="표준 28 6 3 7 2 2" xfId="39724"/>
    <cellStyle name="표준 28 6 3 7 3" xfId="30986"/>
    <cellStyle name="표준 28 6 3 8" xfId="10905"/>
    <cellStyle name="표준 28 6 3 8 2" xfId="19676"/>
    <cellStyle name="표준 28 6 3 8 2 2" xfId="40552"/>
    <cellStyle name="표준 28 6 3 8 3" xfId="31816"/>
    <cellStyle name="표준 28 6 3 9" xfId="11771"/>
    <cellStyle name="표준 28 6 3 9 2" xfId="20537"/>
    <cellStyle name="표준 28 6 3 9 2 2" xfId="41413"/>
    <cellStyle name="표준 28 6 3 9 3" xfId="32677"/>
    <cellStyle name="표준 28 6 4" xfId="4626"/>
    <cellStyle name="표준 28 6 4 2" xfId="6460"/>
    <cellStyle name="표준 28 6 4 2 2" xfId="15469"/>
    <cellStyle name="표준 28 6 4 2 2 2" xfId="36345"/>
    <cellStyle name="표준 28 6 4 2 3" xfId="27607"/>
    <cellStyle name="표준 28 6 4 3" xfId="11123"/>
    <cellStyle name="표준 28 6 4 3 2" xfId="19893"/>
    <cellStyle name="표준 28 6 4 3 2 2" xfId="40769"/>
    <cellStyle name="표준 28 6 4 3 3" xfId="32033"/>
    <cellStyle name="표준 28 6 4 4" xfId="11988"/>
    <cellStyle name="표준 28 6 4 4 2" xfId="20754"/>
    <cellStyle name="표준 28 6 4 4 2 2" xfId="41630"/>
    <cellStyle name="표준 28 6 4 4 3" xfId="32894"/>
    <cellStyle name="표준 28 6 4 5" xfId="13651"/>
    <cellStyle name="표준 28 6 4 5 2" xfId="34527"/>
    <cellStyle name="표준 28 6 4 6" xfId="25789"/>
    <cellStyle name="표준 28 6 5" xfId="5303"/>
    <cellStyle name="표준 28 6 5 2" xfId="14312"/>
    <cellStyle name="표준 28 6 5 2 2" xfId="35188"/>
    <cellStyle name="표준 28 6 5 3" xfId="26450"/>
    <cellStyle name="표준 28 6 6" xfId="7105"/>
    <cellStyle name="표준 28 6 6 2" xfId="16113"/>
    <cellStyle name="표준 28 6 6 2 2" xfId="36989"/>
    <cellStyle name="표준 28 6 6 3" xfId="28251"/>
    <cellStyle name="표준 28 6 7" xfId="7750"/>
    <cellStyle name="표준 28 6 7 2" xfId="16756"/>
    <cellStyle name="표준 28 6 7 2 2" xfId="37632"/>
    <cellStyle name="표준 28 6 7 3" xfId="28894"/>
    <cellStyle name="표준 28 6 8" xfId="8598"/>
    <cellStyle name="표준 28 6 8 2" xfId="17603"/>
    <cellStyle name="표준 28 6 8 2 2" xfId="38479"/>
    <cellStyle name="표준 28 6 8 3" xfId="29741"/>
    <cellStyle name="표준 28 6 9" xfId="9422"/>
    <cellStyle name="표준 28 6 9 2" xfId="18421"/>
    <cellStyle name="표준 28 6 9 2 2" xfId="39297"/>
    <cellStyle name="표준 28 6 9 3" xfId="30559"/>
    <cellStyle name="표준 28 7" xfId="3018"/>
    <cellStyle name="표준 28 7 10" xfId="10479"/>
    <cellStyle name="표준 28 7 10 2" xfId="19250"/>
    <cellStyle name="표준 28 7 10 2 2" xfId="40126"/>
    <cellStyle name="표준 28 7 10 3" xfId="31390"/>
    <cellStyle name="표준 28 7 11" xfId="11345"/>
    <cellStyle name="표준 28 7 11 2" xfId="20111"/>
    <cellStyle name="표준 28 7 11 2 2" xfId="40987"/>
    <cellStyle name="표준 28 7 11 3" xfId="32251"/>
    <cellStyle name="표준 28 7 12" xfId="12493"/>
    <cellStyle name="표준 28 7 12 2" xfId="33371"/>
    <cellStyle name="표준 28 7 13" xfId="24621"/>
    <cellStyle name="표준 28 7 2" xfId="3236"/>
    <cellStyle name="표준 28 7 2 10" xfId="11555"/>
    <cellStyle name="표준 28 7 2 10 2" xfId="20321"/>
    <cellStyle name="표준 28 7 2 10 2 2" xfId="41197"/>
    <cellStyle name="표준 28 7 2 10 3" xfId="32461"/>
    <cellStyle name="표준 28 7 2 11" xfId="12704"/>
    <cellStyle name="표준 28 7 2 11 2" xfId="33581"/>
    <cellStyle name="표준 28 7 2 12" xfId="24831"/>
    <cellStyle name="표준 28 7 2 2" xfId="3678"/>
    <cellStyle name="표준 28 7 2 2 2" xfId="5951"/>
    <cellStyle name="표준 28 7 2 2 2 2" xfId="14960"/>
    <cellStyle name="표준 28 7 2 2 2 2 2" xfId="35836"/>
    <cellStyle name="표준 28 7 2 2 2 3" xfId="27098"/>
    <cellStyle name="표준 28 7 2 2 3" xfId="13141"/>
    <cellStyle name="표준 28 7 2 2 3 2" xfId="34018"/>
    <cellStyle name="표준 28 7 2 2 4" xfId="25268"/>
    <cellStyle name="표준 28 7 2 3" xfId="4839"/>
    <cellStyle name="표준 28 7 2 3 2" xfId="6671"/>
    <cellStyle name="표준 28 7 2 3 2 2" xfId="15680"/>
    <cellStyle name="표준 28 7 2 3 2 2 2" xfId="36556"/>
    <cellStyle name="표준 28 7 2 3 2 3" xfId="27818"/>
    <cellStyle name="표준 28 7 2 3 3" xfId="13862"/>
    <cellStyle name="표준 28 7 2 3 3 2" xfId="34738"/>
    <cellStyle name="표준 28 7 2 3 4" xfId="26000"/>
    <cellStyle name="표준 28 7 2 4" xfId="5514"/>
    <cellStyle name="표준 28 7 2 4 2" xfId="14523"/>
    <cellStyle name="표준 28 7 2 4 2 2" xfId="35399"/>
    <cellStyle name="표준 28 7 2 4 3" xfId="26661"/>
    <cellStyle name="표준 28 7 2 5" xfId="7317"/>
    <cellStyle name="표준 28 7 2 5 2" xfId="16324"/>
    <cellStyle name="표준 28 7 2 5 2 2" xfId="37200"/>
    <cellStyle name="표준 28 7 2 5 3" xfId="28462"/>
    <cellStyle name="표준 28 7 2 6" xfId="7961"/>
    <cellStyle name="표준 28 7 2 6 2" xfId="16967"/>
    <cellStyle name="표준 28 7 2 6 2 2" xfId="37843"/>
    <cellStyle name="표준 28 7 2 6 3" xfId="29105"/>
    <cellStyle name="표준 28 7 2 7" xfId="8809"/>
    <cellStyle name="표준 28 7 2 7 2" xfId="17814"/>
    <cellStyle name="표준 28 7 2 7 2 2" xfId="38690"/>
    <cellStyle name="표준 28 7 2 7 3" xfId="29952"/>
    <cellStyle name="표준 28 7 2 8" xfId="9634"/>
    <cellStyle name="표준 28 7 2 8 2" xfId="18632"/>
    <cellStyle name="표준 28 7 2 8 2 2" xfId="39508"/>
    <cellStyle name="표준 28 7 2 8 3" xfId="30770"/>
    <cellStyle name="표준 28 7 2 9" xfId="10689"/>
    <cellStyle name="표준 28 7 2 9 2" xfId="19460"/>
    <cellStyle name="표준 28 7 2 9 2 2" xfId="40336"/>
    <cellStyle name="표준 28 7 2 9 3" xfId="31600"/>
    <cellStyle name="표준 28 7 3" xfId="3468"/>
    <cellStyle name="표준 28 7 3 10" xfId="12931"/>
    <cellStyle name="표준 28 7 3 10 2" xfId="33808"/>
    <cellStyle name="표준 28 7 3 11" xfId="25058"/>
    <cellStyle name="표준 28 7 3 2" xfId="5061"/>
    <cellStyle name="표준 28 7 3 2 2" xfId="6888"/>
    <cellStyle name="표준 28 7 3 2 2 2" xfId="15897"/>
    <cellStyle name="표준 28 7 3 2 2 2 2" xfId="36773"/>
    <cellStyle name="표준 28 7 3 2 2 3" xfId="28035"/>
    <cellStyle name="표준 28 7 3 2 3" xfId="14079"/>
    <cellStyle name="표준 28 7 3 2 3 2" xfId="34955"/>
    <cellStyle name="표준 28 7 3 2 4" xfId="26217"/>
    <cellStyle name="표준 28 7 3 3" xfId="5741"/>
    <cellStyle name="표준 28 7 3 3 2" xfId="14750"/>
    <cellStyle name="표준 28 7 3 3 2 2" xfId="35626"/>
    <cellStyle name="표준 28 7 3 3 3" xfId="26888"/>
    <cellStyle name="표준 28 7 3 4" xfId="7534"/>
    <cellStyle name="표준 28 7 3 4 2" xfId="16541"/>
    <cellStyle name="표준 28 7 3 4 2 2" xfId="37417"/>
    <cellStyle name="표준 28 7 3 4 3" xfId="28679"/>
    <cellStyle name="표준 28 7 3 5" xfId="8178"/>
    <cellStyle name="표준 28 7 3 5 2" xfId="17184"/>
    <cellStyle name="표준 28 7 3 5 2 2" xfId="38060"/>
    <cellStyle name="표준 28 7 3 5 3" xfId="29322"/>
    <cellStyle name="표준 28 7 3 6" xfId="9026"/>
    <cellStyle name="표준 28 7 3 6 2" xfId="18031"/>
    <cellStyle name="표준 28 7 3 6 2 2" xfId="38907"/>
    <cellStyle name="표준 28 7 3 6 3" xfId="30169"/>
    <cellStyle name="표준 28 7 3 7" xfId="9851"/>
    <cellStyle name="표준 28 7 3 7 2" xfId="18849"/>
    <cellStyle name="표준 28 7 3 7 2 2" xfId="39725"/>
    <cellStyle name="표준 28 7 3 7 3" xfId="30987"/>
    <cellStyle name="표준 28 7 3 8" xfId="10906"/>
    <cellStyle name="표준 28 7 3 8 2" xfId="19677"/>
    <cellStyle name="표준 28 7 3 8 2 2" xfId="40553"/>
    <cellStyle name="표준 28 7 3 8 3" xfId="31817"/>
    <cellStyle name="표준 28 7 3 9" xfId="11772"/>
    <cellStyle name="표준 28 7 3 9 2" xfId="20538"/>
    <cellStyle name="표준 28 7 3 9 2 2" xfId="41414"/>
    <cellStyle name="표준 28 7 3 9 3" xfId="32678"/>
    <cellStyle name="표준 28 7 4" xfId="4627"/>
    <cellStyle name="표준 28 7 4 2" xfId="6461"/>
    <cellStyle name="표준 28 7 4 2 2" xfId="15470"/>
    <cellStyle name="표준 28 7 4 2 2 2" xfId="36346"/>
    <cellStyle name="표준 28 7 4 2 3" xfId="27608"/>
    <cellStyle name="표준 28 7 4 3" xfId="11124"/>
    <cellStyle name="표준 28 7 4 3 2" xfId="19894"/>
    <cellStyle name="표준 28 7 4 3 2 2" xfId="40770"/>
    <cellStyle name="표준 28 7 4 3 3" xfId="32034"/>
    <cellStyle name="표준 28 7 4 4" xfId="11989"/>
    <cellStyle name="표준 28 7 4 4 2" xfId="20755"/>
    <cellStyle name="표준 28 7 4 4 2 2" xfId="41631"/>
    <cellStyle name="표준 28 7 4 4 3" xfId="32895"/>
    <cellStyle name="표준 28 7 4 5" xfId="13652"/>
    <cellStyle name="표준 28 7 4 5 2" xfId="34528"/>
    <cellStyle name="표준 28 7 4 6" xfId="25790"/>
    <cellStyle name="표준 28 7 5" xfId="5304"/>
    <cellStyle name="표준 28 7 5 2" xfId="14313"/>
    <cellStyle name="표준 28 7 5 2 2" xfId="35189"/>
    <cellStyle name="표준 28 7 5 3" xfId="26451"/>
    <cellStyle name="표준 28 7 6" xfId="7106"/>
    <cellStyle name="표준 28 7 6 2" xfId="16114"/>
    <cellStyle name="표준 28 7 6 2 2" xfId="36990"/>
    <cellStyle name="표준 28 7 6 3" xfId="28252"/>
    <cellStyle name="표준 28 7 7" xfId="7751"/>
    <cellStyle name="표준 28 7 7 2" xfId="16757"/>
    <cellStyle name="표준 28 7 7 2 2" xfId="37633"/>
    <cellStyle name="표준 28 7 7 3" xfId="28895"/>
    <cellStyle name="표준 28 7 8" xfId="8599"/>
    <cellStyle name="표준 28 7 8 2" xfId="17604"/>
    <cellStyle name="표준 28 7 8 2 2" xfId="38480"/>
    <cellStyle name="표준 28 7 8 3" xfId="29742"/>
    <cellStyle name="표준 28 7 9" xfId="9423"/>
    <cellStyle name="표준 28 7 9 2" xfId="18422"/>
    <cellStyle name="표준 28 7 9 2 2" xfId="39298"/>
    <cellStyle name="표준 28 7 9 3" xfId="30560"/>
    <cellStyle name="표준 28 8" xfId="3230"/>
    <cellStyle name="표준 28 8 10" xfId="11549"/>
    <cellStyle name="표준 28 8 10 2" xfId="20315"/>
    <cellStyle name="표준 28 8 10 2 2" xfId="41191"/>
    <cellStyle name="표준 28 8 10 3" xfId="32455"/>
    <cellStyle name="표준 28 8 11" xfId="12698"/>
    <cellStyle name="표준 28 8 11 2" xfId="33575"/>
    <cellStyle name="표준 28 8 12" xfId="24825"/>
    <cellStyle name="표준 28 8 2" xfId="3672"/>
    <cellStyle name="표준 28 8 2 2" xfId="5945"/>
    <cellStyle name="표준 28 8 2 2 2" xfId="14954"/>
    <cellStyle name="표준 28 8 2 2 2 2" xfId="35830"/>
    <cellStyle name="표준 28 8 2 2 3" xfId="27092"/>
    <cellStyle name="표준 28 8 2 3" xfId="13135"/>
    <cellStyle name="표준 28 8 2 3 2" xfId="34012"/>
    <cellStyle name="표준 28 8 2 4" xfId="25262"/>
    <cellStyle name="표준 28 8 3" xfId="4833"/>
    <cellStyle name="표준 28 8 3 2" xfId="6665"/>
    <cellStyle name="표준 28 8 3 2 2" xfId="15674"/>
    <cellStyle name="표준 28 8 3 2 2 2" xfId="36550"/>
    <cellStyle name="표준 28 8 3 2 3" xfId="27812"/>
    <cellStyle name="표준 28 8 3 3" xfId="13856"/>
    <cellStyle name="표준 28 8 3 3 2" xfId="34732"/>
    <cellStyle name="표준 28 8 3 4" xfId="25994"/>
    <cellStyle name="표준 28 8 4" xfId="5508"/>
    <cellStyle name="표준 28 8 4 2" xfId="14517"/>
    <cellStyle name="표준 28 8 4 2 2" xfId="35393"/>
    <cellStyle name="표준 28 8 4 3" xfId="26655"/>
    <cellStyle name="표준 28 8 5" xfId="7311"/>
    <cellStyle name="표준 28 8 5 2" xfId="16318"/>
    <cellStyle name="표준 28 8 5 2 2" xfId="37194"/>
    <cellStyle name="표준 28 8 5 3" xfId="28456"/>
    <cellStyle name="표준 28 8 6" xfId="7955"/>
    <cellStyle name="표준 28 8 6 2" xfId="16961"/>
    <cellStyle name="표준 28 8 6 2 2" xfId="37837"/>
    <cellStyle name="표준 28 8 6 3" xfId="29099"/>
    <cellStyle name="표준 28 8 7" xfId="8803"/>
    <cellStyle name="표준 28 8 7 2" xfId="17808"/>
    <cellStyle name="표준 28 8 7 2 2" xfId="38684"/>
    <cellStyle name="표준 28 8 7 3" xfId="29946"/>
    <cellStyle name="표준 28 8 8" xfId="9628"/>
    <cellStyle name="표준 28 8 8 2" xfId="18626"/>
    <cellStyle name="표준 28 8 8 2 2" xfId="39502"/>
    <cellStyle name="표준 28 8 8 3" xfId="30764"/>
    <cellStyle name="표준 28 8 9" xfId="10683"/>
    <cellStyle name="표준 28 8 9 2" xfId="19454"/>
    <cellStyle name="표준 28 8 9 2 2" xfId="40330"/>
    <cellStyle name="표준 28 8 9 3" xfId="31594"/>
    <cellStyle name="표준 28 9" xfId="3462"/>
    <cellStyle name="표준 28 9 10" xfId="12925"/>
    <cellStyle name="표준 28 9 10 2" xfId="33802"/>
    <cellStyle name="표준 28 9 11" xfId="25052"/>
    <cellStyle name="표준 28 9 2" xfId="5055"/>
    <cellStyle name="표준 28 9 2 2" xfId="6882"/>
    <cellStyle name="표준 28 9 2 2 2" xfId="15891"/>
    <cellStyle name="표준 28 9 2 2 2 2" xfId="36767"/>
    <cellStyle name="표준 28 9 2 2 3" xfId="28029"/>
    <cellStyle name="표준 28 9 2 3" xfId="14073"/>
    <cellStyle name="표준 28 9 2 3 2" xfId="34949"/>
    <cellStyle name="표준 28 9 2 4" xfId="26211"/>
    <cellStyle name="표준 28 9 3" xfId="5735"/>
    <cellStyle name="표준 28 9 3 2" xfId="14744"/>
    <cellStyle name="표준 28 9 3 2 2" xfId="35620"/>
    <cellStyle name="표준 28 9 3 3" xfId="26882"/>
    <cellStyle name="표준 28 9 4" xfId="7528"/>
    <cellStyle name="표준 28 9 4 2" xfId="16535"/>
    <cellStyle name="표준 28 9 4 2 2" xfId="37411"/>
    <cellStyle name="표준 28 9 4 3" xfId="28673"/>
    <cellStyle name="표준 28 9 5" xfId="8172"/>
    <cellStyle name="표준 28 9 5 2" xfId="17178"/>
    <cellStyle name="표준 28 9 5 2 2" xfId="38054"/>
    <cellStyle name="표준 28 9 5 3" xfId="29316"/>
    <cellStyle name="표준 28 9 6" xfId="9020"/>
    <cellStyle name="표준 28 9 6 2" xfId="18025"/>
    <cellStyle name="표준 28 9 6 2 2" xfId="38901"/>
    <cellStyle name="표준 28 9 6 3" xfId="30163"/>
    <cellStyle name="표준 28 9 7" xfId="9845"/>
    <cellStyle name="표준 28 9 7 2" xfId="18843"/>
    <cellStyle name="표준 28 9 7 2 2" xfId="39719"/>
    <cellStyle name="표준 28 9 7 3" xfId="30981"/>
    <cellStyle name="표준 28 9 8" xfId="10900"/>
    <cellStyle name="표준 28 9 8 2" xfId="19671"/>
    <cellStyle name="표준 28 9 8 2 2" xfId="40547"/>
    <cellStyle name="표준 28 9 8 3" xfId="31811"/>
    <cellStyle name="표준 28 9 9" xfId="11766"/>
    <cellStyle name="표준 28 9 9 2" xfId="20532"/>
    <cellStyle name="표준 28 9 9 2 2" xfId="41408"/>
    <cellStyle name="표준 28 9 9 3" xfId="32672"/>
    <cellStyle name="표준 29" xfId="3019"/>
    <cellStyle name="표준 29 10" xfId="4628"/>
    <cellStyle name="표준 29 10 2" xfId="6462"/>
    <cellStyle name="표준 29 10 2 2" xfId="15471"/>
    <cellStyle name="표준 29 10 2 2 2" xfId="36347"/>
    <cellStyle name="표준 29 10 2 3" xfId="27609"/>
    <cellStyle name="표준 29 10 3" xfId="11125"/>
    <cellStyle name="표준 29 10 3 2" xfId="19895"/>
    <cellStyle name="표준 29 10 3 2 2" xfId="40771"/>
    <cellStyle name="표준 29 10 3 3" xfId="32035"/>
    <cellStyle name="표준 29 10 4" xfId="11990"/>
    <cellStyle name="표준 29 10 4 2" xfId="20756"/>
    <cellStyle name="표준 29 10 4 2 2" xfId="41632"/>
    <cellStyle name="표준 29 10 4 3" xfId="32896"/>
    <cellStyle name="표준 29 10 5" xfId="13653"/>
    <cellStyle name="표준 29 10 5 2" xfId="34529"/>
    <cellStyle name="표준 29 10 6" xfId="25791"/>
    <cellStyle name="표준 29 11" xfId="5305"/>
    <cellStyle name="표준 29 11 2" xfId="14314"/>
    <cellStyle name="표준 29 11 2 2" xfId="35190"/>
    <cellStyle name="표준 29 11 3" xfId="26452"/>
    <cellStyle name="표준 29 12" xfId="7107"/>
    <cellStyle name="표준 29 12 2" xfId="16115"/>
    <cellStyle name="표준 29 12 2 2" xfId="36991"/>
    <cellStyle name="표준 29 12 3" xfId="28253"/>
    <cellStyle name="표준 29 13" xfId="7752"/>
    <cellStyle name="표준 29 13 2" xfId="16758"/>
    <cellStyle name="표준 29 13 2 2" xfId="37634"/>
    <cellStyle name="표준 29 13 3" xfId="28896"/>
    <cellStyle name="표준 29 14" xfId="8600"/>
    <cellStyle name="표준 29 14 2" xfId="17605"/>
    <cellStyle name="표준 29 14 2 2" xfId="38481"/>
    <cellStyle name="표준 29 14 3" xfId="29743"/>
    <cellStyle name="표준 29 15" xfId="9424"/>
    <cellStyle name="표준 29 15 2" xfId="18423"/>
    <cellStyle name="표준 29 15 2 2" xfId="39299"/>
    <cellStyle name="표준 29 15 3" xfId="30561"/>
    <cellStyle name="표준 29 16" xfId="10480"/>
    <cellStyle name="표준 29 16 2" xfId="19251"/>
    <cellStyle name="표준 29 16 2 2" xfId="40127"/>
    <cellStyle name="표준 29 16 3" xfId="31391"/>
    <cellStyle name="표준 29 17" xfId="11346"/>
    <cellStyle name="표준 29 17 2" xfId="20112"/>
    <cellStyle name="표준 29 17 2 2" xfId="40988"/>
    <cellStyle name="표준 29 17 3" xfId="32252"/>
    <cellStyle name="표준 29 18" xfId="12494"/>
    <cellStyle name="표준 29 18 2" xfId="33372"/>
    <cellStyle name="표준 29 19" xfId="24622"/>
    <cellStyle name="표준 29 2" xfId="3020"/>
    <cellStyle name="표준 29 2 10" xfId="10481"/>
    <cellStyle name="표준 29 2 10 2" xfId="19252"/>
    <cellStyle name="표준 29 2 10 2 2" xfId="40128"/>
    <cellStyle name="표준 29 2 10 3" xfId="31392"/>
    <cellStyle name="표준 29 2 11" xfId="11347"/>
    <cellStyle name="표준 29 2 11 2" xfId="20113"/>
    <cellStyle name="표준 29 2 11 2 2" xfId="40989"/>
    <cellStyle name="표준 29 2 11 3" xfId="32253"/>
    <cellStyle name="표준 29 2 12" xfId="12495"/>
    <cellStyle name="표준 29 2 12 2" xfId="33373"/>
    <cellStyle name="표준 29 2 13" xfId="24623"/>
    <cellStyle name="표준 29 2 2" xfId="3238"/>
    <cellStyle name="표준 29 2 2 10" xfId="11557"/>
    <cellStyle name="표준 29 2 2 10 2" xfId="20323"/>
    <cellStyle name="표준 29 2 2 10 2 2" xfId="41199"/>
    <cellStyle name="표준 29 2 2 10 3" xfId="32463"/>
    <cellStyle name="표준 29 2 2 11" xfId="12706"/>
    <cellStyle name="표준 29 2 2 11 2" xfId="33583"/>
    <cellStyle name="표준 29 2 2 12" xfId="24833"/>
    <cellStyle name="표준 29 2 2 2" xfId="3680"/>
    <cellStyle name="표준 29 2 2 2 2" xfId="5953"/>
    <cellStyle name="표준 29 2 2 2 2 2" xfId="14962"/>
    <cellStyle name="표준 29 2 2 2 2 2 2" xfId="35838"/>
    <cellStyle name="표준 29 2 2 2 2 3" xfId="27100"/>
    <cellStyle name="표준 29 2 2 2 3" xfId="13143"/>
    <cellStyle name="표준 29 2 2 2 3 2" xfId="34020"/>
    <cellStyle name="표준 29 2 2 2 4" xfId="25270"/>
    <cellStyle name="표준 29 2 2 3" xfId="4841"/>
    <cellStyle name="표준 29 2 2 3 2" xfId="6673"/>
    <cellStyle name="표준 29 2 2 3 2 2" xfId="15682"/>
    <cellStyle name="표준 29 2 2 3 2 2 2" xfId="36558"/>
    <cellStyle name="표준 29 2 2 3 2 3" xfId="27820"/>
    <cellStyle name="표준 29 2 2 3 3" xfId="13864"/>
    <cellStyle name="표준 29 2 2 3 3 2" xfId="34740"/>
    <cellStyle name="표준 29 2 2 3 4" xfId="26002"/>
    <cellStyle name="표준 29 2 2 4" xfId="5516"/>
    <cellStyle name="표준 29 2 2 4 2" xfId="14525"/>
    <cellStyle name="표준 29 2 2 4 2 2" xfId="35401"/>
    <cellStyle name="표준 29 2 2 4 3" xfId="26663"/>
    <cellStyle name="표준 29 2 2 5" xfId="7319"/>
    <cellStyle name="표준 29 2 2 5 2" xfId="16326"/>
    <cellStyle name="표준 29 2 2 5 2 2" xfId="37202"/>
    <cellStyle name="표준 29 2 2 5 3" xfId="28464"/>
    <cellStyle name="표준 29 2 2 6" xfId="7963"/>
    <cellStyle name="표준 29 2 2 6 2" xfId="16969"/>
    <cellStyle name="표준 29 2 2 6 2 2" xfId="37845"/>
    <cellStyle name="표준 29 2 2 6 3" xfId="29107"/>
    <cellStyle name="표준 29 2 2 7" xfId="8811"/>
    <cellStyle name="표준 29 2 2 7 2" xfId="17816"/>
    <cellStyle name="표준 29 2 2 7 2 2" xfId="38692"/>
    <cellStyle name="표준 29 2 2 7 3" xfId="29954"/>
    <cellStyle name="표준 29 2 2 8" xfId="9636"/>
    <cellStyle name="표준 29 2 2 8 2" xfId="18634"/>
    <cellStyle name="표준 29 2 2 8 2 2" xfId="39510"/>
    <cellStyle name="표준 29 2 2 8 3" xfId="30772"/>
    <cellStyle name="표준 29 2 2 9" xfId="10691"/>
    <cellStyle name="표준 29 2 2 9 2" xfId="19462"/>
    <cellStyle name="표준 29 2 2 9 2 2" xfId="40338"/>
    <cellStyle name="표준 29 2 2 9 3" xfId="31602"/>
    <cellStyle name="표준 29 2 3" xfId="3470"/>
    <cellStyle name="표준 29 2 3 10" xfId="12933"/>
    <cellStyle name="표준 29 2 3 10 2" xfId="33810"/>
    <cellStyle name="표준 29 2 3 11" xfId="25060"/>
    <cellStyle name="표준 29 2 3 2" xfId="5063"/>
    <cellStyle name="표준 29 2 3 2 2" xfId="6890"/>
    <cellStyle name="표준 29 2 3 2 2 2" xfId="15899"/>
    <cellStyle name="표준 29 2 3 2 2 2 2" xfId="36775"/>
    <cellStyle name="표준 29 2 3 2 2 3" xfId="28037"/>
    <cellStyle name="표준 29 2 3 2 3" xfId="14081"/>
    <cellStyle name="표준 29 2 3 2 3 2" xfId="34957"/>
    <cellStyle name="표준 29 2 3 2 4" xfId="26219"/>
    <cellStyle name="표준 29 2 3 3" xfId="5743"/>
    <cellStyle name="표준 29 2 3 3 2" xfId="14752"/>
    <cellStyle name="표준 29 2 3 3 2 2" xfId="35628"/>
    <cellStyle name="표준 29 2 3 3 3" xfId="26890"/>
    <cellStyle name="표준 29 2 3 4" xfId="7536"/>
    <cellStyle name="표준 29 2 3 4 2" xfId="16543"/>
    <cellStyle name="표준 29 2 3 4 2 2" xfId="37419"/>
    <cellStyle name="표준 29 2 3 4 3" xfId="28681"/>
    <cellStyle name="표준 29 2 3 5" xfId="8180"/>
    <cellStyle name="표준 29 2 3 5 2" xfId="17186"/>
    <cellStyle name="표준 29 2 3 5 2 2" xfId="38062"/>
    <cellStyle name="표준 29 2 3 5 3" xfId="29324"/>
    <cellStyle name="표준 29 2 3 6" xfId="9028"/>
    <cellStyle name="표준 29 2 3 6 2" xfId="18033"/>
    <cellStyle name="표준 29 2 3 6 2 2" xfId="38909"/>
    <cellStyle name="표준 29 2 3 6 3" xfId="30171"/>
    <cellStyle name="표준 29 2 3 7" xfId="9853"/>
    <cellStyle name="표준 29 2 3 7 2" xfId="18851"/>
    <cellStyle name="표준 29 2 3 7 2 2" xfId="39727"/>
    <cellStyle name="표준 29 2 3 7 3" xfId="30989"/>
    <cellStyle name="표준 29 2 3 8" xfId="10908"/>
    <cellStyle name="표준 29 2 3 8 2" xfId="19679"/>
    <cellStyle name="표준 29 2 3 8 2 2" xfId="40555"/>
    <cellStyle name="표준 29 2 3 8 3" xfId="31819"/>
    <cellStyle name="표준 29 2 3 9" xfId="11774"/>
    <cellStyle name="표준 29 2 3 9 2" xfId="20540"/>
    <cellStyle name="표준 29 2 3 9 2 2" xfId="41416"/>
    <cellStyle name="표준 29 2 3 9 3" xfId="32680"/>
    <cellStyle name="표준 29 2 4" xfId="4629"/>
    <cellStyle name="표준 29 2 4 2" xfId="6463"/>
    <cellStyle name="표준 29 2 4 2 2" xfId="15472"/>
    <cellStyle name="표준 29 2 4 2 2 2" xfId="36348"/>
    <cellStyle name="표준 29 2 4 2 3" xfId="27610"/>
    <cellStyle name="표준 29 2 4 3" xfId="11126"/>
    <cellStyle name="표준 29 2 4 3 2" xfId="19896"/>
    <cellStyle name="표준 29 2 4 3 2 2" xfId="40772"/>
    <cellStyle name="표준 29 2 4 3 3" xfId="32036"/>
    <cellStyle name="표준 29 2 4 4" xfId="11991"/>
    <cellStyle name="표준 29 2 4 4 2" xfId="20757"/>
    <cellStyle name="표준 29 2 4 4 2 2" xfId="41633"/>
    <cellStyle name="표준 29 2 4 4 3" xfId="32897"/>
    <cellStyle name="표준 29 2 4 5" xfId="13654"/>
    <cellStyle name="표준 29 2 4 5 2" xfId="34530"/>
    <cellStyle name="표준 29 2 4 6" xfId="25792"/>
    <cellStyle name="표준 29 2 5" xfId="5306"/>
    <cellStyle name="표준 29 2 5 2" xfId="14315"/>
    <cellStyle name="표준 29 2 5 2 2" xfId="35191"/>
    <cellStyle name="표준 29 2 5 3" xfId="26453"/>
    <cellStyle name="표준 29 2 6" xfId="7108"/>
    <cellStyle name="표준 29 2 6 2" xfId="16116"/>
    <cellStyle name="표준 29 2 6 2 2" xfId="36992"/>
    <cellStyle name="표준 29 2 6 3" xfId="28254"/>
    <cellStyle name="표준 29 2 7" xfId="7753"/>
    <cellStyle name="표준 29 2 7 2" xfId="16759"/>
    <cellStyle name="표준 29 2 7 2 2" xfId="37635"/>
    <cellStyle name="표준 29 2 7 3" xfId="28897"/>
    <cellStyle name="표준 29 2 8" xfId="8601"/>
    <cellStyle name="표준 29 2 8 2" xfId="17606"/>
    <cellStyle name="표준 29 2 8 2 2" xfId="38482"/>
    <cellStyle name="표준 29 2 8 3" xfId="29744"/>
    <cellStyle name="표준 29 2 9" xfId="9425"/>
    <cellStyle name="표준 29 2 9 2" xfId="18424"/>
    <cellStyle name="표준 29 2 9 2 2" xfId="39300"/>
    <cellStyle name="표준 29 2 9 3" xfId="30562"/>
    <cellStyle name="표준 29 3" xfId="3021"/>
    <cellStyle name="표준 29 3 10" xfId="10482"/>
    <cellStyle name="표준 29 3 10 2" xfId="19253"/>
    <cellStyle name="표준 29 3 10 2 2" xfId="40129"/>
    <cellStyle name="표준 29 3 10 3" xfId="31393"/>
    <cellStyle name="표준 29 3 11" xfId="11348"/>
    <cellStyle name="표준 29 3 11 2" xfId="20114"/>
    <cellStyle name="표준 29 3 11 2 2" xfId="40990"/>
    <cellStyle name="표준 29 3 11 3" xfId="32254"/>
    <cellStyle name="표준 29 3 12" xfId="12496"/>
    <cellStyle name="표준 29 3 12 2" xfId="33374"/>
    <cellStyle name="표준 29 3 13" xfId="24624"/>
    <cellStyle name="표준 29 3 2" xfId="3239"/>
    <cellStyle name="표준 29 3 2 10" xfId="11558"/>
    <cellStyle name="표준 29 3 2 10 2" xfId="20324"/>
    <cellStyle name="표준 29 3 2 10 2 2" xfId="41200"/>
    <cellStyle name="표준 29 3 2 10 3" xfId="32464"/>
    <cellStyle name="표준 29 3 2 11" xfId="12707"/>
    <cellStyle name="표준 29 3 2 11 2" xfId="33584"/>
    <cellStyle name="표준 29 3 2 12" xfId="24834"/>
    <cellStyle name="표준 29 3 2 2" xfId="3681"/>
    <cellStyle name="표준 29 3 2 2 2" xfId="5954"/>
    <cellStyle name="표준 29 3 2 2 2 2" xfId="14963"/>
    <cellStyle name="표준 29 3 2 2 2 2 2" xfId="35839"/>
    <cellStyle name="표준 29 3 2 2 2 3" xfId="27101"/>
    <cellStyle name="표준 29 3 2 2 3" xfId="13144"/>
    <cellStyle name="표준 29 3 2 2 3 2" xfId="34021"/>
    <cellStyle name="표준 29 3 2 2 4" xfId="25271"/>
    <cellStyle name="표준 29 3 2 3" xfId="4842"/>
    <cellStyle name="표준 29 3 2 3 2" xfId="6674"/>
    <cellStyle name="표준 29 3 2 3 2 2" xfId="15683"/>
    <cellStyle name="표준 29 3 2 3 2 2 2" xfId="36559"/>
    <cellStyle name="표준 29 3 2 3 2 3" xfId="27821"/>
    <cellStyle name="표준 29 3 2 3 3" xfId="13865"/>
    <cellStyle name="표준 29 3 2 3 3 2" xfId="34741"/>
    <cellStyle name="표준 29 3 2 3 4" xfId="26003"/>
    <cellStyle name="표준 29 3 2 4" xfId="5517"/>
    <cellStyle name="표준 29 3 2 4 2" xfId="14526"/>
    <cellStyle name="표준 29 3 2 4 2 2" xfId="35402"/>
    <cellStyle name="표준 29 3 2 4 3" xfId="26664"/>
    <cellStyle name="표준 29 3 2 5" xfId="7320"/>
    <cellStyle name="표준 29 3 2 5 2" xfId="16327"/>
    <cellStyle name="표준 29 3 2 5 2 2" xfId="37203"/>
    <cellStyle name="표준 29 3 2 5 3" xfId="28465"/>
    <cellStyle name="표준 29 3 2 6" xfId="7964"/>
    <cellStyle name="표준 29 3 2 6 2" xfId="16970"/>
    <cellStyle name="표준 29 3 2 6 2 2" xfId="37846"/>
    <cellStyle name="표준 29 3 2 6 3" xfId="29108"/>
    <cellStyle name="표준 29 3 2 7" xfId="8812"/>
    <cellStyle name="표준 29 3 2 7 2" xfId="17817"/>
    <cellStyle name="표준 29 3 2 7 2 2" xfId="38693"/>
    <cellStyle name="표준 29 3 2 7 3" xfId="29955"/>
    <cellStyle name="표준 29 3 2 8" xfId="9637"/>
    <cellStyle name="표준 29 3 2 8 2" xfId="18635"/>
    <cellStyle name="표준 29 3 2 8 2 2" xfId="39511"/>
    <cellStyle name="표준 29 3 2 8 3" xfId="30773"/>
    <cellStyle name="표준 29 3 2 9" xfId="10692"/>
    <cellStyle name="표준 29 3 2 9 2" xfId="19463"/>
    <cellStyle name="표준 29 3 2 9 2 2" xfId="40339"/>
    <cellStyle name="표준 29 3 2 9 3" xfId="31603"/>
    <cellStyle name="표준 29 3 3" xfId="3471"/>
    <cellStyle name="표준 29 3 3 10" xfId="12934"/>
    <cellStyle name="표준 29 3 3 10 2" xfId="33811"/>
    <cellStyle name="표준 29 3 3 11" xfId="25061"/>
    <cellStyle name="표준 29 3 3 2" xfId="5064"/>
    <cellStyle name="표준 29 3 3 2 2" xfId="6891"/>
    <cellStyle name="표준 29 3 3 2 2 2" xfId="15900"/>
    <cellStyle name="표준 29 3 3 2 2 2 2" xfId="36776"/>
    <cellStyle name="표준 29 3 3 2 2 3" xfId="28038"/>
    <cellStyle name="표준 29 3 3 2 3" xfId="14082"/>
    <cellStyle name="표준 29 3 3 2 3 2" xfId="34958"/>
    <cellStyle name="표준 29 3 3 2 4" xfId="26220"/>
    <cellStyle name="표준 29 3 3 3" xfId="5744"/>
    <cellStyle name="표준 29 3 3 3 2" xfId="14753"/>
    <cellStyle name="표준 29 3 3 3 2 2" xfId="35629"/>
    <cellStyle name="표준 29 3 3 3 3" xfId="26891"/>
    <cellStyle name="표준 29 3 3 4" xfId="7537"/>
    <cellStyle name="표준 29 3 3 4 2" xfId="16544"/>
    <cellStyle name="표준 29 3 3 4 2 2" xfId="37420"/>
    <cellStyle name="표준 29 3 3 4 3" xfId="28682"/>
    <cellStyle name="표준 29 3 3 5" xfId="8181"/>
    <cellStyle name="표준 29 3 3 5 2" xfId="17187"/>
    <cellStyle name="표준 29 3 3 5 2 2" xfId="38063"/>
    <cellStyle name="표준 29 3 3 5 3" xfId="29325"/>
    <cellStyle name="표준 29 3 3 6" xfId="9029"/>
    <cellStyle name="표준 29 3 3 6 2" xfId="18034"/>
    <cellStyle name="표준 29 3 3 6 2 2" xfId="38910"/>
    <cellStyle name="표준 29 3 3 6 3" xfId="30172"/>
    <cellStyle name="표준 29 3 3 7" xfId="9854"/>
    <cellStyle name="표준 29 3 3 7 2" xfId="18852"/>
    <cellStyle name="표준 29 3 3 7 2 2" xfId="39728"/>
    <cellStyle name="표준 29 3 3 7 3" xfId="30990"/>
    <cellStyle name="표준 29 3 3 8" xfId="10909"/>
    <cellStyle name="표준 29 3 3 8 2" xfId="19680"/>
    <cellStyle name="표준 29 3 3 8 2 2" xfId="40556"/>
    <cellStyle name="표준 29 3 3 8 3" xfId="31820"/>
    <cellStyle name="표준 29 3 3 9" xfId="11775"/>
    <cellStyle name="표준 29 3 3 9 2" xfId="20541"/>
    <cellStyle name="표준 29 3 3 9 2 2" xfId="41417"/>
    <cellStyle name="표준 29 3 3 9 3" xfId="32681"/>
    <cellStyle name="표준 29 3 4" xfId="4630"/>
    <cellStyle name="표준 29 3 4 2" xfId="6464"/>
    <cellStyle name="표준 29 3 4 2 2" xfId="15473"/>
    <cellStyle name="표준 29 3 4 2 2 2" xfId="36349"/>
    <cellStyle name="표준 29 3 4 2 3" xfId="27611"/>
    <cellStyle name="표준 29 3 4 3" xfId="11127"/>
    <cellStyle name="표준 29 3 4 3 2" xfId="19897"/>
    <cellStyle name="표준 29 3 4 3 2 2" xfId="40773"/>
    <cellStyle name="표준 29 3 4 3 3" xfId="32037"/>
    <cellStyle name="표준 29 3 4 4" xfId="11992"/>
    <cellStyle name="표준 29 3 4 4 2" xfId="20758"/>
    <cellStyle name="표준 29 3 4 4 2 2" xfId="41634"/>
    <cellStyle name="표준 29 3 4 4 3" xfId="32898"/>
    <cellStyle name="표준 29 3 4 5" xfId="13655"/>
    <cellStyle name="표준 29 3 4 5 2" xfId="34531"/>
    <cellStyle name="표준 29 3 4 6" xfId="25793"/>
    <cellStyle name="표준 29 3 5" xfId="5307"/>
    <cellStyle name="표준 29 3 5 2" xfId="14316"/>
    <cellStyle name="표준 29 3 5 2 2" xfId="35192"/>
    <cellStyle name="표준 29 3 5 3" xfId="26454"/>
    <cellStyle name="표준 29 3 6" xfId="7109"/>
    <cellStyle name="표준 29 3 6 2" xfId="16117"/>
    <cellStyle name="표준 29 3 6 2 2" xfId="36993"/>
    <cellStyle name="표준 29 3 6 3" xfId="28255"/>
    <cellStyle name="표준 29 3 7" xfId="7754"/>
    <cellStyle name="표준 29 3 7 2" xfId="16760"/>
    <cellStyle name="표준 29 3 7 2 2" xfId="37636"/>
    <cellStyle name="표준 29 3 7 3" xfId="28898"/>
    <cellStyle name="표준 29 3 8" xfId="8602"/>
    <cellStyle name="표준 29 3 8 2" xfId="17607"/>
    <cellStyle name="표준 29 3 8 2 2" xfId="38483"/>
    <cellStyle name="표준 29 3 8 3" xfId="29745"/>
    <cellStyle name="표준 29 3 9" xfId="9426"/>
    <cellStyle name="표준 29 3 9 2" xfId="18425"/>
    <cellStyle name="표준 29 3 9 2 2" xfId="39301"/>
    <cellStyle name="표준 29 3 9 3" xfId="30563"/>
    <cellStyle name="표준 29 4" xfId="3022"/>
    <cellStyle name="표준 29 4 10" xfId="10483"/>
    <cellStyle name="표준 29 4 10 2" xfId="19254"/>
    <cellStyle name="표준 29 4 10 2 2" xfId="40130"/>
    <cellStyle name="표준 29 4 10 3" xfId="31394"/>
    <cellStyle name="표준 29 4 11" xfId="11349"/>
    <cellStyle name="표준 29 4 11 2" xfId="20115"/>
    <cellStyle name="표준 29 4 11 2 2" xfId="40991"/>
    <cellStyle name="표준 29 4 11 3" xfId="32255"/>
    <cellStyle name="표준 29 4 12" xfId="12497"/>
    <cellStyle name="표준 29 4 12 2" xfId="33375"/>
    <cellStyle name="표준 29 4 13" xfId="24625"/>
    <cellStyle name="표준 29 4 2" xfId="3240"/>
    <cellStyle name="표준 29 4 2 10" xfId="11559"/>
    <cellStyle name="표준 29 4 2 10 2" xfId="20325"/>
    <cellStyle name="표준 29 4 2 10 2 2" xfId="41201"/>
    <cellStyle name="표준 29 4 2 10 3" xfId="32465"/>
    <cellStyle name="표준 29 4 2 11" xfId="12708"/>
    <cellStyle name="표준 29 4 2 11 2" xfId="33585"/>
    <cellStyle name="표준 29 4 2 12" xfId="24835"/>
    <cellStyle name="표준 29 4 2 2" xfId="3682"/>
    <cellStyle name="표준 29 4 2 2 2" xfId="5955"/>
    <cellStyle name="표준 29 4 2 2 2 2" xfId="14964"/>
    <cellStyle name="표준 29 4 2 2 2 2 2" xfId="35840"/>
    <cellStyle name="표준 29 4 2 2 2 3" xfId="27102"/>
    <cellStyle name="표준 29 4 2 2 3" xfId="13145"/>
    <cellStyle name="표준 29 4 2 2 3 2" xfId="34022"/>
    <cellStyle name="표준 29 4 2 2 4" xfId="25272"/>
    <cellStyle name="표준 29 4 2 3" xfId="4843"/>
    <cellStyle name="표준 29 4 2 3 2" xfId="6675"/>
    <cellStyle name="표준 29 4 2 3 2 2" xfId="15684"/>
    <cellStyle name="표준 29 4 2 3 2 2 2" xfId="36560"/>
    <cellStyle name="표준 29 4 2 3 2 3" xfId="27822"/>
    <cellStyle name="표준 29 4 2 3 3" xfId="13866"/>
    <cellStyle name="표준 29 4 2 3 3 2" xfId="34742"/>
    <cellStyle name="표준 29 4 2 3 4" xfId="26004"/>
    <cellStyle name="표준 29 4 2 4" xfId="5518"/>
    <cellStyle name="표준 29 4 2 4 2" xfId="14527"/>
    <cellStyle name="표준 29 4 2 4 2 2" xfId="35403"/>
    <cellStyle name="표준 29 4 2 4 3" xfId="26665"/>
    <cellStyle name="표준 29 4 2 5" xfId="7321"/>
    <cellStyle name="표준 29 4 2 5 2" xfId="16328"/>
    <cellStyle name="표준 29 4 2 5 2 2" xfId="37204"/>
    <cellStyle name="표준 29 4 2 5 3" xfId="28466"/>
    <cellStyle name="표준 29 4 2 6" xfId="7965"/>
    <cellStyle name="표준 29 4 2 6 2" xfId="16971"/>
    <cellStyle name="표준 29 4 2 6 2 2" xfId="37847"/>
    <cellStyle name="표준 29 4 2 6 3" xfId="29109"/>
    <cellStyle name="표준 29 4 2 7" xfId="8813"/>
    <cellStyle name="표준 29 4 2 7 2" xfId="17818"/>
    <cellStyle name="표준 29 4 2 7 2 2" xfId="38694"/>
    <cellStyle name="표준 29 4 2 7 3" xfId="29956"/>
    <cellStyle name="표준 29 4 2 8" xfId="9638"/>
    <cellStyle name="표준 29 4 2 8 2" xfId="18636"/>
    <cellStyle name="표준 29 4 2 8 2 2" xfId="39512"/>
    <cellStyle name="표준 29 4 2 8 3" xfId="30774"/>
    <cellStyle name="표준 29 4 2 9" xfId="10693"/>
    <cellStyle name="표준 29 4 2 9 2" xfId="19464"/>
    <cellStyle name="표준 29 4 2 9 2 2" xfId="40340"/>
    <cellStyle name="표준 29 4 2 9 3" xfId="31604"/>
    <cellStyle name="표준 29 4 3" xfId="3472"/>
    <cellStyle name="표준 29 4 3 10" xfId="12935"/>
    <cellStyle name="표준 29 4 3 10 2" xfId="33812"/>
    <cellStyle name="표준 29 4 3 11" xfId="25062"/>
    <cellStyle name="표준 29 4 3 2" xfId="5065"/>
    <cellStyle name="표준 29 4 3 2 2" xfId="6892"/>
    <cellStyle name="표준 29 4 3 2 2 2" xfId="15901"/>
    <cellStyle name="표준 29 4 3 2 2 2 2" xfId="36777"/>
    <cellStyle name="표준 29 4 3 2 2 3" xfId="28039"/>
    <cellStyle name="표준 29 4 3 2 3" xfId="14083"/>
    <cellStyle name="표준 29 4 3 2 3 2" xfId="34959"/>
    <cellStyle name="표준 29 4 3 2 4" xfId="26221"/>
    <cellStyle name="표준 29 4 3 3" xfId="5745"/>
    <cellStyle name="표준 29 4 3 3 2" xfId="14754"/>
    <cellStyle name="표준 29 4 3 3 2 2" xfId="35630"/>
    <cellStyle name="표준 29 4 3 3 3" xfId="26892"/>
    <cellStyle name="표준 29 4 3 4" xfId="7538"/>
    <cellStyle name="표준 29 4 3 4 2" xfId="16545"/>
    <cellStyle name="표준 29 4 3 4 2 2" xfId="37421"/>
    <cellStyle name="표준 29 4 3 4 3" xfId="28683"/>
    <cellStyle name="표준 29 4 3 5" xfId="8182"/>
    <cellStyle name="표준 29 4 3 5 2" xfId="17188"/>
    <cellStyle name="표준 29 4 3 5 2 2" xfId="38064"/>
    <cellStyle name="표준 29 4 3 5 3" xfId="29326"/>
    <cellStyle name="표준 29 4 3 6" xfId="9030"/>
    <cellStyle name="표준 29 4 3 6 2" xfId="18035"/>
    <cellStyle name="표준 29 4 3 6 2 2" xfId="38911"/>
    <cellStyle name="표준 29 4 3 6 3" xfId="30173"/>
    <cellStyle name="표준 29 4 3 7" xfId="9855"/>
    <cellStyle name="표준 29 4 3 7 2" xfId="18853"/>
    <cellStyle name="표준 29 4 3 7 2 2" xfId="39729"/>
    <cellStyle name="표준 29 4 3 7 3" xfId="30991"/>
    <cellStyle name="표준 29 4 3 8" xfId="10910"/>
    <cellStyle name="표준 29 4 3 8 2" xfId="19681"/>
    <cellStyle name="표준 29 4 3 8 2 2" xfId="40557"/>
    <cellStyle name="표준 29 4 3 8 3" xfId="31821"/>
    <cellStyle name="표준 29 4 3 9" xfId="11776"/>
    <cellStyle name="표준 29 4 3 9 2" xfId="20542"/>
    <cellStyle name="표준 29 4 3 9 2 2" xfId="41418"/>
    <cellStyle name="표준 29 4 3 9 3" xfId="32682"/>
    <cellStyle name="표준 29 4 4" xfId="4631"/>
    <cellStyle name="표준 29 4 4 2" xfId="6465"/>
    <cellStyle name="표준 29 4 4 2 2" xfId="15474"/>
    <cellStyle name="표준 29 4 4 2 2 2" xfId="36350"/>
    <cellStyle name="표준 29 4 4 2 3" xfId="27612"/>
    <cellStyle name="표준 29 4 4 3" xfId="11128"/>
    <cellStyle name="표준 29 4 4 3 2" xfId="19898"/>
    <cellStyle name="표준 29 4 4 3 2 2" xfId="40774"/>
    <cellStyle name="표준 29 4 4 3 3" xfId="32038"/>
    <cellStyle name="표준 29 4 4 4" xfId="11993"/>
    <cellStyle name="표준 29 4 4 4 2" xfId="20759"/>
    <cellStyle name="표준 29 4 4 4 2 2" xfId="41635"/>
    <cellStyle name="표준 29 4 4 4 3" xfId="32899"/>
    <cellStyle name="표준 29 4 4 5" xfId="13656"/>
    <cellStyle name="표준 29 4 4 5 2" xfId="34532"/>
    <cellStyle name="표준 29 4 4 6" xfId="25794"/>
    <cellStyle name="표준 29 4 5" xfId="5308"/>
    <cellStyle name="표준 29 4 5 2" xfId="14317"/>
    <cellStyle name="표준 29 4 5 2 2" xfId="35193"/>
    <cellStyle name="표준 29 4 5 3" xfId="26455"/>
    <cellStyle name="표준 29 4 6" xfId="7110"/>
    <cellStyle name="표준 29 4 6 2" xfId="16118"/>
    <cellStyle name="표준 29 4 6 2 2" xfId="36994"/>
    <cellStyle name="표준 29 4 6 3" xfId="28256"/>
    <cellStyle name="표준 29 4 7" xfId="7755"/>
    <cellStyle name="표준 29 4 7 2" xfId="16761"/>
    <cellStyle name="표준 29 4 7 2 2" xfId="37637"/>
    <cellStyle name="표준 29 4 7 3" xfId="28899"/>
    <cellStyle name="표준 29 4 8" xfId="8603"/>
    <cellStyle name="표준 29 4 8 2" xfId="17608"/>
    <cellStyle name="표준 29 4 8 2 2" xfId="38484"/>
    <cellStyle name="표준 29 4 8 3" xfId="29746"/>
    <cellStyle name="표준 29 4 9" xfId="9427"/>
    <cellStyle name="표준 29 4 9 2" xfId="18426"/>
    <cellStyle name="표준 29 4 9 2 2" xfId="39302"/>
    <cellStyle name="표준 29 4 9 3" xfId="30564"/>
    <cellStyle name="표준 29 5" xfId="3023"/>
    <cellStyle name="표준 29 5 10" xfId="10484"/>
    <cellStyle name="표준 29 5 10 2" xfId="19255"/>
    <cellStyle name="표준 29 5 10 2 2" xfId="40131"/>
    <cellStyle name="표준 29 5 10 3" xfId="31395"/>
    <cellStyle name="표준 29 5 11" xfId="11350"/>
    <cellStyle name="표준 29 5 11 2" xfId="20116"/>
    <cellStyle name="표준 29 5 11 2 2" xfId="40992"/>
    <cellStyle name="표준 29 5 11 3" xfId="32256"/>
    <cellStyle name="표준 29 5 12" xfId="12498"/>
    <cellStyle name="표준 29 5 12 2" xfId="33376"/>
    <cellStyle name="표준 29 5 13" xfId="24626"/>
    <cellStyle name="표준 29 5 2" xfId="3241"/>
    <cellStyle name="표준 29 5 2 10" xfId="11560"/>
    <cellStyle name="표준 29 5 2 10 2" xfId="20326"/>
    <cellStyle name="표준 29 5 2 10 2 2" xfId="41202"/>
    <cellStyle name="표준 29 5 2 10 3" xfId="32466"/>
    <cellStyle name="표준 29 5 2 11" xfId="12709"/>
    <cellStyle name="표준 29 5 2 11 2" xfId="33586"/>
    <cellStyle name="표준 29 5 2 12" xfId="24836"/>
    <cellStyle name="표준 29 5 2 2" xfId="3683"/>
    <cellStyle name="표준 29 5 2 2 2" xfId="5956"/>
    <cellStyle name="표준 29 5 2 2 2 2" xfId="14965"/>
    <cellStyle name="표준 29 5 2 2 2 2 2" xfId="35841"/>
    <cellStyle name="표준 29 5 2 2 2 3" xfId="27103"/>
    <cellStyle name="표준 29 5 2 2 3" xfId="13146"/>
    <cellStyle name="표준 29 5 2 2 3 2" xfId="34023"/>
    <cellStyle name="표준 29 5 2 2 4" xfId="25273"/>
    <cellStyle name="표준 29 5 2 3" xfId="4844"/>
    <cellStyle name="표준 29 5 2 3 2" xfId="6676"/>
    <cellStyle name="표준 29 5 2 3 2 2" xfId="15685"/>
    <cellStyle name="표준 29 5 2 3 2 2 2" xfId="36561"/>
    <cellStyle name="표준 29 5 2 3 2 3" xfId="27823"/>
    <cellStyle name="표준 29 5 2 3 3" xfId="13867"/>
    <cellStyle name="표준 29 5 2 3 3 2" xfId="34743"/>
    <cellStyle name="표준 29 5 2 3 4" xfId="26005"/>
    <cellStyle name="표준 29 5 2 4" xfId="5519"/>
    <cellStyle name="표준 29 5 2 4 2" xfId="14528"/>
    <cellStyle name="표준 29 5 2 4 2 2" xfId="35404"/>
    <cellStyle name="표준 29 5 2 4 3" xfId="26666"/>
    <cellStyle name="표준 29 5 2 5" xfId="7322"/>
    <cellStyle name="표준 29 5 2 5 2" xfId="16329"/>
    <cellStyle name="표준 29 5 2 5 2 2" xfId="37205"/>
    <cellStyle name="표준 29 5 2 5 3" xfId="28467"/>
    <cellStyle name="표준 29 5 2 6" xfId="7966"/>
    <cellStyle name="표준 29 5 2 6 2" xfId="16972"/>
    <cellStyle name="표준 29 5 2 6 2 2" xfId="37848"/>
    <cellStyle name="표준 29 5 2 6 3" xfId="29110"/>
    <cellStyle name="표준 29 5 2 7" xfId="8814"/>
    <cellStyle name="표준 29 5 2 7 2" xfId="17819"/>
    <cellStyle name="표준 29 5 2 7 2 2" xfId="38695"/>
    <cellStyle name="표준 29 5 2 7 3" xfId="29957"/>
    <cellStyle name="표준 29 5 2 8" xfId="9639"/>
    <cellStyle name="표준 29 5 2 8 2" xfId="18637"/>
    <cellStyle name="표준 29 5 2 8 2 2" xfId="39513"/>
    <cellStyle name="표준 29 5 2 8 3" xfId="30775"/>
    <cellStyle name="표준 29 5 2 9" xfId="10694"/>
    <cellStyle name="표준 29 5 2 9 2" xfId="19465"/>
    <cellStyle name="표준 29 5 2 9 2 2" xfId="40341"/>
    <cellStyle name="표준 29 5 2 9 3" xfId="31605"/>
    <cellStyle name="표준 29 5 3" xfId="3473"/>
    <cellStyle name="표준 29 5 3 10" xfId="12936"/>
    <cellStyle name="표준 29 5 3 10 2" xfId="33813"/>
    <cellStyle name="표준 29 5 3 11" xfId="25063"/>
    <cellStyle name="표준 29 5 3 2" xfId="5066"/>
    <cellStyle name="표준 29 5 3 2 2" xfId="6893"/>
    <cellStyle name="표준 29 5 3 2 2 2" xfId="15902"/>
    <cellStyle name="표준 29 5 3 2 2 2 2" xfId="36778"/>
    <cellStyle name="표준 29 5 3 2 2 3" xfId="28040"/>
    <cellStyle name="표준 29 5 3 2 3" xfId="14084"/>
    <cellStyle name="표준 29 5 3 2 3 2" xfId="34960"/>
    <cellStyle name="표준 29 5 3 2 4" xfId="26222"/>
    <cellStyle name="표준 29 5 3 3" xfId="5746"/>
    <cellStyle name="표준 29 5 3 3 2" xfId="14755"/>
    <cellStyle name="표준 29 5 3 3 2 2" xfId="35631"/>
    <cellStyle name="표준 29 5 3 3 3" xfId="26893"/>
    <cellStyle name="표준 29 5 3 4" xfId="7539"/>
    <cellStyle name="표준 29 5 3 4 2" xfId="16546"/>
    <cellStyle name="표준 29 5 3 4 2 2" xfId="37422"/>
    <cellStyle name="표준 29 5 3 4 3" xfId="28684"/>
    <cellStyle name="표준 29 5 3 5" xfId="8183"/>
    <cellStyle name="표준 29 5 3 5 2" xfId="17189"/>
    <cellStyle name="표준 29 5 3 5 2 2" xfId="38065"/>
    <cellStyle name="표준 29 5 3 5 3" xfId="29327"/>
    <cellStyle name="표준 29 5 3 6" xfId="9031"/>
    <cellStyle name="표준 29 5 3 6 2" xfId="18036"/>
    <cellStyle name="표준 29 5 3 6 2 2" xfId="38912"/>
    <cellStyle name="표준 29 5 3 6 3" xfId="30174"/>
    <cellStyle name="표준 29 5 3 7" xfId="9856"/>
    <cellStyle name="표준 29 5 3 7 2" xfId="18854"/>
    <cellStyle name="표준 29 5 3 7 2 2" xfId="39730"/>
    <cellStyle name="표준 29 5 3 7 3" xfId="30992"/>
    <cellStyle name="표준 29 5 3 8" xfId="10911"/>
    <cellStyle name="표준 29 5 3 8 2" xfId="19682"/>
    <cellStyle name="표준 29 5 3 8 2 2" xfId="40558"/>
    <cellStyle name="표준 29 5 3 8 3" xfId="31822"/>
    <cellStyle name="표준 29 5 3 9" xfId="11777"/>
    <cellStyle name="표준 29 5 3 9 2" xfId="20543"/>
    <cellStyle name="표준 29 5 3 9 2 2" xfId="41419"/>
    <cellStyle name="표준 29 5 3 9 3" xfId="32683"/>
    <cellStyle name="표준 29 5 4" xfId="4632"/>
    <cellStyle name="표준 29 5 4 2" xfId="6466"/>
    <cellStyle name="표준 29 5 4 2 2" xfId="15475"/>
    <cellStyle name="표준 29 5 4 2 2 2" xfId="36351"/>
    <cellStyle name="표준 29 5 4 2 3" xfId="27613"/>
    <cellStyle name="표준 29 5 4 3" xfId="11129"/>
    <cellStyle name="표준 29 5 4 3 2" xfId="19899"/>
    <cellStyle name="표준 29 5 4 3 2 2" xfId="40775"/>
    <cellStyle name="표준 29 5 4 3 3" xfId="32039"/>
    <cellStyle name="표준 29 5 4 4" xfId="11994"/>
    <cellStyle name="표준 29 5 4 4 2" xfId="20760"/>
    <cellStyle name="표준 29 5 4 4 2 2" xfId="41636"/>
    <cellStyle name="표준 29 5 4 4 3" xfId="32900"/>
    <cellStyle name="표준 29 5 4 5" xfId="13657"/>
    <cellStyle name="표준 29 5 4 5 2" xfId="34533"/>
    <cellStyle name="표준 29 5 4 6" xfId="25795"/>
    <cellStyle name="표준 29 5 5" xfId="5309"/>
    <cellStyle name="표준 29 5 5 2" xfId="14318"/>
    <cellStyle name="표준 29 5 5 2 2" xfId="35194"/>
    <cellStyle name="표준 29 5 5 3" xfId="26456"/>
    <cellStyle name="표준 29 5 6" xfId="7111"/>
    <cellStyle name="표준 29 5 6 2" xfId="16119"/>
    <cellStyle name="표준 29 5 6 2 2" xfId="36995"/>
    <cellStyle name="표준 29 5 6 3" xfId="28257"/>
    <cellStyle name="표준 29 5 7" xfId="7756"/>
    <cellStyle name="표준 29 5 7 2" xfId="16762"/>
    <cellStyle name="표준 29 5 7 2 2" xfId="37638"/>
    <cellStyle name="표준 29 5 7 3" xfId="28900"/>
    <cellStyle name="표준 29 5 8" xfId="8604"/>
    <cellStyle name="표준 29 5 8 2" xfId="17609"/>
    <cellStyle name="표준 29 5 8 2 2" xfId="38485"/>
    <cellStyle name="표준 29 5 8 3" xfId="29747"/>
    <cellStyle name="표준 29 5 9" xfId="9428"/>
    <cellStyle name="표준 29 5 9 2" xfId="18427"/>
    <cellStyle name="표준 29 5 9 2 2" xfId="39303"/>
    <cellStyle name="표준 29 5 9 3" xfId="30565"/>
    <cellStyle name="표준 29 6" xfId="3024"/>
    <cellStyle name="표준 29 6 10" xfId="10485"/>
    <cellStyle name="표준 29 6 10 2" xfId="19256"/>
    <cellStyle name="표준 29 6 10 2 2" xfId="40132"/>
    <cellStyle name="표준 29 6 10 3" xfId="31396"/>
    <cellStyle name="표준 29 6 11" xfId="11351"/>
    <cellStyle name="표준 29 6 11 2" xfId="20117"/>
    <cellStyle name="표준 29 6 11 2 2" xfId="40993"/>
    <cellStyle name="표준 29 6 11 3" xfId="32257"/>
    <cellStyle name="표준 29 6 12" xfId="12499"/>
    <cellStyle name="표준 29 6 12 2" xfId="33377"/>
    <cellStyle name="표준 29 6 13" xfId="24627"/>
    <cellStyle name="표준 29 6 2" xfId="3242"/>
    <cellStyle name="표준 29 6 2 10" xfId="11561"/>
    <cellStyle name="표준 29 6 2 10 2" xfId="20327"/>
    <cellStyle name="표준 29 6 2 10 2 2" xfId="41203"/>
    <cellStyle name="표준 29 6 2 10 3" xfId="32467"/>
    <cellStyle name="표준 29 6 2 11" xfId="12710"/>
    <cellStyle name="표준 29 6 2 11 2" xfId="33587"/>
    <cellStyle name="표준 29 6 2 12" xfId="24837"/>
    <cellStyle name="표준 29 6 2 2" xfId="3684"/>
    <cellStyle name="표준 29 6 2 2 2" xfId="5957"/>
    <cellStyle name="표준 29 6 2 2 2 2" xfId="14966"/>
    <cellStyle name="표준 29 6 2 2 2 2 2" xfId="35842"/>
    <cellStyle name="표준 29 6 2 2 2 3" xfId="27104"/>
    <cellStyle name="표준 29 6 2 2 3" xfId="13147"/>
    <cellStyle name="표준 29 6 2 2 3 2" xfId="34024"/>
    <cellStyle name="표준 29 6 2 2 4" xfId="25274"/>
    <cellStyle name="표준 29 6 2 3" xfId="4845"/>
    <cellStyle name="표준 29 6 2 3 2" xfId="6677"/>
    <cellStyle name="표준 29 6 2 3 2 2" xfId="15686"/>
    <cellStyle name="표준 29 6 2 3 2 2 2" xfId="36562"/>
    <cellStyle name="표준 29 6 2 3 2 3" xfId="27824"/>
    <cellStyle name="표준 29 6 2 3 3" xfId="13868"/>
    <cellStyle name="표준 29 6 2 3 3 2" xfId="34744"/>
    <cellStyle name="표준 29 6 2 3 4" xfId="26006"/>
    <cellStyle name="표준 29 6 2 4" xfId="5520"/>
    <cellStyle name="표준 29 6 2 4 2" xfId="14529"/>
    <cellStyle name="표준 29 6 2 4 2 2" xfId="35405"/>
    <cellStyle name="표준 29 6 2 4 3" xfId="26667"/>
    <cellStyle name="표준 29 6 2 5" xfId="7323"/>
    <cellStyle name="표준 29 6 2 5 2" xfId="16330"/>
    <cellStyle name="표준 29 6 2 5 2 2" xfId="37206"/>
    <cellStyle name="표준 29 6 2 5 3" xfId="28468"/>
    <cellStyle name="표준 29 6 2 6" xfId="7967"/>
    <cellStyle name="표준 29 6 2 6 2" xfId="16973"/>
    <cellStyle name="표준 29 6 2 6 2 2" xfId="37849"/>
    <cellStyle name="표준 29 6 2 6 3" xfId="29111"/>
    <cellStyle name="표준 29 6 2 7" xfId="8815"/>
    <cellStyle name="표준 29 6 2 7 2" xfId="17820"/>
    <cellStyle name="표준 29 6 2 7 2 2" xfId="38696"/>
    <cellStyle name="표준 29 6 2 7 3" xfId="29958"/>
    <cellStyle name="표준 29 6 2 8" xfId="9640"/>
    <cellStyle name="표준 29 6 2 8 2" xfId="18638"/>
    <cellStyle name="표준 29 6 2 8 2 2" xfId="39514"/>
    <cellStyle name="표준 29 6 2 8 3" xfId="30776"/>
    <cellStyle name="표준 29 6 2 9" xfId="10695"/>
    <cellStyle name="표준 29 6 2 9 2" xfId="19466"/>
    <cellStyle name="표준 29 6 2 9 2 2" xfId="40342"/>
    <cellStyle name="표준 29 6 2 9 3" xfId="31606"/>
    <cellStyle name="표준 29 6 3" xfId="3474"/>
    <cellStyle name="표준 29 6 3 10" xfId="12937"/>
    <cellStyle name="표준 29 6 3 10 2" xfId="33814"/>
    <cellStyle name="표준 29 6 3 11" xfId="25064"/>
    <cellStyle name="표준 29 6 3 2" xfId="5067"/>
    <cellStyle name="표준 29 6 3 2 2" xfId="6894"/>
    <cellStyle name="표준 29 6 3 2 2 2" xfId="15903"/>
    <cellStyle name="표준 29 6 3 2 2 2 2" xfId="36779"/>
    <cellStyle name="표준 29 6 3 2 2 3" xfId="28041"/>
    <cellStyle name="표준 29 6 3 2 3" xfId="14085"/>
    <cellStyle name="표준 29 6 3 2 3 2" xfId="34961"/>
    <cellStyle name="표준 29 6 3 2 4" xfId="26223"/>
    <cellStyle name="표준 29 6 3 3" xfId="5747"/>
    <cellStyle name="표준 29 6 3 3 2" xfId="14756"/>
    <cellStyle name="표준 29 6 3 3 2 2" xfId="35632"/>
    <cellStyle name="표준 29 6 3 3 3" xfId="26894"/>
    <cellStyle name="표준 29 6 3 4" xfId="7540"/>
    <cellStyle name="표준 29 6 3 4 2" xfId="16547"/>
    <cellStyle name="표준 29 6 3 4 2 2" xfId="37423"/>
    <cellStyle name="표준 29 6 3 4 3" xfId="28685"/>
    <cellStyle name="표준 29 6 3 5" xfId="8184"/>
    <cellStyle name="표준 29 6 3 5 2" xfId="17190"/>
    <cellStyle name="표준 29 6 3 5 2 2" xfId="38066"/>
    <cellStyle name="표준 29 6 3 5 3" xfId="29328"/>
    <cellStyle name="표준 29 6 3 6" xfId="9032"/>
    <cellStyle name="표준 29 6 3 6 2" xfId="18037"/>
    <cellStyle name="표준 29 6 3 6 2 2" xfId="38913"/>
    <cellStyle name="표준 29 6 3 6 3" xfId="30175"/>
    <cellStyle name="표준 29 6 3 7" xfId="9857"/>
    <cellStyle name="표준 29 6 3 7 2" xfId="18855"/>
    <cellStyle name="표준 29 6 3 7 2 2" xfId="39731"/>
    <cellStyle name="표준 29 6 3 7 3" xfId="30993"/>
    <cellStyle name="표준 29 6 3 8" xfId="10912"/>
    <cellStyle name="표준 29 6 3 8 2" xfId="19683"/>
    <cellStyle name="표준 29 6 3 8 2 2" xfId="40559"/>
    <cellStyle name="표준 29 6 3 8 3" xfId="31823"/>
    <cellStyle name="표준 29 6 3 9" xfId="11778"/>
    <cellStyle name="표준 29 6 3 9 2" xfId="20544"/>
    <cellStyle name="표준 29 6 3 9 2 2" xfId="41420"/>
    <cellStyle name="표준 29 6 3 9 3" xfId="32684"/>
    <cellStyle name="표준 29 6 4" xfId="4633"/>
    <cellStyle name="표준 29 6 4 2" xfId="6467"/>
    <cellStyle name="표준 29 6 4 2 2" xfId="15476"/>
    <cellStyle name="표준 29 6 4 2 2 2" xfId="36352"/>
    <cellStyle name="표준 29 6 4 2 3" xfId="27614"/>
    <cellStyle name="표준 29 6 4 3" xfId="11130"/>
    <cellStyle name="표준 29 6 4 3 2" xfId="19900"/>
    <cellStyle name="표준 29 6 4 3 2 2" xfId="40776"/>
    <cellStyle name="표준 29 6 4 3 3" xfId="32040"/>
    <cellStyle name="표준 29 6 4 4" xfId="11995"/>
    <cellStyle name="표준 29 6 4 4 2" xfId="20761"/>
    <cellStyle name="표준 29 6 4 4 2 2" xfId="41637"/>
    <cellStyle name="표준 29 6 4 4 3" xfId="32901"/>
    <cellStyle name="표준 29 6 4 5" xfId="13658"/>
    <cellStyle name="표준 29 6 4 5 2" xfId="34534"/>
    <cellStyle name="표준 29 6 4 6" xfId="25796"/>
    <cellStyle name="표준 29 6 5" xfId="5310"/>
    <cellStyle name="표준 29 6 5 2" xfId="14319"/>
    <cellStyle name="표준 29 6 5 2 2" xfId="35195"/>
    <cellStyle name="표준 29 6 5 3" xfId="26457"/>
    <cellStyle name="표준 29 6 6" xfId="7112"/>
    <cellStyle name="표준 29 6 6 2" xfId="16120"/>
    <cellStyle name="표준 29 6 6 2 2" xfId="36996"/>
    <cellStyle name="표준 29 6 6 3" xfId="28258"/>
    <cellStyle name="표준 29 6 7" xfId="7757"/>
    <cellStyle name="표준 29 6 7 2" xfId="16763"/>
    <cellStyle name="표준 29 6 7 2 2" xfId="37639"/>
    <cellStyle name="표준 29 6 7 3" xfId="28901"/>
    <cellStyle name="표준 29 6 8" xfId="8605"/>
    <cellStyle name="표준 29 6 8 2" xfId="17610"/>
    <cellStyle name="표준 29 6 8 2 2" xfId="38486"/>
    <cellStyle name="표준 29 6 8 3" xfId="29748"/>
    <cellStyle name="표준 29 6 9" xfId="9429"/>
    <cellStyle name="표준 29 6 9 2" xfId="18428"/>
    <cellStyle name="표준 29 6 9 2 2" xfId="39304"/>
    <cellStyle name="표준 29 6 9 3" xfId="30566"/>
    <cellStyle name="표준 29 7" xfId="3025"/>
    <cellStyle name="표준 29 7 10" xfId="10486"/>
    <cellStyle name="표준 29 7 10 2" xfId="19257"/>
    <cellStyle name="표준 29 7 10 2 2" xfId="40133"/>
    <cellStyle name="표준 29 7 10 3" xfId="31397"/>
    <cellStyle name="표준 29 7 11" xfId="11352"/>
    <cellStyle name="표준 29 7 11 2" xfId="20118"/>
    <cellStyle name="표준 29 7 11 2 2" xfId="40994"/>
    <cellStyle name="표준 29 7 11 3" xfId="32258"/>
    <cellStyle name="표준 29 7 12" xfId="12500"/>
    <cellStyle name="표준 29 7 12 2" xfId="33378"/>
    <cellStyle name="표준 29 7 13" xfId="24628"/>
    <cellStyle name="표준 29 7 2" xfId="3243"/>
    <cellStyle name="표준 29 7 2 10" xfId="11562"/>
    <cellStyle name="표준 29 7 2 10 2" xfId="20328"/>
    <cellStyle name="표준 29 7 2 10 2 2" xfId="41204"/>
    <cellStyle name="표준 29 7 2 10 3" xfId="32468"/>
    <cellStyle name="표준 29 7 2 11" xfId="12711"/>
    <cellStyle name="표준 29 7 2 11 2" xfId="33588"/>
    <cellStyle name="표준 29 7 2 12" xfId="24838"/>
    <cellStyle name="표준 29 7 2 2" xfId="3685"/>
    <cellStyle name="표준 29 7 2 2 2" xfId="5958"/>
    <cellStyle name="표준 29 7 2 2 2 2" xfId="14967"/>
    <cellStyle name="표준 29 7 2 2 2 2 2" xfId="35843"/>
    <cellStyle name="표준 29 7 2 2 2 3" xfId="27105"/>
    <cellStyle name="표준 29 7 2 2 3" xfId="13148"/>
    <cellStyle name="표준 29 7 2 2 3 2" xfId="34025"/>
    <cellStyle name="표준 29 7 2 2 4" xfId="25275"/>
    <cellStyle name="표준 29 7 2 3" xfId="4846"/>
    <cellStyle name="표준 29 7 2 3 2" xfId="6678"/>
    <cellStyle name="표준 29 7 2 3 2 2" xfId="15687"/>
    <cellStyle name="표준 29 7 2 3 2 2 2" xfId="36563"/>
    <cellStyle name="표준 29 7 2 3 2 3" xfId="27825"/>
    <cellStyle name="표준 29 7 2 3 3" xfId="13869"/>
    <cellStyle name="표준 29 7 2 3 3 2" xfId="34745"/>
    <cellStyle name="표준 29 7 2 3 4" xfId="26007"/>
    <cellStyle name="표준 29 7 2 4" xfId="5521"/>
    <cellStyle name="표준 29 7 2 4 2" xfId="14530"/>
    <cellStyle name="표준 29 7 2 4 2 2" xfId="35406"/>
    <cellStyle name="표준 29 7 2 4 3" xfId="26668"/>
    <cellStyle name="표준 29 7 2 5" xfId="7324"/>
    <cellStyle name="표준 29 7 2 5 2" xfId="16331"/>
    <cellStyle name="표준 29 7 2 5 2 2" xfId="37207"/>
    <cellStyle name="표준 29 7 2 5 3" xfId="28469"/>
    <cellStyle name="표준 29 7 2 6" xfId="7968"/>
    <cellStyle name="표준 29 7 2 6 2" xfId="16974"/>
    <cellStyle name="표준 29 7 2 6 2 2" xfId="37850"/>
    <cellStyle name="표준 29 7 2 6 3" xfId="29112"/>
    <cellStyle name="표준 29 7 2 7" xfId="8816"/>
    <cellStyle name="표준 29 7 2 7 2" xfId="17821"/>
    <cellStyle name="표준 29 7 2 7 2 2" xfId="38697"/>
    <cellStyle name="표준 29 7 2 7 3" xfId="29959"/>
    <cellStyle name="표준 29 7 2 8" xfId="9641"/>
    <cellStyle name="표준 29 7 2 8 2" xfId="18639"/>
    <cellStyle name="표준 29 7 2 8 2 2" xfId="39515"/>
    <cellStyle name="표준 29 7 2 8 3" xfId="30777"/>
    <cellStyle name="표준 29 7 2 9" xfId="10696"/>
    <cellStyle name="표준 29 7 2 9 2" xfId="19467"/>
    <cellStyle name="표준 29 7 2 9 2 2" xfId="40343"/>
    <cellStyle name="표준 29 7 2 9 3" xfId="31607"/>
    <cellStyle name="표준 29 7 3" xfId="3475"/>
    <cellStyle name="표준 29 7 3 10" xfId="12938"/>
    <cellStyle name="표준 29 7 3 10 2" xfId="33815"/>
    <cellStyle name="표준 29 7 3 11" xfId="25065"/>
    <cellStyle name="표준 29 7 3 2" xfId="5068"/>
    <cellStyle name="표준 29 7 3 2 2" xfId="6895"/>
    <cellStyle name="표준 29 7 3 2 2 2" xfId="15904"/>
    <cellStyle name="표준 29 7 3 2 2 2 2" xfId="36780"/>
    <cellStyle name="표준 29 7 3 2 2 3" xfId="28042"/>
    <cellStyle name="표준 29 7 3 2 3" xfId="14086"/>
    <cellStyle name="표준 29 7 3 2 3 2" xfId="34962"/>
    <cellStyle name="표준 29 7 3 2 4" xfId="26224"/>
    <cellStyle name="표준 29 7 3 3" xfId="5748"/>
    <cellStyle name="표준 29 7 3 3 2" xfId="14757"/>
    <cellStyle name="표준 29 7 3 3 2 2" xfId="35633"/>
    <cellStyle name="표준 29 7 3 3 3" xfId="26895"/>
    <cellStyle name="표준 29 7 3 4" xfId="7541"/>
    <cellStyle name="표준 29 7 3 4 2" xfId="16548"/>
    <cellStyle name="표준 29 7 3 4 2 2" xfId="37424"/>
    <cellStyle name="표준 29 7 3 4 3" xfId="28686"/>
    <cellStyle name="표준 29 7 3 5" xfId="8185"/>
    <cellStyle name="표준 29 7 3 5 2" xfId="17191"/>
    <cellStyle name="표준 29 7 3 5 2 2" xfId="38067"/>
    <cellStyle name="표준 29 7 3 5 3" xfId="29329"/>
    <cellStyle name="표준 29 7 3 6" xfId="9033"/>
    <cellStyle name="표준 29 7 3 6 2" xfId="18038"/>
    <cellStyle name="표준 29 7 3 6 2 2" xfId="38914"/>
    <cellStyle name="표준 29 7 3 6 3" xfId="30176"/>
    <cellStyle name="표준 29 7 3 7" xfId="9858"/>
    <cellStyle name="표준 29 7 3 7 2" xfId="18856"/>
    <cellStyle name="표준 29 7 3 7 2 2" xfId="39732"/>
    <cellStyle name="표준 29 7 3 7 3" xfId="30994"/>
    <cellStyle name="표준 29 7 3 8" xfId="10913"/>
    <cellStyle name="표준 29 7 3 8 2" xfId="19684"/>
    <cellStyle name="표준 29 7 3 8 2 2" xfId="40560"/>
    <cellStyle name="표준 29 7 3 8 3" xfId="31824"/>
    <cellStyle name="표준 29 7 3 9" xfId="11779"/>
    <cellStyle name="표준 29 7 3 9 2" xfId="20545"/>
    <cellStyle name="표준 29 7 3 9 2 2" xfId="41421"/>
    <cellStyle name="표준 29 7 3 9 3" xfId="32685"/>
    <cellStyle name="표준 29 7 4" xfId="4634"/>
    <cellStyle name="표준 29 7 4 2" xfId="6468"/>
    <cellStyle name="표준 29 7 4 2 2" xfId="15477"/>
    <cellStyle name="표준 29 7 4 2 2 2" xfId="36353"/>
    <cellStyle name="표준 29 7 4 2 3" xfId="27615"/>
    <cellStyle name="표준 29 7 4 3" xfId="11131"/>
    <cellStyle name="표준 29 7 4 3 2" xfId="19901"/>
    <cellStyle name="표준 29 7 4 3 2 2" xfId="40777"/>
    <cellStyle name="표준 29 7 4 3 3" xfId="32041"/>
    <cellStyle name="표준 29 7 4 4" xfId="11996"/>
    <cellStyle name="표준 29 7 4 4 2" xfId="20762"/>
    <cellStyle name="표준 29 7 4 4 2 2" xfId="41638"/>
    <cellStyle name="표준 29 7 4 4 3" xfId="32902"/>
    <cellStyle name="표준 29 7 4 5" xfId="13659"/>
    <cellStyle name="표준 29 7 4 5 2" xfId="34535"/>
    <cellStyle name="표준 29 7 4 6" xfId="25797"/>
    <cellStyle name="표준 29 7 5" xfId="5311"/>
    <cellStyle name="표준 29 7 5 2" xfId="14320"/>
    <cellStyle name="표준 29 7 5 2 2" xfId="35196"/>
    <cellStyle name="표준 29 7 5 3" xfId="26458"/>
    <cellStyle name="표준 29 7 6" xfId="7113"/>
    <cellStyle name="표준 29 7 6 2" xfId="16121"/>
    <cellStyle name="표준 29 7 6 2 2" xfId="36997"/>
    <cellStyle name="표준 29 7 6 3" xfId="28259"/>
    <cellStyle name="표준 29 7 7" xfId="7758"/>
    <cellStyle name="표준 29 7 7 2" xfId="16764"/>
    <cellStyle name="표준 29 7 7 2 2" xfId="37640"/>
    <cellStyle name="표준 29 7 7 3" xfId="28902"/>
    <cellStyle name="표준 29 7 8" xfId="8606"/>
    <cellStyle name="표준 29 7 8 2" xfId="17611"/>
    <cellStyle name="표준 29 7 8 2 2" xfId="38487"/>
    <cellStyle name="표준 29 7 8 3" xfId="29749"/>
    <cellStyle name="표준 29 7 9" xfId="9430"/>
    <cellStyle name="표준 29 7 9 2" xfId="18429"/>
    <cellStyle name="표준 29 7 9 2 2" xfId="39305"/>
    <cellStyle name="표준 29 7 9 3" xfId="30567"/>
    <cellStyle name="표준 29 8" xfId="3237"/>
    <cellStyle name="표준 29 8 10" xfId="11556"/>
    <cellStyle name="표준 29 8 10 2" xfId="20322"/>
    <cellStyle name="표준 29 8 10 2 2" xfId="41198"/>
    <cellStyle name="표준 29 8 10 3" xfId="32462"/>
    <cellStyle name="표준 29 8 11" xfId="12705"/>
    <cellStyle name="표준 29 8 11 2" xfId="33582"/>
    <cellStyle name="표준 29 8 12" xfId="24832"/>
    <cellStyle name="표준 29 8 2" xfId="3679"/>
    <cellStyle name="표준 29 8 2 2" xfId="5952"/>
    <cellStyle name="표준 29 8 2 2 2" xfId="14961"/>
    <cellStyle name="표준 29 8 2 2 2 2" xfId="35837"/>
    <cellStyle name="표준 29 8 2 2 3" xfId="27099"/>
    <cellStyle name="표준 29 8 2 3" xfId="13142"/>
    <cellStyle name="표준 29 8 2 3 2" xfId="34019"/>
    <cellStyle name="표준 29 8 2 4" xfId="25269"/>
    <cellStyle name="표준 29 8 3" xfId="4840"/>
    <cellStyle name="표준 29 8 3 2" xfId="6672"/>
    <cellStyle name="표준 29 8 3 2 2" xfId="15681"/>
    <cellStyle name="표준 29 8 3 2 2 2" xfId="36557"/>
    <cellStyle name="표준 29 8 3 2 3" xfId="27819"/>
    <cellStyle name="표준 29 8 3 3" xfId="13863"/>
    <cellStyle name="표준 29 8 3 3 2" xfId="34739"/>
    <cellStyle name="표준 29 8 3 4" xfId="26001"/>
    <cellStyle name="표준 29 8 4" xfId="5515"/>
    <cellStyle name="표준 29 8 4 2" xfId="14524"/>
    <cellStyle name="표준 29 8 4 2 2" xfId="35400"/>
    <cellStyle name="표준 29 8 4 3" xfId="26662"/>
    <cellStyle name="표준 29 8 5" xfId="7318"/>
    <cellStyle name="표준 29 8 5 2" xfId="16325"/>
    <cellStyle name="표준 29 8 5 2 2" xfId="37201"/>
    <cellStyle name="표준 29 8 5 3" xfId="28463"/>
    <cellStyle name="표준 29 8 6" xfId="7962"/>
    <cellStyle name="표준 29 8 6 2" xfId="16968"/>
    <cellStyle name="표준 29 8 6 2 2" xfId="37844"/>
    <cellStyle name="표준 29 8 6 3" xfId="29106"/>
    <cellStyle name="표준 29 8 7" xfId="8810"/>
    <cellStyle name="표준 29 8 7 2" xfId="17815"/>
    <cellStyle name="표준 29 8 7 2 2" xfId="38691"/>
    <cellStyle name="표준 29 8 7 3" xfId="29953"/>
    <cellStyle name="표준 29 8 8" xfId="9635"/>
    <cellStyle name="표준 29 8 8 2" xfId="18633"/>
    <cellStyle name="표준 29 8 8 2 2" xfId="39509"/>
    <cellStyle name="표준 29 8 8 3" xfId="30771"/>
    <cellStyle name="표준 29 8 9" xfId="10690"/>
    <cellStyle name="표준 29 8 9 2" xfId="19461"/>
    <cellStyle name="표준 29 8 9 2 2" xfId="40337"/>
    <cellStyle name="표준 29 8 9 3" xfId="31601"/>
    <cellStyle name="표준 29 9" xfId="3469"/>
    <cellStyle name="표준 29 9 10" xfId="12932"/>
    <cellStyle name="표준 29 9 10 2" xfId="33809"/>
    <cellStyle name="표준 29 9 11" xfId="25059"/>
    <cellStyle name="표준 29 9 2" xfId="5062"/>
    <cellStyle name="표준 29 9 2 2" xfId="6889"/>
    <cellStyle name="표준 29 9 2 2 2" xfId="15898"/>
    <cellStyle name="표준 29 9 2 2 2 2" xfId="36774"/>
    <cellStyle name="표준 29 9 2 2 3" xfId="28036"/>
    <cellStyle name="표준 29 9 2 3" xfId="14080"/>
    <cellStyle name="표준 29 9 2 3 2" xfId="34956"/>
    <cellStyle name="표준 29 9 2 4" xfId="26218"/>
    <cellStyle name="표준 29 9 3" xfId="5742"/>
    <cellStyle name="표준 29 9 3 2" xfId="14751"/>
    <cellStyle name="표준 29 9 3 2 2" xfId="35627"/>
    <cellStyle name="표준 29 9 3 3" xfId="26889"/>
    <cellStyle name="표준 29 9 4" xfId="7535"/>
    <cellStyle name="표준 29 9 4 2" xfId="16542"/>
    <cellStyle name="표준 29 9 4 2 2" xfId="37418"/>
    <cellStyle name="표준 29 9 4 3" xfId="28680"/>
    <cellStyle name="표준 29 9 5" xfId="8179"/>
    <cellStyle name="표준 29 9 5 2" xfId="17185"/>
    <cellStyle name="표준 29 9 5 2 2" xfId="38061"/>
    <cellStyle name="표준 29 9 5 3" xfId="29323"/>
    <cellStyle name="표준 29 9 6" xfId="9027"/>
    <cellStyle name="표준 29 9 6 2" xfId="18032"/>
    <cellStyle name="표준 29 9 6 2 2" xfId="38908"/>
    <cellStyle name="표준 29 9 6 3" xfId="30170"/>
    <cellStyle name="표준 29 9 7" xfId="9852"/>
    <cellStyle name="표준 29 9 7 2" xfId="18850"/>
    <cellStyle name="표준 29 9 7 2 2" xfId="39726"/>
    <cellStyle name="표준 29 9 7 3" xfId="30988"/>
    <cellStyle name="표준 29 9 8" xfId="10907"/>
    <cellStyle name="표준 29 9 8 2" xfId="19678"/>
    <cellStyle name="표준 29 9 8 2 2" xfId="40554"/>
    <cellStyle name="표준 29 9 8 3" xfId="31818"/>
    <cellStyle name="표준 29 9 9" xfId="11773"/>
    <cellStyle name="표준 29 9 9 2" xfId="20539"/>
    <cellStyle name="표준 29 9 9 2 2" xfId="41415"/>
    <cellStyle name="표준 29 9 9 3" xfId="32679"/>
    <cellStyle name="표준 3" xfId="1198"/>
    <cellStyle name="표준 3 2" xfId="3026"/>
    <cellStyle name="표준 3 2 2" xfId="3850"/>
    <cellStyle name="표준 3 2 3" xfId="12501"/>
    <cellStyle name="표준 3 3" xfId="4703"/>
    <cellStyle name="표준 3 4" xfId="10118"/>
    <cellStyle name="표준 3 5" xfId="12198"/>
    <cellStyle name="표준 3 6" xfId="24180"/>
    <cellStyle name="표준 30" xfId="3027"/>
    <cellStyle name="표준 30 10" xfId="4635"/>
    <cellStyle name="표준 30 10 2" xfId="6469"/>
    <cellStyle name="표준 30 10 2 2" xfId="15478"/>
    <cellStyle name="표준 30 10 2 2 2" xfId="36354"/>
    <cellStyle name="표준 30 10 2 3" xfId="27616"/>
    <cellStyle name="표준 30 10 3" xfId="11132"/>
    <cellStyle name="표준 30 10 3 2" xfId="19902"/>
    <cellStyle name="표준 30 10 3 2 2" xfId="40778"/>
    <cellStyle name="표준 30 10 3 3" xfId="32042"/>
    <cellStyle name="표준 30 10 4" xfId="11997"/>
    <cellStyle name="표준 30 10 4 2" xfId="20763"/>
    <cellStyle name="표준 30 10 4 2 2" xfId="41639"/>
    <cellStyle name="표준 30 10 4 3" xfId="32903"/>
    <cellStyle name="표준 30 10 5" xfId="13660"/>
    <cellStyle name="표준 30 10 5 2" xfId="34536"/>
    <cellStyle name="표준 30 10 6" xfId="25798"/>
    <cellStyle name="표준 30 11" xfId="5312"/>
    <cellStyle name="표준 30 11 2" xfId="14321"/>
    <cellStyle name="표준 30 11 2 2" xfId="35197"/>
    <cellStyle name="표준 30 11 3" xfId="26459"/>
    <cellStyle name="표준 30 12" xfId="7114"/>
    <cellStyle name="표준 30 12 2" xfId="16122"/>
    <cellStyle name="표준 30 12 2 2" xfId="36998"/>
    <cellStyle name="표준 30 12 3" xfId="28260"/>
    <cellStyle name="표준 30 13" xfId="7759"/>
    <cellStyle name="표준 30 13 2" xfId="16765"/>
    <cellStyle name="표준 30 13 2 2" xfId="37641"/>
    <cellStyle name="표준 30 13 3" xfId="28903"/>
    <cellStyle name="표준 30 14" xfId="8607"/>
    <cellStyle name="표준 30 14 2" xfId="17612"/>
    <cellStyle name="표준 30 14 2 2" xfId="38488"/>
    <cellStyle name="표준 30 14 3" xfId="29750"/>
    <cellStyle name="표준 30 15" xfId="9431"/>
    <cellStyle name="표준 30 15 2" xfId="18430"/>
    <cellStyle name="표준 30 15 2 2" xfId="39306"/>
    <cellStyle name="표준 30 15 3" xfId="30568"/>
    <cellStyle name="표준 30 16" xfId="10487"/>
    <cellStyle name="표준 30 16 2" xfId="19258"/>
    <cellStyle name="표준 30 16 2 2" xfId="40134"/>
    <cellStyle name="표준 30 16 3" xfId="31398"/>
    <cellStyle name="표준 30 17" xfId="11353"/>
    <cellStyle name="표준 30 17 2" xfId="20119"/>
    <cellStyle name="표준 30 17 2 2" xfId="40995"/>
    <cellStyle name="표준 30 17 3" xfId="32259"/>
    <cellStyle name="표준 30 18" xfId="12502"/>
    <cellStyle name="표준 30 18 2" xfId="33379"/>
    <cellStyle name="표준 30 19" xfId="24629"/>
    <cellStyle name="표준 30 2" xfId="3028"/>
    <cellStyle name="표준 30 2 10" xfId="10488"/>
    <cellStyle name="표준 30 2 10 2" xfId="19259"/>
    <cellStyle name="표준 30 2 10 2 2" xfId="40135"/>
    <cellStyle name="표준 30 2 10 3" xfId="31399"/>
    <cellStyle name="표준 30 2 11" xfId="11354"/>
    <cellStyle name="표준 30 2 11 2" xfId="20120"/>
    <cellStyle name="표준 30 2 11 2 2" xfId="40996"/>
    <cellStyle name="표준 30 2 11 3" xfId="32260"/>
    <cellStyle name="표준 30 2 12" xfId="12503"/>
    <cellStyle name="표준 30 2 12 2" xfId="33380"/>
    <cellStyle name="표준 30 2 13" xfId="24630"/>
    <cellStyle name="표준 30 2 2" xfId="3245"/>
    <cellStyle name="표준 30 2 2 10" xfId="11564"/>
    <cellStyle name="표준 30 2 2 10 2" xfId="20330"/>
    <cellStyle name="표준 30 2 2 10 2 2" xfId="41206"/>
    <cellStyle name="표준 30 2 2 10 3" xfId="32470"/>
    <cellStyle name="표준 30 2 2 11" xfId="12713"/>
    <cellStyle name="표준 30 2 2 11 2" xfId="33590"/>
    <cellStyle name="표준 30 2 2 12" xfId="24840"/>
    <cellStyle name="표준 30 2 2 2" xfId="3687"/>
    <cellStyle name="표준 30 2 2 2 2" xfId="5960"/>
    <cellStyle name="표준 30 2 2 2 2 2" xfId="14969"/>
    <cellStyle name="표준 30 2 2 2 2 2 2" xfId="35845"/>
    <cellStyle name="표준 30 2 2 2 2 3" xfId="27107"/>
    <cellStyle name="표준 30 2 2 2 3" xfId="13150"/>
    <cellStyle name="표준 30 2 2 2 3 2" xfId="34027"/>
    <cellStyle name="표준 30 2 2 2 4" xfId="25277"/>
    <cellStyle name="표준 30 2 2 3" xfId="4848"/>
    <cellStyle name="표준 30 2 2 3 2" xfId="6680"/>
    <cellStyle name="표준 30 2 2 3 2 2" xfId="15689"/>
    <cellStyle name="표준 30 2 2 3 2 2 2" xfId="36565"/>
    <cellStyle name="표준 30 2 2 3 2 3" xfId="27827"/>
    <cellStyle name="표준 30 2 2 3 3" xfId="13871"/>
    <cellStyle name="표준 30 2 2 3 3 2" xfId="34747"/>
    <cellStyle name="표준 30 2 2 3 4" xfId="26009"/>
    <cellStyle name="표준 30 2 2 4" xfId="5523"/>
    <cellStyle name="표준 30 2 2 4 2" xfId="14532"/>
    <cellStyle name="표준 30 2 2 4 2 2" xfId="35408"/>
    <cellStyle name="표준 30 2 2 4 3" xfId="26670"/>
    <cellStyle name="표준 30 2 2 5" xfId="7326"/>
    <cellStyle name="표준 30 2 2 5 2" xfId="16333"/>
    <cellStyle name="표준 30 2 2 5 2 2" xfId="37209"/>
    <cellStyle name="표준 30 2 2 5 3" xfId="28471"/>
    <cellStyle name="표준 30 2 2 6" xfId="7970"/>
    <cellStyle name="표준 30 2 2 6 2" xfId="16976"/>
    <cellStyle name="표준 30 2 2 6 2 2" xfId="37852"/>
    <cellStyle name="표준 30 2 2 6 3" xfId="29114"/>
    <cellStyle name="표준 30 2 2 7" xfId="8818"/>
    <cellStyle name="표준 30 2 2 7 2" xfId="17823"/>
    <cellStyle name="표준 30 2 2 7 2 2" xfId="38699"/>
    <cellStyle name="표준 30 2 2 7 3" xfId="29961"/>
    <cellStyle name="표준 30 2 2 8" xfId="9643"/>
    <cellStyle name="표준 30 2 2 8 2" xfId="18641"/>
    <cellStyle name="표준 30 2 2 8 2 2" xfId="39517"/>
    <cellStyle name="표준 30 2 2 8 3" xfId="30779"/>
    <cellStyle name="표준 30 2 2 9" xfId="10698"/>
    <cellStyle name="표준 30 2 2 9 2" xfId="19469"/>
    <cellStyle name="표준 30 2 2 9 2 2" xfId="40345"/>
    <cellStyle name="표준 30 2 2 9 3" xfId="31609"/>
    <cellStyle name="표준 30 2 3" xfId="3477"/>
    <cellStyle name="표준 30 2 3 10" xfId="12940"/>
    <cellStyle name="표준 30 2 3 10 2" xfId="33817"/>
    <cellStyle name="표준 30 2 3 11" xfId="25067"/>
    <cellStyle name="표준 30 2 3 2" xfId="5071"/>
    <cellStyle name="표준 30 2 3 2 2" xfId="6897"/>
    <cellStyle name="표준 30 2 3 2 2 2" xfId="15906"/>
    <cellStyle name="표준 30 2 3 2 2 2 2" xfId="36782"/>
    <cellStyle name="표준 30 2 3 2 2 3" xfId="28044"/>
    <cellStyle name="표준 30 2 3 2 3" xfId="14088"/>
    <cellStyle name="표준 30 2 3 2 3 2" xfId="34964"/>
    <cellStyle name="표준 30 2 3 2 4" xfId="26226"/>
    <cellStyle name="표준 30 2 3 3" xfId="5750"/>
    <cellStyle name="표준 30 2 3 3 2" xfId="14759"/>
    <cellStyle name="표준 30 2 3 3 2 2" xfId="35635"/>
    <cellStyle name="표준 30 2 3 3 3" xfId="26897"/>
    <cellStyle name="표준 30 2 3 4" xfId="7543"/>
    <cellStyle name="표준 30 2 3 4 2" xfId="16550"/>
    <cellStyle name="표준 30 2 3 4 2 2" xfId="37426"/>
    <cellStyle name="표준 30 2 3 4 3" xfId="28688"/>
    <cellStyle name="표준 30 2 3 5" xfId="8187"/>
    <cellStyle name="표준 30 2 3 5 2" xfId="17193"/>
    <cellStyle name="표준 30 2 3 5 2 2" xfId="38069"/>
    <cellStyle name="표준 30 2 3 5 3" xfId="29331"/>
    <cellStyle name="표준 30 2 3 6" xfId="9035"/>
    <cellStyle name="표준 30 2 3 6 2" xfId="18040"/>
    <cellStyle name="표준 30 2 3 6 2 2" xfId="38916"/>
    <cellStyle name="표준 30 2 3 6 3" xfId="30178"/>
    <cellStyle name="표준 30 2 3 7" xfId="9860"/>
    <cellStyle name="표준 30 2 3 7 2" xfId="18858"/>
    <cellStyle name="표준 30 2 3 7 2 2" xfId="39734"/>
    <cellStyle name="표준 30 2 3 7 3" xfId="30996"/>
    <cellStyle name="표준 30 2 3 8" xfId="10915"/>
    <cellStyle name="표준 30 2 3 8 2" xfId="19686"/>
    <cellStyle name="표준 30 2 3 8 2 2" xfId="40562"/>
    <cellStyle name="표준 30 2 3 8 3" xfId="31826"/>
    <cellStyle name="표준 30 2 3 9" xfId="11781"/>
    <cellStyle name="표준 30 2 3 9 2" xfId="20547"/>
    <cellStyle name="표준 30 2 3 9 2 2" xfId="41423"/>
    <cellStyle name="표준 30 2 3 9 3" xfId="32687"/>
    <cellStyle name="표준 30 2 4" xfId="4636"/>
    <cellStyle name="표준 30 2 4 2" xfId="6470"/>
    <cellStyle name="표준 30 2 4 2 2" xfId="15479"/>
    <cellStyle name="표준 30 2 4 2 2 2" xfId="36355"/>
    <cellStyle name="표준 30 2 4 2 3" xfId="27617"/>
    <cellStyle name="표준 30 2 4 3" xfId="11133"/>
    <cellStyle name="표준 30 2 4 3 2" xfId="19903"/>
    <cellStyle name="표준 30 2 4 3 2 2" xfId="40779"/>
    <cellStyle name="표준 30 2 4 3 3" xfId="32043"/>
    <cellStyle name="표준 30 2 4 4" xfId="11998"/>
    <cellStyle name="표준 30 2 4 4 2" xfId="20764"/>
    <cellStyle name="표준 30 2 4 4 2 2" xfId="41640"/>
    <cellStyle name="표준 30 2 4 4 3" xfId="32904"/>
    <cellStyle name="표준 30 2 4 5" xfId="13661"/>
    <cellStyle name="표준 30 2 4 5 2" xfId="34537"/>
    <cellStyle name="표준 30 2 4 6" xfId="25799"/>
    <cellStyle name="표준 30 2 5" xfId="5313"/>
    <cellStyle name="표준 30 2 5 2" xfId="14322"/>
    <cellStyle name="표준 30 2 5 2 2" xfId="35198"/>
    <cellStyle name="표준 30 2 5 3" xfId="26460"/>
    <cellStyle name="표준 30 2 6" xfId="7115"/>
    <cellStyle name="표준 30 2 6 2" xfId="16123"/>
    <cellStyle name="표준 30 2 6 2 2" xfId="36999"/>
    <cellStyle name="표준 30 2 6 3" xfId="28261"/>
    <cellStyle name="표준 30 2 7" xfId="7760"/>
    <cellStyle name="표준 30 2 7 2" xfId="16766"/>
    <cellStyle name="표준 30 2 7 2 2" xfId="37642"/>
    <cellStyle name="표준 30 2 7 3" xfId="28904"/>
    <cellStyle name="표준 30 2 8" xfId="8608"/>
    <cellStyle name="표준 30 2 8 2" xfId="17613"/>
    <cellStyle name="표준 30 2 8 2 2" xfId="38489"/>
    <cellStyle name="표준 30 2 8 3" xfId="29751"/>
    <cellStyle name="표준 30 2 9" xfId="9432"/>
    <cellStyle name="표준 30 2 9 2" xfId="18431"/>
    <cellStyle name="표준 30 2 9 2 2" xfId="39307"/>
    <cellStyle name="표준 30 2 9 3" xfId="30569"/>
    <cellStyle name="표준 30 3" xfId="3029"/>
    <cellStyle name="표준 30 3 10" xfId="10489"/>
    <cellStyle name="표준 30 3 10 2" xfId="19260"/>
    <cellStyle name="표준 30 3 10 2 2" xfId="40136"/>
    <cellStyle name="표준 30 3 10 3" xfId="31400"/>
    <cellStyle name="표준 30 3 11" xfId="11355"/>
    <cellStyle name="표준 30 3 11 2" xfId="20121"/>
    <cellStyle name="표준 30 3 11 2 2" xfId="40997"/>
    <cellStyle name="표준 30 3 11 3" xfId="32261"/>
    <cellStyle name="표준 30 3 12" xfId="12504"/>
    <cellStyle name="표준 30 3 12 2" xfId="33381"/>
    <cellStyle name="표준 30 3 13" xfId="24631"/>
    <cellStyle name="표준 30 3 2" xfId="3246"/>
    <cellStyle name="표준 30 3 2 10" xfId="11565"/>
    <cellStyle name="표준 30 3 2 10 2" xfId="20331"/>
    <cellStyle name="표준 30 3 2 10 2 2" xfId="41207"/>
    <cellStyle name="표준 30 3 2 10 3" xfId="32471"/>
    <cellStyle name="표준 30 3 2 11" xfId="12714"/>
    <cellStyle name="표준 30 3 2 11 2" xfId="33591"/>
    <cellStyle name="표준 30 3 2 12" xfId="24841"/>
    <cellStyle name="표준 30 3 2 2" xfId="3688"/>
    <cellStyle name="표준 30 3 2 2 2" xfId="5961"/>
    <cellStyle name="표준 30 3 2 2 2 2" xfId="14970"/>
    <cellStyle name="표준 30 3 2 2 2 2 2" xfId="35846"/>
    <cellStyle name="표준 30 3 2 2 2 3" xfId="27108"/>
    <cellStyle name="표준 30 3 2 2 3" xfId="13151"/>
    <cellStyle name="표준 30 3 2 2 3 2" xfId="34028"/>
    <cellStyle name="표준 30 3 2 2 4" xfId="25278"/>
    <cellStyle name="표준 30 3 2 3" xfId="4849"/>
    <cellStyle name="표준 30 3 2 3 2" xfId="6681"/>
    <cellStyle name="표준 30 3 2 3 2 2" xfId="15690"/>
    <cellStyle name="표준 30 3 2 3 2 2 2" xfId="36566"/>
    <cellStyle name="표준 30 3 2 3 2 3" xfId="27828"/>
    <cellStyle name="표준 30 3 2 3 3" xfId="13872"/>
    <cellStyle name="표준 30 3 2 3 3 2" xfId="34748"/>
    <cellStyle name="표준 30 3 2 3 4" xfId="26010"/>
    <cellStyle name="표준 30 3 2 4" xfId="5524"/>
    <cellStyle name="표준 30 3 2 4 2" xfId="14533"/>
    <cellStyle name="표준 30 3 2 4 2 2" xfId="35409"/>
    <cellStyle name="표준 30 3 2 4 3" xfId="26671"/>
    <cellStyle name="표준 30 3 2 5" xfId="7327"/>
    <cellStyle name="표준 30 3 2 5 2" xfId="16334"/>
    <cellStyle name="표준 30 3 2 5 2 2" xfId="37210"/>
    <cellStyle name="표준 30 3 2 5 3" xfId="28472"/>
    <cellStyle name="표준 30 3 2 6" xfId="7971"/>
    <cellStyle name="표준 30 3 2 6 2" xfId="16977"/>
    <cellStyle name="표준 30 3 2 6 2 2" xfId="37853"/>
    <cellStyle name="표준 30 3 2 6 3" xfId="29115"/>
    <cellStyle name="표준 30 3 2 7" xfId="8819"/>
    <cellStyle name="표준 30 3 2 7 2" xfId="17824"/>
    <cellStyle name="표준 30 3 2 7 2 2" xfId="38700"/>
    <cellStyle name="표준 30 3 2 7 3" xfId="29962"/>
    <cellStyle name="표준 30 3 2 8" xfId="9644"/>
    <cellStyle name="표준 30 3 2 8 2" xfId="18642"/>
    <cellStyle name="표준 30 3 2 8 2 2" xfId="39518"/>
    <cellStyle name="표준 30 3 2 8 3" xfId="30780"/>
    <cellStyle name="표준 30 3 2 9" xfId="10699"/>
    <cellStyle name="표준 30 3 2 9 2" xfId="19470"/>
    <cellStyle name="표준 30 3 2 9 2 2" xfId="40346"/>
    <cellStyle name="표준 30 3 2 9 3" xfId="31610"/>
    <cellStyle name="표준 30 3 3" xfId="3478"/>
    <cellStyle name="표준 30 3 3 10" xfId="12941"/>
    <cellStyle name="표준 30 3 3 10 2" xfId="33818"/>
    <cellStyle name="표준 30 3 3 11" xfId="25068"/>
    <cellStyle name="표준 30 3 3 2" xfId="5072"/>
    <cellStyle name="표준 30 3 3 2 2" xfId="6898"/>
    <cellStyle name="표준 30 3 3 2 2 2" xfId="15907"/>
    <cellStyle name="표준 30 3 3 2 2 2 2" xfId="36783"/>
    <cellStyle name="표준 30 3 3 2 2 3" xfId="28045"/>
    <cellStyle name="표준 30 3 3 2 3" xfId="14089"/>
    <cellStyle name="표준 30 3 3 2 3 2" xfId="34965"/>
    <cellStyle name="표준 30 3 3 2 4" xfId="26227"/>
    <cellStyle name="표준 30 3 3 3" xfId="5751"/>
    <cellStyle name="표준 30 3 3 3 2" xfId="14760"/>
    <cellStyle name="표준 30 3 3 3 2 2" xfId="35636"/>
    <cellStyle name="표준 30 3 3 3 3" xfId="26898"/>
    <cellStyle name="표준 30 3 3 4" xfId="7544"/>
    <cellStyle name="표준 30 3 3 4 2" xfId="16551"/>
    <cellStyle name="표준 30 3 3 4 2 2" xfId="37427"/>
    <cellStyle name="표준 30 3 3 4 3" xfId="28689"/>
    <cellStyle name="표준 30 3 3 5" xfId="8188"/>
    <cellStyle name="표준 30 3 3 5 2" xfId="17194"/>
    <cellStyle name="표준 30 3 3 5 2 2" xfId="38070"/>
    <cellStyle name="표준 30 3 3 5 3" xfId="29332"/>
    <cellStyle name="표준 30 3 3 6" xfId="9036"/>
    <cellStyle name="표준 30 3 3 6 2" xfId="18041"/>
    <cellStyle name="표준 30 3 3 6 2 2" xfId="38917"/>
    <cellStyle name="표준 30 3 3 6 3" xfId="30179"/>
    <cellStyle name="표준 30 3 3 7" xfId="9861"/>
    <cellStyle name="표준 30 3 3 7 2" xfId="18859"/>
    <cellStyle name="표준 30 3 3 7 2 2" xfId="39735"/>
    <cellStyle name="표준 30 3 3 7 3" xfId="30997"/>
    <cellStyle name="표준 30 3 3 8" xfId="10916"/>
    <cellStyle name="표준 30 3 3 8 2" xfId="19687"/>
    <cellStyle name="표준 30 3 3 8 2 2" xfId="40563"/>
    <cellStyle name="표준 30 3 3 8 3" xfId="31827"/>
    <cellStyle name="표준 30 3 3 9" xfId="11782"/>
    <cellStyle name="표준 30 3 3 9 2" xfId="20548"/>
    <cellStyle name="표준 30 3 3 9 2 2" xfId="41424"/>
    <cellStyle name="표준 30 3 3 9 3" xfId="32688"/>
    <cellStyle name="표준 30 3 4" xfId="4637"/>
    <cellStyle name="표준 30 3 4 2" xfId="6471"/>
    <cellStyle name="표준 30 3 4 2 2" xfId="15480"/>
    <cellStyle name="표준 30 3 4 2 2 2" xfId="36356"/>
    <cellStyle name="표준 30 3 4 2 3" xfId="27618"/>
    <cellStyle name="표준 30 3 4 3" xfId="11134"/>
    <cellStyle name="표준 30 3 4 3 2" xfId="19904"/>
    <cellStyle name="표준 30 3 4 3 2 2" xfId="40780"/>
    <cellStyle name="표준 30 3 4 3 3" xfId="32044"/>
    <cellStyle name="표준 30 3 4 4" xfId="11999"/>
    <cellStyle name="표준 30 3 4 4 2" xfId="20765"/>
    <cellStyle name="표준 30 3 4 4 2 2" xfId="41641"/>
    <cellStyle name="표준 30 3 4 4 3" xfId="32905"/>
    <cellStyle name="표준 30 3 4 5" xfId="13662"/>
    <cellStyle name="표준 30 3 4 5 2" xfId="34538"/>
    <cellStyle name="표준 30 3 4 6" xfId="25800"/>
    <cellStyle name="표준 30 3 5" xfId="5314"/>
    <cellStyle name="표준 30 3 5 2" xfId="14323"/>
    <cellStyle name="표준 30 3 5 2 2" xfId="35199"/>
    <cellStyle name="표준 30 3 5 3" xfId="26461"/>
    <cellStyle name="표준 30 3 6" xfId="7116"/>
    <cellStyle name="표준 30 3 6 2" xfId="16124"/>
    <cellStyle name="표준 30 3 6 2 2" xfId="37000"/>
    <cellStyle name="표준 30 3 6 3" xfId="28262"/>
    <cellStyle name="표준 30 3 7" xfId="7761"/>
    <cellStyle name="표준 30 3 7 2" xfId="16767"/>
    <cellStyle name="표준 30 3 7 2 2" xfId="37643"/>
    <cellStyle name="표준 30 3 7 3" xfId="28905"/>
    <cellStyle name="표준 30 3 8" xfId="8609"/>
    <cellStyle name="표준 30 3 8 2" xfId="17614"/>
    <cellStyle name="표준 30 3 8 2 2" xfId="38490"/>
    <cellStyle name="표준 30 3 8 3" xfId="29752"/>
    <cellStyle name="표준 30 3 9" xfId="9433"/>
    <cellStyle name="표준 30 3 9 2" xfId="18432"/>
    <cellStyle name="표준 30 3 9 2 2" xfId="39308"/>
    <cellStyle name="표준 30 3 9 3" xfId="30570"/>
    <cellStyle name="표준 30 4" xfId="3030"/>
    <cellStyle name="표준 30 4 10" xfId="10490"/>
    <cellStyle name="표준 30 4 10 2" xfId="19261"/>
    <cellStyle name="표준 30 4 10 2 2" xfId="40137"/>
    <cellStyle name="표준 30 4 10 3" xfId="31401"/>
    <cellStyle name="표준 30 4 11" xfId="11356"/>
    <cellStyle name="표준 30 4 11 2" xfId="20122"/>
    <cellStyle name="표준 30 4 11 2 2" xfId="40998"/>
    <cellStyle name="표준 30 4 11 3" xfId="32262"/>
    <cellStyle name="표준 30 4 12" xfId="12505"/>
    <cellStyle name="표준 30 4 12 2" xfId="33382"/>
    <cellStyle name="표준 30 4 13" xfId="24632"/>
    <cellStyle name="표준 30 4 2" xfId="3247"/>
    <cellStyle name="표준 30 4 2 10" xfId="11566"/>
    <cellStyle name="표준 30 4 2 10 2" xfId="20332"/>
    <cellStyle name="표준 30 4 2 10 2 2" xfId="41208"/>
    <cellStyle name="표준 30 4 2 10 3" xfId="32472"/>
    <cellStyle name="표준 30 4 2 11" xfId="12715"/>
    <cellStyle name="표준 30 4 2 11 2" xfId="33592"/>
    <cellStyle name="표준 30 4 2 12" xfId="24842"/>
    <cellStyle name="표준 30 4 2 2" xfId="3689"/>
    <cellStyle name="표준 30 4 2 2 2" xfId="5962"/>
    <cellStyle name="표준 30 4 2 2 2 2" xfId="14971"/>
    <cellStyle name="표준 30 4 2 2 2 2 2" xfId="35847"/>
    <cellStyle name="표준 30 4 2 2 2 3" xfId="27109"/>
    <cellStyle name="표준 30 4 2 2 3" xfId="13152"/>
    <cellStyle name="표준 30 4 2 2 3 2" xfId="34029"/>
    <cellStyle name="표준 30 4 2 2 4" xfId="25279"/>
    <cellStyle name="표준 30 4 2 3" xfId="4850"/>
    <cellStyle name="표준 30 4 2 3 2" xfId="6682"/>
    <cellStyle name="표준 30 4 2 3 2 2" xfId="15691"/>
    <cellStyle name="표준 30 4 2 3 2 2 2" xfId="36567"/>
    <cellStyle name="표준 30 4 2 3 2 3" xfId="27829"/>
    <cellStyle name="표준 30 4 2 3 3" xfId="13873"/>
    <cellStyle name="표준 30 4 2 3 3 2" xfId="34749"/>
    <cellStyle name="표준 30 4 2 3 4" xfId="26011"/>
    <cellStyle name="표준 30 4 2 4" xfId="5525"/>
    <cellStyle name="표준 30 4 2 4 2" xfId="14534"/>
    <cellStyle name="표준 30 4 2 4 2 2" xfId="35410"/>
    <cellStyle name="표준 30 4 2 4 3" xfId="26672"/>
    <cellStyle name="표준 30 4 2 5" xfId="7328"/>
    <cellStyle name="표준 30 4 2 5 2" xfId="16335"/>
    <cellStyle name="표준 30 4 2 5 2 2" xfId="37211"/>
    <cellStyle name="표준 30 4 2 5 3" xfId="28473"/>
    <cellStyle name="표준 30 4 2 6" xfId="7972"/>
    <cellStyle name="표준 30 4 2 6 2" xfId="16978"/>
    <cellStyle name="표준 30 4 2 6 2 2" xfId="37854"/>
    <cellStyle name="표준 30 4 2 6 3" xfId="29116"/>
    <cellStyle name="표준 30 4 2 7" xfId="8820"/>
    <cellStyle name="표준 30 4 2 7 2" xfId="17825"/>
    <cellStyle name="표준 30 4 2 7 2 2" xfId="38701"/>
    <cellStyle name="표준 30 4 2 7 3" xfId="29963"/>
    <cellStyle name="표준 30 4 2 8" xfId="9645"/>
    <cellStyle name="표준 30 4 2 8 2" xfId="18643"/>
    <cellStyle name="표준 30 4 2 8 2 2" xfId="39519"/>
    <cellStyle name="표준 30 4 2 8 3" xfId="30781"/>
    <cellStyle name="표준 30 4 2 9" xfId="10700"/>
    <cellStyle name="표준 30 4 2 9 2" xfId="19471"/>
    <cellStyle name="표준 30 4 2 9 2 2" xfId="40347"/>
    <cellStyle name="표준 30 4 2 9 3" xfId="31611"/>
    <cellStyle name="표준 30 4 3" xfId="3479"/>
    <cellStyle name="표준 30 4 3 10" xfId="12942"/>
    <cellStyle name="표준 30 4 3 10 2" xfId="33819"/>
    <cellStyle name="표준 30 4 3 11" xfId="25069"/>
    <cellStyle name="표준 30 4 3 2" xfId="5073"/>
    <cellStyle name="표준 30 4 3 2 2" xfId="6899"/>
    <cellStyle name="표준 30 4 3 2 2 2" xfId="15908"/>
    <cellStyle name="표준 30 4 3 2 2 2 2" xfId="36784"/>
    <cellStyle name="표준 30 4 3 2 2 3" xfId="28046"/>
    <cellStyle name="표준 30 4 3 2 3" xfId="14090"/>
    <cellStyle name="표준 30 4 3 2 3 2" xfId="34966"/>
    <cellStyle name="표준 30 4 3 2 4" xfId="26228"/>
    <cellStyle name="표준 30 4 3 3" xfId="5752"/>
    <cellStyle name="표준 30 4 3 3 2" xfId="14761"/>
    <cellStyle name="표준 30 4 3 3 2 2" xfId="35637"/>
    <cellStyle name="표준 30 4 3 3 3" xfId="26899"/>
    <cellStyle name="표준 30 4 3 4" xfId="7545"/>
    <cellStyle name="표준 30 4 3 4 2" xfId="16552"/>
    <cellStyle name="표준 30 4 3 4 2 2" xfId="37428"/>
    <cellStyle name="표준 30 4 3 4 3" xfId="28690"/>
    <cellStyle name="표준 30 4 3 5" xfId="8189"/>
    <cellStyle name="표준 30 4 3 5 2" xfId="17195"/>
    <cellStyle name="표준 30 4 3 5 2 2" xfId="38071"/>
    <cellStyle name="표준 30 4 3 5 3" xfId="29333"/>
    <cellStyle name="표준 30 4 3 6" xfId="9037"/>
    <cellStyle name="표준 30 4 3 6 2" xfId="18042"/>
    <cellStyle name="표준 30 4 3 6 2 2" xfId="38918"/>
    <cellStyle name="표준 30 4 3 6 3" xfId="30180"/>
    <cellStyle name="표준 30 4 3 7" xfId="9862"/>
    <cellStyle name="표준 30 4 3 7 2" xfId="18860"/>
    <cellStyle name="표준 30 4 3 7 2 2" xfId="39736"/>
    <cellStyle name="표준 30 4 3 7 3" xfId="30998"/>
    <cellStyle name="표준 30 4 3 8" xfId="10917"/>
    <cellStyle name="표준 30 4 3 8 2" xfId="19688"/>
    <cellStyle name="표준 30 4 3 8 2 2" xfId="40564"/>
    <cellStyle name="표준 30 4 3 8 3" xfId="31828"/>
    <cellStyle name="표준 30 4 3 9" xfId="11783"/>
    <cellStyle name="표준 30 4 3 9 2" xfId="20549"/>
    <cellStyle name="표준 30 4 3 9 2 2" xfId="41425"/>
    <cellStyle name="표준 30 4 3 9 3" xfId="32689"/>
    <cellStyle name="표준 30 4 4" xfId="4638"/>
    <cellStyle name="표준 30 4 4 2" xfId="6472"/>
    <cellStyle name="표준 30 4 4 2 2" xfId="15481"/>
    <cellStyle name="표준 30 4 4 2 2 2" xfId="36357"/>
    <cellStyle name="표준 30 4 4 2 3" xfId="27619"/>
    <cellStyle name="표준 30 4 4 3" xfId="11135"/>
    <cellStyle name="표준 30 4 4 3 2" xfId="19905"/>
    <cellStyle name="표준 30 4 4 3 2 2" xfId="40781"/>
    <cellStyle name="표준 30 4 4 3 3" xfId="32045"/>
    <cellStyle name="표준 30 4 4 4" xfId="12000"/>
    <cellStyle name="표준 30 4 4 4 2" xfId="20766"/>
    <cellStyle name="표준 30 4 4 4 2 2" xfId="41642"/>
    <cellStyle name="표준 30 4 4 4 3" xfId="32906"/>
    <cellStyle name="표준 30 4 4 5" xfId="13663"/>
    <cellStyle name="표준 30 4 4 5 2" xfId="34539"/>
    <cellStyle name="표준 30 4 4 6" xfId="25801"/>
    <cellStyle name="표준 30 4 5" xfId="5315"/>
    <cellStyle name="표준 30 4 5 2" xfId="14324"/>
    <cellStyle name="표준 30 4 5 2 2" xfId="35200"/>
    <cellStyle name="표준 30 4 5 3" xfId="26462"/>
    <cellStyle name="표준 30 4 6" xfId="7117"/>
    <cellStyle name="표준 30 4 6 2" xfId="16125"/>
    <cellStyle name="표준 30 4 6 2 2" xfId="37001"/>
    <cellStyle name="표준 30 4 6 3" xfId="28263"/>
    <cellStyle name="표준 30 4 7" xfId="7762"/>
    <cellStyle name="표준 30 4 7 2" xfId="16768"/>
    <cellStyle name="표준 30 4 7 2 2" xfId="37644"/>
    <cellStyle name="표준 30 4 7 3" xfId="28906"/>
    <cellStyle name="표준 30 4 8" xfId="8610"/>
    <cellStyle name="표준 30 4 8 2" xfId="17615"/>
    <cellStyle name="표준 30 4 8 2 2" xfId="38491"/>
    <cellStyle name="표준 30 4 8 3" xfId="29753"/>
    <cellStyle name="표준 30 4 9" xfId="9434"/>
    <cellStyle name="표준 30 4 9 2" xfId="18433"/>
    <cellStyle name="표준 30 4 9 2 2" xfId="39309"/>
    <cellStyle name="표준 30 4 9 3" xfId="30571"/>
    <cellStyle name="표준 30 5" xfId="3031"/>
    <cellStyle name="표준 30 5 10" xfId="10491"/>
    <cellStyle name="표준 30 5 10 2" xfId="19262"/>
    <cellStyle name="표준 30 5 10 2 2" xfId="40138"/>
    <cellStyle name="표준 30 5 10 3" xfId="31402"/>
    <cellStyle name="표준 30 5 11" xfId="11357"/>
    <cellStyle name="표준 30 5 11 2" xfId="20123"/>
    <cellStyle name="표준 30 5 11 2 2" xfId="40999"/>
    <cellStyle name="표준 30 5 11 3" xfId="32263"/>
    <cellStyle name="표준 30 5 12" xfId="12506"/>
    <cellStyle name="표준 30 5 12 2" xfId="33383"/>
    <cellStyle name="표준 30 5 13" xfId="24633"/>
    <cellStyle name="표준 30 5 2" xfId="3248"/>
    <cellStyle name="표준 30 5 2 10" xfId="11567"/>
    <cellStyle name="표준 30 5 2 10 2" xfId="20333"/>
    <cellStyle name="표준 30 5 2 10 2 2" xfId="41209"/>
    <cellStyle name="표준 30 5 2 10 3" xfId="32473"/>
    <cellStyle name="표준 30 5 2 11" xfId="12716"/>
    <cellStyle name="표준 30 5 2 11 2" xfId="33593"/>
    <cellStyle name="표준 30 5 2 12" xfId="24843"/>
    <cellStyle name="표준 30 5 2 2" xfId="3690"/>
    <cellStyle name="표준 30 5 2 2 2" xfId="5963"/>
    <cellStyle name="표준 30 5 2 2 2 2" xfId="14972"/>
    <cellStyle name="표준 30 5 2 2 2 2 2" xfId="35848"/>
    <cellStyle name="표준 30 5 2 2 2 3" xfId="27110"/>
    <cellStyle name="표준 30 5 2 2 3" xfId="13153"/>
    <cellStyle name="표준 30 5 2 2 3 2" xfId="34030"/>
    <cellStyle name="표준 30 5 2 2 4" xfId="25280"/>
    <cellStyle name="표준 30 5 2 3" xfId="4851"/>
    <cellStyle name="표준 30 5 2 3 2" xfId="6683"/>
    <cellStyle name="표준 30 5 2 3 2 2" xfId="15692"/>
    <cellStyle name="표준 30 5 2 3 2 2 2" xfId="36568"/>
    <cellStyle name="표준 30 5 2 3 2 3" xfId="27830"/>
    <cellStyle name="표준 30 5 2 3 3" xfId="13874"/>
    <cellStyle name="표준 30 5 2 3 3 2" xfId="34750"/>
    <cellStyle name="표준 30 5 2 3 4" xfId="26012"/>
    <cellStyle name="표준 30 5 2 4" xfId="5526"/>
    <cellStyle name="표준 30 5 2 4 2" xfId="14535"/>
    <cellStyle name="표준 30 5 2 4 2 2" xfId="35411"/>
    <cellStyle name="표준 30 5 2 4 3" xfId="26673"/>
    <cellStyle name="표준 30 5 2 5" xfId="7329"/>
    <cellStyle name="표준 30 5 2 5 2" xfId="16336"/>
    <cellStyle name="표준 30 5 2 5 2 2" xfId="37212"/>
    <cellStyle name="표준 30 5 2 5 3" xfId="28474"/>
    <cellStyle name="표준 30 5 2 6" xfId="7973"/>
    <cellStyle name="표준 30 5 2 6 2" xfId="16979"/>
    <cellStyle name="표준 30 5 2 6 2 2" xfId="37855"/>
    <cellStyle name="표준 30 5 2 6 3" xfId="29117"/>
    <cellStyle name="표준 30 5 2 7" xfId="8821"/>
    <cellStyle name="표준 30 5 2 7 2" xfId="17826"/>
    <cellStyle name="표준 30 5 2 7 2 2" xfId="38702"/>
    <cellStyle name="표준 30 5 2 7 3" xfId="29964"/>
    <cellStyle name="표준 30 5 2 8" xfId="9646"/>
    <cellStyle name="표준 30 5 2 8 2" xfId="18644"/>
    <cellStyle name="표준 30 5 2 8 2 2" xfId="39520"/>
    <cellStyle name="표준 30 5 2 8 3" xfId="30782"/>
    <cellStyle name="표준 30 5 2 9" xfId="10701"/>
    <cellStyle name="표준 30 5 2 9 2" xfId="19472"/>
    <cellStyle name="표준 30 5 2 9 2 2" xfId="40348"/>
    <cellStyle name="표준 30 5 2 9 3" xfId="31612"/>
    <cellStyle name="표준 30 5 3" xfId="3480"/>
    <cellStyle name="표준 30 5 3 10" xfId="12943"/>
    <cellStyle name="표준 30 5 3 10 2" xfId="33820"/>
    <cellStyle name="표준 30 5 3 11" xfId="25070"/>
    <cellStyle name="표준 30 5 3 2" xfId="5074"/>
    <cellStyle name="표준 30 5 3 2 2" xfId="6900"/>
    <cellStyle name="표준 30 5 3 2 2 2" xfId="15909"/>
    <cellStyle name="표준 30 5 3 2 2 2 2" xfId="36785"/>
    <cellStyle name="표준 30 5 3 2 2 3" xfId="28047"/>
    <cellStyle name="표준 30 5 3 2 3" xfId="14091"/>
    <cellStyle name="표준 30 5 3 2 3 2" xfId="34967"/>
    <cellStyle name="표준 30 5 3 2 4" xfId="26229"/>
    <cellStyle name="표준 30 5 3 3" xfId="5753"/>
    <cellStyle name="표준 30 5 3 3 2" xfId="14762"/>
    <cellStyle name="표준 30 5 3 3 2 2" xfId="35638"/>
    <cellStyle name="표준 30 5 3 3 3" xfId="26900"/>
    <cellStyle name="표준 30 5 3 4" xfId="7546"/>
    <cellStyle name="표준 30 5 3 4 2" xfId="16553"/>
    <cellStyle name="표준 30 5 3 4 2 2" xfId="37429"/>
    <cellStyle name="표준 30 5 3 4 3" xfId="28691"/>
    <cellStyle name="표준 30 5 3 5" xfId="8190"/>
    <cellStyle name="표준 30 5 3 5 2" xfId="17196"/>
    <cellStyle name="표준 30 5 3 5 2 2" xfId="38072"/>
    <cellStyle name="표준 30 5 3 5 3" xfId="29334"/>
    <cellStyle name="표준 30 5 3 6" xfId="9038"/>
    <cellStyle name="표준 30 5 3 6 2" xfId="18043"/>
    <cellStyle name="표준 30 5 3 6 2 2" xfId="38919"/>
    <cellStyle name="표준 30 5 3 6 3" xfId="30181"/>
    <cellStyle name="표준 30 5 3 7" xfId="9863"/>
    <cellStyle name="표준 30 5 3 7 2" xfId="18861"/>
    <cellStyle name="표준 30 5 3 7 2 2" xfId="39737"/>
    <cellStyle name="표준 30 5 3 7 3" xfId="30999"/>
    <cellStyle name="표준 30 5 3 8" xfId="10918"/>
    <cellStyle name="표준 30 5 3 8 2" xfId="19689"/>
    <cellStyle name="표준 30 5 3 8 2 2" xfId="40565"/>
    <cellStyle name="표준 30 5 3 8 3" xfId="31829"/>
    <cellStyle name="표준 30 5 3 9" xfId="11784"/>
    <cellStyle name="표준 30 5 3 9 2" xfId="20550"/>
    <cellStyle name="표준 30 5 3 9 2 2" xfId="41426"/>
    <cellStyle name="표준 30 5 3 9 3" xfId="32690"/>
    <cellStyle name="표준 30 5 4" xfId="4639"/>
    <cellStyle name="표준 30 5 4 2" xfId="6473"/>
    <cellStyle name="표준 30 5 4 2 2" xfId="15482"/>
    <cellStyle name="표준 30 5 4 2 2 2" xfId="36358"/>
    <cellStyle name="표준 30 5 4 2 3" xfId="27620"/>
    <cellStyle name="표준 30 5 4 3" xfId="11136"/>
    <cellStyle name="표준 30 5 4 3 2" xfId="19906"/>
    <cellStyle name="표준 30 5 4 3 2 2" xfId="40782"/>
    <cellStyle name="표준 30 5 4 3 3" xfId="32046"/>
    <cellStyle name="표준 30 5 4 4" xfId="12001"/>
    <cellStyle name="표준 30 5 4 4 2" xfId="20767"/>
    <cellStyle name="표준 30 5 4 4 2 2" xfId="41643"/>
    <cellStyle name="표준 30 5 4 4 3" xfId="32907"/>
    <cellStyle name="표준 30 5 4 5" xfId="13664"/>
    <cellStyle name="표준 30 5 4 5 2" xfId="34540"/>
    <cellStyle name="표준 30 5 4 6" xfId="25802"/>
    <cellStyle name="표준 30 5 5" xfId="5316"/>
    <cellStyle name="표준 30 5 5 2" xfId="14325"/>
    <cellStyle name="표준 30 5 5 2 2" xfId="35201"/>
    <cellStyle name="표준 30 5 5 3" xfId="26463"/>
    <cellStyle name="표준 30 5 6" xfId="7118"/>
    <cellStyle name="표준 30 5 6 2" xfId="16126"/>
    <cellStyle name="표준 30 5 6 2 2" xfId="37002"/>
    <cellStyle name="표준 30 5 6 3" xfId="28264"/>
    <cellStyle name="표준 30 5 7" xfId="7763"/>
    <cellStyle name="표준 30 5 7 2" xfId="16769"/>
    <cellStyle name="표준 30 5 7 2 2" xfId="37645"/>
    <cellStyle name="표준 30 5 7 3" xfId="28907"/>
    <cellStyle name="표준 30 5 8" xfId="8611"/>
    <cellStyle name="표준 30 5 8 2" xfId="17616"/>
    <cellStyle name="표준 30 5 8 2 2" xfId="38492"/>
    <cellStyle name="표준 30 5 8 3" xfId="29754"/>
    <cellStyle name="표준 30 5 9" xfId="9435"/>
    <cellStyle name="표준 30 5 9 2" xfId="18434"/>
    <cellStyle name="표준 30 5 9 2 2" xfId="39310"/>
    <cellStyle name="표준 30 5 9 3" xfId="30572"/>
    <cellStyle name="표준 30 6" xfId="3032"/>
    <cellStyle name="표준 30 6 10" xfId="10492"/>
    <cellStyle name="표준 30 6 10 2" xfId="19263"/>
    <cellStyle name="표준 30 6 10 2 2" xfId="40139"/>
    <cellStyle name="표준 30 6 10 3" xfId="31403"/>
    <cellStyle name="표준 30 6 11" xfId="11358"/>
    <cellStyle name="표준 30 6 11 2" xfId="20124"/>
    <cellStyle name="표준 30 6 11 2 2" xfId="41000"/>
    <cellStyle name="표준 30 6 11 3" xfId="32264"/>
    <cellStyle name="표준 30 6 12" xfId="12507"/>
    <cellStyle name="표준 30 6 12 2" xfId="33384"/>
    <cellStyle name="표준 30 6 13" xfId="24634"/>
    <cellStyle name="표준 30 6 2" xfId="3249"/>
    <cellStyle name="표준 30 6 2 10" xfId="11568"/>
    <cellStyle name="표준 30 6 2 10 2" xfId="20334"/>
    <cellStyle name="표준 30 6 2 10 2 2" xfId="41210"/>
    <cellStyle name="표준 30 6 2 10 3" xfId="32474"/>
    <cellStyle name="표준 30 6 2 11" xfId="12717"/>
    <cellStyle name="표준 30 6 2 11 2" xfId="33594"/>
    <cellStyle name="표준 30 6 2 12" xfId="24844"/>
    <cellStyle name="표준 30 6 2 2" xfId="3691"/>
    <cellStyle name="표준 30 6 2 2 2" xfId="5964"/>
    <cellStyle name="표준 30 6 2 2 2 2" xfId="14973"/>
    <cellStyle name="표준 30 6 2 2 2 2 2" xfId="35849"/>
    <cellStyle name="표준 30 6 2 2 2 3" xfId="27111"/>
    <cellStyle name="표준 30 6 2 2 3" xfId="13154"/>
    <cellStyle name="표준 30 6 2 2 3 2" xfId="34031"/>
    <cellStyle name="표준 30 6 2 2 4" xfId="25281"/>
    <cellStyle name="표준 30 6 2 3" xfId="4852"/>
    <cellStyle name="표준 30 6 2 3 2" xfId="6684"/>
    <cellStyle name="표준 30 6 2 3 2 2" xfId="15693"/>
    <cellStyle name="표준 30 6 2 3 2 2 2" xfId="36569"/>
    <cellStyle name="표준 30 6 2 3 2 3" xfId="27831"/>
    <cellStyle name="표준 30 6 2 3 3" xfId="13875"/>
    <cellStyle name="표준 30 6 2 3 3 2" xfId="34751"/>
    <cellStyle name="표준 30 6 2 3 4" xfId="26013"/>
    <cellStyle name="표준 30 6 2 4" xfId="5527"/>
    <cellStyle name="표준 30 6 2 4 2" xfId="14536"/>
    <cellStyle name="표준 30 6 2 4 2 2" xfId="35412"/>
    <cellStyle name="표준 30 6 2 4 3" xfId="26674"/>
    <cellStyle name="표준 30 6 2 5" xfId="7330"/>
    <cellStyle name="표준 30 6 2 5 2" xfId="16337"/>
    <cellStyle name="표준 30 6 2 5 2 2" xfId="37213"/>
    <cellStyle name="표준 30 6 2 5 3" xfId="28475"/>
    <cellStyle name="표준 30 6 2 6" xfId="7974"/>
    <cellStyle name="표준 30 6 2 6 2" xfId="16980"/>
    <cellStyle name="표준 30 6 2 6 2 2" xfId="37856"/>
    <cellStyle name="표준 30 6 2 6 3" xfId="29118"/>
    <cellStyle name="표준 30 6 2 7" xfId="8822"/>
    <cellStyle name="표준 30 6 2 7 2" xfId="17827"/>
    <cellStyle name="표준 30 6 2 7 2 2" xfId="38703"/>
    <cellStyle name="표준 30 6 2 7 3" xfId="29965"/>
    <cellStyle name="표준 30 6 2 8" xfId="9647"/>
    <cellStyle name="표준 30 6 2 8 2" xfId="18645"/>
    <cellStyle name="표준 30 6 2 8 2 2" xfId="39521"/>
    <cellStyle name="표준 30 6 2 8 3" xfId="30783"/>
    <cellStyle name="표준 30 6 2 9" xfId="10702"/>
    <cellStyle name="표준 30 6 2 9 2" xfId="19473"/>
    <cellStyle name="표준 30 6 2 9 2 2" xfId="40349"/>
    <cellStyle name="표준 30 6 2 9 3" xfId="31613"/>
    <cellStyle name="표준 30 6 3" xfId="3481"/>
    <cellStyle name="표준 30 6 3 10" xfId="12944"/>
    <cellStyle name="표준 30 6 3 10 2" xfId="33821"/>
    <cellStyle name="표준 30 6 3 11" xfId="25071"/>
    <cellStyle name="표준 30 6 3 2" xfId="5075"/>
    <cellStyle name="표준 30 6 3 2 2" xfId="6901"/>
    <cellStyle name="표준 30 6 3 2 2 2" xfId="15910"/>
    <cellStyle name="표준 30 6 3 2 2 2 2" xfId="36786"/>
    <cellStyle name="표준 30 6 3 2 2 3" xfId="28048"/>
    <cellStyle name="표준 30 6 3 2 3" xfId="14092"/>
    <cellStyle name="표준 30 6 3 2 3 2" xfId="34968"/>
    <cellStyle name="표준 30 6 3 2 4" xfId="26230"/>
    <cellStyle name="표준 30 6 3 3" xfId="5754"/>
    <cellStyle name="표준 30 6 3 3 2" xfId="14763"/>
    <cellStyle name="표준 30 6 3 3 2 2" xfId="35639"/>
    <cellStyle name="표준 30 6 3 3 3" xfId="26901"/>
    <cellStyle name="표준 30 6 3 4" xfId="7547"/>
    <cellStyle name="표준 30 6 3 4 2" xfId="16554"/>
    <cellStyle name="표준 30 6 3 4 2 2" xfId="37430"/>
    <cellStyle name="표준 30 6 3 4 3" xfId="28692"/>
    <cellStyle name="표준 30 6 3 5" xfId="8191"/>
    <cellStyle name="표준 30 6 3 5 2" xfId="17197"/>
    <cellStyle name="표준 30 6 3 5 2 2" xfId="38073"/>
    <cellStyle name="표준 30 6 3 5 3" xfId="29335"/>
    <cellStyle name="표준 30 6 3 6" xfId="9039"/>
    <cellStyle name="표준 30 6 3 6 2" xfId="18044"/>
    <cellStyle name="표준 30 6 3 6 2 2" xfId="38920"/>
    <cellStyle name="표준 30 6 3 6 3" xfId="30182"/>
    <cellStyle name="표준 30 6 3 7" xfId="9864"/>
    <cellStyle name="표준 30 6 3 7 2" xfId="18862"/>
    <cellStyle name="표준 30 6 3 7 2 2" xfId="39738"/>
    <cellStyle name="표준 30 6 3 7 3" xfId="31000"/>
    <cellStyle name="표준 30 6 3 8" xfId="10919"/>
    <cellStyle name="표준 30 6 3 8 2" xfId="19690"/>
    <cellStyle name="표준 30 6 3 8 2 2" xfId="40566"/>
    <cellStyle name="표준 30 6 3 8 3" xfId="31830"/>
    <cellStyle name="표준 30 6 3 9" xfId="11785"/>
    <cellStyle name="표준 30 6 3 9 2" xfId="20551"/>
    <cellStyle name="표준 30 6 3 9 2 2" xfId="41427"/>
    <cellStyle name="표준 30 6 3 9 3" xfId="32691"/>
    <cellStyle name="표준 30 6 4" xfId="4640"/>
    <cellStyle name="표준 30 6 4 2" xfId="6474"/>
    <cellStyle name="표준 30 6 4 2 2" xfId="15483"/>
    <cellStyle name="표준 30 6 4 2 2 2" xfId="36359"/>
    <cellStyle name="표준 30 6 4 2 3" xfId="27621"/>
    <cellStyle name="표준 30 6 4 3" xfId="11137"/>
    <cellStyle name="표준 30 6 4 3 2" xfId="19907"/>
    <cellStyle name="표준 30 6 4 3 2 2" xfId="40783"/>
    <cellStyle name="표준 30 6 4 3 3" xfId="32047"/>
    <cellStyle name="표준 30 6 4 4" xfId="12002"/>
    <cellStyle name="표준 30 6 4 4 2" xfId="20768"/>
    <cellStyle name="표준 30 6 4 4 2 2" xfId="41644"/>
    <cellStyle name="표준 30 6 4 4 3" xfId="32908"/>
    <cellStyle name="표준 30 6 4 5" xfId="13665"/>
    <cellStyle name="표준 30 6 4 5 2" xfId="34541"/>
    <cellStyle name="표준 30 6 4 6" xfId="25803"/>
    <cellStyle name="표준 30 6 5" xfId="5317"/>
    <cellStyle name="표준 30 6 5 2" xfId="14326"/>
    <cellStyle name="표준 30 6 5 2 2" xfId="35202"/>
    <cellStyle name="표준 30 6 5 3" xfId="26464"/>
    <cellStyle name="표준 30 6 6" xfId="7119"/>
    <cellStyle name="표준 30 6 6 2" xfId="16127"/>
    <cellStyle name="표준 30 6 6 2 2" xfId="37003"/>
    <cellStyle name="표준 30 6 6 3" xfId="28265"/>
    <cellStyle name="표준 30 6 7" xfId="7764"/>
    <cellStyle name="표준 30 6 7 2" xfId="16770"/>
    <cellStyle name="표준 30 6 7 2 2" xfId="37646"/>
    <cellStyle name="표준 30 6 7 3" xfId="28908"/>
    <cellStyle name="표준 30 6 8" xfId="8612"/>
    <cellStyle name="표준 30 6 8 2" xfId="17617"/>
    <cellStyle name="표준 30 6 8 2 2" xfId="38493"/>
    <cellStyle name="표준 30 6 8 3" xfId="29755"/>
    <cellStyle name="표준 30 6 9" xfId="9436"/>
    <cellStyle name="표준 30 6 9 2" xfId="18435"/>
    <cellStyle name="표준 30 6 9 2 2" xfId="39311"/>
    <cellStyle name="표준 30 6 9 3" xfId="30573"/>
    <cellStyle name="표준 30 7" xfId="3033"/>
    <cellStyle name="표준 30 7 10" xfId="10493"/>
    <cellStyle name="표준 30 7 10 2" xfId="19264"/>
    <cellStyle name="표준 30 7 10 2 2" xfId="40140"/>
    <cellStyle name="표준 30 7 10 3" xfId="31404"/>
    <cellStyle name="표준 30 7 11" xfId="11359"/>
    <cellStyle name="표준 30 7 11 2" xfId="20125"/>
    <cellStyle name="표준 30 7 11 2 2" xfId="41001"/>
    <cellStyle name="표준 30 7 11 3" xfId="32265"/>
    <cellStyle name="표준 30 7 12" xfId="12508"/>
    <cellStyle name="표준 30 7 12 2" xfId="33385"/>
    <cellStyle name="표준 30 7 13" xfId="24635"/>
    <cellStyle name="표준 30 7 2" xfId="3250"/>
    <cellStyle name="표준 30 7 2 10" xfId="11569"/>
    <cellStyle name="표준 30 7 2 10 2" xfId="20335"/>
    <cellStyle name="표준 30 7 2 10 2 2" xfId="41211"/>
    <cellStyle name="표준 30 7 2 10 3" xfId="32475"/>
    <cellStyle name="표준 30 7 2 11" xfId="12718"/>
    <cellStyle name="표준 30 7 2 11 2" xfId="33595"/>
    <cellStyle name="표준 30 7 2 12" xfId="24845"/>
    <cellStyle name="표준 30 7 2 2" xfId="3692"/>
    <cellStyle name="표준 30 7 2 2 2" xfId="5965"/>
    <cellStyle name="표준 30 7 2 2 2 2" xfId="14974"/>
    <cellStyle name="표준 30 7 2 2 2 2 2" xfId="35850"/>
    <cellStyle name="표준 30 7 2 2 2 3" xfId="27112"/>
    <cellStyle name="표준 30 7 2 2 3" xfId="13155"/>
    <cellStyle name="표준 30 7 2 2 3 2" xfId="34032"/>
    <cellStyle name="표준 30 7 2 2 4" xfId="25282"/>
    <cellStyle name="표준 30 7 2 3" xfId="4853"/>
    <cellStyle name="표준 30 7 2 3 2" xfId="6685"/>
    <cellStyle name="표준 30 7 2 3 2 2" xfId="15694"/>
    <cellStyle name="표준 30 7 2 3 2 2 2" xfId="36570"/>
    <cellStyle name="표준 30 7 2 3 2 3" xfId="27832"/>
    <cellStyle name="표준 30 7 2 3 3" xfId="13876"/>
    <cellStyle name="표준 30 7 2 3 3 2" xfId="34752"/>
    <cellStyle name="표준 30 7 2 3 4" xfId="26014"/>
    <cellStyle name="표준 30 7 2 4" xfId="5528"/>
    <cellStyle name="표준 30 7 2 4 2" xfId="14537"/>
    <cellStyle name="표준 30 7 2 4 2 2" xfId="35413"/>
    <cellStyle name="표준 30 7 2 4 3" xfId="26675"/>
    <cellStyle name="표준 30 7 2 5" xfId="7331"/>
    <cellStyle name="표준 30 7 2 5 2" xfId="16338"/>
    <cellStyle name="표준 30 7 2 5 2 2" xfId="37214"/>
    <cellStyle name="표준 30 7 2 5 3" xfId="28476"/>
    <cellStyle name="표준 30 7 2 6" xfId="7975"/>
    <cellStyle name="표준 30 7 2 6 2" xfId="16981"/>
    <cellStyle name="표준 30 7 2 6 2 2" xfId="37857"/>
    <cellStyle name="표준 30 7 2 6 3" xfId="29119"/>
    <cellStyle name="표준 30 7 2 7" xfId="8823"/>
    <cellStyle name="표준 30 7 2 7 2" xfId="17828"/>
    <cellStyle name="표준 30 7 2 7 2 2" xfId="38704"/>
    <cellStyle name="표준 30 7 2 7 3" xfId="29966"/>
    <cellStyle name="표준 30 7 2 8" xfId="9648"/>
    <cellStyle name="표준 30 7 2 8 2" xfId="18646"/>
    <cellStyle name="표준 30 7 2 8 2 2" xfId="39522"/>
    <cellStyle name="표준 30 7 2 8 3" xfId="30784"/>
    <cellStyle name="표준 30 7 2 9" xfId="10703"/>
    <cellStyle name="표준 30 7 2 9 2" xfId="19474"/>
    <cellStyle name="표준 30 7 2 9 2 2" xfId="40350"/>
    <cellStyle name="표준 30 7 2 9 3" xfId="31614"/>
    <cellStyle name="표준 30 7 3" xfId="3482"/>
    <cellStyle name="표준 30 7 3 10" xfId="12945"/>
    <cellStyle name="표준 30 7 3 10 2" xfId="33822"/>
    <cellStyle name="표준 30 7 3 11" xfId="25072"/>
    <cellStyle name="표준 30 7 3 2" xfId="5076"/>
    <cellStyle name="표준 30 7 3 2 2" xfId="6902"/>
    <cellStyle name="표준 30 7 3 2 2 2" xfId="15911"/>
    <cellStyle name="표준 30 7 3 2 2 2 2" xfId="36787"/>
    <cellStyle name="표준 30 7 3 2 2 3" xfId="28049"/>
    <cellStyle name="표준 30 7 3 2 3" xfId="14093"/>
    <cellStyle name="표준 30 7 3 2 3 2" xfId="34969"/>
    <cellStyle name="표준 30 7 3 2 4" xfId="26231"/>
    <cellStyle name="표준 30 7 3 3" xfId="5755"/>
    <cellStyle name="표준 30 7 3 3 2" xfId="14764"/>
    <cellStyle name="표준 30 7 3 3 2 2" xfId="35640"/>
    <cellStyle name="표준 30 7 3 3 3" xfId="26902"/>
    <cellStyle name="표준 30 7 3 4" xfId="7548"/>
    <cellStyle name="표준 30 7 3 4 2" xfId="16555"/>
    <cellStyle name="표준 30 7 3 4 2 2" xfId="37431"/>
    <cellStyle name="표준 30 7 3 4 3" xfId="28693"/>
    <cellStyle name="표준 30 7 3 5" xfId="8192"/>
    <cellStyle name="표준 30 7 3 5 2" xfId="17198"/>
    <cellStyle name="표준 30 7 3 5 2 2" xfId="38074"/>
    <cellStyle name="표준 30 7 3 5 3" xfId="29336"/>
    <cellStyle name="표준 30 7 3 6" xfId="9040"/>
    <cellStyle name="표준 30 7 3 6 2" xfId="18045"/>
    <cellStyle name="표준 30 7 3 6 2 2" xfId="38921"/>
    <cellStyle name="표준 30 7 3 6 3" xfId="30183"/>
    <cellStyle name="표준 30 7 3 7" xfId="9865"/>
    <cellStyle name="표준 30 7 3 7 2" xfId="18863"/>
    <cellStyle name="표준 30 7 3 7 2 2" xfId="39739"/>
    <cellStyle name="표준 30 7 3 7 3" xfId="31001"/>
    <cellStyle name="표준 30 7 3 8" xfId="10920"/>
    <cellStyle name="표준 30 7 3 8 2" xfId="19691"/>
    <cellStyle name="표준 30 7 3 8 2 2" xfId="40567"/>
    <cellStyle name="표준 30 7 3 8 3" xfId="31831"/>
    <cellStyle name="표준 30 7 3 9" xfId="11786"/>
    <cellStyle name="표준 30 7 3 9 2" xfId="20552"/>
    <cellStyle name="표준 30 7 3 9 2 2" xfId="41428"/>
    <cellStyle name="표준 30 7 3 9 3" xfId="32692"/>
    <cellStyle name="표준 30 7 4" xfId="4641"/>
    <cellStyle name="표준 30 7 4 2" xfId="6475"/>
    <cellStyle name="표준 30 7 4 2 2" xfId="15484"/>
    <cellStyle name="표준 30 7 4 2 2 2" xfId="36360"/>
    <cellStyle name="표준 30 7 4 2 3" xfId="27622"/>
    <cellStyle name="표준 30 7 4 3" xfId="11138"/>
    <cellStyle name="표준 30 7 4 3 2" xfId="19908"/>
    <cellStyle name="표준 30 7 4 3 2 2" xfId="40784"/>
    <cellStyle name="표준 30 7 4 3 3" xfId="32048"/>
    <cellStyle name="표준 30 7 4 4" xfId="12003"/>
    <cellStyle name="표준 30 7 4 4 2" xfId="20769"/>
    <cellStyle name="표준 30 7 4 4 2 2" xfId="41645"/>
    <cellStyle name="표준 30 7 4 4 3" xfId="32909"/>
    <cellStyle name="표준 30 7 4 5" xfId="13666"/>
    <cellStyle name="표준 30 7 4 5 2" xfId="34542"/>
    <cellStyle name="표준 30 7 4 6" xfId="25804"/>
    <cellStyle name="표준 30 7 5" xfId="5318"/>
    <cellStyle name="표준 30 7 5 2" xfId="14327"/>
    <cellStyle name="표준 30 7 5 2 2" xfId="35203"/>
    <cellStyle name="표준 30 7 5 3" xfId="26465"/>
    <cellStyle name="표준 30 7 6" xfId="7120"/>
    <cellStyle name="표준 30 7 6 2" xfId="16128"/>
    <cellStyle name="표준 30 7 6 2 2" xfId="37004"/>
    <cellStyle name="표준 30 7 6 3" xfId="28266"/>
    <cellStyle name="표준 30 7 7" xfId="7765"/>
    <cellStyle name="표준 30 7 7 2" xfId="16771"/>
    <cellStyle name="표준 30 7 7 2 2" xfId="37647"/>
    <cellStyle name="표준 30 7 7 3" xfId="28909"/>
    <cellStyle name="표준 30 7 8" xfId="8613"/>
    <cellStyle name="표준 30 7 8 2" xfId="17618"/>
    <cellStyle name="표준 30 7 8 2 2" xfId="38494"/>
    <cellStyle name="표준 30 7 8 3" xfId="29756"/>
    <cellStyle name="표준 30 7 9" xfId="9437"/>
    <cellStyle name="표준 30 7 9 2" xfId="18436"/>
    <cellStyle name="표준 30 7 9 2 2" xfId="39312"/>
    <cellStyle name="표준 30 7 9 3" xfId="30574"/>
    <cellStyle name="표준 30 8" xfId="3244"/>
    <cellStyle name="표준 30 8 10" xfId="11563"/>
    <cellStyle name="표준 30 8 10 2" xfId="20329"/>
    <cellStyle name="표준 30 8 10 2 2" xfId="41205"/>
    <cellStyle name="표준 30 8 10 3" xfId="32469"/>
    <cellStyle name="표준 30 8 11" xfId="12712"/>
    <cellStyle name="표준 30 8 11 2" xfId="33589"/>
    <cellStyle name="표준 30 8 12" xfId="24839"/>
    <cellStyle name="표준 30 8 2" xfId="3686"/>
    <cellStyle name="표준 30 8 2 2" xfId="5959"/>
    <cellStyle name="표준 30 8 2 2 2" xfId="14968"/>
    <cellStyle name="표준 30 8 2 2 2 2" xfId="35844"/>
    <cellStyle name="표준 30 8 2 2 3" xfId="27106"/>
    <cellStyle name="표준 30 8 2 3" xfId="13149"/>
    <cellStyle name="표준 30 8 2 3 2" xfId="34026"/>
    <cellStyle name="표준 30 8 2 4" xfId="25276"/>
    <cellStyle name="표준 30 8 3" xfId="4847"/>
    <cellStyle name="표준 30 8 3 2" xfId="6679"/>
    <cellStyle name="표준 30 8 3 2 2" xfId="15688"/>
    <cellStyle name="표준 30 8 3 2 2 2" xfId="36564"/>
    <cellStyle name="표준 30 8 3 2 3" xfId="27826"/>
    <cellStyle name="표준 30 8 3 3" xfId="13870"/>
    <cellStyle name="표준 30 8 3 3 2" xfId="34746"/>
    <cellStyle name="표준 30 8 3 4" xfId="26008"/>
    <cellStyle name="표준 30 8 4" xfId="5522"/>
    <cellStyle name="표준 30 8 4 2" xfId="14531"/>
    <cellStyle name="표준 30 8 4 2 2" xfId="35407"/>
    <cellStyle name="표준 30 8 4 3" xfId="26669"/>
    <cellStyle name="표준 30 8 5" xfId="7325"/>
    <cellStyle name="표준 30 8 5 2" xfId="16332"/>
    <cellStyle name="표준 30 8 5 2 2" xfId="37208"/>
    <cellStyle name="표준 30 8 5 3" xfId="28470"/>
    <cellStyle name="표준 30 8 6" xfId="7969"/>
    <cellStyle name="표준 30 8 6 2" xfId="16975"/>
    <cellStyle name="표준 30 8 6 2 2" xfId="37851"/>
    <cellStyle name="표준 30 8 6 3" xfId="29113"/>
    <cellStyle name="표준 30 8 7" xfId="8817"/>
    <cellStyle name="표준 30 8 7 2" xfId="17822"/>
    <cellStyle name="표준 30 8 7 2 2" xfId="38698"/>
    <cellStyle name="표준 30 8 7 3" xfId="29960"/>
    <cellStyle name="표준 30 8 8" xfId="9642"/>
    <cellStyle name="표준 30 8 8 2" xfId="18640"/>
    <cellStyle name="표준 30 8 8 2 2" xfId="39516"/>
    <cellStyle name="표준 30 8 8 3" xfId="30778"/>
    <cellStyle name="표준 30 8 9" xfId="10697"/>
    <cellStyle name="표준 30 8 9 2" xfId="19468"/>
    <cellStyle name="표준 30 8 9 2 2" xfId="40344"/>
    <cellStyle name="표준 30 8 9 3" xfId="31608"/>
    <cellStyle name="표준 30 9" xfId="3476"/>
    <cellStyle name="표준 30 9 10" xfId="12939"/>
    <cellStyle name="표준 30 9 10 2" xfId="33816"/>
    <cellStyle name="표준 30 9 11" xfId="25066"/>
    <cellStyle name="표준 30 9 2" xfId="5070"/>
    <cellStyle name="표준 30 9 2 2" xfId="6896"/>
    <cellStyle name="표준 30 9 2 2 2" xfId="15905"/>
    <cellStyle name="표준 30 9 2 2 2 2" xfId="36781"/>
    <cellStyle name="표준 30 9 2 2 3" xfId="28043"/>
    <cellStyle name="표준 30 9 2 3" xfId="14087"/>
    <cellStyle name="표준 30 9 2 3 2" xfId="34963"/>
    <cellStyle name="표준 30 9 2 4" xfId="26225"/>
    <cellStyle name="표준 30 9 3" xfId="5749"/>
    <cellStyle name="표준 30 9 3 2" xfId="14758"/>
    <cellStyle name="표준 30 9 3 2 2" xfId="35634"/>
    <cellStyle name="표준 30 9 3 3" xfId="26896"/>
    <cellStyle name="표준 30 9 4" xfId="7542"/>
    <cellStyle name="표준 30 9 4 2" xfId="16549"/>
    <cellStyle name="표준 30 9 4 2 2" xfId="37425"/>
    <cellStyle name="표준 30 9 4 3" xfId="28687"/>
    <cellStyle name="표준 30 9 5" xfId="8186"/>
    <cellStyle name="표준 30 9 5 2" xfId="17192"/>
    <cellStyle name="표준 30 9 5 2 2" xfId="38068"/>
    <cellStyle name="표준 30 9 5 3" xfId="29330"/>
    <cellStyle name="표준 30 9 6" xfId="9034"/>
    <cellStyle name="표준 30 9 6 2" xfId="18039"/>
    <cellStyle name="표준 30 9 6 2 2" xfId="38915"/>
    <cellStyle name="표준 30 9 6 3" xfId="30177"/>
    <cellStyle name="표준 30 9 7" xfId="9859"/>
    <cellStyle name="표준 30 9 7 2" xfId="18857"/>
    <cellStyle name="표준 30 9 7 2 2" xfId="39733"/>
    <cellStyle name="표준 30 9 7 3" xfId="30995"/>
    <cellStyle name="표준 30 9 8" xfId="10914"/>
    <cellStyle name="표준 30 9 8 2" xfId="19685"/>
    <cellStyle name="표준 30 9 8 2 2" xfId="40561"/>
    <cellStyle name="표준 30 9 8 3" xfId="31825"/>
    <cellStyle name="표준 30 9 9" xfId="11780"/>
    <cellStyle name="표준 30 9 9 2" xfId="20546"/>
    <cellStyle name="표준 30 9 9 2 2" xfId="41422"/>
    <cellStyle name="표준 30 9 9 3" xfId="32686"/>
    <cellStyle name="표준 31" xfId="3034"/>
    <cellStyle name="표준 31 10" xfId="4642"/>
    <cellStyle name="표준 31 10 2" xfId="6476"/>
    <cellStyle name="표준 31 10 2 2" xfId="15485"/>
    <cellStyle name="표준 31 10 2 2 2" xfId="36361"/>
    <cellStyle name="표준 31 10 2 3" xfId="27623"/>
    <cellStyle name="표준 31 10 3" xfId="11139"/>
    <cellStyle name="표준 31 10 3 2" xfId="19909"/>
    <cellStyle name="표준 31 10 3 2 2" xfId="40785"/>
    <cellStyle name="표준 31 10 3 3" xfId="32049"/>
    <cellStyle name="표준 31 10 4" xfId="12004"/>
    <cellStyle name="표준 31 10 4 2" xfId="20770"/>
    <cellStyle name="표준 31 10 4 2 2" xfId="41646"/>
    <cellStyle name="표준 31 10 4 3" xfId="32910"/>
    <cellStyle name="표준 31 10 5" xfId="13667"/>
    <cellStyle name="표준 31 10 5 2" xfId="34543"/>
    <cellStyle name="표준 31 10 6" xfId="25805"/>
    <cellStyle name="표준 31 11" xfId="5319"/>
    <cellStyle name="표준 31 11 2" xfId="14328"/>
    <cellStyle name="표준 31 11 2 2" xfId="35204"/>
    <cellStyle name="표준 31 11 3" xfId="26466"/>
    <cellStyle name="표준 31 12" xfId="7121"/>
    <cellStyle name="표준 31 12 2" xfId="16129"/>
    <cellStyle name="표준 31 12 2 2" xfId="37005"/>
    <cellStyle name="표준 31 12 3" xfId="28267"/>
    <cellStyle name="표준 31 13" xfId="7766"/>
    <cellStyle name="표준 31 13 2" xfId="16772"/>
    <cellStyle name="표준 31 13 2 2" xfId="37648"/>
    <cellStyle name="표준 31 13 3" xfId="28910"/>
    <cellStyle name="표준 31 14" xfId="8614"/>
    <cellStyle name="표준 31 14 2" xfId="17619"/>
    <cellStyle name="표준 31 14 2 2" xfId="38495"/>
    <cellStyle name="표준 31 14 3" xfId="29757"/>
    <cellStyle name="표준 31 15" xfId="9438"/>
    <cellStyle name="표준 31 15 2" xfId="18437"/>
    <cellStyle name="표준 31 15 2 2" xfId="39313"/>
    <cellStyle name="표준 31 15 3" xfId="30575"/>
    <cellStyle name="표준 31 16" xfId="10494"/>
    <cellStyle name="표준 31 16 2" xfId="19265"/>
    <cellStyle name="표준 31 16 2 2" xfId="40141"/>
    <cellStyle name="표준 31 16 3" xfId="31405"/>
    <cellStyle name="표준 31 17" xfId="11360"/>
    <cellStyle name="표준 31 17 2" xfId="20126"/>
    <cellStyle name="표준 31 17 2 2" xfId="41002"/>
    <cellStyle name="표준 31 17 3" xfId="32266"/>
    <cellStyle name="표준 31 18" xfId="12509"/>
    <cellStyle name="표준 31 18 2" xfId="33386"/>
    <cellStyle name="표준 31 19" xfId="24636"/>
    <cellStyle name="표준 31 2" xfId="3035"/>
    <cellStyle name="표준 31 2 10" xfId="10495"/>
    <cellStyle name="표준 31 2 10 2" xfId="19266"/>
    <cellStyle name="표준 31 2 10 2 2" xfId="40142"/>
    <cellStyle name="표준 31 2 10 3" xfId="31406"/>
    <cellStyle name="표준 31 2 11" xfId="11361"/>
    <cellStyle name="표준 31 2 11 2" xfId="20127"/>
    <cellStyle name="표준 31 2 11 2 2" xfId="41003"/>
    <cellStyle name="표준 31 2 11 3" xfId="32267"/>
    <cellStyle name="표준 31 2 12" xfId="12510"/>
    <cellStyle name="표준 31 2 12 2" xfId="33387"/>
    <cellStyle name="표준 31 2 13" xfId="24637"/>
    <cellStyle name="표준 31 2 2" xfId="3252"/>
    <cellStyle name="표준 31 2 2 10" xfId="11571"/>
    <cellStyle name="표준 31 2 2 10 2" xfId="20337"/>
    <cellStyle name="표준 31 2 2 10 2 2" xfId="41213"/>
    <cellStyle name="표준 31 2 2 10 3" xfId="32477"/>
    <cellStyle name="표준 31 2 2 11" xfId="12720"/>
    <cellStyle name="표준 31 2 2 11 2" xfId="33597"/>
    <cellStyle name="표준 31 2 2 12" xfId="24847"/>
    <cellStyle name="표준 31 2 2 2" xfId="3694"/>
    <cellStyle name="표준 31 2 2 2 2" xfId="5967"/>
    <cellStyle name="표준 31 2 2 2 2 2" xfId="14976"/>
    <cellStyle name="표준 31 2 2 2 2 2 2" xfId="35852"/>
    <cellStyle name="표준 31 2 2 2 2 3" xfId="27114"/>
    <cellStyle name="표준 31 2 2 2 3" xfId="13157"/>
    <cellStyle name="표준 31 2 2 2 3 2" xfId="34034"/>
    <cellStyle name="표준 31 2 2 2 4" xfId="25284"/>
    <cellStyle name="표준 31 2 2 3" xfId="4855"/>
    <cellStyle name="표준 31 2 2 3 2" xfId="6687"/>
    <cellStyle name="표준 31 2 2 3 2 2" xfId="15696"/>
    <cellStyle name="표준 31 2 2 3 2 2 2" xfId="36572"/>
    <cellStyle name="표준 31 2 2 3 2 3" xfId="27834"/>
    <cellStyle name="표준 31 2 2 3 3" xfId="13878"/>
    <cellStyle name="표준 31 2 2 3 3 2" xfId="34754"/>
    <cellStyle name="표준 31 2 2 3 4" xfId="26016"/>
    <cellStyle name="표준 31 2 2 4" xfId="5530"/>
    <cellStyle name="표준 31 2 2 4 2" xfId="14539"/>
    <cellStyle name="표준 31 2 2 4 2 2" xfId="35415"/>
    <cellStyle name="표준 31 2 2 4 3" xfId="26677"/>
    <cellStyle name="표준 31 2 2 5" xfId="7333"/>
    <cellStyle name="표준 31 2 2 5 2" xfId="16340"/>
    <cellStyle name="표준 31 2 2 5 2 2" xfId="37216"/>
    <cellStyle name="표준 31 2 2 5 3" xfId="28478"/>
    <cellStyle name="표준 31 2 2 6" xfId="7977"/>
    <cellStyle name="표준 31 2 2 6 2" xfId="16983"/>
    <cellStyle name="표준 31 2 2 6 2 2" xfId="37859"/>
    <cellStyle name="표준 31 2 2 6 3" xfId="29121"/>
    <cellStyle name="표준 31 2 2 7" xfId="8825"/>
    <cellStyle name="표준 31 2 2 7 2" xfId="17830"/>
    <cellStyle name="표준 31 2 2 7 2 2" xfId="38706"/>
    <cellStyle name="표준 31 2 2 7 3" xfId="29968"/>
    <cellStyle name="표준 31 2 2 8" xfId="9650"/>
    <cellStyle name="표준 31 2 2 8 2" xfId="18648"/>
    <cellStyle name="표준 31 2 2 8 2 2" xfId="39524"/>
    <cellStyle name="표준 31 2 2 8 3" xfId="30786"/>
    <cellStyle name="표준 31 2 2 9" xfId="10705"/>
    <cellStyle name="표준 31 2 2 9 2" xfId="19476"/>
    <cellStyle name="표준 31 2 2 9 2 2" xfId="40352"/>
    <cellStyle name="표준 31 2 2 9 3" xfId="31616"/>
    <cellStyle name="표준 31 2 3" xfId="3484"/>
    <cellStyle name="표준 31 2 3 10" xfId="12947"/>
    <cellStyle name="표준 31 2 3 10 2" xfId="33824"/>
    <cellStyle name="표준 31 2 3 11" xfId="25074"/>
    <cellStyle name="표준 31 2 3 2" xfId="5078"/>
    <cellStyle name="표준 31 2 3 2 2" xfId="6904"/>
    <cellStyle name="표준 31 2 3 2 2 2" xfId="15913"/>
    <cellStyle name="표준 31 2 3 2 2 2 2" xfId="36789"/>
    <cellStyle name="표준 31 2 3 2 2 3" xfId="28051"/>
    <cellStyle name="표준 31 2 3 2 3" xfId="14095"/>
    <cellStyle name="표준 31 2 3 2 3 2" xfId="34971"/>
    <cellStyle name="표준 31 2 3 2 4" xfId="26233"/>
    <cellStyle name="표준 31 2 3 3" xfId="5757"/>
    <cellStyle name="표준 31 2 3 3 2" xfId="14766"/>
    <cellStyle name="표준 31 2 3 3 2 2" xfId="35642"/>
    <cellStyle name="표준 31 2 3 3 3" xfId="26904"/>
    <cellStyle name="표준 31 2 3 4" xfId="7550"/>
    <cellStyle name="표준 31 2 3 4 2" xfId="16557"/>
    <cellStyle name="표준 31 2 3 4 2 2" xfId="37433"/>
    <cellStyle name="표준 31 2 3 4 3" xfId="28695"/>
    <cellStyle name="표준 31 2 3 5" xfId="8194"/>
    <cellStyle name="표준 31 2 3 5 2" xfId="17200"/>
    <cellStyle name="표준 31 2 3 5 2 2" xfId="38076"/>
    <cellStyle name="표준 31 2 3 5 3" xfId="29338"/>
    <cellStyle name="표준 31 2 3 6" xfId="9042"/>
    <cellStyle name="표준 31 2 3 6 2" xfId="18047"/>
    <cellStyle name="표준 31 2 3 6 2 2" xfId="38923"/>
    <cellStyle name="표준 31 2 3 6 3" xfId="30185"/>
    <cellStyle name="표준 31 2 3 7" xfId="9867"/>
    <cellStyle name="표준 31 2 3 7 2" xfId="18865"/>
    <cellStyle name="표준 31 2 3 7 2 2" xfId="39741"/>
    <cellStyle name="표준 31 2 3 7 3" xfId="31003"/>
    <cellStyle name="표준 31 2 3 8" xfId="10922"/>
    <cellStyle name="표준 31 2 3 8 2" xfId="19693"/>
    <cellStyle name="표준 31 2 3 8 2 2" xfId="40569"/>
    <cellStyle name="표준 31 2 3 8 3" xfId="31833"/>
    <cellStyle name="표준 31 2 3 9" xfId="11788"/>
    <cellStyle name="표준 31 2 3 9 2" xfId="20554"/>
    <cellStyle name="표준 31 2 3 9 2 2" xfId="41430"/>
    <cellStyle name="표준 31 2 3 9 3" xfId="32694"/>
    <cellStyle name="표준 31 2 4" xfId="4643"/>
    <cellStyle name="표준 31 2 4 2" xfId="6477"/>
    <cellStyle name="표준 31 2 4 2 2" xfId="15486"/>
    <cellStyle name="표준 31 2 4 2 2 2" xfId="36362"/>
    <cellStyle name="표준 31 2 4 2 3" xfId="27624"/>
    <cellStyle name="표준 31 2 4 3" xfId="11140"/>
    <cellStyle name="표준 31 2 4 3 2" xfId="19910"/>
    <cellStyle name="표준 31 2 4 3 2 2" xfId="40786"/>
    <cellStyle name="표준 31 2 4 3 3" xfId="32050"/>
    <cellStyle name="표준 31 2 4 4" xfId="12005"/>
    <cellStyle name="표준 31 2 4 4 2" xfId="20771"/>
    <cellStyle name="표준 31 2 4 4 2 2" xfId="41647"/>
    <cellStyle name="표준 31 2 4 4 3" xfId="32911"/>
    <cellStyle name="표준 31 2 4 5" xfId="13668"/>
    <cellStyle name="표준 31 2 4 5 2" xfId="34544"/>
    <cellStyle name="표준 31 2 4 6" xfId="25806"/>
    <cellStyle name="표준 31 2 5" xfId="5320"/>
    <cellStyle name="표준 31 2 5 2" xfId="14329"/>
    <cellStyle name="표준 31 2 5 2 2" xfId="35205"/>
    <cellStyle name="표준 31 2 5 3" xfId="26467"/>
    <cellStyle name="표준 31 2 6" xfId="7122"/>
    <cellStyle name="표준 31 2 6 2" xfId="16130"/>
    <cellStyle name="표준 31 2 6 2 2" xfId="37006"/>
    <cellStyle name="표준 31 2 6 3" xfId="28268"/>
    <cellStyle name="표준 31 2 7" xfId="7767"/>
    <cellStyle name="표준 31 2 7 2" xfId="16773"/>
    <cellStyle name="표준 31 2 7 2 2" xfId="37649"/>
    <cellStyle name="표준 31 2 7 3" xfId="28911"/>
    <cellStyle name="표준 31 2 8" xfId="8615"/>
    <cellStyle name="표준 31 2 8 2" xfId="17620"/>
    <cellStyle name="표준 31 2 8 2 2" xfId="38496"/>
    <cellStyle name="표준 31 2 8 3" xfId="29758"/>
    <cellStyle name="표준 31 2 9" xfId="9439"/>
    <cellStyle name="표준 31 2 9 2" xfId="18438"/>
    <cellStyle name="표준 31 2 9 2 2" xfId="39314"/>
    <cellStyle name="표준 31 2 9 3" xfId="30576"/>
    <cellStyle name="표준 31 3" xfId="3036"/>
    <cellStyle name="표준 31 3 10" xfId="10496"/>
    <cellStyle name="표준 31 3 10 2" xfId="19267"/>
    <cellStyle name="표준 31 3 10 2 2" xfId="40143"/>
    <cellStyle name="표준 31 3 10 3" xfId="31407"/>
    <cellStyle name="표준 31 3 11" xfId="11362"/>
    <cellStyle name="표준 31 3 11 2" xfId="20128"/>
    <cellStyle name="표준 31 3 11 2 2" xfId="41004"/>
    <cellStyle name="표준 31 3 11 3" xfId="32268"/>
    <cellStyle name="표준 31 3 12" xfId="12511"/>
    <cellStyle name="표준 31 3 12 2" xfId="33388"/>
    <cellStyle name="표준 31 3 13" xfId="24638"/>
    <cellStyle name="표준 31 3 2" xfId="3253"/>
    <cellStyle name="표준 31 3 2 10" xfId="11572"/>
    <cellStyle name="표준 31 3 2 10 2" xfId="20338"/>
    <cellStyle name="표준 31 3 2 10 2 2" xfId="41214"/>
    <cellStyle name="표준 31 3 2 10 3" xfId="32478"/>
    <cellStyle name="표준 31 3 2 11" xfId="12721"/>
    <cellStyle name="표준 31 3 2 11 2" xfId="33598"/>
    <cellStyle name="표준 31 3 2 12" xfId="24848"/>
    <cellStyle name="표준 31 3 2 2" xfId="3695"/>
    <cellStyle name="표준 31 3 2 2 2" xfId="5968"/>
    <cellStyle name="표준 31 3 2 2 2 2" xfId="14977"/>
    <cellStyle name="표준 31 3 2 2 2 2 2" xfId="35853"/>
    <cellStyle name="표준 31 3 2 2 2 3" xfId="27115"/>
    <cellStyle name="표준 31 3 2 2 3" xfId="13158"/>
    <cellStyle name="표준 31 3 2 2 3 2" xfId="34035"/>
    <cellStyle name="표준 31 3 2 2 4" xfId="25285"/>
    <cellStyle name="표준 31 3 2 3" xfId="4856"/>
    <cellStyle name="표준 31 3 2 3 2" xfId="6688"/>
    <cellStyle name="표준 31 3 2 3 2 2" xfId="15697"/>
    <cellStyle name="표준 31 3 2 3 2 2 2" xfId="36573"/>
    <cellStyle name="표준 31 3 2 3 2 3" xfId="27835"/>
    <cellStyle name="표준 31 3 2 3 3" xfId="13879"/>
    <cellStyle name="표준 31 3 2 3 3 2" xfId="34755"/>
    <cellStyle name="표준 31 3 2 3 4" xfId="26017"/>
    <cellStyle name="표준 31 3 2 4" xfId="5531"/>
    <cellStyle name="표준 31 3 2 4 2" xfId="14540"/>
    <cellStyle name="표준 31 3 2 4 2 2" xfId="35416"/>
    <cellStyle name="표준 31 3 2 4 3" xfId="26678"/>
    <cellStyle name="표준 31 3 2 5" xfId="7334"/>
    <cellStyle name="표준 31 3 2 5 2" xfId="16341"/>
    <cellStyle name="표준 31 3 2 5 2 2" xfId="37217"/>
    <cellStyle name="표준 31 3 2 5 3" xfId="28479"/>
    <cellStyle name="표준 31 3 2 6" xfId="7978"/>
    <cellStyle name="표준 31 3 2 6 2" xfId="16984"/>
    <cellStyle name="표준 31 3 2 6 2 2" xfId="37860"/>
    <cellStyle name="표준 31 3 2 6 3" xfId="29122"/>
    <cellStyle name="표준 31 3 2 7" xfId="8826"/>
    <cellStyle name="표준 31 3 2 7 2" xfId="17831"/>
    <cellStyle name="표준 31 3 2 7 2 2" xfId="38707"/>
    <cellStyle name="표준 31 3 2 7 3" xfId="29969"/>
    <cellStyle name="표준 31 3 2 8" xfId="9651"/>
    <cellStyle name="표준 31 3 2 8 2" xfId="18649"/>
    <cellStyle name="표준 31 3 2 8 2 2" xfId="39525"/>
    <cellStyle name="표준 31 3 2 8 3" xfId="30787"/>
    <cellStyle name="표준 31 3 2 9" xfId="10706"/>
    <cellStyle name="표준 31 3 2 9 2" xfId="19477"/>
    <cellStyle name="표준 31 3 2 9 2 2" xfId="40353"/>
    <cellStyle name="표준 31 3 2 9 3" xfId="31617"/>
    <cellStyle name="표준 31 3 3" xfId="3485"/>
    <cellStyle name="표준 31 3 3 10" xfId="12948"/>
    <cellStyle name="표준 31 3 3 10 2" xfId="33825"/>
    <cellStyle name="표준 31 3 3 11" xfId="25075"/>
    <cellStyle name="표준 31 3 3 2" xfId="5079"/>
    <cellStyle name="표준 31 3 3 2 2" xfId="6905"/>
    <cellStyle name="표준 31 3 3 2 2 2" xfId="15914"/>
    <cellStyle name="표준 31 3 3 2 2 2 2" xfId="36790"/>
    <cellStyle name="표준 31 3 3 2 2 3" xfId="28052"/>
    <cellStyle name="표준 31 3 3 2 3" xfId="14096"/>
    <cellStyle name="표준 31 3 3 2 3 2" xfId="34972"/>
    <cellStyle name="표준 31 3 3 2 4" xfId="26234"/>
    <cellStyle name="표준 31 3 3 3" xfId="5758"/>
    <cellStyle name="표준 31 3 3 3 2" xfId="14767"/>
    <cellStyle name="표준 31 3 3 3 2 2" xfId="35643"/>
    <cellStyle name="표준 31 3 3 3 3" xfId="26905"/>
    <cellStyle name="표준 31 3 3 4" xfId="7551"/>
    <cellStyle name="표준 31 3 3 4 2" xfId="16558"/>
    <cellStyle name="표준 31 3 3 4 2 2" xfId="37434"/>
    <cellStyle name="표준 31 3 3 4 3" xfId="28696"/>
    <cellStyle name="표준 31 3 3 5" xfId="8195"/>
    <cellStyle name="표준 31 3 3 5 2" xfId="17201"/>
    <cellStyle name="표준 31 3 3 5 2 2" xfId="38077"/>
    <cellStyle name="표준 31 3 3 5 3" xfId="29339"/>
    <cellStyle name="표준 31 3 3 6" xfId="9043"/>
    <cellStyle name="표준 31 3 3 6 2" xfId="18048"/>
    <cellStyle name="표준 31 3 3 6 2 2" xfId="38924"/>
    <cellStyle name="표준 31 3 3 6 3" xfId="30186"/>
    <cellStyle name="표준 31 3 3 7" xfId="9868"/>
    <cellStyle name="표준 31 3 3 7 2" xfId="18866"/>
    <cellStyle name="표준 31 3 3 7 2 2" xfId="39742"/>
    <cellStyle name="표준 31 3 3 7 3" xfId="31004"/>
    <cellStyle name="표준 31 3 3 8" xfId="10923"/>
    <cellStyle name="표준 31 3 3 8 2" xfId="19694"/>
    <cellStyle name="표준 31 3 3 8 2 2" xfId="40570"/>
    <cellStyle name="표준 31 3 3 8 3" xfId="31834"/>
    <cellStyle name="표준 31 3 3 9" xfId="11789"/>
    <cellStyle name="표준 31 3 3 9 2" xfId="20555"/>
    <cellStyle name="표준 31 3 3 9 2 2" xfId="41431"/>
    <cellStyle name="표준 31 3 3 9 3" xfId="32695"/>
    <cellStyle name="표준 31 3 4" xfId="4644"/>
    <cellStyle name="표준 31 3 4 2" xfId="6478"/>
    <cellStyle name="표준 31 3 4 2 2" xfId="15487"/>
    <cellStyle name="표준 31 3 4 2 2 2" xfId="36363"/>
    <cellStyle name="표준 31 3 4 2 3" xfId="27625"/>
    <cellStyle name="표준 31 3 4 3" xfId="11141"/>
    <cellStyle name="표준 31 3 4 3 2" xfId="19911"/>
    <cellStyle name="표준 31 3 4 3 2 2" xfId="40787"/>
    <cellStyle name="표준 31 3 4 3 3" xfId="32051"/>
    <cellStyle name="표준 31 3 4 4" xfId="12006"/>
    <cellStyle name="표준 31 3 4 4 2" xfId="20772"/>
    <cellStyle name="표준 31 3 4 4 2 2" xfId="41648"/>
    <cellStyle name="표준 31 3 4 4 3" xfId="32912"/>
    <cellStyle name="표준 31 3 4 5" xfId="13669"/>
    <cellStyle name="표준 31 3 4 5 2" xfId="34545"/>
    <cellStyle name="표준 31 3 4 6" xfId="25807"/>
    <cellStyle name="표준 31 3 5" xfId="5321"/>
    <cellStyle name="표준 31 3 5 2" xfId="14330"/>
    <cellStyle name="표준 31 3 5 2 2" xfId="35206"/>
    <cellStyle name="표준 31 3 5 3" xfId="26468"/>
    <cellStyle name="표준 31 3 6" xfId="7123"/>
    <cellStyle name="표준 31 3 6 2" xfId="16131"/>
    <cellStyle name="표준 31 3 6 2 2" xfId="37007"/>
    <cellStyle name="표준 31 3 6 3" xfId="28269"/>
    <cellStyle name="표준 31 3 7" xfId="7768"/>
    <cellStyle name="표준 31 3 7 2" xfId="16774"/>
    <cellStyle name="표준 31 3 7 2 2" xfId="37650"/>
    <cellStyle name="표준 31 3 7 3" xfId="28912"/>
    <cellStyle name="표준 31 3 8" xfId="8616"/>
    <cellStyle name="표준 31 3 8 2" xfId="17621"/>
    <cellStyle name="표준 31 3 8 2 2" xfId="38497"/>
    <cellStyle name="표준 31 3 8 3" xfId="29759"/>
    <cellStyle name="표준 31 3 9" xfId="9440"/>
    <cellStyle name="표준 31 3 9 2" xfId="18439"/>
    <cellStyle name="표준 31 3 9 2 2" xfId="39315"/>
    <cellStyle name="표준 31 3 9 3" xfId="30577"/>
    <cellStyle name="표준 31 4" xfId="3037"/>
    <cellStyle name="표준 31 4 10" xfId="10497"/>
    <cellStyle name="표준 31 4 10 2" xfId="19268"/>
    <cellStyle name="표준 31 4 10 2 2" xfId="40144"/>
    <cellStyle name="표준 31 4 10 3" xfId="31408"/>
    <cellStyle name="표준 31 4 11" xfId="11363"/>
    <cellStyle name="표준 31 4 11 2" xfId="20129"/>
    <cellStyle name="표준 31 4 11 2 2" xfId="41005"/>
    <cellStyle name="표준 31 4 11 3" xfId="32269"/>
    <cellStyle name="표준 31 4 12" xfId="12512"/>
    <cellStyle name="표준 31 4 12 2" xfId="33389"/>
    <cellStyle name="표준 31 4 13" xfId="24639"/>
    <cellStyle name="표준 31 4 2" xfId="3254"/>
    <cellStyle name="표준 31 4 2 10" xfId="11573"/>
    <cellStyle name="표준 31 4 2 10 2" xfId="20339"/>
    <cellStyle name="표준 31 4 2 10 2 2" xfId="41215"/>
    <cellStyle name="표준 31 4 2 10 3" xfId="32479"/>
    <cellStyle name="표준 31 4 2 11" xfId="12722"/>
    <cellStyle name="표준 31 4 2 11 2" xfId="33599"/>
    <cellStyle name="표준 31 4 2 12" xfId="24849"/>
    <cellStyle name="표준 31 4 2 2" xfId="3696"/>
    <cellStyle name="표준 31 4 2 2 2" xfId="5969"/>
    <cellStyle name="표준 31 4 2 2 2 2" xfId="14978"/>
    <cellStyle name="표준 31 4 2 2 2 2 2" xfId="35854"/>
    <cellStyle name="표준 31 4 2 2 2 3" xfId="27116"/>
    <cellStyle name="표준 31 4 2 2 3" xfId="13159"/>
    <cellStyle name="표준 31 4 2 2 3 2" xfId="34036"/>
    <cellStyle name="표준 31 4 2 2 4" xfId="25286"/>
    <cellStyle name="표준 31 4 2 3" xfId="4857"/>
    <cellStyle name="표준 31 4 2 3 2" xfId="6689"/>
    <cellStyle name="표준 31 4 2 3 2 2" xfId="15698"/>
    <cellStyle name="표준 31 4 2 3 2 2 2" xfId="36574"/>
    <cellStyle name="표준 31 4 2 3 2 3" xfId="27836"/>
    <cellStyle name="표준 31 4 2 3 3" xfId="13880"/>
    <cellStyle name="표준 31 4 2 3 3 2" xfId="34756"/>
    <cellStyle name="표준 31 4 2 3 4" xfId="26018"/>
    <cellStyle name="표준 31 4 2 4" xfId="5532"/>
    <cellStyle name="표준 31 4 2 4 2" xfId="14541"/>
    <cellStyle name="표준 31 4 2 4 2 2" xfId="35417"/>
    <cellStyle name="표준 31 4 2 4 3" xfId="26679"/>
    <cellStyle name="표준 31 4 2 5" xfId="7335"/>
    <cellStyle name="표준 31 4 2 5 2" xfId="16342"/>
    <cellStyle name="표준 31 4 2 5 2 2" xfId="37218"/>
    <cellStyle name="표준 31 4 2 5 3" xfId="28480"/>
    <cellStyle name="표준 31 4 2 6" xfId="7979"/>
    <cellStyle name="표준 31 4 2 6 2" xfId="16985"/>
    <cellStyle name="표준 31 4 2 6 2 2" xfId="37861"/>
    <cellStyle name="표준 31 4 2 6 3" xfId="29123"/>
    <cellStyle name="표준 31 4 2 7" xfId="8827"/>
    <cellStyle name="표준 31 4 2 7 2" xfId="17832"/>
    <cellStyle name="표준 31 4 2 7 2 2" xfId="38708"/>
    <cellStyle name="표준 31 4 2 7 3" xfId="29970"/>
    <cellStyle name="표준 31 4 2 8" xfId="9652"/>
    <cellStyle name="표준 31 4 2 8 2" xfId="18650"/>
    <cellStyle name="표준 31 4 2 8 2 2" xfId="39526"/>
    <cellStyle name="표준 31 4 2 8 3" xfId="30788"/>
    <cellStyle name="표준 31 4 2 9" xfId="10707"/>
    <cellStyle name="표준 31 4 2 9 2" xfId="19478"/>
    <cellStyle name="표준 31 4 2 9 2 2" xfId="40354"/>
    <cellStyle name="표준 31 4 2 9 3" xfId="31618"/>
    <cellStyle name="표준 31 4 3" xfId="3486"/>
    <cellStyle name="표준 31 4 3 10" xfId="12949"/>
    <cellStyle name="표준 31 4 3 10 2" xfId="33826"/>
    <cellStyle name="표준 31 4 3 11" xfId="25076"/>
    <cellStyle name="표준 31 4 3 2" xfId="5080"/>
    <cellStyle name="표준 31 4 3 2 2" xfId="6906"/>
    <cellStyle name="표준 31 4 3 2 2 2" xfId="15915"/>
    <cellStyle name="표준 31 4 3 2 2 2 2" xfId="36791"/>
    <cellStyle name="표준 31 4 3 2 2 3" xfId="28053"/>
    <cellStyle name="표준 31 4 3 2 3" xfId="14097"/>
    <cellStyle name="표준 31 4 3 2 3 2" xfId="34973"/>
    <cellStyle name="표준 31 4 3 2 4" xfId="26235"/>
    <cellStyle name="표준 31 4 3 3" xfId="5759"/>
    <cellStyle name="표준 31 4 3 3 2" xfId="14768"/>
    <cellStyle name="표준 31 4 3 3 2 2" xfId="35644"/>
    <cellStyle name="표준 31 4 3 3 3" xfId="26906"/>
    <cellStyle name="표준 31 4 3 4" xfId="7552"/>
    <cellStyle name="표준 31 4 3 4 2" xfId="16559"/>
    <cellStyle name="표준 31 4 3 4 2 2" xfId="37435"/>
    <cellStyle name="표준 31 4 3 4 3" xfId="28697"/>
    <cellStyle name="표준 31 4 3 5" xfId="8196"/>
    <cellStyle name="표준 31 4 3 5 2" xfId="17202"/>
    <cellStyle name="표준 31 4 3 5 2 2" xfId="38078"/>
    <cellStyle name="표준 31 4 3 5 3" xfId="29340"/>
    <cellStyle name="표준 31 4 3 6" xfId="9044"/>
    <cellStyle name="표준 31 4 3 6 2" xfId="18049"/>
    <cellStyle name="표준 31 4 3 6 2 2" xfId="38925"/>
    <cellStyle name="표준 31 4 3 6 3" xfId="30187"/>
    <cellStyle name="표준 31 4 3 7" xfId="9869"/>
    <cellStyle name="표준 31 4 3 7 2" xfId="18867"/>
    <cellStyle name="표준 31 4 3 7 2 2" xfId="39743"/>
    <cellStyle name="표준 31 4 3 7 3" xfId="31005"/>
    <cellStyle name="표준 31 4 3 8" xfId="10924"/>
    <cellStyle name="표준 31 4 3 8 2" xfId="19695"/>
    <cellStyle name="표준 31 4 3 8 2 2" xfId="40571"/>
    <cellStyle name="표준 31 4 3 8 3" xfId="31835"/>
    <cellStyle name="표준 31 4 3 9" xfId="11790"/>
    <cellStyle name="표준 31 4 3 9 2" xfId="20556"/>
    <cellStyle name="표준 31 4 3 9 2 2" xfId="41432"/>
    <cellStyle name="표준 31 4 3 9 3" xfId="32696"/>
    <cellStyle name="표준 31 4 4" xfId="4645"/>
    <cellStyle name="표준 31 4 4 2" xfId="6479"/>
    <cellStyle name="표준 31 4 4 2 2" xfId="15488"/>
    <cellStyle name="표준 31 4 4 2 2 2" xfId="36364"/>
    <cellStyle name="표준 31 4 4 2 3" xfId="27626"/>
    <cellStyle name="표준 31 4 4 3" xfId="11142"/>
    <cellStyle name="표준 31 4 4 3 2" xfId="19912"/>
    <cellStyle name="표준 31 4 4 3 2 2" xfId="40788"/>
    <cellStyle name="표준 31 4 4 3 3" xfId="32052"/>
    <cellStyle name="표준 31 4 4 4" xfId="12007"/>
    <cellStyle name="표준 31 4 4 4 2" xfId="20773"/>
    <cellStyle name="표준 31 4 4 4 2 2" xfId="41649"/>
    <cellStyle name="표준 31 4 4 4 3" xfId="32913"/>
    <cellStyle name="표준 31 4 4 5" xfId="13670"/>
    <cellStyle name="표준 31 4 4 5 2" xfId="34546"/>
    <cellStyle name="표준 31 4 4 6" xfId="25808"/>
    <cellStyle name="표준 31 4 5" xfId="5322"/>
    <cellStyle name="표준 31 4 5 2" xfId="14331"/>
    <cellStyle name="표준 31 4 5 2 2" xfId="35207"/>
    <cellStyle name="표준 31 4 5 3" xfId="26469"/>
    <cellStyle name="표준 31 4 6" xfId="7124"/>
    <cellStyle name="표준 31 4 6 2" xfId="16132"/>
    <cellStyle name="표준 31 4 6 2 2" xfId="37008"/>
    <cellStyle name="표준 31 4 6 3" xfId="28270"/>
    <cellStyle name="표준 31 4 7" xfId="7769"/>
    <cellStyle name="표준 31 4 7 2" xfId="16775"/>
    <cellStyle name="표준 31 4 7 2 2" xfId="37651"/>
    <cellStyle name="표준 31 4 7 3" xfId="28913"/>
    <cellStyle name="표준 31 4 8" xfId="8617"/>
    <cellStyle name="표준 31 4 8 2" xfId="17622"/>
    <cellStyle name="표준 31 4 8 2 2" xfId="38498"/>
    <cellStyle name="표준 31 4 8 3" xfId="29760"/>
    <cellStyle name="표준 31 4 9" xfId="9441"/>
    <cellStyle name="표준 31 4 9 2" xfId="18440"/>
    <cellStyle name="표준 31 4 9 2 2" xfId="39316"/>
    <cellStyle name="표준 31 4 9 3" xfId="30578"/>
    <cellStyle name="표준 31 5" xfId="3038"/>
    <cellStyle name="표준 31 5 10" xfId="10498"/>
    <cellStyle name="표준 31 5 10 2" xfId="19269"/>
    <cellStyle name="표준 31 5 10 2 2" xfId="40145"/>
    <cellStyle name="표준 31 5 10 3" xfId="31409"/>
    <cellStyle name="표준 31 5 11" xfId="11364"/>
    <cellStyle name="표준 31 5 11 2" xfId="20130"/>
    <cellStyle name="표준 31 5 11 2 2" xfId="41006"/>
    <cellStyle name="표준 31 5 11 3" xfId="32270"/>
    <cellStyle name="표준 31 5 12" xfId="12513"/>
    <cellStyle name="표준 31 5 12 2" xfId="33390"/>
    <cellStyle name="표준 31 5 13" xfId="24640"/>
    <cellStyle name="표준 31 5 2" xfId="3255"/>
    <cellStyle name="표준 31 5 2 10" xfId="11574"/>
    <cellStyle name="표준 31 5 2 10 2" xfId="20340"/>
    <cellStyle name="표준 31 5 2 10 2 2" xfId="41216"/>
    <cellStyle name="표준 31 5 2 10 3" xfId="32480"/>
    <cellStyle name="표준 31 5 2 11" xfId="12723"/>
    <cellStyle name="표준 31 5 2 11 2" xfId="33600"/>
    <cellStyle name="표준 31 5 2 12" xfId="24850"/>
    <cellStyle name="표준 31 5 2 2" xfId="3697"/>
    <cellStyle name="표준 31 5 2 2 2" xfId="5970"/>
    <cellStyle name="표준 31 5 2 2 2 2" xfId="14979"/>
    <cellStyle name="표준 31 5 2 2 2 2 2" xfId="35855"/>
    <cellStyle name="표준 31 5 2 2 2 3" xfId="27117"/>
    <cellStyle name="표준 31 5 2 2 3" xfId="13160"/>
    <cellStyle name="표준 31 5 2 2 3 2" xfId="34037"/>
    <cellStyle name="표준 31 5 2 2 4" xfId="25287"/>
    <cellStyle name="표준 31 5 2 3" xfId="4858"/>
    <cellStyle name="표준 31 5 2 3 2" xfId="6690"/>
    <cellStyle name="표준 31 5 2 3 2 2" xfId="15699"/>
    <cellStyle name="표준 31 5 2 3 2 2 2" xfId="36575"/>
    <cellStyle name="표준 31 5 2 3 2 3" xfId="27837"/>
    <cellStyle name="표준 31 5 2 3 3" xfId="13881"/>
    <cellStyle name="표준 31 5 2 3 3 2" xfId="34757"/>
    <cellStyle name="표준 31 5 2 3 4" xfId="26019"/>
    <cellStyle name="표준 31 5 2 4" xfId="5533"/>
    <cellStyle name="표준 31 5 2 4 2" xfId="14542"/>
    <cellStyle name="표준 31 5 2 4 2 2" xfId="35418"/>
    <cellStyle name="표준 31 5 2 4 3" xfId="26680"/>
    <cellStyle name="표준 31 5 2 5" xfId="7336"/>
    <cellStyle name="표준 31 5 2 5 2" xfId="16343"/>
    <cellStyle name="표준 31 5 2 5 2 2" xfId="37219"/>
    <cellStyle name="표준 31 5 2 5 3" xfId="28481"/>
    <cellStyle name="표준 31 5 2 6" xfId="7980"/>
    <cellStyle name="표준 31 5 2 6 2" xfId="16986"/>
    <cellStyle name="표준 31 5 2 6 2 2" xfId="37862"/>
    <cellStyle name="표준 31 5 2 6 3" xfId="29124"/>
    <cellStyle name="표준 31 5 2 7" xfId="8828"/>
    <cellStyle name="표준 31 5 2 7 2" xfId="17833"/>
    <cellStyle name="표준 31 5 2 7 2 2" xfId="38709"/>
    <cellStyle name="표준 31 5 2 7 3" xfId="29971"/>
    <cellStyle name="표준 31 5 2 8" xfId="9653"/>
    <cellStyle name="표준 31 5 2 8 2" xfId="18651"/>
    <cellStyle name="표준 31 5 2 8 2 2" xfId="39527"/>
    <cellStyle name="표준 31 5 2 8 3" xfId="30789"/>
    <cellStyle name="표준 31 5 2 9" xfId="10708"/>
    <cellStyle name="표준 31 5 2 9 2" xfId="19479"/>
    <cellStyle name="표준 31 5 2 9 2 2" xfId="40355"/>
    <cellStyle name="표준 31 5 2 9 3" xfId="31619"/>
    <cellStyle name="표준 31 5 3" xfId="3487"/>
    <cellStyle name="표준 31 5 3 10" xfId="12950"/>
    <cellStyle name="표준 31 5 3 10 2" xfId="33827"/>
    <cellStyle name="표준 31 5 3 11" xfId="25077"/>
    <cellStyle name="표준 31 5 3 2" xfId="5081"/>
    <cellStyle name="표준 31 5 3 2 2" xfId="6907"/>
    <cellStyle name="표준 31 5 3 2 2 2" xfId="15916"/>
    <cellStyle name="표준 31 5 3 2 2 2 2" xfId="36792"/>
    <cellStyle name="표준 31 5 3 2 2 3" xfId="28054"/>
    <cellStyle name="표준 31 5 3 2 3" xfId="14098"/>
    <cellStyle name="표준 31 5 3 2 3 2" xfId="34974"/>
    <cellStyle name="표준 31 5 3 2 4" xfId="26236"/>
    <cellStyle name="표준 31 5 3 3" xfId="5760"/>
    <cellStyle name="표준 31 5 3 3 2" xfId="14769"/>
    <cellStyle name="표준 31 5 3 3 2 2" xfId="35645"/>
    <cellStyle name="표준 31 5 3 3 3" xfId="26907"/>
    <cellStyle name="표준 31 5 3 4" xfId="7553"/>
    <cellStyle name="표준 31 5 3 4 2" xfId="16560"/>
    <cellStyle name="표준 31 5 3 4 2 2" xfId="37436"/>
    <cellStyle name="표준 31 5 3 4 3" xfId="28698"/>
    <cellStyle name="표준 31 5 3 5" xfId="8197"/>
    <cellStyle name="표준 31 5 3 5 2" xfId="17203"/>
    <cellStyle name="표준 31 5 3 5 2 2" xfId="38079"/>
    <cellStyle name="표준 31 5 3 5 3" xfId="29341"/>
    <cellStyle name="표준 31 5 3 6" xfId="9045"/>
    <cellStyle name="표준 31 5 3 6 2" xfId="18050"/>
    <cellStyle name="표준 31 5 3 6 2 2" xfId="38926"/>
    <cellStyle name="표준 31 5 3 6 3" xfId="30188"/>
    <cellStyle name="표준 31 5 3 7" xfId="9870"/>
    <cellStyle name="표준 31 5 3 7 2" xfId="18868"/>
    <cellStyle name="표준 31 5 3 7 2 2" xfId="39744"/>
    <cellStyle name="표준 31 5 3 7 3" xfId="31006"/>
    <cellStyle name="표준 31 5 3 8" xfId="10925"/>
    <cellStyle name="표준 31 5 3 8 2" xfId="19696"/>
    <cellStyle name="표준 31 5 3 8 2 2" xfId="40572"/>
    <cellStyle name="표준 31 5 3 8 3" xfId="31836"/>
    <cellStyle name="표준 31 5 3 9" xfId="11791"/>
    <cellStyle name="표준 31 5 3 9 2" xfId="20557"/>
    <cellStyle name="표준 31 5 3 9 2 2" xfId="41433"/>
    <cellStyle name="표준 31 5 3 9 3" xfId="32697"/>
    <cellStyle name="표준 31 5 4" xfId="4646"/>
    <cellStyle name="표준 31 5 4 2" xfId="6480"/>
    <cellStyle name="표준 31 5 4 2 2" xfId="15489"/>
    <cellStyle name="표준 31 5 4 2 2 2" xfId="36365"/>
    <cellStyle name="표준 31 5 4 2 3" xfId="27627"/>
    <cellStyle name="표준 31 5 4 3" xfId="11143"/>
    <cellStyle name="표준 31 5 4 3 2" xfId="19913"/>
    <cellStyle name="표준 31 5 4 3 2 2" xfId="40789"/>
    <cellStyle name="표준 31 5 4 3 3" xfId="32053"/>
    <cellStyle name="표준 31 5 4 4" xfId="12008"/>
    <cellStyle name="표준 31 5 4 4 2" xfId="20774"/>
    <cellStyle name="표준 31 5 4 4 2 2" xfId="41650"/>
    <cellStyle name="표준 31 5 4 4 3" xfId="32914"/>
    <cellStyle name="표준 31 5 4 5" xfId="13671"/>
    <cellStyle name="표준 31 5 4 5 2" xfId="34547"/>
    <cellStyle name="표준 31 5 4 6" xfId="25809"/>
    <cellStyle name="표준 31 5 5" xfId="5323"/>
    <cellStyle name="표준 31 5 5 2" xfId="14332"/>
    <cellStyle name="표준 31 5 5 2 2" xfId="35208"/>
    <cellStyle name="표준 31 5 5 3" xfId="26470"/>
    <cellStyle name="표준 31 5 6" xfId="7125"/>
    <cellStyle name="표준 31 5 6 2" xfId="16133"/>
    <cellStyle name="표준 31 5 6 2 2" xfId="37009"/>
    <cellStyle name="표준 31 5 6 3" xfId="28271"/>
    <cellStyle name="표준 31 5 7" xfId="7770"/>
    <cellStyle name="표준 31 5 7 2" xfId="16776"/>
    <cellStyle name="표준 31 5 7 2 2" xfId="37652"/>
    <cellStyle name="표준 31 5 7 3" xfId="28914"/>
    <cellStyle name="표준 31 5 8" xfId="8618"/>
    <cellStyle name="표준 31 5 8 2" xfId="17623"/>
    <cellStyle name="표준 31 5 8 2 2" xfId="38499"/>
    <cellStyle name="표준 31 5 8 3" xfId="29761"/>
    <cellStyle name="표준 31 5 9" xfId="9442"/>
    <cellStyle name="표준 31 5 9 2" xfId="18441"/>
    <cellStyle name="표준 31 5 9 2 2" xfId="39317"/>
    <cellStyle name="표준 31 5 9 3" xfId="30579"/>
    <cellStyle name="표준 31 6" xfId="3039"/>
    <cellStyle name="표준 31 6 10" xfId="10499"/>
    <cellStyle name="표준 31 6 10 2" xfId="19270"/>
    <cellStyle name="표준 31 6 10 2 2" xfId="40146"/>
    <cellStyle name="표준 31 6 10 3" xfId="31410"/>
    <cellStyle name="표준 31 6 11" xfId="11365"/>
    <cellStyle name="표준 31 6 11 2" xfId="20131"/>
    <cellStyle name="표준 31 6 11 2 2" xfId="41007"/>
    <cellStyle name="표준 31 6 11 3" xfId="32271"/>
    <cellStyle name="표준 31 6 12" xfId="12514"/>
    <cellStyle name="표준 31 6 12 2" xfId="33391"/>
    <cellStyle name="표준 31 6 13" xfId="24641"/>
    <cellStyle name="표준 31 6 2" xfId="3256"/>
    <cellStyle name="표준 31 6 2 10" xfId="11575"/>
    <cellStyle name="표준 31 6 2 10 2" xfId="20341"/>
    <cellStyle name="표준 31 6 2 10 2 2" xfId="41217"/>
    <cellStyle name="표준 31 6 2 10 3" xfId="32481"/>
    <cellStyle name="표준 31 6 2 11" xfId="12724"/>
    <cellStyle name="표준 31 6 2 11 2" xfId="33601"/>
    <cellStyle name="표준 31 6 2 12" xfId="24851"/>
    <cellStyle name="표준 31 6 2 2" xfId="3698"/>
    <cellStyle name="표준 31 6 2 2 2" xfId="5971"/>
    <cellStyle name="표준 31 6 2 2 2 2" xfId="14980"/>
    <cellStyle name="표준 31 6 2 2 2 2 2" xfId="35856"/>
    <cellStyle name="표준 31 6 2 2 2 3" xfId="27118"/>
    <cellStyle name="표준 31 6 2 2 3" xfId="13161"/>
    <cellStyle name="표준 31 6 2 2 3 2" xfId="34038"/>
    <cellStyle name="표준 31 6 2 2 4" xfId="25288"/>
    <cellStyle name="표준 31 6 2 3" xfId="4859"/>
    <cellStyle name="표준 31 6 2 3 2" xfId="6691"/>
    <cellStyle name="표준 31 6 2 3 2 2" xfId="15700"/>
    <cellStyle name="표준 31 6 2 3 2 2 2" xfId="36576"/>
    <cellStyle name="표준 31 6 2 3 2 3" xfId="27838"/>
    <cellStyle name="표준 31 6 2 3 3" xfId="13882"/>
    <cellStyle name="표준 31 6 2 3 3 2" xfId="34758"/>
    <cellStyle name="표준 31 6 2 3 4" xfId="26020"/>
    <cellStyle name="표준 31 6 2 4" xfId="5534"/>
    <cellStyle name="표준 31 6 2 4 2" xfId="14543"/>
    <cellStyle name="표준 31 6 2 4 2 2" xfId="35419"/>
    <cellStyle name="표준 31 6 2 4 3" xfId="26681"/>
    <cellStyle name="표준 31 6 2 5" xfId="7337"/>
    <cellStyle name="표준 31 6 2 5 2" xfId="16344"/>
    <cellStyle name="표준 31 6 2 5 2 2" xfId="37220"/>
    <cellStyle name="표준 31 6 2 5 3" xfId="28482"/>
    <cellStyle name="표준 31 6 2 6" xfId="7981"/>
    <cellStyle name="표준 31 6 2 6 2" xfId="16987"/>
    <cellStyle name="표준 31 6 2 6 2 2" xfId="37863"/>
    <cellStyle name="표준 31 6 2 6 3" xfId="29125"/>
    <cellStyle name="표준 31 6 2 7" xfId="8829"/>
    <cellStyle name="표준 31 6 2 7 2" xfId="17834"/>
    <cellStyle name="표준 31 6 2 7 2 2" xfId="38710"/>
    <cellStyle name="표준 31 6 2 7 3" xfId="29972"/>
    <cellStyle name="표준 31 6 2 8" xfId="9654"/>
    <cellStyle name="표준 31 6 2 8 2" xfId="18652"/>
    <cellStyle name="표준 31 6 2 8 2 2" xfId="39528"/>
    <cellStyle name="표준 31 6 2 8 3" xfId="30790"/>
    <cellStyle name="표준 31 6 2 9" xfId="10709"/>
    <cellStyle name="표준 31 6 2 9 2" xfId="19480"/>
    <cellStyle name="표준 31 6 2 9 2 2" xfId="40356"/>
    <cellStyle name="표준 31 6 2 9 3" xfId="31620"/>
    <cellStyle name="표준 31 6 3" xfId="3488"/>
    <cellStyle name="표준 31 6 3 10" xfId="12951"/>
    <cellStyle name="표준 31 6 3 10 2" xfId="33828"/>
    <cellStyle name="표준 31 6 3 11" xfId="25078"/>
    <cellStyle name="표준 31 6 3 2" xfId="5082"/>
    <cellStyle name="표준 31 6 3 2 2" xfId="6908"/>
    <cellStyle name="표준 31 6 3 2 2 2" xfId="15917"/>
    <cellStyle name="표준 31 6 3 2 2 2 2" xfId="36793"/>
    <cellStyle name="표준 31 6 3 2 2 3" xfId="28055"/>
    <cellStyle name="표준 31 6 3 2 3" xfId="14099"/>
    <cellStyle name="표준 31 6 3 2 3 2" xfId="34975"/>
    <cellStyle name="표준 31 6 3 2 4" xfId="26237"/>
    <cellStyle name="표준 31 6 3 3" xfId="5761"/>
    <cellStyle name="표준 31 6 3 3 2" xfId="14770"/>
    <cellStyle name="표준 31 6 3 3 2 2" xfId="35646"/>
    <cellStyle name="표준 31 6 3 3 3" xfId="26908"/>
    <cellStyle name="표준 31 6 3 4" xfId="7554"/>
    <cellStyle name="표준 31 6 3 4 2" xfId="16561"/>
    <cellStyle name="표준 31 6 3 4 2 2" xfId="37437"/>
    <cellStyle name="표준 31 6 3 4 3" xfId="28699"/>
    <cellStyle name="표준 31 6 3 5" xfId="8198"/>
    <cellStyle name="표준 31 6 3 5 2" xfId="17204"/>
    <cellStyle name="표준 31 6 3 5 2 2" xfId="38080"/>
    <cellStyle name="표준 31 6 3 5 3" xfId="29342"/>
    <cellStyle name="표준 31 6 3 6" xfId="9046"/>
    <cellStyle name="표준 31 6 3 6 2" xfId="18051"/>
    <cellStyle name="표준 31 6 3 6 2 2" xfId="38927"/>
    <cellStyle name="표준 31 6 3 6 3" xfId="30189"/>
    <cellStyle name="표준 31 6 3 7" xfId="9871"/>
    <cellStyle name="표준 31 6 3 7 2" xfId="18869"/>
    <cellStyle name="표준 31 6 3 7 2 2" xfId="39745"/>
    <cellStyle name="표준 31 6 3 7 3" xfId="31007"/>
    <cellStyle name="표준 31 6 3 8" xfId="10926"/>
    <cellStyle name="표준 31 6 3 8 2" xfId="19697"/>
    <cellStyle name="표준 31 6 3 8 2 2" xfId="40573"/>
    <cellStyle name="표준 31 6 3 8 3" xfId="31837"/>
    <cellStyle name="표준 31 6 3 9" xfId="11792"/>
    <cellStyle name="표준 31 6 3 9 2" xfId="20558"/>
    <cellStyle name="표준 31 6 3 9 2 2" xfId="41434"/>
    <cellStyle name="표준 31 6 3 9 3" xfId="32698"/>
    <cellStyle name="표준 31 6 4" xfId="4647"/>
    <cellStyle name="표준 31 6 4 2" xfId="6481"/>
    <cellStyle name="표준 31 6 4 2 2" xfId="15490"/>
    <cellStyle name="표준 31 6 4 2 2 2" xfId="36366"/>
    <cellStyle name="표준 31 6 4 2 3" xfId="27628"/>
    <cellStyle name="표준 31 6 4 3" xfId="11144"/>
    <cellStyle name="표준 31 6 4 3 2" xfId="19914"/>
    <cellStyle name="표준 31 6 4 3 2 2" xfId="40790"/>
    <cellStyle name="표준 31 6 4 3 3" xfId="32054"/>
    <cellStyle name="표준 31 6 4 4" xfId="12009"/>
    <cellStyle name="표준 31 6 4 4 2" xfId="20775"/>
    <cellStyle name="표준 31 6 4 4 2 2" xfId="41651"/>
    <cellStyle name="표준 31 6 4 4 3" xfId="32915"/>
    <cellStyle name="표준 31 6 4 5" xfId="13672"/>
    <cellStyle name="표준 31 6 4 5 2" xfId="34548"/>
    <cellStyle name="표준 31 6 4 6" xfId="25810"/>
    <cellStyle name="표준 31 6 5" xfId="5324"/>
    <cellStyle name="표준 31 6 5 2" xfId="14333"/>
    <cellStyle name="표준 31 6 5 2 2" xfId="35209"/>
    <cellStyle name="표준 31 6 5 3" xfId="26471"/>
    <cellStyle name="표준 31 6 6" xfId="7126"/>
    <cellStyle name="표준 31 6 6 2" xfId="16134"/>
    <cellStyle name="표준 31 6 6 2 2" xfId="37010"/>
    <cellStyle name="표준 31 6 6 3" xfId="28272"/>
    <cellStyle name="표준 31 6 7" xfId="7771"/>
    <cellStyle name="표준 31 6 7 2" xfId="16777"/>
    <cellStyle name="표준 31 6 7 2 2" xfId="37653"/>
    <cellStyle name="표준 31 6 7 3" xfId="28915"/>
    <cellStyle name="표준 31 6 8" xfId="8619"/>
    <cellStyle name="표준 31 6 8 2" xfId="17624"/>
    <cellStyle name="표준 31 6 8 2 2" xfId="38500"/>
    <cellStyle name="표준 31 6 8 3" xfId="29762"/>
    <cellStyle name="표준 31 6 9" xfId="9443"/>
    <cellStyle name="표준 31 6 9 2" xfId="18442"/>
    <cellStyle name="표준 31 6 9 2 2" xfId="39318"/>
    <cellStyle name="표준 31 6 9 3" xfId="30580"/>
    <cellStyle name="표준 31 7" xfId="3040"/>
    <cellStyle name="표준 31 7 10" xfId="10500"/>
    <cellStyle name="표준 31 7 10 2" xfId="19271"/>
    <cellStyle name="표준 31 7 10 2 2" xfId="40147"/>
    <cellStyle name="표준 31 7 10 3" xfId="31411"/>
    <cellStyle name="표준 31 7 11" xfId="11366"/>
    <cellStyle name="표준 31 7 11 2" xfId="20132"/>
    <cellStyle name="표준 31 7 11 2 2" xfId="41008"/>
    <cellStyle name="표준 31 7 11 3" xfId="32272"/>
    <cellStyle name="표준 31 7 12" xfId="12515"/>
    <cellStyle name="표준 31 7 12 2" xfId="33392"/>
    <cellStyle name="표준 31 7 13" xfId="24642"/>
    <cellStyle name="표준 31 7 2" xfId="3257"/>
    <cellStyle name="표준 31 7 2 10" xfId="11576"/>
    <cellStyle name="표준 31 7 2 10 2" xfId="20342"/>
    <cellStyle name="표준 31 7 2 10 2 2" xfId="41218"/>
    <cellStyle name="표준 31 7 2 10 3" xfId="32482"/>
    <cellStyle name="표준 31 7 2 11" xfId="12725"/>
    <cellStyle name="표준 31 7 2 11 2" xfId="33602"/>
    <cellStyle name="표준 31 7 2 12" xfId="24852"/>
    <cellStyle name="표준 31 7 2 2" xfId="3699"/>
    <cellStyle name="표준 31 7 2 2 2" xfId="5972"/>
    <cellStyle name="표준 31 7 2 2 2 2" xfId="14981"/>
    <cellStyle name="표준 31 7 2 2 2 2 2" xfId="35857"/>
    <cellStyle name="표준 31 7 2 2 2 3" xfId="27119"/>
    <cellStyle name="표준 31 7 2 2 3" xfId="13162"/>
    <cellStyle name="표준 31 7 2 2 3 2" xfId="34039"/>
    <cellStyle name="표준 31 7 2 2 4" xfId="25289"/>
    <cellStyle name="표준 31 7 2 3" xfId="4860"/>
    <cellStyle name="표준 31 7 2 3 2" xfId="6692"/>
    <cellStyle name="표준 31 7 2 3 2 2" xfId="15701"/>
    <cellStyle name="표준 31 7 2 3 2 2 2" xfId="36577"/>
    <cellStyle name="표준 31 7 2 3 2 3" xfId="27839"/>
    <cellStyle name="표준 31 7 2 3 3" xfId="13883"/>
    <cellStyle name="표준 31 7 2 3 3 2" xfId="34759"/>
    <cellStyle name="표준 31 7 2 3 4" xfId="26021"/>
    <cellStyle name="표준 31 7 2 4" xfId="5535"/>
    <cellStyle name="표준 31 7 2 4 2" xfId="14544"/>
    <cellStyle name="표준 31 7 2 4 2 2" xfId="35420"/>
    <cellStyle name="표준 31 7 2 4 3" xfId="26682"/>
    <cellStyle name="표준 31 7 2 5" xfId="7338"/>
    <cellStyle name="표준 31 7 2 5 2" xfId="16345"/>
    <cellStyle name="표준 31 7 2 5 2 2" xfId="37221"/>
    <cellStyle name="표준 31 7 2 5 3" xfId="28483"/>
    <cellStyle name="표준 31 7 2 6" xfId="7982"/>
    <cellStyle name="표준 31 7 2 6 2" xfId="16988"/>
    <cellStyle name="표준 31 7 2 6 2 2" xfId="37864"/>
    <cellStyle name="표준 31 7 2 6 3" xfId="29126"/>
    <cellStyle name="표준 31 7 2 7" xfId="8830"/>
    <cellStyle name="표준 31 7 2 7 2" xfId="17835"/>
    <cellStyle name="표준 31 7 2 7 2 2" xfId="38711"/>
    <cellStyle name="표준 31 7 2 7 3" xfId="29973"/>
    <cellStyle name="표준 31 7 2 8" xfId="9655"/>
    <cellStyle name="표준 31 7 2 8 2" xfId="18653"/>
    <cellStyle name="표준 31 7 2 8 2 2" xfId="39529"/>
    <cellStyle name="표준 31 7 2 8 3" xfId="30791"/>
    <cellStyle name="표준 31 7 2 9" xfId="10710"/>
    <cellStyle name="표준 31 7 2 9 2" xfId="19481"/>
    <cellStyle name="표준 31 7 2 9 2 2" xfId="40357"/>
    <cellStyle name="표준 31 7 2 9 3" xfId="31621"/>
    <cellStyle name="표준 31 7 3" xfId="3489"/>
    <cellStyle name="표준 31 7 3 10" xfId="12952"/>
    <cellStyle name="표준 31 7 3 10 2" xfId="33829"/>
    <cellStyle name="표준 31 7 3 11" xfId="25079"/>
    <cellStyle name="표준 31 7 3 2" xfId="5083"/>
    <cellStyle name="표준 31 7 3 2 2" xfId="6909"/>
    <cellStyle name="표준 31 7 3 2 2 2" xfId="15918"/>
    <cellStyle name="표준 31 7 3 2 2 2 2" xfId="36794"/>
    <cellStyle name="표준 31 7 3 2 2 3" xfId="28056"/>
    <cellStyle name="표준 31 7 3 2 3" xfId="14100"/>
    <cellStyle name="표준 31 7 3 2 3 2" xfId="34976"/>
    <cellStyle name="표준 31 7 3 2 4" xfId="26238"/>
    <cellStyle name="표준 31 7 3 3" xfId="5762"/>
    <cellStyle name="표준 31 7 3 3 2" xfId="14771"/>
    <cellStyle name="표준 31 7 3 3 2 2" xfId="35647"/>
    <cellStyle name="표준 31 7 3 3 3" xfId="26909"/>
    <cellStyle name="표준 31 7 3 4" xfId="7555"/>
    <cellStyle name="표준 31 7 3 4 2" xfId="16562"/>
    <cellStyle name="표준 31 7 3 4 2 2" xfId="37438"/>
    <cellStyle name="표준 31 7 3 4 3" xfId="28700"/>
    <cellStyle name="표준 31 7 3 5" xfId="8199"/>
    <cellStyle name="표준 31 7 3 5 2" xfId="17205"/>
    <cellStyle name="표준 31 7 3 5 2 2" xfId="38081"/>
    <cellStyle name="표준 31 7 3 5 3" xfId="29343"/>
    <cellStyle name="표준 31 7 3 6" xfId="9047"/>
    <cellStyle name="표준 31 7 3 6 2" xfId="18052"/>
    <cellStyle name="표준 31 7 3 6 2 2" xfId="38928"/>
    <cellStyle name="표준 31 7 3 6 3" xfId="30190"/>
    <cellStyle name="표준 31 7 3 7" xfId="9872"/>
    <cellStyle name="표준 31 7 3 7 2" xfId="18870"/>
    <cellStyle name="표준 31 7 3 7 2 2" xfId="39746"/>
    <cellStyle name="표준 31 7 3 7 3" xfId="31008"/>
    <cellStyle name="표준 31 7 3 8" xfId="10927"/>
    <cellStyle name="표준 31 7 3 8 2" xfId="19698"/>
    <cellStyle name="표준 31 7 3 8 2 2" xfId="40574"/>
    <cellStyle name="표준 31 7 3 8 3" xfId="31838"/>
    <cellStyle name="표준 31 7 3 9" xfId="11793"/>
    <cellStyle name="표준 31 7 3 9 2" xfId="20559"/>
    <cellStyle name="표준 31 7 3 9 2 2" xfId="41435"/>
    <cellStyle name="표준 31 7 3 9 3" xfId="32699"/>
    <cellStyle name="표준 31 7 4" xfId="4648"/>
    <cellStyle name="표준 31 7 4 2" xfId="6482"/>
    <cellStyle name="표준 31 7 4 2 2" xfId="15491"/>
    <cellStyle name="표준 31 7 4 2 2 2" xfId="36367"/>
    <cellStyle name="표준 31 7 4 2 3" xfId="27629"/>
    <cellStyle name="표준 31 7 4 3" xfId="11145"/>
    <cellStyle name="표준 31 7 4 3 2" xfId="19915"/>
    <cellStyle name="표준 31 7 4 3 2 2" xfId="40791"/>
    <cellStyle name="표준 31 7 4 3 3" xfId="32055"/>
    <cellStyle name="표준 31 7 4 4" xfId="12010"/>
    <cellStyle name="표준 31 7 4 4 2" xfId="20776"/>
    <cellStyle name="표준 31 7 4 4 2 2" xfId="41652"/>
    <cellStyle name="표준 31 7 4 4 3" xfId="32916"/>
    <cellStyle name="표준 31 7 4 5" xfId="13673"/>
    <cellStyle name="표준 31 7 4 5 2" xfId="34549"/>
    <cellStyle name="표준 31 7 4 6" xfId="25811"/>
    <cellStyle name="표준 31 7 5" xfId="5325"/>
    <cellStyle name="표준 31 7 5 2" xfId="14334"/>
    <cellStyle name="표준 31 7 5 2 2" xfId="35210"/>
    <cellStyle name="표준 31 7 5 3" xfId="26472"/>
    <cellStyle name="표준 31 7 6" xfId="7127"/>
    <cellStyle name="표준 31 7 6 2" xfId="16135"/>
    <cellStyle name="표준 31 7 6 2 2" xfId="37011"/>
    <cellStyle name="표준 31 7 6 3" xfId="28273"/>
    <cellStyle name="표준 31 7 7" xfId="7772"/>
    <cellStyle name="표준 31 7 7 2" xfId="16778"/>
    <cellStyle name="표준 31 7 7 2 2" xfId="37654"/>
    <cellStyle name="표준 31 7 7 3" xfId="28916"/>
    <cellStyle name="표준 31 7 8" xfId="8620"/>
    <cellStyle name="표준 31 7 8 2" xfId="17625"/>
    <cellStyle name="표준 31 7 8 2 2" xfId="38501"/>
    <cellStyle name="표준 31 7 8 3" xfId="29763"/>
    <cellStyle name="표준 31 7 9" xfId="9444"/>
    <cellStyle name="표준 31 7 9 2" xfId="18443"/>
    <cellStyle name="표준 31 7 9 2 2" xfId="39319"/>
    <cellStyle name="표준 31 7 9 3" xfId="30581"/>
    <cellStyle name="표준 31 8" xfId="3251"/>
    <cellStyle name="표준 31 8 10" xfId="11570"/>
    <cellStyle name="표준 31 8 10 2" xfId="20336"/>
    <cellStyle name="표준 31 8 10 2 2" xfId="41212"/>
    <cellStyle name="표준 31 8 10 3" xfId="32476"/>
    <cellStyle name="표준 31 8 11" xfId="12719"/>
    <cellStyle name="표준 31 8 11 2" xfId="33596"/>
    <cellStyle name="표준 31 8 12" xfId="24846"/>
    <cellStyle name="표준 31 8 2" xfId="3693"/>
    <cellStyle name="표준 31 8 2 2" xfId="5966"/>
    <cellStyle name="표준 31 8 2 2 2" xfId="14975"/>
    <cellStyle name="표준 31 8 2 2 2 2" xfId="35851"/>
    <cellStyle name="표준 31 8 2 2 3" xfId="27113"/>
    <cellStyle name="표준 31 8 2 3" xfId="13156"/>
    <cellStyle name="표준 31 8 2 3 2" xfId="34033"/>
    <cellStyle name="표준 31 8 2 4" xfId="25283"/>
    <cellStyle name="표준 31 8 3" xfId="4854"/>
    <cellStyle name="표준 31 8 3 2" xfId="6686"/>
    <cellStyle name="표준 31 8 3 2 2" xfId="15695"/>
    <cellStyle name="표준 31 8 3 2 2 2" xfId="36571"/>
    <cellStyle name="표준 31 8 3 2 3" xfId="27833"/>
    <cellStyle name="표준 31 8 3 3" xfId="13877"/>
    <cellStyle name="표준 31 8 3 3 2" xfId="34753"/>
    <cellStyle name="표준 31 8 3 4" xfId="26015"/>
    <cellStyle name="표준 31 8 4" xfId="5529"/>
    <cellStyle name="표준 31 8 4 2" xfId="14538"/>
    <cellStyle name="표준 31 8 4 2 2" xfId="35414"/>
    <cellStyle name="표준 31 8 4 3" xfId="26676"/>
    <cellStyle name="표준 31 8 5" xfId="7332"/>
    <cellStyle name="표준 31 8 5 2" xfId="16339"/>
    <cellStyle name="표준 31 8 5 2 2" xfId="37215"/>
    <cellStyle name="표준 31 8 5 3" xfId="28477"/>
    <cellStyle name="표준 31 8 6" xfId="7976"/>
    <cellStyle name="표준 31 8 6 2" xfId="16982"/>
    <cellStyle name="표준 31 8 6 2 2" xfId="37858"/>
    <cellStyle name="표준 31 8 6 3" xfId="29120"/>
    <cellStyle name="표준 31 8 7" xfId="8824"/>
    <cellStyle name="표준 31 8 7 2" xfId="17829"/>
    <cellStyle name="표준 31 8 7 2 2" xfId="38705"/>
    <cellStyle name="표준 31 8 7 3" xfId="29967"/>
    <cellStyle name="표준 31 8 8" xfId="9649"/>
    <cellStyle name="표준 31 8 8 2" xfId="18647"/>
    <cellStyle name="표준 31 8 8 2 2" xfId="39523"/>
    <cellStyle name="표준 31 8 8 3" xfId="30785"/>
    <cellStyle name="표준 31 8 9" xfId="10704"/>
    <cellStyle name="표준 31 8 9 2" xfId="19475"/>
    <cellStyle name="표준 31 8 9 2 2" xfId="40351"/>
    <cellStyle name="표준 31 8 9 3" xfId="31615"/>
    <cellStyle name="표준 31 9" xfId="3483"/>
    <cellStyle name="표준 31 9 10" xfId="12946"/>
    <cellStyle name="표준 31 9 10 2" xfId="33823"/>
    <cellStyle name="표준 31 9 11" xfId="25073"/>
    <cellStyle name="표준 31 9 2" xfId="5077"/>
    <cellStyle name="표준 31 9 2 2" xfId="6903"/>
    <cellStyle name="표준 31 9 2 2 2" xfId="15912"/>
    <cellStyle name="표준 31 9 2 2 2 2" xfId="36788"/>
    <cellStyle name="표준 31 9 2 2 3" xfId="28050"/>
    <cellStyle name="표준 31 9 2 3" xfId="14094"/>
    <cellStyle name="표준 31 9 2 3 2" xfId="34970"/>
    <cellStyle name="표준 31 9 2 4" xfId="26232"/>
    <cellStyle name="표준 31 9 3" xfId="5756"/>
    <cellStyle name="표준 31 9 3 2" xfId="14765"/>
    <cellStyle name="표준 31 9 3 2 2" xfId="35641"/>
    <cellStyle name="표준 31 9 3 3" xfId="26903"/>
    <cellStyle name="표준 31 9 4" xfId="7549"/>
    <cellStyle name="표준 31 9 4 2" xfId="16556"/>
    <cellStyle name="표준 31 9 4 2 2" xfId="37432"/>
    <cellStyle name="표준 31 9 4 3" xfId="28694"/>
    <cellStyle name="표준 31 9 5" xfId="8193"/>
    <cellStyle name="표준 31 9 5 2" xfId="17199"/>
    <cellStyle name="표준 31 9 5 2 2" xfId="38075"/>
    <cellStyle name="표준 31 9 5 3" xfId="29337"/>
    <cellStyle name="표준 31 9 6" xfId="9041"/>
    <cellStyle name="표준 31 9 6 2" xfId="18046"/>
    <cellStyle name="표준 31 9 6 2 2" xfId="38922"/>
    <cellStyle name="표준 31 9 6 3" xfId="30184"/>
    <cellStyle name="표준 31 9 7" xfId="9866"/>
    <cellStyle name="표준 31 9 7 2" xfId="18864"/>
    <cellStyle name="표준 31 9 7 2 2" xfId="39740"/>
    <cellStyle name="표준 31 9 7 3" xfId="31002"/>
    <cellStyle name="표준 31 9 8" xfId="10921"/>
    <cellStyle name="표준 31 9 8 2" xfId="19692"/>
    <cellStyle name="표준 31 9 8 2 2" xfId="40568"/>
    <cellStyle name="표준 31 9 8 3" xfId="31832"/>
    <cellStyle name="표준 31 9 9" xfId="11787"/>
    <cellStyle name="표준 31 9 9 2" xfId="20553"/>
    <cellStyle name="표준 31 9 9 2 2" xfId="41429"/>
    <cellStyle name="표준 31 9 9 3" xfId="32693"/>
    <cellStyle name="표준 32" xfId="3041"/>
    <cellStyle name="표준 32 10" xfId="4649"/>
    <cellStyle name="표준 32 10 2" xfId="6483"/>
    <cellStyle name="표준 32 10 2 2" xfId="15492"/>
    <cellStyle name="표준 32 10 2 2 2" xfId="36368"/>
    <cellStyle name="표준 32 10 2 3" xfId="27630"/>
    <cellStyle name="표준 32 10 3" xfId="11146"/>
    <cellStyle name="표준 32 10 3 2" xfId="19916"/>
    <cellStyle name="표준 32 10 3 2 2" xfId="40792"/>
    <cellStyle name="표준 32 10 3 3" xfId="32056"/>
    <cellStyle name="표준 32 10 4" xfId="12011"/>
    <cellStyle name="표준 32 10 4 2" xfId="20777"/>
    <cellStyle name="표준 32 10 4 2 2" xfId="41653"/>
    <cellStyle name="표준 32 10 4 3" xfId="32917"/>
    <cellStyle name="표준 32 10 5" xfId="13674"/>
    <cellStyle name="표준 32 10 5 2" xfId="34550"/>
    <cellStyle name="표준 32 10 6" xfId="25812"/>
    <cellStyle name="표준 32 11" xfId="5326"/>
    <cellStyle name="표준 32 11 2" xfId="14335"/>
    <cellStyle name="표준 32 11 2 2" xfId="35211"/>
    <cellStyle name="표준 32 11 3" xfId="26473"/>
    <cellStyle name="표준 32 12" xfId="7128"/>
    <cellStyle name="표준 32 12 2" xfId="16136"/>
    <cellStyle name="표준 32 12 2 2" xfId="37012"/>
    <cellStyle name="표준 32 12 3" xfId="28274"/>
    <cellStyle name="표준 32 13" xfId="7773"/>
    <cellStyle name="표준 32 13 2" xfId="16779"/>
    <cellStyle name="표준 32 13 2 2" xfId="37655"/>
    <cellStyle name="표준 32 13 3" xfId="28917"/>
    <cellStyle name="표준 32 14" xfId="8621"/>
    <cellStyle name="표준 32 14 2" xfId="17626"/>
    <cellStyle name="표준 32 14 2 2" xfId="38502"/>
    <cellStyle name="표준 32 14 3" xfId="29764"/>
    <cellStyle name="표준 32 15" xfId="9445"/>
    <cellStyle name="표준 32 15 2" xfId="18444"/>
    <cellStyle name="표준 32 15 2 2" xfId="39320"/>
    <cellStyle name="표준 32 15 3" xfId="30582"/>
    <cellStyle name="표준 32 16" xfId="10501"/>
    <cellStyle name="표준 32 16 2" xfId="19272"/>
    <cellStyle name="표준 32 16 2 2" xfId="40148"/>
    <cellStyle name="표준 32 16 3" xfId="31412"/>
    <cellStyle name="표준 32 17" xfId="11367"/>
    <cellStyle name="표준 32 17 2" xfId="20133"/>
    <cellStyle name="표준 32 17 2 2" xfId="41009"/>
    <cellStyle name="표준 32 17 3" xfId="32273"/>
    <cellStyle name="표준 32 18" xfId="12516"/>
    <cellStyle name="표준 32 18 2" xfId="33393"/>
    <cellStyle name="표준 32 19" xfId="24643"/>
    <cellStyle name="표준 32 2" xfId="3042"/>
    <cellStyle name="표준 32 2 10" xfId="10502"/>
    <cellStyle name="표준 32 2 10 2" xfId="19273"/>
    <cellStyle name="표준 32 2 10 2 2" xfId="40149"/>
    <cellStyle name="표준 32 2 10 3" xfId="31413"/>
    <cellStyle name="표준 32 2 11" xfId="11368"/>
    <cellStyle name="표준 32 2 11 2" xfId="20134"/>
    <cellStyle name="표준 32 2 11 2 2" xfId="41010"/>
    <cellStyle name="표준 32 2 11 3" xfId="32274"/>
    <cellStyle name="표준 32 2 12" xfId="12517"/>
    <cellStyle name="표준 32 2 12 2" xfId="33394"/>
    <cellStyle name="표준 32 2 13" xfId="24644"/>
    <cellStyle name="표준 32 2 2" xfId="3259"/>
    <cellStyle name="표준 32 2 2 10" xfId="11578"/>
    <cellStyle name="표준 32 2 2 10 2" xfId="20344"/>
    <cellStyle name="표준 32 2 2 10 2 2" xfId="41220"/>
    <cellStyle name="표준 32 2 2 10 3" xfId="32484"/>
    <cellStyle name="표준 32 2 2 11" xfId="12727"/>
    <cellStyle name="표준 32 2 2 11 2" xfId="33604"/>
    <cellStyle name="표준 32 2 2 12" xfId="24854"/>
    <cellStyle name="표준 32 2 2 2" xfId="3701"/>
    <cellStyle name="표준 32 2 2 2 2" xfId="5974"/>
    <cellStyle name="표준 32 2 2 2 2 2" xfId="14983"/>
    <cellStyle name="표준 32 2 2 2 2 2 2" xfId="35859"/>
    <cellStyle name="표준 32 2 2 2 2 3" xfId="27121"/>
    <cellStyle name="표준 32 2 2 2 3" xfId="13164"/>
    <cellStyle name="표준 32 2 2 2 3 2" xfId="34041"/>
    <cellStyle name="표준 32 2 2 2 4" xfId="25291"/>
    <cellStyle name="표준 32 2 2 3" xfId="4862"/>
    <cellStyle name="표준 32 2 2 3 2" xfId="6694"/>
    <cellStyle name="표준 32 2 2 3 2 2" xfId="15703"/>
    <cellStyle name="표준 32 2 2 3 2 2 2" xfId="36579"/>
    <cellStyle name="표준 32 2 2 3 2 3" xfId="27841"/>
    <cellStyle name="표준 32 2 2 3 3" xfId="13885"/>
    <cellStyle name="표준 32 2 2 3 3 2" xfId="34761"/>
    <cellStyle name="표준 32 2 2 3 4" xfId="26023"/>
    <cellStyle name="표준 32 2 2 4" xfId="5537"/>
    <cellStyle name="표준 32 2 2 4 2" xfId="14546"/>
    <cellStyle name="표준 32 2 2 4 2 2" xfId="35422"/>
    <cellStyle name="표준 32 2 2 4 3" xfId="26684"/>
    <cellStyle name="표준 32 2 2 5" xfId="7340"/>
    <cellStyle name="표준 32 2 2 5 2" xfId="16347"/>
    <cellStyle name="표준 32 2 2 5 2 2" xfId="37223"/>
    <cellStyle name="표준 32 2 2 5 3" xfId="28485"/>
    <cellStyle name="표준 32 2 2 6" xfId="7984"/>
    <cellStyle name="표준 32 2 2 6 2" xfId="16990"/>
    <cellStyle name="표준 32 2 2 6 2 2" xfId="37866"/>
    <cellStyle name="표준 32 2 2 6 3" xfId="29128"/>
    <cellStyle name="표준 32 2 2 7" xfId="8832"/>
    <cellStyle name="표준 32 2 2 7 2" xfId="17837"/>
    <cellStyle name="표준 32 2 2 7 2 2" xfId="38713"/>
    <cellStyle name="표준 32 2 2 7 3" xfId="29975"/>
    <cellStyle name="표준 32 2 2 8" xfId="9657"/>
    <cellStyle name="표준 32 2 2 8 2" xfId="18655"/>
    <cellStyle name="표준 32 2 2 8 2 2" xfId="39531"/>
    <cellStyle name="표준 32 2 2 8 3" xfId="30793"/>
    <cellStyle name="표준 32 2 2 9" xfId="10712"/>
    <cellStyle name="표준 32 2 2 9 2" xfId="19483"/>
    <cellStyle name="표준 32 2 2 9 2 2" xfId="40359"/>
    <cellStyle name="표준 32 2 2 9 3" xfId="31623"/>
    <cellStyle name="표준 32 2 3" xfId="3491"/>
    <cellStyle name="표준 32 2 3 10" xfId="12954"/>
    <cellStyle name="표준 32 2 3 10 2" xfId="33831"/>
    <cellStyle name="표준 32 2 3 11" xfId="25081"/>
    <cellStyle name="표준 32 2 3 2" xfId="5085"/>
    <cellStyle name="표준 32 2 3 2 2" xfId="6911"/>
    <cellStyle name="표준 32 2 3 2 2 2" xfId="15920"/>
    <cellStyle name="표준 32 2 3 2 2 2 2" xfId="36796"/>
    <cellStyle name="표준 32 2 3 2 2 3" xfId="28058"/>
    <cellStyle name="표준 32 2 3 2 3" xfId="14102"/>
    <cellStyle name="표준 32 2 3 2 3 2" xfId="34978"/>
    <cellStyle name="표준 32 2 3 2 4" xfId="26240"/>
    <cellStyle name="표준 32 2 3 3" xfId="5764"/>
    <cellStyle name="표준 32 2 3 3 2" xfId="14773"/>
    <cellStyle name="표준 32 2 3 3 2 2" xfId="35649"/>
    <cellStyle name="표준 32 2 3 3 3" xfId="26911"/>
    <cellStyle name="표준 32 2 3 4" xfId="7557"/>
    <cellStyle name="표준 32 2 3 4 2" xfId="16564"/>
    <cellStyle name="표준 32 2 3 4 2 2" xfId="37440"/>
    <cellStyle name="표준 32 2 3 4 3" xfId="28702"/>
    <cellStyle name="표준 32 2 3 5" xfId="8201"/>
    <cellStyle name="표준 32 2 3 5 2" xfId="17207"/>
    <cellStyle name="표준 32 2 3 5 2 2" xfId="38083"/>
    <cellStyle name="표준 32 2 3 5 3" xfId="29345"/>
    <cellStyle name="표준 32 2 3 6" xfId="9049"/>
    <cellStyle name="표준 32 2 3 6 2" xfId="18054"/>
    <cellStyle name="표준 32 2 3 6 2 2" xfId="38930"/>
    <cellStyle name="표준 32 2 3 6 3" xfId="30192"/>
    <cellStyle name="표준 32 2 3 7" xfId="9874"/>
    <cellStyle name="표준 32 2 3 7 2" xfId="18872"/>
    <cellStyle name="표준 32 2 3 7 2 2" xfId="39748"/>
    <cellStyle name="표준 32 2 3 7 3" xfId="31010"/>
    <cellStyle name="표준 32 2 3 8" xfId="10929"/>
    <cellStyle name="표준 32 2 3 8 2" xfId="19700"/>
    <cellStyle name="표준 32 2 3 8 2 2" xfId="40576"/>
    <cellStyle name="표준 32 2 3 8 3" xfId="31840"/>
    <cellStyle name="표준 32 2 3 9" xfId="11795"/>
    <cellStyle name="표준 32 2 3 9 2" xfId="20561"/>
    <cellStyle name="표준 32 2 3 9 2 2" xfId="41437"/>
    <cellStyle name="표준 32 2 3 9 3" xfId="32701"/>
    <cellStyle name="표준 32 2 4" xfId="4650"/>
    <cellStyle name="표준 32 2 4 2" xfId="6484"/>
    <cellStyle name="표준 32 2 4 2 2" xfId="15493"/>
    <cellStyle name="표준 32 2 4 2 2 2" xfId="36369"/>
    <cellStyle name="표준 32 2 4 2 3" xfId="27631"/>
    <cellStyle name="표준 32 2 4 3" xfId="11147"/>
    <cellStyle name="표준 32 2 4 3 2" xfId="19917"/>
    <cellStyle name="표준 32 2 4 3 2 2" xfId="40793"/>
    <cellStyle name="표준 32 2 4 3 3" xfId="32057"/>
    <cellStyle name="표준 32 2 4 4" xfId="12012"/>
    <cellStyle name="표준 32 2 4 4 2" xfId="20778"/>
    <cellStyle name="표준 32 2 4 4 2 2" xfId="41654"/>
    <cellStyle name="표준 32 2 4 4 3" xfId="32918"/>
    <cellStyle name="표준 32 2 4 5" xfId="13675"/>
    <cellStyle name="표준 32 2 4 5 2" xfId="34551"/>
    <cellStyle name="표준 32 2 4 6" xfId="25813"/>
    <cellStyle name="표준 32 2 5" xfId="5327"/>
    <cellStyle name="표준 32 2 5 2" xfId="14336"/>
    <cellStyle name="표준 32 2 5 2 2" xfId="35212"/>
    <cellStyle name="표준 32 2 5 3" xfId="26474"/>
    <cellStyle name="표준 32 2 6" xfId="7129"/>
    <cellStyle name="표준 32 2 6 2" xfId="16137"/>
    <cellStyle name="표준 32 2 6 2 2" xfId="37013"/>
    <cellStyle name="표준 32 2 6 3" xfId="28275"/>
    <cellStyle name="표준 32 2 7" xfId="7774"/>
    <cellStyle name="표준 32 2 7 2" xfId="16780"/>
    <cellStyle name="표준 32 2 7 2 2" xfId="37656"/>
    <cellStyle name="표준 32 2 7 3" xfId="28918"/>
    <cellStyle name="표준 32 2 8" xfId="8622"/>
    <cellStyle name="표준 32 2 8 2" xfId="17627"/>
    <cellStyle name="표준 32 2 8 2 2" xfId="38503"/>
    <cellStyle name="표준 32 2 8 3" xfId="29765"/>
    <cellStyle name="표준 32 2 9" xfId="9446"/>
    <cellStyle name="표준 32 2 9 2" xfId="18445"/>
    <cellStyle name="표준 32 2 9 2 2" xfId="39321"/>
    <cellStyle name="표준 32 2 9 3" xfId="30583"/>
    <cellStyle name="표준 32 3" xfId="3043"/>
    <cellStyle name="표준 32 3 10" xfId="10503"/>
    <cellStyle name="표준 32 3 10 2" xfId="19274"/>
    <cellStyle name="표준 32 3 10 2 2" xfId="40150"/>
    <cellStyle name="표준 32 3 10 3" xfId="31414"/>
    <cellStyle name="표준 32 3 11" xfId="11369"/>
    <cellStyle name="표준 32 3 11 2" xfId="20135"/>
    <cellStyle name="표준 32 3 11 2 2" xfId="41011"/>
    <cellStyle name="표준 32 3 11 3" xfId="32275"/>
    <cellStyle name="표준 32 3 12" xfId="12518"/>
    <cellStyle name="표준 32 3 12 2" xfId="33395"/>
    <cellStyle name="표준 32 3 13" xfId="24645"/>
    <cellStyle name="표준 32 3 2" xfId="3260"/>
    <cellStyle name="표준 32 3 2 10" xfId="11579"/>
    <cellStyle name="표준 32 3 2 10 2" xfId="20345"/>
    <cellStyle name="표준 32 3 2 10 2 2" xfId="41221"/>
    <cellStyle name="표준 32 3 2 10 3" xfId="32485"/>
    <cellStyle name="표준 32 3 2 11" xfId="12728"/>
    <cellStyle name="표준 32 3 2 11 2" xfId="33605"/>
    <cellStyle name="표준 32 3 2 12" xfId="24855"/>
    <cellStyle name="표준 32 3 2 2" xfId="3702"/>
    <cellStyle name="표준 32 3 2 2 2" xfId="5975"/>
    <cellStyle name="표준 32 3 2 2 2 2" xfId="14984"/>
    <cellStyle name="표준 32 3 2 2 2 2 2" xfId="35860"/>
    <cellStyle name="표준 32 3 2 2 2 3" xfId="27122"/>
    <cellStyle name="표준 32 3 2 2 3" xfId="13165"/>
    <cellStyle name="표준 32 3 2 2 3 2" xfId="34042"/>
    <cellStyle name="표준 32 3 2 2 4" xfId="25292"/>
    <cellStyle name="표준 32 3 2 3" xfId="4863"/>
    <cellStyle name="표준 32 3 2 3 2" xfId="6695"/>
    <cellStyle name="표준 32 3 2 3 2 2" xfId="15704"/>
    <cellStyle name="표준 32 3 2 3 2 2 2" xfId="36580"/>
    <cellStyle name="표준 32 3 2 3 2 3" xfId="27842"/>
    <cellStyle name="표준 32 3 2 3 3" xfId="13886"/>
    <cellStyle name="표준 32 3 2 3 3 2" xfId="34762"/>
    <cellStyle name="표준 32 3 2 3 4" xfId="26024"/>
    <cellStyle name="표준 32 3 2 4" xfId="5538"/>
    <cellStyle name="표준 32 3 2 4 2" xfId="14547"/>
    <cellStyle name="표준 32 3 2 4 2 2" xfId="35423"/>
    <cellStyle name="표준 32 3 2 4 3" xfId="26685"/>
    <cellStyle name="표준 32 3 2 5" xfId="7341"/>
    <cellStyle name="표준 32 3 2 5 2" xfId="16348"/>
    <cellStyle name="표준 32 3 2 5 2 2" xfId="37224"/>
    <cellStyle name="표준 32 3 2 5 3" xfId="28486"/>
    <cellStyle name="표준 32 3 2 6" xfId="7985"/>
    <cellStyle name="표준 32 3 2 6 2" xfId="16991"/>
    <cellStyle name="표준 32 3 2 6 2 2" xfId="37867"/>
    <cellStyle name="표준 32 3 2 6 3" xfId="29129"/>
    <cellStyle name="표준 32 3 2 7" xfId="8833"/>
    <cellStyle name="표준 32 3 2 7 2" xfId="17838"/>
    <cellStyle name="표준 32 3 2 7 2 2" xfId="38714"/>
    <cellStyle name="표준 32 3 2 7 3" xfId="29976"/>
    <cellStyle name="표준 32 3 2 8" xfId="9658"/>
    <cellStyle name="표준 32 3 2 8 2" xfId="18656"/>
    <cellStyle name="표준 32 3 2 8 2 2" xfId="39532"/>
    <cellStyle name="표준 32 3 2 8 3" xfId="30794"/>
    <cellStyle name="표준 32 3 2 9" xfId="10713"/>
    <cellStyle name="표준 32 3 2 9 2" xfId="19484"/>
    <cellStyle name="표준 32 3 2 9 2 2" xfId="40360"/>
    <cellStyle name="표준 32 3 2 9 3" xfId="31624"/>
    <cellStyle name="표준 32 3 3" xfId="3492"/>
    <cellStyle name="표준 32 3 3 10" xfId="12955"/>
    <cellStyle name="표준 32 3 3 10 2" xfId="33832"/>
    <cellStyle name="표준 32 3 3 11" xfId="25082"/>
    <cellStyle name="표준 32 3 3 2" xfId="5086"/>
    <cellStyle name="표준 32 3 3 2 2" xfId="6912"/>
    <cellStyle name="표준 32 3 3 2 2 2" xfId="15921"/>
    <cellStyle name="표준 32 3 3 2 2 2 2" xfId="36797"/>
    <cellStyle name="표준 32 3 3 2 2 3" xfId="28059"/>
    <cellStyle name="표준 32 3 3 2 3" xfId="14103"/>
    <cellStyle name="표준 32 3 3 2 3 2" xfId="34979"/>
    <cellStyle name="표준 32 3 3 2 4" xfId="26241"/>
    <cellStyle name="표준 32 3 3 3" xfId="5765"/>
    <cellStyle name="표준 32 3 3 3 2" xfId="14774"/>
    <cellStyle name="표준 32 3 3 3 2 2" xfId="35650"/>
    <cellStyle name="표준 32 3 3 3 3" xfId="26912"/>
    <cellStyle name="표준 32 3 3 4" xfId="7558"/>
    <cellStyle name="표준 32 3 3 4 2" xfId="16565"/>
    <cellStyle name="표준 32 3 3 4 2 2" xfId="37441"/>
    <cellStyle name="표준 32 3 3 4 3" xfId="28703"/>
    <cellStyle name="표준 32 3 3 5" xfId="8202"/>
    <cellStyle name="표준 32 3 3 5 2" xfId="17208"/>
    <cellStyle name="표준 32 3 3 5 2 2" xfId="38084"/>
    <cellStyle name="표준 32 3 3 5 3" xfId="29346"/>
    <cellStyle name="표준 32 3 3 6" xfId="9050"/>
    <cellStyle name="표준 32 3 3 6 2" xfId="18055"/>
    <cellStyle name="표준 32 3 3 6 2 2" xfId="38931"/>
    <cellStyle name="표준 32 3 3 6 3" xfId="30193"/>
    <cellStyle name="표준 32 3 3 7" xfId="9875"/>
    <cellStyle name="표준 32 3 3 7 2" xfId="18873"/>
    <cellStyle name="표준 32 3 3 7 2 2" xfId="39749"/>
    <cellStyle name="표준 32 3 3 7 3" xfId="31011"/>
    <cellStyle name="표준 32 3 3 8" xfId="10930"/>
    <cellStyle name="표준 32 3 3 8 2" xfId="19701"/>
    <cellStyle name="표준 32 3 3 8 2 2" xfId="40577"/>
    <cellStyle name="표준 32 3 3 8 3" xfId="31841"/>
    <cellStyle name="표준 32 3 3 9" xfId="11796"/>
    <cellStyle name="표준 32 3 3 9 2" xfId="20562"/>
    <cellStyle name="표준 32 3 3 9 2 2" xfId="41438"/>
    <cellStyle name="표준 32 3 3 9 3" xfId="32702"/>
    <cellStyle name="표준 32 3 4" xfId="4651"/>
    <cellStyle name="표준 32 3 4 2" xfId="6485"/>
    <cellStyle name="표준 32 3 4 2 2" xfId="15494"/>
    <cellStyle name="표준 32 3 4 2 2 2" xfId="36370"/>
    <cellStyle name="표준 32 3 4 2 3" xfId="27632"/>
    <cellStyle name="표준 32 3 4 3" xfId="11148"/>
    <cellStyle name="표준 32 3 4 3 2" xfId="19918"/>
    <cellStyle name="표준 32 3 4 3 2 2" xfId="40794"/>
    <cellStyle name="표준 32 3 4 3 3" xfId="32058"/>
    <cellStyle name="표준 32 3 4 4" xfId="12013"/>
    <cellStyle name="표준 32 3 4 4 2" xfId="20779"/>
    <cellStyle name="표준 32 3 4 4 2 2" xfId="41655"/>
    <cellStyle name="표준 32 3 4 4 3" xfId="32919"/>
    <cellStyle name="표준 32 3 4 5" xfId="13676"/>
    <cellStyle name="표준 32 3 4 5 2" xfId="34552"/>
    <cellStyle name="표준 32 3 4 6" xfId="25814"/>
    <cellStyle name="표준 32 3 5" xfId="5328"/>
    <cellStyle name="표준 32 3 5 2" xfId="14337"/>
    <cellStyle name="표준 32 3 5 2 2" xfId="35213"/>
    <cellStyle name="표준 32 3 5 3" xfId="26475"/>
    <cellStyle name="표준 32 3 6" xfId="7130"/>
    <cellStyle name="표준 32 3 6 2" xfId="16138"/>
    <cellStyle name="표준 32 3 6 2 2" xfId="37014"/>
    <cellStyle name="표준 32 3 6 3" xfId="28276"/>
    <cellStyle name="표준 32 3 7" xfId="7775"/>
    <cellStyle name="표준 32 3 7 2" xfId="16781"/>
    <cellStyle name="표준 32 3 7 2 2" xfId="37657"/>
    <cellStyle name="표준 32 3 7 3" xfId="28919"/>
    <cellStyle name="표준 32 3 8" xfId="8623"/>
    <cellStyle name="표준 32 3 8 2" xfId="17628"/>
    <cellStyle name="표준 32 3 8 2 2" xfId="38504"/>
    <cellStyle name="표준 32 3 8 3" xfId="29766"/>
    <cellStyle name="표준 32 3 9" xfId="9447"/>
    <cellStyle name="표준 32 3 9 2" xfId="18446"/>
    <cellStyle name="표준 32 3 9 2 2" xfId="39322"/>
    <cellStyle name="표준 32 3 9 3" xfId="30584"/>
    <cellStyle name="표준 32 4" xfId="3044"/>
    <cellStyle name="표준 32 4 10" xfId="10504"/>
    <cellStyle name="표준 32 4 10 2" xfId="19275"/>
    <cellStyle name="표준 32 4 10 2 2" xfId="40151"/>
    <cellStyle name="표준 32 4 10 3" xfId="31415"/>
    <cellStyle name="표준 32 4 11" xfId="11370"/>
    <cellStyle name="표준 32 4 11 2" xfId="20136"/>
    <cellStyle name="표준 32 4 11 2 2" xfId="41012"/>
    <cellStyle name="표준 32 4 11 3" xfId="32276"/>
    <cellStyle name="표준 32 4 12" xfId="12519"/>
    <cellStyle name="표준 32 4 12 2" xfId="33396"/>
    <cellStyle name="표준 32 4 13" xfId="24646"/>
    <cellStyle name="표준 32 4 2" xfId="3261"/>
    <cellStyle name="표준 32 4 2 10" xfId="11580"/>
    <cellStyle name="표준 32 4 2 10 2" xfId="20346"/>
    <cellStyle name="표준 32 4 2 10 2 2" xfId="41222"/>
    <cellStyle name="표준 32 4 2 10 3" xfId="32486"/>
    <cellStyle name="표준 32 4 2 11" xfId="12729"/>
    <cellStyle name="표준 32 4 2 11 2" xfId="33606"/>
    <cellStyle name="표준 32 4 2 12" xfId="24856"/>
    <cellStyle name="표준 32 4 2 2" xfId="3703"/>
    <cellStyle name="표준 32 4 2 2 2" xfId="5976"/>
    <cellStyle name="표준 32 4 2 2 2 2" xfId="14985"/>
    <cellStyle name="표준 32 4 2 2 2 2 2" xfId="35861"/>
    <cellStyle name="표준 32 4 2 2 2 3" xfId="27123"/>
    <cellStyle name="표준 32 4 2 2 3" xfId="13166"/>
    <cellStyle name="표준 32 4 2 2 3 2" xfId="34043"/>
    <cellStyle name="표준 32 4 2 2 4" xfId="25293"/>
    <cellStyle name="표준 32 4 2 3" xfId="4864"/>
    <cellStyle name="표준 32 4 2 3 2" xfId="6696"/>
    <cellStyle name="표준 32 4 2 3 2 2" xfId="15705"/>
    <cellStyle name="표준 32 4 2 3 2 2 2" xfId="36581"/>
    <cellStyle name="표준 32 4 2 3 2 3" xfId="27843"/>
    <cellStyle name="표준 32 4 2 3 3" xfId="13887"/>
    <cellStyle name="표준 32 4 2 3 3 2" xfId="34763"/>
    <cellStyle name="표준 32 4 2 3 4" xfId="26025"/>
    <cellStyle name="표준 32 4 2 4" xfId="5539"/>
    <cellStyle name="표준 32 4 2 4 2" xfId="14548"/>
    <cellStyle name="표준 32 4 2 4 2 2" xfId="35424"/>
    <cellStyle name="표준 32 4 2 4 3" xfId="26686"/>
    <cellStyle name="표준 32 4 2 5" xfId="7342"/>
    <cellStyle name="표준 32 4 2 5 2" xfId="16349"/>
    <cellStyle name="표준 32 4 2 5 2 2" xfId="37225"/>
    <cellStyle name="표준 32 4 2 5 3" xfId="28487"/>
    <cellStyle name="표준 32 4 2 6" xfId="7986"/>
    <cellStyle name="표준 32 4 2 6 2" xfId="16992"/>
    <cellStyle name="표준 32 4 2 6 2 2" xfId="37868"/>
    <cellStyle name="표준 32 4 2 6 3" xfId="29130"/>
    <cellStyle name="표준 32 4 2 7" xfId="8834"/>
    <cellStyle name="표준 32 4 2 7 2" xfId="17839"/>
    <cellStyle name="표준 32 4 2 7 2 2" xfId="38715"/>
    <cellStyle name="표준 32 4 2 7 3" xfId="29977"/>
    <cellStyle name="표준 32 4 2 8" xfId="9659"/>
    <cellStyle name="표준 32 4 2 8 2" xfId="18657"/>
    <cellStyle name="표준 32 4 2 8 2 2" xfId="39533"/>
    <cellStyle name="표준 32 4 2 8 3" xfId="30795"/>
    <cellStyle name="표준 32 4 2 9" xfId="10714"/>
    <cellStyle name="표준 32 4 2 9 2" xfId="19485"/>
    <cellStyle name="표준 32 4 2 9 2 2" xfId="40361"/>
    <cellStyle name="표준 32 4 2 9 3" xfId="31625"/>
    <cellStyle name="표준 32 4 3" xfId="3493"/>
    <cellStyle name="표준 32 4 3 10" xfId="12956"/>
    <cellStyle name="표준 32 4 3 10 2" xfId="33833"/>
    <cellStyle name="표준 32 4 3 11" xfId="25083"/>
    <cellStyle name="표준 32 4 3 2" xfId="5087"/>
    <cellStyle name="표준 32 4 3 2 2" xfId="6913"/>
    <cellStyle name="표준 32 4 3 2 2 2" xfId="15922"/>
    <cellStyle name="표준 32 4 3 2 2 2 2" xfId="36798"/>
    <cellStyle name="표준 32 4 3 2 2 3" xfId="28060"/>
    <cellStyle name="표준 32 4 3 2 3" xfId="14104"/>
    <cellStyle name="표준 32 4 3 2 3 2" xfId="34980"/>
    <cellStyle name="표준 32 4 3 2 4" xfId="26242"/>
    <cellStyle name="표준 32 4 3 3" xfId="5766"/>
    <cellStyle name="표준 32 4 3 3 2" xfId="14775"/>
    <cellStyle name="표준 32 4 3 3 2 2" xfId="35651"/>
    <cellStyle name="표준 32 4 3 3 3" xfId="26913"/>
    <cellStyle name="표준 32 4 3 4" xfId="7559"/>
    <cellStyle name="표준 32 4 3 4 2" xfId="16566"/>
    <cellStyle name="표준 32 4 3 4 2 2" xfId="37442"/>
    <cellStyle name="표준 32 4 3 4 3" xfId="28704"/>
    <cellStyle name="표준 32 4 3 5" xfId="8203"/>
    <cellStyle name="표준 32 4 3 5 2" xfId="17209"/>
    <cellStyle name="표준 32 4 3 5 2 2" xfId="38085"/>
    <cellStyle name="표준 32 4 3 5 3" xfId="29347"/>
    <cellStyle name="표준 32 4 3 6" xfId="9051"/>
    <cellStyle name="표준 32 4 3 6 2" xfId="18056"/>
    <cellStyle name="표준 32 4 3 6 2 2" xfId="38932"/>
    <cellStyle name="표준 32 4 3 6 3" xfId="30194"/>
    <cellStyle name="표준 32 4 3 7" xfId="9876"/>
    <cellStyle name="표준 32 4 3 7 2" xfId="18874"/>
    <cellStyle name="표준 32 4 3 7 2 2" xfId="39750"/>
    <cellStyle name="표준 32 4 3 7 3" xfId="31012"/>
    <cellStyle name="표준 32 4 3 8" xfId="10931"/>
    <cellStyle name="표준 32 4 3 8 2" xfId="19702"/>
    <cellStyle name="표준 32 4 3 8 2 2" xfId="40578"/>
    <cellStyle name="표준 32 4 3 8 3" xfId="31842"/>
    <cellStyle name="표준 32 4 3 9" xfId="11797"/>
    <cellStyle name="표준 32 4 3 9 2" xfId="20563"/>
    <cellStyle name="표준 32 4 3 9 2 2" xfId="41439"/>
    <cellStyle name="표준 32 4 3 9 3" xfId="32703"/>
    <cellStyle name="표준 32 4 4" xfId="4652"/>
    <cellStyle name="표준 32 4 4 2" xfId="6486"/>
    <cellStyle name="표준 32 4 4 2 2" xfId="15495"/>
    <cellStyle name="표준 32 4 4 2 2 2" xfId="36371"/>
    <cellStyle name="표준 32 4 4 2 3" xfId="27633"/>
    <cellStyle name="표준 32 4 4 3" xfId="11149"/>
    <cellStyle name="표준 32 4 4 3 2" xfId="19919"/>
    <cellStyle name="표준 32 4 4 3 2 2" xfId="40795"/>
    <cellStyle name="표준 32 4 4 3 3" xfId="32059"/>
    <cellStyle name="표준 32 4 4 4" xfId="12014"/>
    <cellStyle name="표준 32 4 4 4 2" xfId="20780"/>
    <cellStyle name="표준 32 4 4 4 2 2" xfId="41656"/>
    <cellStyle name="표준 32 4 4 4 3" xfId="32920"/>
    <cellStyle name="표준 32 4 4 5" xfId="13677"/>
    <cellStyle name="표준 32 4 4 5 2" xfId="34553"/>
    <cellStyle name="표준 32 4 4 6" xfId="25815"/>
    <cellStyle name="표준 32 4 5" xfId="5329"/>
    <cellStyle name="표준 32 4 5 2" xfId="14338"/>
    <cellStyle name="표준 32 4 5 2 2" xfId="35214"/>
    <cellStyle name="표준 32 4 5 3" xfId="26476"/>
    <cellStyle name="표준 32 4 6" xfId="7131"/>
    <cellStyle name="표준 32 4 6 2" xfId="16139"/>
    <cellStyle name="표준 32 4 6 2 2" xfId="37015"/>
    <cellStyle name="표준 32 4 6 3" xfId="28277"/>
    <cellStyle name="표준 32 4 7" xfId="7776"/>
    <cellStyle name="표준 32 4 7 2" xfId="16782"/>
    <cellStyle name="표준 32 4 7 2 2" xfId="37658"/>
    <cellStyle name="표준 32 4 7 3" xfId="28920"/>
    <cellStyle name="표준 32 4 8" xfId="8624"/>
    <cellStyle name="표준 32 4 8 2" xfId="17629"/>
    <cellStyle name="표준 32 4 8 2 2" xfId="38505"/>
    <cellStyle name="표준 32 4 8 3" xfId="29767"/>
    <cellStyle name="표준 32 4 9" xfId="9448"/>
    <cellStyle name="표준 32 4 9 2" xfId="18447"/>
    <cellStyle name="표준 32 4 9 2 2" xfId="39323"/>
    <cellStyle name="표준 32 4 9 3" xfId="30585"/>
    <cellStyle name="표준 32 5" xfId="3045"/>
    <cellStyle name="표준 32 5 10" xfId="10505"/>
    <cellStyle name="표준 32 5 10 2" xfId="19276"/>
    <cellStyle name="표준 32 5 10 2 2" xfId="40152"/>
    <cellStyle name="표준 32 5 10 3" xfId="31416"/>
    <cellStyle name="표준 32 5 11" xfId="11371"/>
    <cellStyle name="표준 32 5 11 2" xfId="20137"/>
    <cellStyle name="표준 32 5 11 2 2" xfId="41013"/>
    <cellStyle name="표준 32 5 11 3" xfId="32277"/>
    <cellStyle name="표준 32 5 12" xfId="12520"/>
    <cellStyle name="표준 32 5 12 2" xfId="33397"/>
    <cellStyle name="표준 32 5 13" xfId="24647"/>
    <cellStyle name="표준 32 5 2" xfId="3262"/>
    <cellStyle name="표준 32 5 2 10" xfId="11581"/>
    <cellStyle name="표준 32 5 2 10 2" xfId="20347"/>
    <cellStyle name="표준 32 5 2 10 2 2" xfId="41223"/>
    <cellStyle name="표준 32 5 2 10 3" xfId="32487"/>
    <cellStyle name="표준 32 5 2 11" xfId="12730"/>
    <cellStyle name="표준 32 5 2 11 2" xfId="33607"/>
    <cellStyle name="표준 32 5 2 12" xfId="24857"/>
    <cellStyle name="표준 32 5 2 2" xfId="3704"/>
    <cellStyle name="표준 32 5 2 2 2" xfId="5977"/>
    <cellStyle name="표준 32 5 2 2 2 2" xfId="14986"/>
    <cellStyle name="표준 32 5 2 2 2 2 2" xfId="35862"/>
    <cellStyle name="표준 32 5 2 2 2 3" xfId="27124"/>
    <cellStyle name="표준 32 5 2 2 3" xfId="13167"/>
    <cellStyle name="표준 32 5 2 2 3 2" xfId="34044"/>
    <cellStyle name="표준 32 5 2 2 4" xfId="25294"/>
    <cellStyle name="표준 32 5 2 3" xfId="4865"/>
    <cellStyle name="표준 32 5 2 3 2" xfId="6697"/>
    <cellStyle name="표준 32 5 2 3 2 2" xfId="15706"/>
    <cellStyle name="표준 32 5 2 3 2 2 2" xfId="36582"/>
    <cellStyle name="표준 32 5 2 3 2 3" xfId="27844"/>
    <cellStyle name="표준 32 5 2 3 3" xfId="13888"/>
    <cellStyle name="표준 32 5 2 3 3 2" xfId="34764"/>
    <cellStyle name="표준 32 5 2 3 4" xfId="26026"/>
    <cellStyle name="표준 32 5 2 4" xfId="5540"/>
    <cellStyle name="표준 32 5 2 4 2" xfId="14549"/>
    <cellStyle name="표준 32 5 2 4 2 2" xfId="35425"/>
    <cellStyle name="표준 32 5 2 4 3" xfId="26687"/>
    <cellStyle name="표준 32 5 2 5" xfId="7343"/>
    <cellStyle name="표준 32 5 2 5 2" xfId="16350"/>
    <cellStyle name="표준 32 5 2 5 2 2" xfId="37226"/>
    <cellStyle name="표준 32 5 2 5 3" xfId="28488"/>
    <cellStyle name="표준 32 5 2 6" xfId="7987"/>
    <cellStyle name="표준 32 5 2 6 2" xfId="16993"/>
    <cellStyle name="표준 32 5 2 6 2 2" xfId="37869"/>
    <cellStyle name="표준 32 5 2 6 3" xfId="29131"/>
    <cellStyle name="표준 32 5 2 7" xfId="8835"/>
    <cellStyle name="표준 32 5 2 7 2" xfId="17840"/>
    <cellStyle name="표준 32 5 2 7 2 2" xfId="38716"/>
    <cellStyle name="표준 32 5 2 7 3" xfId="29978"/>
    <cellStyle name="표준 32 5 2 8" xfId="9660"/>
    <cellStyle name="표준 32 5 2 8 2" xfId="18658"/>
    <cellStyle name="표준 32 5 2 8 2 2" xfId="39534"/>
    <cellStyle name="표준 32 5 2 8 3" xfId="30796"/>
    <cellStyle name="표준 32 5 2 9" xfId="10715"/>
    <cellStyle name="표준 32 5 2 9 2" xfId="19486"/>
    <cellStyle name="표준 32 5 2 9 2 2" xfId="40362"/>
    <cellStyle name="표준 32 5 2 9 3" xfId="31626"/>
    <cellStyle name="표준 32 5 3" xfId="3494"/>
    <cellStyle name="표준 32 5 3 10" xfId="12957"/>
    <cellStyle name="표준 32 5 3 10 2" xfId="33834"/>
    <cellStyle name="표준 32 5 3 11" xfId="25084"/>
    <cellStyle name="표준 32 5 3 2" xfId="5088"/>
    <cellStyle name="표준 32 5 3 2 2" xfId="6914"/>
    <cellStyle name="표준 32 5 3 2 2 2" xfId="15923"/>
    <cellStyle name="표준 32 5 3 2 2 2 2" xfId="36799"/>
    <cellStyle name="표준 32 5 3 2 2 3" xfId="28061"/>
    <cellStyle name="표준 32 5 3 2 3" xfId="14105"/>
    <cellStyle name="표준 32 5 3 2 3 2" xfId="34981"/>
    <cellStyle name="표준 32 5 3 2 4" xfId="26243"/>
    <cellStyle name="표준 32 5 3 3" xfId="5767"/>
    <cellStyle name="표준 32 5 3 3 2" xfId="14776"/>
    <cellStyle name="표준 32 5 3 3 2 2" xfId="35652"/>
    <cellStyle name="표준 32 5 3 3 3" xfId="26914"/>
    <cellStyle name="표준 32 5 3 4" xfId="7560"/>
    <cellStyle name="표준 32 5 3 4 2" xfId="16567"/>
    <cellStyle name="표준 32 5 3 4 2 2" xfId="37443"/>
    <cellStyle name="표준 32 5 3 4 3" xfId="28705"/>
    <cellStyle name="표준 32 5 3 5" xfId="8204"/>
    <cellStyle name="표준 32 5 3 5 2" xfId="17210"/>
    <cellStyle name="표준 32 5 3 5 2 2" xfId="38086"/>
    <cellStyle name="표준 32 5 3 5 3" xfId="29348"/>
    <cellStyle name="표준 32 5 3 6" xfId="9052"/>
    <cellStyle name="표준 32 5 3 6 2" xfId="18057"/>
    <cellStyle name="표준 32 5 3 6 2 2" xfId="38933"/>
    <cellStyle name="표준 32 5 3 6 3" xfId="30195"/>
    <cellStyle name="표준 32 5 3 7" xfId="9877"/>
    <cellStyle name="표준 32 5 3 7 2" xfId="18875"/>
    <cellStyle name="표준 32 5 3 7 2 2" xfId="39751"/>
    <cellStyle name="표준 32 5 3 7 3" xfId="31013"/>
    <cellStyle name="표준 32 5 3 8" xfId="10932"/>
    <cellStyle name="표준 32 5 3 8 2" xfId="19703"/>
    <cellStyle name="표준 32 5 3 8 2 2" xfId="40579"/>
    <cellStyle name="표준 32 5 3 8 3" xfId="31843"/>
    <cellStyle name="표준 32 5 3 9" xfId="11798"/>
    <cellStyle name="표준 32 5 3 9 2" xfId="20564"/>
    <cellStyle name="표준 32 5 3 9 2 2" xfId="41440"/>
    <cellStyle name="표준 32 5 3 9 3" xfId="32704"/>
    <cellStyle name="표준 32 5 4" xfId="4653"/>
    <cellStyle name="표준 32 5 4 2" xfId="6487"/>
    <cellStyle name="표준 32 5 4 2 2" xfId="15496"/>
    <cellStyle name="표준 32 5 4 2 2 2" xfId="36372"/>
    <cellStyle name="표준 32 5 4 2 3" xfId="27634"/>
    <cellStyle name="표준 32 5 4 3" xfId="11150"/>
    <cellStyle name="표준 32 5 4 3 2" xfId="19920"/>
    <cellStyle name="표준 32 5 4 3 2 2" xfId="40796"/>
    <cellStyle name="표준 32 5 4 3 3" xfId="32060"/>
    <cellStyle name="표준 32 5 4 4" xfId="12015"/>
    <cellStyle name="표준 32 5 4 4 2" xfId="20781"/>
    <cellStyle name="표준 32 5 4 4 2 2" xfId="41657"/>
    <cellStyle name="표준 32 5 4 4 3" xfId="32921"/>
    <cellStyle name="표준 32 5 4 5" xfId="13678"/>
    <cellStyle name="표준 32 5 4 5 2" xfId="34554"/>
    <cellStyle name="표준 32 5 4 6" xfId="25816"/>
    <cellStyle name="표준 32 5 5" xfId="5330"/>
    <cellStyle name="표준 32 5 5 2" xfId="14339"/>
    <cellStyle name="표준 32 5 5 2 2" xfId="35215"/>
    <cellStyle name="표준 32 5 5 3" xfId="26477"/>
    <cellStyle name="표준 32 5 6" xfId="7132"/>
    <cellStyle name="표준 32 5 6 2" xfId="16140"/>
    <cellStyle name="표준 32 5 6 2 2" xfId="37016"/>
    <cellStyle name="표준 32 5 6 3" xfId="28278"/>
    <cellStyle name="표준 32 5 7" xfId="7777"/>
    <cellStyle name="표준 32 5 7 2" xfId="16783"/>
    <cellStyle name="표준 32 5 7 2 2" xfId="37659"/>
    <cellStyle name="표준 32 5 7 3" xfId="28921"/>
    <cellStyle name="표준 32 5 8" xfId="8625"/>
    <cellStyle name="표준 32 5 8 2" xfId="17630"/>
    <cellStyle name="표준 32 5 8 2 2" xfId="38506"/>
    <cellStyle name="표준 32 5 8 3" xfId="29768"/>
    <cellStyle name="표준 32 5 9" xfId="9449"/>
    <cellStyle name="표준 32 5 9 2" xfId="18448"/>
    <cellStyle name="표준 32 5 9 2 2" xfId="39324"/>
    <cellStyle name="표준 32 5 9 3" xfId="30586"/>
    <cellStyle name="표준 32 6" xfId="3046"/>
    <cellStyle name="표준 32 6 10" xfId="10506"/>
    <cellStyle name="표준 32 6 10 2" xfId="19277"/>
    <cellStyle name="표준 32 6 10 2 2" xfId="40153"/>
    <cellStyle name="표준 32 6 10 3" xfId="31417"/>
    <cellStyle name="표준 32 6 11" xfId="11372"/>
    <cellStyle name="표준 32 6 11 2" xfId="20138"/>
    <cellStyle name="표준 32 6 11 2 2" xfId="41014"/>
    <cellStyle name="표준 32 6 11 3" xfId="32278"/>
    <cellStyle name="표준 32 6 12" xfId="12521"/>
    <cellStyle name="표준 32 6 12 2" xfId="33398"/>
    <cellStyle name="표준 32 6 13" xfId="24648"/>
    <cellStyle name="표준 32 6 2" xfId="3263"/>
    <cellStyle name="표준 32 6 2 10" xfId="11582"/>
    <cellStyle name="표준 32 6 2 10 2" xfId="20348"/>
    <cellStyle name="표준 32 6 2 10 2 2" xfId="41224"/>
    <cellStyle name="표준 32 6 2 10 3" xfId="32488"/>
    <cellStyle name="표준 32 6 2 11" xfId="12731"/>
    <cellStyle name="표준 32 6 2 11 2" xfId="33608"/>
    <cellStyle name="표준 32 6 2 12" xfId="24858"/>
    <cellStyle name="표준 32 6 2 2" xfId="3705"/>
    <cellStyle name="표준 32 6 2 2 2" xfId="5978"/>
    <cellStyle name="표준 32 6 2 2 2 2" xfId="14987"/>
    <cellStyle name="표준 32 6 2 2 2 2 2" xfId="35863"/>
    <cellStyle name="표준 32 6 2 2 2 3" xfId="27125"/>
    <cellStyle name="표준 32 6 2 2 3" xfId="13168"/>
    <cellStyle name="표준 32 6 2 2 3 2" xfId="34045"/>
    <cellStyle name="표준 32 6 2 2 4" xfId="25295"/>
    <cellStyle name="표준 32 6 2 3" xfId="4866"/>
    <cellStyle name="표준 32 6 2 3 2" xfId="6698"/>
    <cellStyle name="표준 32 6 2 3 2 2" xfId="15707"/>
    <cellStyle name="표준 32 6 2 3 2 2 2" xfId="36583"/>
    <cellStyle name="표준 32 6 2 3 2 3" xfId="27845"/>
    <cellStyle name="표준 32 6 2 3 3" xfId="13889"/>
    <cellStyle name="표준 32 6 2 3 3 2" xfId="34765"/>
    <cellStyle name="표준 32 6 2 3 4" xfId="26027"/>
    <cellStyle name="표준 32 6 2 4" xfId="5541"/>
    <cellStyle name="표준 32 6 2 4 2" xfId="14550"/>
    <cellStyle name="표준 32 6 2 4 2 2" xfId="35426"/>
    <cellStyle name="표준 32 6 2 4 3" xfId="26688"/>
    <cellStyle name="표준 32 6 2 5" xfId="7344"/>
    <cellStyle name="표준 32 6 2 5 2" xfId="16351"/>
    <cellStyle name="표준 32 6 2 5 2 2" xfId="37227"/>
    <cellStyle name="표준 32 6 2 5 3" xfId="28489"/>
    <cellStyle name="표준 32 6 2 6" xfId="7988"/>
    <cellStyle name="표준 32 6 2 6 2" xfId="16994"/>
    <cellStyle name="표준 32 6 2 6 2 2" xfId="37870"/>
    <cellStyle name="표준 32 6 2 6 3" xfId="29132"/>
    <cellStyle name="표준 32 6 2 7" xfId="8836"/>
    <cellStyle name="표준 32 6 2 7 2" xfId="17841"/>
    <cellStyle name="표준 32 6 2 7 2 2" xfId="38717"/>
    <cellStyle name="표준 32 6 2 7 3" xfId="29979"/>
    <cellStyle name="표준 32 6 2 8" xfId="9661"/>
    <cellStyle name="표준 32 6 2 8 2" xfId="18659"/>
    <cellStyle name="표준 32 6 2 8 2 2" xfId="39535"/>
    <cellStyle name="표준 32 6 2 8 3" xfId="30797"/>
    <cellStyle name="표준 32 6 2 9" xfId="10716"/>
    <cellStyle name="표준 32 6 2 9 2" xfId="19487"/>
    <cellStyle name="표준 32 6 2 9 2 2" xfId="40363"/>
    <cellStyle name="표준 32 6 2 9 3" xfId="31627"/>
    <cellStyle name="표준 32 6 3" xfId="3495"/>
    <cellStyle name="표준 32 6 3 10" xfId="12958"/>
    <cellStyle name="표준 32 6 3 10 2" xfId="33835"/>
    <cellStyle name="표준 32 6 3 11" xfId="25085"/>
    <cellStyle name="표준 32 6 3 2" xfId="5089"/>
    <cellStyle name="표준 32 6 3 2 2" xfId="6915"/>
    <cellStyle name="표준 32 6 3 2 2 2" xfId="15924"/>
    <cellStyle name="표준 32 6 3 2 2 2 2" xfId="36800"/>
    <cellStyle name="표준 32 6 3 2 2 3" xfId="28062"/>
    <cellStyle name="표준 32 6 3 2 3" xfId="14106"/>
    <cellStyle name="표준 32 6 3 2 3 2" xfId="34982"/>
    <cellStyle name="표준 32 6 3 2 4" xfId="26244"/>
    <cellStyle name="표준 32 6 3 3" xfId="5768"/>
    <cellStyle name="표준 32 6 3 3 2" xfId="14777"/>
    <cellStyle name="표준 32 6 3 3 2 2" xfId="35653"/>
    <cellStyle name="표준 32 6 3 3 3" xfId="26915"/>
    <cellStyle name="표준 32 6 3 4" xfId="7561"/>
    <cellStyle name="표준 32 6 3 4 2" xfId="16568"/>
    <cellStyle name="표준 32 6 3 4 2 2" xfId="37444"/>
    <cellStyle name="표준 32 6 3 4 3" xfId="28706"/>
    <cellStyle name="표준 32 6 3 5" xfId="8205"/>
    <cellStyle name="표준 32 6 3 5 2" xfId="17211"/>
    <cellStyle name="표준 32 6 3 5 2 2" xfId="38087"/>
    <cellStyle name="표준 32 6 3 5 3" xfId="29349"/>
    <cellStyle name="표준 32 6 3 6" xfId="9053"/>
    <cellStyle name="표준 32 6 3 6 2" xfId="18058"/>
    <cellStyle name="표준 32 6 3 6 2 2" xfId="38934"/>
    <cellStyle name="표준 32 6 3 6 3" xfId="30196"/>
    <cellStyle name="표준 32 6 3 7" xfId="9878"/>
    <cellStyle name="표준 32 6 3 7 2" xfId="18876"/>
    <cellStyle name="표준 32 6 3 7 2 2" xfId="39752"/>
    <cellStyle name="표준 32 6 3 7 3" xfId="31014"/>
    <cellStyle name="표준 32 6 3 8" xfId="10933"/>
    <cellStyle name="표준 32 6 3 8 2" xfId="19704"/>
    <cellStyle name="표준 32 6 3 8 2 2" xfId="40580"/>
    <cellStyle name="표준 32 6 3 8 3" xfId="31844"/>
    <cellStyle name="표준 32 6 3 9" xfId="11799"/>
    <cellStyle name="표준 32 6 3 9 2" xfId="20565"/>
    <cellStyle name="표준 32 6 3 9 2 2" xfId="41441"/>
    <cellStyle name="표준 32 6 3 9 3" xfId="32705"/>
    <cellStyle name="표준 32 6 4" xfId="4654"/>
    <cellStyle name="표준 32 6 4 2" xfId="6488"/>
    <cellStyle name="표준 32 6 4 2 2" xfId="15497"/>
    <cellStyle name="표준 32 6 4 2 2 2" xfId="36373"/>
    <cellStyle name="표준 32 6 4 2 3" xfId="27635"/>
    <cellStyle name="표준 32 6 4 3" xfId="11151"/>
    <cellStyle name="표준 32 6 4 3 2" xfId="19921"/>
    <cellStyle name="표준 32 6 4 3 2 2" xfId="40797"/>
    <cellStyle name="표준 32 6 4 3 3" xfId="32061"/>
    <cellStyle name="표준 32 6 4 4" xfId="12016"/>
    <cellStyle name="표준 32 6 4 4 2" xfId="20782"/>
    <cellStyle name="표준 32 6 4 4 2 2" xfId="41658"/>
    <cellStyle name="표준 32 6 4 4 3" xfId="32922"/>
    <cellStyle name="표준 32 6 4 5" xfId="13679"/>
    <cellStyle name="표준 32 6 4 5 2" xfId="34555"/>
    <cellStyle name="표준 32 6 4 6" xfId="25817"/>
    <cellStyle name="표준 32 6 5" xfId="5331"/>
    <cellStyle name="표준 32 6 5 2" xfId="14340"/>
    <cellStyle name="표준 32 6 5 2 2" xfId="35216"/>
    <cellStyle name="표준 32 6 5 3" xfId="26478"/>
    <cellStyle name="표준 32 6 6" xfId="7133"/>
    <cellStyle name="표준 32 6 6 2" xfId="16141"/>
    <cellStyle name="표준 32 6 6 2 2" xfId="37017"/>
    <cellStyle name="표준 32 6 6 3" xfId="28279"/>
    <cellStyle name="표준 32 6 7" xfId="7778"/>
    <cellStyle name="표준 32 6 7 2" xfId="16784"/>
    <cellStyle name="표준 32 6 7 2 2" xfId="37660"/>
    <cellStyle name="표준 32 6 7 3" xfId="28922"/>
    <cellStyle name="표준 32 6 8" xfId="8626"/>
    <cellStyle name="표준 32 6 8 2" xfId="17631"/>
    <cellStyle name="표준 32 6 8 2 2" xfId="38507"/>
    <cellStyle name="표준 32 6 8 3" xfId="29769"/>
    <cellStyle name="표준 32 6 9" xfId="9450"/>
    <cellStyle name="표준 32 6 9 2" xfId="18449"/>
    <cellStyle name="표준 32 6 9 2 2" xfId="39325"/>
    <cellStyle name="표준 32 6 9 3" xfId="30587"/>
    <cellStyle name="표준 32 7" xfId="3047"/>
    <cellStyle name="표준 32 7 10" xfId="10507"/>
    <cellStyle name="표준 32 7 10 2" xfId="19278"/>
    <cellStyle name="표준 32 7 10 2 2" xfId="40154"/>
    <cellStyle name="표준 32 7 10 3" xfId="31418"/>
    <cellStyle name="표준 32 7 11" xfId="11373"/>
    <cellStyle name="표준 32 7 11 2" xfId="20139"/>
    <cellStyle name="표준 32 7 11 2 2" xfId="41015"/>
    <cellStyle name="표준 32 7 11 3" xfId="32279"/>
    <cellStyle name="표준 32 7 12" xfId="12522"/>
    <cellStyle name="표준 32 7 12 2" xfId="33399"/>
    <cellStyle name="표준 32 7 13" xfId="24649"/>
    <cellStyle name="표준 32 7 2" xfId="3264"/>
    <cellStyle name="표준 32 7 2 10" xfId="11583"/>
    <cellStyle name="표준 32 7 2 10 2" xfId="20349"/>
    <cellStyle name="표준 32 7 2 10 2 2" xfId="41225"/>
    <cellStyle name="표준 32 7 2 10 3" xfId="32489"/>
    <cellStyle name="표준 32 7 2 11" xfId="12732"/>
    <cellStyle name="표준 32 7 2 11 2" xfId="33609"/>
    <cellStyle name="표준 32 7 2 12" xfId="24859"/>
    <cellStyle name="표준 32 7 2 2" xfId="3706"/>
    <cellStyle name="표준 32 7 2 2 2" xfId="5979"/>
    <cellStyle name="표준 32 7 2 2 2 2" xfId="14988"/>
    <cellStyle name="표준 32 7 2 2 2 2 2" xfId="35864"/>
    <cellStyle name="표준 32 7 2 2 2 3" xfId="27126"/>
    <cellStyle name="표준 32 7 2 2 3" xfId="13169"/>
    <cellStyle name="표준 32 7 2 2 3 2" xfId="34046"/>
    <cellStyle name="표준 32 7 2 2 4" xfId="25296"/>
    <cellStyle name="표준 32 7 2 3" xfId="4867"/>
    <cellStyle name="표준 32 7 2 3 2" xfId="6699"/>
    <cellStyle name="표준 32 7 2 3 2 2" xfId="15708"/>
    <cellStyle name="표준 32 7 2 3 2 2 2" xfId="36584"/>
    <cellStyle name="표준 32 7 2 3 2 3" xfId="27846"/>
    <cellStyle name="표준 32 7 2 3 3" xfId="13890"/>
    <cellStyle name="표준 32 7 2 3 3 2" xfId="34766"/>
    <cellStyle name="표준 32 7 2 3 4" xfId="26028"/>
    <cellStyle name="표준 32 7 2 4" xfId="5542"/>
    <cellStyle name="표준 32 7 2 4 2" xfId="14551"/>
    <cellStyle name="표준 32 7 2 4 2 2" xfId="35427"/>
    <cellStyle name="표준 32 7 2 4 3" xfId="26689"/>
    <cellStyle name="표준 32 7 2 5" xfId="7345"/>
    <cellStyle name="표준 32 7 2 5 2" xfId="16352"/>
    <cellStyle name="표준 32 7 2 5 2 2" xfId="37228"/>
    <cellStyle name="표준 32 7 2 5 3" xfId="28490"/>
    <cellStyle name="표준 32 7 2 6" xfId="7989"/>
    <cellStyle name="표준 32 7 2 6 2" xfId="16995"/>
    <cellStyle name="표준 32 7 2 6 2 2" xfId="37871"/>
    <cellStyle name="표준 32 7 2 6 3" xfId="29133"/>
    <cellStyle name="표준 32 7 2 7" xfId="8837"/>
    <cellStyle name="표준 32 7 2 7 2" xfId="17842"/>
    <cellStyle name="표준 32 7 2 7 2 2" xfId="38718"/>
    <cellStyle name="표준 32 7 2 7 3" xfId="29980"/>
    <cellStyle name="표준 32 7 2 8" xfId="9662"/>
    <cellStyle name="표준 32 7 2 8 2" xfId="18660"/>
    <cellStyle name="표준 32 7 2 8 2 2" xfId="39536"/>
    <cellStyle name="표준 32 7 2 8 3" xfId="30798"/>
    <cellStyle name="표준 32 7 2 9" xfId="10717"/>
    <cellStyle name="표준 32 7 2 9 2" xfId="19488"/>
    <cellStyle name="표준 32 7 2 9 2 2" xfId="40364"/>
    <cellStyle name="표준 32 7 2 9 3" xfId="31628"/>
    <cellStyle name="표준 32 7 3" xfId="3496"/>
    <cellStyle name="표준 32 7 3 10" xfId="12959"/>
    <cellStyle name="표준 32 7 3 10 2" xfId="33836"/>
    <cellStyle name="표준 32 7 3 11" xfId="25086"/>
    <cellStyle name="표준 32 7 3 2" xfId="5090"/>
    <cellStyle name="표준 32 7 3 2 2" xfId="6916"/>
    <cellStyle name="표준 32 7 3 2 2 2" xfId="15925"/>
    <cellStyle name="표준 32 7 3 2 2 2 2" xfId="36801"/>
    <cellStyle name="표준 32 7 3 2 2 3" xfId="28063"/>
    <cellStyle name="표준 32 7 3 2 3" xfId="14107"/>
    <cellStyle name="표준 32 7 3 2 3 2" xfId="34983"/>
    <cellStyle name="표준 32 7 3 2 4" xfId="26245"/>
    <cellStyle name="표준 32 7 3 3" xfId="5769"/>
    <cellStyle name="표준 32 7 3 3 2" xfId="14778"/>
    <cellStyle name="표준 32 7 3 3 2 2" xfId="35654"/>
    <cellStyle name="표준 32 7 3 3 3" xfId="26916"/>
    <cellStyle name="표준 32 7 3 4" xfId="7562"/>
    <cellStyle name="표준 32 7 3 4 2" xfId="16569"/>
    <cellStyle name="표준 32 7 3 4 2 2" xfId="37445"/>
    <cellStyle name="표준 32 7 3 4 3" xfId="28707"/>
    <cellStyle name="표준 32 7 3 5" xfId="8206"/>
    <cellStyle name="표준 32 7 3 5 2" xfId="17212"/>
    <cellStyle name="표준 32 7 3 5 2 2" xfId="38088"/>
    <cellStyle name="표준 32 7 3 5 3" xfId="29350"/>
    <cellStyle name="표준 32 7 3 6" xfId="9054"/>
    <cellStyle name="표준 32 7 3 6 2" xfId="18059"/>
    <cellStyle name="표준 32 7 3 6 2 2" xfId="38935"/>
    <cellStyle name="표준 32 7 3 6 3" xfId="30197"/>
    <cellStyle name="표준 32 7 3 7" xfId="9879"/>
    <cellStyle name="표준 32 7 3 7 2" xfId="18877"/>
    <cellStyle name="표준 32 7 3 7 2 2" xfId="39753"/>
    <cellStyle name="표준 32 7 3 7 3" xfId="31015"/>
    <cellStyle name="표준 32 7 3 8" xfId="10934"/>
    <cellStyle name="표준 32 7 3 8 2" xfId="19705"/>
    <cellStyle name="표준 32 7 3 8 2 2" xfId="40581"/>
    <cellStyle name="표준 32 7 3 8 3" xfId="31845"/>
    <cellStyle name="표준 32 7 3 9" xfId="11800"/>
    <cellStyle name="표준 32 7 3 9 2" xfId="20566"/>
    <cellStyle name="표준 32 7 3 9 2 2" xfId="41442"/>
    <cellStyle name="표준 32 7 3 9 3" xfId="32706"/>
    <cellStyle name="표준 32 7 4" xfId="4655"/>
    <cellStyle name="표준 32 7 4 2" xfId="6489"/>
    <cellStyle name="표준 32 7 4 2 2" xfId="15498"/>
    <cellStyle name="표준 32 7 4 2 2 2" xfId="36374"/>
    <cellStyle name="표준 32 7 4 2 3" xfId="27636"/>
    <cellStyle name="표준 32 7 4 3" xfId="11152"/>
    <cellStyle name="표준 32 7 4 3 2" xfId="19922"/>
    <cellStyle name="표준 32 7 4 3 2 2" xfId="40798"/>
    <cellStyle name="표준 32 7 4 3 3" xfId="32062"/>
    <cellStyle name="표준 32 7 4 4" xfId="12017"/>
    <cellStyle name="표준 32 7 4 4 2" xfId="20783"/>
    <cellStyle name="표준 32 7 4 4 2 2" xfId="41659"/>
    <cellStyle name="표준 32 7 4 4 3" xfId="32923"/>
    <cellStyle name="표준 32 7 4 5" xfId="13680"/>
    <cellStyle name="표준 32 7 4 5 2" xfId="34556"/>
    <cellStyle name="표준 32 7 4 6" xfId="25818"/>
    <cellStyle name="표준 32 7 5" xfId="5332"/>
    <cellStyle name="표준 32 7 5 2" xfId="14341"/>
    <cellStyle name="표준 32 7 5 2 2" xfId="35217"/>
    <cellStyle name="표준 32 7 5 3" xfId="26479"/>
    <cellStyle name="표준 32 7 6" xfId="7134"/>
    <cellStyle name="표준 32 7 6 2" xfId="16142"/>
    <cellStyle name="표준 32 7 6 2 2" xfId="37018"/>
    <cellStyle name="표준 32 7 6 3" xfId="28280"/>
    <cellStyle name="표준 32 7 7" xfId="7779"/>
    <cellStyle name="표준 32 7 7 2" xfId="16785"/>
    <cellStyle name="표준 32 7 7 2 2" xfId="37661"/>
    <cellStyle name="표준 32 7 7 3" xfId="28923"/>
    <cellStyle name="표준 32 7 8" xfId="8627"/>
    <cellStyle name="표준 32 7 8 2" xfId="17632"/>
    <cellStyle name="표준 32 7 8 2 2" xfId="38508"/>
    <cellStyle name="표준 32 7 8 3" xfId="29770"/>
    <cellStyle name="표준 32 7 9" xfId="9451"/>
    <cellStyle name="표준 32 7 9 2" xfId="18450"/>
    <cellStyle name="표준 32 7 9 2 2" xfId="39326"/>
    <cellStyle name="표준 32 7 9 3" xfId="30588"/>
    <cellStyle name="표준 32 8" xfId="3258"/>
    <cellStyle name="표준 32 8 10" xfId="11577"/>
    <cellStyle name="표준 32 8 10 2" xfId="20343"/>
    <cellStyle name="표준 32 8 10 2 2" xfId="41219"/>
    <cellStyle name="표준 32 8 10 3" xfId="32483"/>
    <cellStyle name="표준 32 8 11" xfId="12726"/>
    <cellStyle name="표준 32 8 11 2" xfId="33603"/>
    <cellStyle name="표준 32 8 12" xfId="24853"/>
    <cellStyle name="표준 32 8 2" xfId="3700"/>
    <cellStyle name="표준 32 8 2 2" xfId="5973"/>
    <cellStyle name="표준 32 8 2 2 2" xfId="14982"/>
    <cellStyle name="표준 32 8 2 2 2 2" xfId="35858"/>
    <cellStyle name="표준 32 8 2 2 3" xfId="27120"/>
    <cellStyle name="표준 32 8 2 3" xfId="13163"/>
    <cellStyle name="표준 32 8 2 3 2" xfId="34040"/>
    <cellStyle name="표준 32 8 2 4" xfId="25290"/>
    <cellStyle name="표준 32 8 3" xfId="4861"/>
    <cellStyle name="표준 32 8 3 2" xfId="6693"/>
    <cellStyle name="표준 32 8 3 2 2" xfId="15702"/>
    <cellStyle name="표준 32 8 3 2 2 2" xfId="36578"/>
    <cellStyle name="표준 32 8 3 2 3" xfId="27840"/>
    <cellStyle name="표준 32 8 3 3" xfId="13884"/>
    <cellStyle name="표준 32 8 3 3 2" xfId="34760"/>
    <cellStyle name="표준 32 8 3 4" xfId="26022"/>
    <cellStyle name="표준 32 8 4" xfId="5536"/>
    <cellStyle name="표준 32 8 4 2" xfId="14545"/>
    <cellStyle name="표준 32 8 4 2 2" xfId="35421"/>
    <cellStyle name="표준 32 8 4 3" xfId="26683"/>
    <cellStyle name="표준 32 8 5" xfId="7339"/>
    <cellStyle name="표준 32 8 5 2" xfId="16346"/>
    <cellStyle name="표준 32 8 5 2 2" xfId="37222"/>
    <cellStyle name="표준 32 8 5 3" xfId="28484"/>
    <cellStyle name="표준 32 8 6" xfId="7983"/>
    <cellStyle name="표준 32 8 6 2" xfId="16989"/>
    <cellStyle name="표준 32 8 6 2 2" xfId="37865"/>
    <cellStyle name="표준 32 8 6 3" xfId="29127"/>
    <cellStyle name="표준 32 8 7" xfId="8831"/>
    <cellStyle name="표준 32 8 7 2" xfId="17836"/>
    <cellStyle name="표준 32 8 7 2 2" xfId="38712"/>
    <cellStyle name="표준 32 8 7 3" xfId="29974"/>
    <cellStyle name="표준 32 8 8" xfId="9656"/>
    <cellStyle name="표준 32 8 8 2" xfId="18654"/>
    <cellStyle name="표준 32 8 8 2 2" xfId="39530"/>
    <cellStyle name="표준 32 8 8 3" xfId="30792"/>
    <cellStyle name="표준 32 8 9" xfId="10711"/>
    <cellStyle name="표준 32 8 9 2" xfId="19482"/>
    <cellStyle name="표준 32 8 9 2 2" xfId="40358"/>
    <cellStyle name="표준 32 8 9 3" xfId="31622"/>
    <cellStyle name="표준 32 9" xfId="3490"/>
    <cellStyle name="표준 32 9 10" xfId="12953"/>
    <cellStyle name="표준 32 9 10 2" xfId="33830"/>
    <cellStyle name="표준 32 9 11" xfId="25080"/>
    <cellStyle name="표준 32 9 2" xfId="5084"/>
    <cellStyle name="표준 32 9 2 2" xfId="6910"/>
    <cellStyle name="표준 32 9 2 2 2" xfId="15919"/>
    <cellStyle name="표준 32 9 2 2 2 2" xfId="36795"/>
    <cellStyle name="표준 32 9 2 2 3" xfId="28057"/>
    <cellStyle name="표준 32 9 2 3" xfId="14101"/>
    <cellStyle name="표준 32 9 2 3 2" xfId="34977"/>
    <cellStyle name="표준 32 9 2 4" xfId="26239"/>
    <cellStyle name="표준 32 9 3" xfId="5763"/>
    <cellStyle name="표준 32 9 3 2" xfId="14772"/>
    <cellStyle name="표준 32 9 3 2 2" xfId="35648"/>
    <cellStyle name="표준 32 9 3 3" xfId="26910"/>
    <cellStyle name="표준 32 9 4" xfId="7556"/>
    <cellStyle name="표준 32 9 4 2" xfId="16563"/>
    <cellStyle name="표준 32 9 4 2 2" xfId="37439"/>
    <cellStyle name="표준 32 9 4 3" xfId="28701"/>
    <cellStyle name="표준 32 9 5" xfId="8200"/>
    <cellStyle name="표준 32 9 5 2" xfId="17206"/>
    <cellStyle name="표준 32 9 5 2 2" xfId="38082"/>
    <cellStyle name="표준 32 9 5 3" xfId="29344"/>
    <cellStyle name="표준 32 9 6" xfId="9048"/>
    <cellStyle name="표준 32 9 6 2" xfId="18053"/>
    <cellStyle name="표준 32 9 6 2 2" xfId="38929"/>
    <cellStyle name="표준 32 9 6 3" xfId="30191"/>
    <cellStyle name="표준 32 9 7" xfId="9873"/>
    <cellStyle name="표준 32 9 7 2" xfId="18871"/>
    <cellStyle name="표준 32 9 7 2 2" xfId="39747"/>
    <cellStyle name="표준 32 9 7 3" xfId="31009"/>
    <cellStyle name="표준 32 9 8" xfId="10928"/>
    <cellStyle name="표준 32 9 8 2" xfId="19699"/>
    <cellStyle name="표준 32 9 8 2 2" xfId="40575"/>
    <cellStyle name="표준 32 9 8 3" xfId="31839"/>
    <cellStyle name="표준 32 9 9" xfId="11794"/>
    <cellStyle name="표준 32 9 9 2" xfId="20560"/>
    <cellStyle name="표준 32 9 9 2 2" xfId="41436"/>
    <cellStyle name="표준 32 9 9 3" xfId="32700"/>
    <cellStyle name="표준 33" xfId="3048"/>
    <cellStyle name="표준 33 2" xfId="3265"/>
    <cellStyle name="표준 33 2 10" xfId="11584"/>
    <cellStyle name="표준 33 2 10 2" xfId="20350"/>
    <cellStyle name="표준 33 2 10 2 2" xfId="41226"/>
    <cellStyle name="표준 33 2 10 3" xfId="32490"/>
    <cellStyle name="표준 33 2 11" xfId="12733"/>
    <cellStyle name="표준 33 2 11 2" xfId="33610"/>
    <cellStyle name="표준 33 2 12" xfId="24860"/>
    <cellStyle name="표준 33 2 2" xfId="3707"/>
    <cellStyle name="표준 33 2 2 2" xfId="5980"/>
    <cellStyle name="표준 33 2 2 2 2" xfId="14989"/>
    <cellStyle name="표준 33 2 2 2 2 2" xfId="35865"/>
    <cellStyle name="표준 33 2 2 2 3" xfId="27127"/>
    <cellStyle name="표준 33 2 2 3" xfId="13170"/>
    <cellStyle name="표준 33 2 2 3 2" xfId="34047"/>
    <cellStyle name="표준 33 2 2 4" xfId="25297"/>
    <cellStyle name="표준 33 2 3" xfId="4868"/>
    <cellStyle name="표준 33 2 3 2" xfId="6700"/>
    <cellStyle name="표준 33 2 3 2 2" xfId="15709"/>
    <cellStyle name="표준 33 2 3 2 2 2" xfId="36585"/>
    <cellStyle name="표준 33 2 3 2 3" xfId="27847"/>
    <cellStyle name="표준 33 2 3 3" xfId="13891"/>
    <cellStyle name="표준 33 2 3 3 2" xfId="34767"/>
    <cellStyle name="표준 33 2 3 4" xfId="26029"/>
    <cellStyle name="표준 33 2 4" xfId="5543"/>
    <cellStyle name="표준 33 2 4 2" xfId="14552"/>
    <cellStyle name="표준 33 2 4 2 2" xfId="35428"/>
    <cellStyle name="표준 33 2 4 3" xfId="26690"/>
    <cellStyle name="표준 33 2 5" xfId="7346"/>
    <cellStyle name="표준 33 2 5 2" xfId="16353"/>
    <cellStyle name="표준 33 2 5 2 2" xfId="37229"/>
    <cellStyle name="표준 33 2 5 3" xfId="28491"/>
    <cellStyle name="표준 33 2 6" xfId="7990"/>
    <cellStyle name="표준 33 2 6 2" xfId="16996"/>
    <cellStyle name="표준 33 2 6 2 2" xfId="37872"/>
    <cellStyle name="표준 33 2 6 3" xfId="29134"/>
    <cellStyle name="표준 33 2 7" xfId="8838"/>
    <cellStyle name="표준 33 2 7 2" xfId="17843"/>
    <cellStyle name="표준 33 2 7 2 2" xfId="38719"/>
    <cellStyle name="표준 33 2 7 3" xfId="29981"/>
    <cellStyle name="표준 33 2 8" xfId="9663"/>
    <cellStyle name="표준 33 2 8 2" xfId="18661"/>
    <cellStyle name="표준 33 2 8 2 2" xfId="39537"/>
    <cellStyle name="표준 33 2 8 3" xfId="30799"/>
    <cellStyle name="표준 33 2 9" xfId="10718"/>
    <cellStyle name="표준 33 2 9 2" xfId="19489"/>
    <cellStyle name="표준 33 2 9 2 2" xfId="40365"/>
    <cellStyle name="표준 33 2 9 3" xfId="31629"/>
    <cellStyle name="표준 33 3" xfId="5091"/>
    <cellStyle name="표준 33 3 10" xfId="26246"/>
    <cellStyle name="표준 33 3 2" xfId="6917"/>
    <cellStyle name="표준 33 3 2 2" xfId="15926"/>
    <cellStyle name="표준 33 3 2 2 2" xfId="36802"/>
    <cellStyle name="표준 33 3 2 3" xfId="28064"/>
    <cellStyle name="표준 33 3 3" xfId="7563"/>
    <cellStyle name="표준 33 3 3 2" xfId="16570"/>
    <cellStyle name="표준 33 3 3 2 2" xfId="37446"/>
    <cellStyle name="표준 33 3 3 3" xfId="28708"/>
    <cellStyle name="표준 33 3 4" xfId="8207"/>
    <cellStyle name="표준 33 3 4 2" xfId="17213"/>
    <cellStyle name="표준 33 3 4 2 2" xfId="38089"/>
    <cellStyle name="표준 33 3 4 3" xfId="29351"/>
    <cellStyle name="표준 33 3 5" xfId="9055"/>
    <cellStyle name="표준 33 3 5 2" xfId="18060"/>
    <cellStyle name="표준 33 3 5 2 2" xfId="38936"/>
    <cellStyle name="표준 33 3 5 3" xfId="30198"/>
    <cellStyle name="표준 33 3 6" xfId="9880"/>
    <cellStyle name="표준 33 3 6 2" xfId="18878"/>
    <cellStyle name="표준 33 3 6 2 2" xfId="39754"/>
    <cellStyle name="표준 33 3 6 3" xfId="31016"/>
    <cellStyle name="표준 33 3 7" xfId="10935"/>
    <cellStyle name="표준 33 3 7 2" xfId="19706"/>
    <cellStyle name="표준 33 3 7 2 2" xfId="40582"/>
    <cellStyle name="표준 33 3 7 3" xfId="31846"/>
    <cellStyle name="표준 33 3 8" xfId="11801"/>
    <cellStyle name="표준 33 3 8 2" xfId="20567"/>
    <cellStyle name="표준 33 3 8 2 2" xfId="41443"/>
    <cellStyle name="표준 33 3 8 3" xfId="32707"/>
    <cellStyle name="표준 33 3 9" xfId="14108"/>
    <cellStyle name="표준 33 3 9 2" xfId="34984"/>
    <cellStyle name="표준 33 4" xfId="11153"/>
    <cellStyle name="표준 33 4 2" xfId="12018"/>
    <cellStyle name="표준 33 4 2 2" xfId="20784"/>
    <cellStyle name="표준 33 4 2 2 2" xfId="41660"/>
    <cellStyle name="표준 33 4 2 3" xfId="32924"/>
    <cellStyle name="표준 33 4 3" xfId="19923"/>
    <cellStyle name="표준 33 4 3 2" xfId="40799"/>
    <cellStyle name="표준 33 4 4" xfId="32063"/>
    <cellStyle name="표준 34" xfId="3266"/>
    <cellStyle name="표준 34 10" xfId="11585"/>
    <cellStyle name="표준 34 10 2" xfId="20351"/>
    <cellStyle name="표준 34 10 2 2" xfId="41227"/>
    <cellStyle name="표준 34 10 3" xfId="32491"/>
    <cellStyle name="표준 34 11" xfId="12734"/>
    <cellStyle name="표준 34 11 2" xfId="33611"/>
    <cellStyle name="표준 34 12" xfId="24861"/>
    <cellStyle name="표준 34 2" xfId="3708"/>
    <cellStyle name="표준 34 2 10" xfId="13171"/>
    <cellStyle name="표준 34 2 10 2" xfId="34048"/>
    <cellStyle name="표준 34 2 11" xfId="25298"/>
    <cellStyle name="표준 34 2 2" xfId="5092"/>
    <cellStyle name="표준 34 2 2 2" xfId="6918"/>
    <cellStyle name="표준 34 2 2 2 2" xfId="15927"/>
    <cellStyle name="표준 34 2 2 2 2 2" xfId="36803"/>
    <cellStyle name="표준 34 2 2 2 3" xfId="28065"/>
    <cellStyle name="표준 34 2 2 3" xfId="14109"/>
    <cellStyle name="표준 34 2 2 3 2" xfId="34985"/>
    <cellStyle name="표준 34 2 2 4" xfId="26247"/>
    <cellStyle name="표준 34 2 3" xfId="5981"/>
    <cellStyle name="표준 34 2 3 2" xfId="14990"/>
    <cellStyle name="표준 34 2 3 2 2" xfId="35866"/>
    <cellStyle name="표준 34 2 3 3" xfId="27128"/>
    <cellStyle name="표준 34 2 4" xfId="7564"/>
    <cellStyle name="표준 34 2 4 2" xfId="16571"/>
    <cellStyle name="표준 34 2 4 2 2" xfId="37447"/>
    <cellStyle name="표준 34 2 4 3" xfId="28709"/>
    <cellStyle name="표준 34 2 5" xfId="8208"/>
    <cellStyle name="표준 34 2 5 2" xfId="17214"/>
    <cellStyle name="표준 34 2 5 2 2" xfId="38090"/>
    <cellStyle name="표준 34 2 5 3" xfId="29352"/>
    <cellStyle name="표준 34 2 6" xfId="9056"/>
    <cellStyle name="표준 34 2 6 2" xfId="18061"/>
    <cellStyle name="표준 34 2 6 2 2" xfId="38937"/>
    <cellStyle name="표준 34 2 6 3" xfId="30199"/>
    <cellStyle name="표준 34 2 7" xfId="9881"/>
    <cellStyle name="표준 34 2 7 2" xfId="18879"/>
    <cellStyle name="표준 34 2 7 2 2" xfId="39755"/>
    <cellStyle name="표준 34 2 7 3" xfId="31017"/>
    <cellStyle name="표준 34 2 8" xfId="10936"/>
    <cellStyle name="표준 34 2 8 2" xfId="19707"/>
    <cellStyle name="표준 34 2 8 2 2" xfId="40583"/>
    <cellStyle name="표준 34 2 8 3" xfId="31847"/>
    <cellStyle name="표준 34 2 9" xfId="11802"/>
    <cellStyle name="표준 34 2 9 2" xfId="20568"/>
    <cellStyle name="표준 34 2 9 2 2" xfId="41444"/>
    <cellStyle name="표준 34 2 9 3" xfId="32708"/>
    <cellStyle name="표준 34 3" xfId="4869"/>
    <cellStyle name="표준 34 3 2" xfId="6701"/>
    <cellStyle name="표준 34 3 2 2" xfId="15710"/>
    <cellStyle name="표준 34 3 2 2 2" xfId="36586"/>
    <cellStyle name="표준 34 3 2 3" xfId="27848"/>
    <cellStyle name="표준 34 3 3" xfId="11154"/>
    <cellStyle name="표준 34 3 3 2" xfId="19924"/>
    <cellStyle name="표준 34 3 3 2 2" xfId="40800"/>
    <cellStyle name="표준 34 3 3 3" xfId="32064"/>
    <cellStyle name="표준 34 3 4" xfId="12019"/>
    <cellStyle name="표준 34 3 4 2" xfId="20785"/>
    <cellStyle name="표준 34 3 4 2 2" xfId="41661"/>
    <cellStyle name="표준 34 3 4 3" xfId="32925"/>
    <cellStyle name="표준 34 3 5" xfId="13892"/>
    <cellStyle name="표준 34 3 5 2" xfId="34768"/>
    <cellStyle name="표준 34 3 6" xfId="26030"/>
    <cellStyle name="표준 34 4" xfId="5544"/>
    <cellStyle name="표준 34 4 2" xfId="14553"/>
    <cellStyle name="표준 34 4 2 2" xfId="35429"/>
    <cellStyle name="표준 34 4 3" xfId="26691"/>
    <cellStyle name="표준 34 5" xfId="7347"/>
    <cellStyle name="표준 34 5 2" xfId="16354"/>
    <cellStyle name="표준 34 5 2 2" xfId="37230"/>
    <cellStyle name="표준 34 5 3" xfId="28492"/>
    <cellStyle name="표준 34 6" xfId="7991"/>
    <cellStyle name="표준 34 6 2" xfId="16997"/>
    <cellStyle name="표준 34 6 2 2" xfId="37873"/>
    <cellStyle name="표준 34 6 3" xfId="29135"/>
    <cellStyle name="표준 34 7" xfId="8839"/>
    <cellStyle name="표준 34 7 2" xfId="17844"/>
    <cellStyle name="표준 34 7 2 2" xfId="38720"/>
    <cellStyle name="표준 34 7 3" xfId="29982"/>
    <cellStyle name="표준 34 8" xfId="9664"/>
    <cellStyle name="표준 34 8 2" xfId="18662"/>
    <cellStyle name="표준 34 8 2 2" xfId="39538"/>
    <cellStyle name="표준 34 8 3" xfId="30800"/>
    <cellStyle name="표준 34 9" xfId="10719"/>
    <cellStyle name="표준 34 9 2" xfId="19490"/>
    <cellStyle name="표준 34 9 2 2" xfId="40366"/>
    <cellStyle name="표준 34 9 3" xfId="31630"/>
    <cellStyle name="표준 35" xfId="3049"/>
    <cellStyle name="표준 35 10" xfId="10508"/>
    <cellStyle name="표준 35 10 2" xfId="19279"/>
    <cellStyle name="표준 35 10 2 2" xfId="40155"/>
    <cellStyle name="표준 35 10 3" xfId="31419"/>
    <cellStyle name="표준 35 11" xfId="11374"/>
    <cellStyle name="표준 35 11 2" xfId="20140"/>
    <cellStyle name="표준 35 11 2 2" xfId="41016"/>
    <cellStyle name="표준 35 11 3" xfId="32280"/>
    <cellStyle name="표준 35 12" xfId="12523"/>
    <cellStyle name="표준 35 12 2" xfId="33400"/>
    <cellStyle name="표준 35 13" xfId="24650"/>
    <cellStyle name="표준 35 2" xfId="3267"/>
    <cellStyle name="표준 35 2 10" xfId="11586"/>
    <cellStyle name="표준 35 2 10 2" xfId="20352"/>
    <cellStyle name="표준 35 2 10 2 2" xfId="41228"/>
    <cellStyle name="표준 35 2 10 3" xfId="32492"/>
    <cellStyle name="표준 35 2 11" xfId="12735"/>
    <cellStyle name="표준 35 2 11 2" xfId="33612"/>
    <cellStyle name="표준 35 2 12" xfId="24862"/>
    <cellStyle name="표준 35 2 2" xfId="3709"/>
    <cellStyle name="표준 35 2 2 2" xfId="5982"/>
    <cellStyle name="표준 35 2 2 2 2" xfId="14991"/>
    <cellStyle name="표준 35 2 2 2 2 2" xfId="35867"/>
    <cellStyle name="표준 35 2 2 2 3" xfId="27129"/>
    <cellStyle name="표준 35 2 2 3" xfId="13172"/>
    <cellStyle name="표준 35 2 2 3 2" xfId="34049"/>
    <cellStyle name="표준 35 2 2 4" xfId="25299"/>
    <cellStyle name="표준 35 2 3" xfId="4870"/>
    <cellStyle name="표준 35 2 3 2" xfId="6702"/>
    <cellStyle name="표준 35 2 3 2 2" xfId="15711"/>
    <cellStyle name="표준 35 2 3 2 2 2" xfId="36587"/>
    <cellStyle name="표준 35 2 3 2 3" xfId="27849"/>
    <cellStyle name="표준 35 2 3 3" xfId="13893"/>
    <cellStyle name="표준 35 2 3 3 2" xfId="34769"/>
    <cellStyle name="표준 35 2 3 4" xfId="26031"/>
    <cellStyle name="표준 35 2 4" xfId="5545"/>
    <cellStyle name="표준 35 2 4 2" xfId="14554"/>
    <cellStyle name="표준 35 2 4 2 2" xfId="35430"/>
    <cellStyle name="표준 35 2 4 3" xfId="26692"/>
    <cellStyle name="표준 35 2 5" xfId="7348"/>
    <cellStyle name="표준 35 2 5 2" xfId="16355"/>
    <cellStyle name="표준 35 2 5 2 2" xfId="37231"/>
    <cellStyle name="표준 35 2 5 3" xfId="28493"/>
    <cellStyle name="표준 35 2 6" xfId="7992"/>
    <cellStyle name="표준 35 2 6 2" xfId="16998"/>
    <cellStyle name="표준 35 2 6 2 2" xfId="37874"/>
    <cellStyle name="표준 35 2 6 3" xfId="29136"/>
    <cellStyle name="표준 35 2 7" xfId="8840"/>
    <cellStyle name="표준 35 2 7 2" xfId="17845"/>
    <cellStyle name="표준 35 2 7 2 2" xfId="38721"/>
    <cellStyle name="표준 35 2 7 3" xfId="29983"/>
    <cellStyle name="표준 35 2 8" xfId="9665"/>
    <cellStyle name="표준 35 2 8 2" xfId="18663"/>
    <cellStyle name="표준 35 2 8 2 2" xfId="39539"/>
    <cellStyle name="표준 35 2 8 3" xfId="30801"/>
    <cellStyle name="표준 35 2 9" xfId="10720"/>
    <cellStyle name="표준 35 2 9 2" xfId="19491"/>
    <cellStyle name="표준 35 2 9 2 2" xfId="40367"/>
    <cellStyle name="표준 35 2 9 3" xfId="31631"/>
    <cellStyle name="표준 35 3" xfId="3497"/>
    <cellStyle name="표준 35 3 10" xfId="12960"/>
    <cellStyle name="표준 35 3 10 2" xfId="33837"/>
    <cellStyle name="표준 35 3 11" xfId="25087"/>
    <cellStyle name="표준 35 3 2" xfId="5093"/>
    <cellStyle name="표준 35 3 2 2" xfId="6919"/>
    <cellStyle name="표준 35 3 2 2 2" xfId="15928"/>
    <cellStyle name="표준 35 3 2 2 2 2" xfId="36804"/>
    <cellStyle name="표준 35 3 2 2 3" xfId="28066"/>
    <cellStyle name="표준 35 3 2 3" xfId="14110"/>
    <cellStyle name="표준 35 3 2 3 2" xfId="34986"/>
    <cellStyle name="표준 35 3 2 4" xfId="26248"/>
    <cellStyle name="표준 35 3 3" xfId="5770"/>
    <cellStyle name="표준 35 3 3 2" xfId="14779"/>
    <cellStyle name="표준 35 3 3 2 2" xfId="35655"/>
    <cellStyle name="표준 35 3 3 3" xfId="26917"/>
    <cellStyle name="표준 35 3 4" xfId="7565"/>
    <cellStyle name="표준 35 3 4 2" xfId="16572"/>
    <cellStyle name="표준 35 3 4 2 2" xfId="37448"/>
    <cellStyle name="표준 35 3 4 3" xfId="28710"/>
    <cellStyle name="표준 35 3 5" xfId="8209"/>
    <cellStyle name="표준 35 3 5 2" xfId="17215"/>
    <cellStyle name="표준 35 3 5 2 2" xfId="38091"/>
    <cellStyle name="표준 35 3 5 3" xfId="29353"/>
    <cellStyle name="표준 35 3 6" xfId="9057"/>
    <cellStyle name="표준 35 3 6 2" xfId="18062"/>
    <cellStyle name="표준 35 3 6 2 2" xfId="38938"/>
    <cellStyle name="표준 35 3 6 3" xfId="30200"/>
    <cellStyle name="표준 35 3 7" xfId="9882"/>
    <cellStyle name="표준 35 3 7 2" xfId="18880"/>
    <cellStyle name="표준 35 3 7 2 2" xfId="39756"/>
    <cellStyle name="표준 35 3 7 3" xfId="31018"/>
    <cellStyle name="표준 35 3 8" xfId="10937"/>
    <cellStyle name="표준 35 3 8 2" xfId="19708"/>
    <cellStyle name="표준 35 3 8 2 2" xfId="40584"/>
    <cellStyle name="표준 35 3 8 3" xfId="31848"/>
    <cellStyle name="표준 35 3 9" xfId="11803"/>
    <cellStyle name="표준 35 3 9 2" xfId="20569"/>
    <cellStyle name="표준 35 3 9 2 2" xfId="41445"/>
    <cellStyle name="표준 35 3 9 3" xfId="32709"/>
    <cellStyle name="표준 35 4" xfId="4656"/>
    <cellStyle name="표준 35 4 2" xfId="6490"/>
    <cellStyle name="표준 35 4 2 2" xfId="15499"/>
    <cellStyle name="표준 35 4 2 2 2" xfId="36375"/>
    <cellStyle name="표준 35 4 2 3" xfId="27637"/>
    <cellStyle name="표준 35 4 3" xfId="11155"/>
    <cellStyle name="표준 35 4 3 2" xfId="19925"/>
    <cellStyle name="표준 35 4 3 2 2" xfId="40801"/>
    <cellStyle name="표준 35 4 3 3" xfId="32065"/>
    <cellStyle name="표준 35 4 4" xfId="12020"/>
    <cellStyle name="표준 35 4 4 2" xfId="20786"/>
    <cellStyle name="표준 35 4 4 2 2" xfId="41662"/>
    <cellStyle name="표준 35 4 4 3" xfId="32926"/>
    <cellStyle name="표준 35 4 5" xfId="13681"/>
    <cellStyle name="표준 35 4 5 2" xfId="34557"/>
    <cellStyle name="표준 35 4 6" xfId="25819"/>
    <cellStyle name="표준 35 5" xfId="5333"/>
    <cellStyle name="표준 35 5 2" xfId="14342"/>
    <cellStyle name="표준 35 5 2 2" xfId="35218"/>
    <cellStyle name="표준 35 5 3" xfId="26480"/>
    <cellStyle name="표준 35 6" xfId="7135"/>
    <cellStyle name="표준 35 6 2" xfId="16143"/>
    <cellStyle name="표준 35 6 2 2" xfId="37019"/>
    <cellStyle name="표준 35 6 3" xfId="28281"/>
    <cellStyle name="표준 35 7" xfId="7780"/>
    <cellStyle name="표준 35 7 2" xfId="16786"/>
    <cellStyle name="표준 35 7 2 2" xfId="37662"/>
    <cellStyle name="표준 35 7 3" xfId="28924"/>
    <cellStyle name="표준 35 8" xfId="8628"/>
    <cellStyle name="표준 35 8 2" xfId="17633"/>
    <cellStyle name="표준 35 8 2 2" xfId="38509"/>
    <cellStyle name="표준 35 8 3" xfId="29771"/>
    <cellStyle name="표준 35 9" xfId="9452"/>
    <cellStyle name="표준 35 9 2" xfId="18451"/>
    <cellStyle name="표준 35 9 2 2" xfId="39327"/>
    <cellStyle name="표준 35 9 3" xfId="30589"/>
    <cellStyle name="표준 36" xfId="3268"/>
    <cellStyle name="표준 36 10" xfId="11587"/>
    <cellStyle name="표준 36 10 2" xfId="20353"/>
    <cellStyle name="표준 36 10 2 2" xfId="41229"/>
    <cellStyle name="표준 36 10 3" xfId="32493"/>
    <cellStyle name="표준 36 11" xfId="12736"/>
    <cellStyle name="표준 36 11 2" xfId="33613"/>
    <cellStyle name="표준 36 12" xfId="24863"/>
    <cellStyle name="표준 36 2" xfId="3710"/>
    <cellStyle name="표준 36 2 10" xfId="13173"/>
    <cellStyle name="표준 36 2 10 2" xfId="34050"/>
    <cellStyle name="표준 36 2 11" xfId="25300"/>
    <cellStyle name="표준 36 2 2" xfId="5094"/>
    <cellStyle name="표준 36 2 2 2" xfId="6920"/>
    <cellStyle name="표준 36 2 2 2 2" xfId="15929"/>
    <cellStyle name="표준 36 2 2 2 2 2" xfId="36805"/>
    <cellStyle name="표준 36 2 2 2 3" xfId="28067"/>
    <cellStyle name="표준 36 2 2 3" xfId="14111"/>
    <cellStyle name="표준 36 2 2 3 2" xfId="34987"/>
    <cellStyle name="표준 36 2 2 4" xfId="26249"/>
    <cellStyle name="표준 36 2 3" xfId="5983"/>
    <cellStyle name="표준 36 2 3 2" xfId="14992"/>
    <cellStyle name="표준 36 2 3 2 2" xfId="35868"/>
    <cellStyle name="표준 36 2 3 3" xfId="27130"/>
    <cellStyle name="표준 36 2 4" xfId="7566"/>
    <cellStyle name="표준 36 2 4 2" xfId="16573"/>
    <cellStyle name="표준 36 2 4 2 2" xfId="37449"/>
    <cellStyle name="표준 36 2 4 3" xfId="28711"/>
    <cellStyle name="표준 36 2 5" xfId="8210"/>
    <cellStyle name="표준 36 2 5 2" xfId="17216"/>
    <cellStyle name="표준 36 2 5 2 2" xfId="38092"/>
    <cellStyle name="표준 36 2 5 3" xfId="29354"/>
    <cellStyle name="표준 36 2 6" xfId="9058"/>
    <cellStyle name="표준 36 2 6 2" xfId="18063"/>
    <cellStyle name="표준 36 2 6 2 2" xfId="38939"/>
    <cellStyle name="표준 36 2 6 3" xfId="30201"/>
    <cellStyle name="표준 36 2 7" xfId="9883"/>
    <cellStyle name="표준 36 2 7 2" xfId="18881"/>
    <cellStyle name="표준 36 2 7 2 2" xfId="39757"/>
    <cellStyle name="표준 36 2 7 3" xfId="31019"/>
    <cellStyle name="표준 36 2 8" xfId="10938"/>
    <cellStyle name="표준 36 2 8 2" xfId="19709"/>
    <cellStyle name="표준 36 2 8 2 2" xfId="40585"/>
    <cellStyle name="표준 36 2 8 3" xfId="31849"/>
    <cellStyle name="표준 36 2 9" xfId="11804"/>
    <cellStyle name="표준 36 2 9 2" xfId="20570"/>
    <cellStyle name="표준 36 2 9 2 2" xfId="41446"/>
    <cellStyle name="표준 36 2 9 3" xfId="32710"/>
    <cellStyle name="표준 36 3" xfId="4871"/>
    <cellStyle name="표준 36 3 2" xfId="6703"/>
    <cellStyle name="표준 36 3 2 2" xfId="15712"/>
    <cellStyle name="표준 36 3 2 2 2" xfId="36588"/>
    <cellStyle name="표준 36 3 2 3" xfId="27850"/>
    <cellStyle name="표준 36 3 3" xfId="11156"/>
    <cellStyle name="표준 36 3 3 2" xfId="19926"/>
    <cellStyle name="표준 36 3 3 2 2" xfId="40802"/>
    <cellStyle name="표준 36 3 3 3" xfId="32066"/>
    <cellStyle name="표준 36 3 4" xfId="12021"/>
    <cellStyle name="표준 36 3 4 2" xfId="20787"/>
    <cellStyle name="표준 36 3 4 2 2" xfId="41663"/>
    <cellStyle name="표준 36 3 4 3" xfId="32927"/>
    <cellStyle name="표준 36 3 5" xfId="13894"/>
    <cellStyle name="표준 36 3 5 2" xfId="34770"/>
    <cellStyle name="표준 36 3 6" xfId="26032"/>
    <cellStyle name="표준 36 4" xfId="5546"/>
    <cellStyle name="표준 36 4 2" xfId="14555"/>
    <cellStyle name="표준 36 4 2 2" xfId="35431"/>
    <cellStyle name="표준 36 4 3" xfId="26693"/>
    <cellStyle name="표준 36 5" xfId="7349"/>
    <cellStyle name="표준 36 5 2" xfId="16356"/>
    <cellStyle name="표준 36 5 2 2" xfId="37232"/>
    <cellStyle name="표준 36 5 3" xfId="28494"/>
    <cellStyle name="표준 36 6" xfId="7993"/>
    <cellStyle name="표준 36 6 2" xfId="16999"/>
    <cellStyle name="표준 36 6 2 2" xfId="37875"/>
    <cellStyle name="표준 36 6 3" xfId="29137"/>
    <cellStyle name="표준 36 7" xfId="8841"/>
    <cellStyle name="표준 36 7 2" xfId="17846"/>
    <cellStyle name="표준 36 7 2 2" xfId="38722"/>
    <cellStyle name="표준 36 7 3" xfId="29984"/>
    <cellStyle name="표준 36 8" xfId="9666"/>
    <cellStyle name="표준 36 8 2" xfId="18664"/>
    <cellStyle name="표준 36 8 2 2" xfId="39540"/>
    <cellStyle name="표준 36 8 3" xfId="30802"/>
    <cellStyle name="표준 36 9" xfId="10721"/>
    <cellStyle name="표준 36 9 2" xfId="19492"/>
    <cellStyle name="표준 36 9 2 2" xfId="40368"/>
    <cellStyle name="표준 36 9 3" xfId="31632"/>
    <cellStyle name="표준 37" xfId="3050"/>
    <cellStyle name="표준 37 10" xfId="8629"/>
    <cellStyle name="표준 37 10 2" xfId="17634"/>
    <cellStyle name="표준 37 10 2 2" xfId="38510"/>
    <cellStyle name="표준 37 10 3" xfId="29772"/>
    <cellStyle name="표준 37 11" xfId="9453"/>
    <cellStyle name="표준 37 11 2" xfId="18452"/>
    <cellStyle name="표준 37 11 2 2" xfId="39328"/>
    <cellStyle name="표준 37 11 3" xfId="30590"/>
    <cellStyle name="표준 37 12" xfId="10509"/>
    <cellStyle name="표준 37 12 2" xfId="19280"/>
    <cellStyle name="표준 37 12 2 2" xfId="40156"/>
    <cellStyle name="표준 37 12 3" xfId="31420"/>
    <cellStyle name="표준 37 13" xfId="11375"/>
    <cellStyle name="표준 37 13 2" xfId="20141"/>
    <cellStyle name="표준 37 13 2 2" xfId="41017"/>
    <cellStyle name="표준 37 13 3" xfId="32281"/>
    <cellStyle name="표준 37 14" xfId="12524"/>
    <cellStyle name="표준 37 14 2" xfId="33401"/>
    <cellStyle name="표준 37 15" xfId="24651"/>
    <cellStyle name="표준 37 2" xfId="3051"/>
    <cellStyle name="표준 37 3" xfId="3052"/>
    <cellStyle name="표준 37 4" xfId="3269"/>
    <cellStyle name="표준 37 4 10" xfId="11588"/>
    <cellStyle name="표준 37 4 10 2" xfId="20354"/>
    <cellStyle name="표준 37 4 10 2 2" xfId="41230"/>
    <cellStyle name="표준 37 4 10 3" xfId="32494"/>
    <cellStyle name="표준 37 4 11" xfId="12737"/>
    <cellStyle name="표준 37 4 11 2" xfId="33614"/>
    <cellStyle name="표준 37 4 12" xfId="24864"/>
    <cellStyle name="표준 37 4 2" xfId="3711"/>
    <cellStyle name="표준 37 4 2 2" xfId="5984"/>
    <cellStyle name="표준 37 4 2 2 2" xfId="14993"/>
    <cellStyle name="표준 37 4 2 2 2 2" xfId="35869"/>
    <cellStyle name="표준 37 4 2 2 3" xfId="27131"/>
    <cellStyle name="표준 37 4 2 3" xfId="13174"/>
    <cellStyle name="표준 37 4 2 3 2" xfId="34051"/>
    <cellStyle name="표준 37 4 2 4" xfId="25301"/>
    <cellStyle name="표준 37 4 3" xfId="4872"/>
    <cellStyle name="표준 37 4 3 2" xfId="6704"/>
    <cellStyle name="표준 37 4 3 2 2" xfId="15713"/>
    <cellStyle name="표준 37 4 3 2 2 2" xfId="36589"/>
    <cellStyle name="표준 37 4 3 2 3" xfId="27851"/>
    <cellStyle name="표준 37 4 3 3" xfId="13895"/>
    <cellStyle name="표준 37 4 3 3 2" xfId="34771"/>
    <cellStyle name="표준 37 4 3 4" xfId="26033"/>
    <cellStyle name="표준 37 4 4" xfId="5547"/>
    <cellStyle name="표준 37 4 4 2" xfId="14556"/>
    <cellStyle name="표준 37 4 4 2 2" xfId="35432"/>
    <cellStyle name="표준 37 4 4 3" xfId="26694"/>
    <cellStyle name="표준 37 4 5" xfId="7350"/>
    <cellStyle name="표준 37 4 5 2" xfId="16357"/>
    <cellStyle name="표준 37 4 5 2 2" xfId="37233"/>
    <cellStyle name="표준 37 4 5 3" xfId="28495"/>
    <cellStyle name="표준 37 4 6" xfId="7994"/>
    <cellStyle name="표준 37 4 6 2" xfId="17000"/>
    <cellStyle name="표준 37 4 6 2 2" xfId="37876"/>
    <cellStyle name="표준 37 4 6 3" xfId="29138"/>
    <cellStyle name="표준 37 4 7" xfId="8842"/>
    <cellStyle name="표준 37 4 7 2" xfId="17847"/>
    <cellStyle name="표준 37 4 7 2 2" xfId="38723"/>
    <cellStyle name="표준 37 4 7 3" xfId="29985"/>
    <cellStyle name="표준 37 4 8" xfId="9667"/>
    <cellStyle name="표준 37 4 8 2" xfId="18665"/>
    <cellStyle name="표준 37 4 8 2 2" xfId="39541"/>
    <cellStyle name="표준 37 4 8 3" xfId="30803"/>
    <cellStyle name="표준 37 4 9" xfId="10722"/>
    <cellStyle name="표준 37 4 9 2" xfId="19493"/>
    <cellStyle name="표준 37 4 9 2 2" xfId="40369"/>
    <cellStyle name="표준 37 4 9 3" xfId="31633"/>
    <cellStyle name="표준 37 5" xfId="3498"/>
    <cellStyle name="표준 37 5 10" xfId="12961"/>
    <cellStyle name="표준 37 5 10 2" xfId="33838"/>
    <cellStyle name="표준 37 5 11" xfId="25088"/>
    <cellStyle name="표준 37 5 2" xfId="5095"/>
    <cellStyle name="표준 37 5 2 2" xfId="6921"/>
    <cellStyle name="표준 37 5 2 2 2" xfId="15930"/>
    <cellStyle name="표준 37 5 2 2 2 2" xfId="36806"/>
    <cellStyle name="표준 37 5 2 2 3" xfId="28068"/>
    <cellStyle name="표준 37 5 2 3" xfId="14112"/>
    <cellStyle name="표준 37 5 2 3 2" xfId="34988"/>
    <cellStyle name="표준 37 5 2 4" xfId="26250"/>
    <cellStyle name="표준 37 5 3" xfId="5771"/>
    <cellStyle name="표준 37 5 3 2" xfId="14780"/>
    <cellStyle name="표준 37 5 3 2 2" xfId="35656"/>
    <cellStyle name="표준 37 5 3 3" xfId="26918"/>
    <cellStyle name="표준 37 5 4" xfId="7567"/>
    <cellStyle name="표준 37 5 4 2" xfId="16574"/>
    <cellStyle name="표준 37 5 4 2 2" xfId="37450"/>
    <cellStyle name="표준 37 5 4 3" xfId="28712"/>
    <cellStyle name="표준 37 5 5" xfId="8211"/>
    <cellStyle name="표준 37 5 5 2" xfId="17217"/>
    <cellStyle name="표준 37 5 5 2 2" xfId="38093"/>
    <cellStyle name="표준 37 5 5 3" xfId="29355"/>
    <cellStyle name="표준 37 5 6" xfId="9059"/>
    <cellStyle name="표준 37 5 6 2" xfId="18064"/>
    <cellStyle name="표준 37 5 6 2 2" xfId="38940"/>
    <cellStyle name="표준 37 5 6 3" xfId="30202"/>
    <cellStyle name="표준 37 5 7" xfId="9884"/>
    <cellStyle name="표준 37 5 7 2" xfId="18882"/>
    <cellStyle name="표준 37 5 7 2 2" xfId="39758"/>
    <cellStyle name="표준 37 5 7 3" xfId="31020"/>
    <cellStyle name="표준 37 5 8" xfId="10939"/>
    <cellStyle name="표준 37 5 8 2" xfId="19710"/>
    <cellStyle name="표준 37 5 8 2 2" xfId="40586"/>
    <cellStyle name="표준 37 5 8 3" xfId="31850"/>
    <cellStyle name="표준 37 5 9" xfId="11805"/>
    <cellStyle name="표준 37 5 9 2" xfId="20571"/>
    <cellStyle name="표준 37 5 9 2 2" xfId="41447"/>
    <cellStyle name="표준 37 5 9 3" xfId="32711"/>
    <cellStyle name="표준 37 6" xfId="4657"/>
    <cellStyle name="표준 37 6 2" xfId="6491"/>
    <cellStyle name="표준 37 6 2 2" xfId="15500"/>
    <cellStyle name="표준 37 6 2 2 2" xfId="36376"/>
    <cellStyle name="표준 37 6 2 3" xfId="27638"/>
    <cellStyle name="표준 37 6 3" xfId="11157"/>
    <cellStyle name="표준 37 6 3 2" xfId="19927"/>
    <cellStyle name="표준 37 6 3 2 2" xfId="40803"/>
    <cellStyle name="표준 37 6 3 3" xfId="32067"/>
    <cellStyle name="표준 37 6 4" xfId="12022"/>
    <cellStyle name="표준 37 6 4 2" xfId="20788"/>
    <cellStyle name="표준 37 6 4 2 2" xfId="41664"/>
    <cellStyle name="표준 37 6 4 3" xfId="32928"/>
    <cellStyle name="표준 37 6 5" xfId="13682"/>
    <cellStyle name="표준 37 6 5 2" xfId="34558"/>
    <cellStyle name="표준 37 6 6" xfId="25820"/>
    <cellStyle name="표준 37 7" xfId="5334"/>
    <cellStyle name="표준 37 7 2" xfId="14343"/>
    <cellStyle name="표준 37 7 2 2" xfId="35219"/>
    <cellStyle name="표준 37 7 3" xfId="26481"/>
    <cellStyle name="표준 37 8" xfId="7136"/>
    <cellStyle name="표준 37 8 2" xfId="16144"/>
    <cellStyle name="표준 37 8 2 2" xfId="37020"/>
    <cellStyle name="표준 37 8 3" xfId="28282"/>
    <cellStyle name="표준 37 9" xfId="7781"/>
    <cellStyle name="표준 37 9 2" xfId="16787"/>
    <cellStyle name="표준 37 9 2 2" xfId="37663"/>
    <cellStyle name="표준 37 9 3" xfId="28925"/>
    <cellStyle name="표준 38" xfId="3053"/>
    <cellStyle name="표준 38 10" xfId="10510"/>
    <cellStyle name="표준 38 10 2" xfId="19281"/>
    <cellStyle name="표준 38 10 2 2" xfId="40157"/>
    <cellStyle name="표준 38 10 3" xfId="31421"/>
    <cellStyle name="표준 38 11" xfId="11376"/>
    <cellStyle name="표준 38 11 2" xfId="20142"/>
    <cellStyle name="표준 38 11 2 2" xfId="41018"/>
    <cellStyle name="표준 38 11 3" xfId="32282"/>
    <cellStyle name="표준 38 12" xfId="12525"/>
    <cellStyle name="표준 38 12 2" xfId="33402"/>
    <cellStyle name="표준 38 13" xfId="24652"/>
    <cellStyle name="표준 38 2" xfId="3271"/>
    <cellStyle name="표준 38 2 10" xfId="11589"/>
    <cellStyle name="표준 38 2 10 2" xfId="20355"/>
    <cellStyle name="표준 38 2 10 2 2" xfId="41231"/>
    <cellStyle name="표준 38 2 10 3" xfId="32495"/>
    <cellStyle name="표준 38 2 11" xfId="12738"/>
    <cellStyle name="표준 38 2 11 2" xfId="33615"/>
    <cellStyle name="표준 38 2 12" xfId="24865"/>
    <cellStyle name="표준 38 2 2" xfId="3712"/>
    <cellStyle name="표준 38 2 2 2" xfId="5985"/>
    <cellStyle name="표준 38 2 2 2 2" xfId="14994"/>
    <cellStyle name="표준 38 2 2 2 2 2" xfId="35870"/>
    <cellStyle name="표준 38 2 2 2 3" xfId="27132"/>
    <cellStyle name="표준 38 2 2 3" xfId="13175"/>
    <cellStyle name="표준 38 2 2 3 2" xfId="34052"/>
    <cellStyle name="표준 38 2 2 4" xfId="25302"/>
    <cellStyle name="표준 38 2 3" xfId="4874"/>
    <cellStyle name="표준 38 2 3 2" xfId="6705"/>
    <cellStyle name="표준 38 2 3 2 2" xfId="15714"/>
    <cellStyle name="표준 38 2 3 2 2 2" xfId="36590"/>
    <cellStyle name="표준 38 2 3 2 3" xfId="27852"/>
    <cellStyle name="표준 38 2 3 3" xfId="13896"/>
    <cellStyle name="표준 38 2 3 3 2" xfId="34772"/>
    <cellStyle name="표준 38 2 3 4" xfId="26034"/>
    <cellStyle name="표준 38 2 4" xfId="5548"/>
    <cellStyle name="표준 38 2 4 2" xfId="14557"/>
    <cellStyle name="표준 38 2 4 2 2" xfId="35433"/>
    <cellStyle name="표준 38 2 4 3" xfId="26695"/>
    <cellStyle name="표준 38 2 5" xfId="7351"/>
    <cellStyle name="표준 38 2 5 2" xfId="16358"/>
    <cellStyle name="표준 38 2 5 2 2" xfId="37234"/>
    <cellStyle name="표준 38 2 5 3" xfId="28496"/>
    <cellStyle name="표준 38 2 6" xfId="7995"/>
    <cellStyle name="표준 38 2 6 2" xfId="17001"/>
    <cellStyle name="표준 38 2 6 2 2" xfId="37877"/>
    <cellStyle name="표준 38 2 6 3" xfId="29139"/>
    <cellStyle name="표준 38 2 7" xfId="8843"/>
    <cellStyle name="표준 38 2 7 2" xfId="17848"/>
    <cellStyle name="표준 38 2 7 2 2" xfId="38724"/>
    <cellStyle name="표준 38 2 7 3" xfId="29986"/>
    <cellStyle name="표준 38 2 8" xfId="9668"/>
    <cellStyle name="표준 38 2 8 2" xfId="18666"/>
    <cellStyle name="표준 38 2 8 2 2" xfId="39542"/>
    <cellStyle name="표준 38 2 8 3" xfId="30804"/>
    <cellStyle name="표준 38 2 9" xfId="10723"/>
    <cellStyle name="표준 38 2 9 2" xfId="19494"/>
    <cellStyle name="표준 38 2 9 2 2" xfId="40370"/>
    <cellStyle name="표준 38 2 9 3" xfId="31634"/>
    <cellStyle name="표준 38 3" xfId="3499"/>
    <cellStyle name="표준 38 3 10" xfId="12962"/>
    <cellStyle name="표준 38 3 10 2" xfId="33839"/>
    <cellStyle name="표준 38 3 11" xfId="25089"/>
    <cellStyle name="표준 38 3 2" xfId="5097"/>
    <cellStyle name="표준 38 3 2 2" xfId="6922"/>
    <cellStyle name="표준 38 3 2 2 2" xfId="15931"/>
    <cellStyle name="표준 38 3 2 2 2 2" xfId="36807"/>
    <cellStyle name="표준 38 3 2 2 3" xfId="28069"/>
    <cellStyle name="표준 38 3 2 3" xfId="14113"/>
    <cellStyle name="표준 38 3 2 3 2" xfId="34989"/>
    <cellStyle name="표준 38 3 2 4" xfId="26251"/>
    <cellStyle name="표준 38 3 3" xfId="5772"/>
    <cellStyle name="표준 38 3 3 2" xfId="14781"/>
    <cellStyle name="표준 38 3 3 2 2" xfId="35657"/>
    <cellStyle name="표준 38 3 3 3" xfId="26919"/>
    <cellStyle name="표준 38 3 4" xfId="7568"/>
    <cellStyle name="표준 38 3 4 2" xfId="16575"/>
    <cellStyle name="표준 38 3 4 2 2" xfId="37451"/>
    <cellStyle name="표준 38 3 4 3" xfId="28713"/>
    <cellStyle name="표준 38 3 5" xfId="8212"/>
    <cellStyle name="표준 38 3 5 2" xfId="17218"/>
    <cellStyle name="표준 38 3 5 2 2" xfId="38094"/>
    <cellStyle name="표준 38 3 5 3" xfId="29356"/>
    <cellStyle name="표준 38 3 6" xfId="9060"/>
    <cellStyle name="표준 38 3 6 2" xfId="18065"/>
    <cellStyle name="표준 38 3 6 2 2" xfId="38941"/>
    <cellStyle name="표준 38 3 6 3" xfId="30203"/>
    <cellStyle name="표준 38 3 7" xfId="9885"/>
    <cellStyle name="표준 38 3 7 2" xfId="18883"/>
    <cellStyle name="표준 38 3 7 2 2" xfId="39759"/>
    <cellStyle name="표준 38 3 7 3" xfId="31021"/>
    <cellStyle name="표준 38 3 8" xfId="10940"/>
    <cellStyle name="표준 38 3 8 2" xfId="19711"/>
    <cellStyle name="표준 38 3 8 2 2" xfId="40587"/>
    <cellStyle name="표준 38 3 8 3" xfId="31851"/>
    <cellStyle name="표준 38 3 9" xfId="11806"/>
    <cellStyle name="표준 38 3 9 2" xfId="20572"/>
    <cellStyle name="표준 38 3 9 2 2" xfId="41448"/>
    <cellStyle name="표준 38 3 9 3" xfId="32712"/>
    <cellStyle name="표준 38 4" xfId="4658"/>
    <cellStyle name="표준 38 4 2" xfId="6492"/>
    <cellStyle name="표준 38 4 2 2" xfId="15501"/>
    <cellStyle name="표준 38 4 2 2 2" xfId="36377"/>
    <cellStyle name="표준 38 4 2 3" xfId="27639"/>
    <cellStyle name="표준 38 4 3" xfId="11159"/>
    <cellStyle name="표준 38 4 3 2" xfId="19928"/>
    <cellStyle name="표준 38 4 3 2 2" xfId="40804"/>
    <cellStyle name="표준 38 4 3 3" xfId="32068"/>
    <cellStyle name="표준 38 4 4" xfId="12023"/>
    <cellStyle name="표준 38 4 4 2" xfId="20789"/>
    <cellStyle name="표준 38 4 4 2 2" xfId="41665"/>
    <cellStyle name="표준 38 4 4 3" xfId="32929"/>
    <cellStyle name="표준 38 4 5" xfId="13683"/>
    <cellStyle name="표준 38 4 5 2" xfId="34559"/>
    <cellStyle name="표준 38 4 6" xfId="25821"/>
    <cellStyle name="표준 38 5" xfId="5335"/>
    <cellStyle name="표준 38 5 2" xfId="14344"/>
    <cellStyle name="표준 38 5 2 2" xfId="35220"/>
    <cellStyle name="표준 38 5 3" xfId="26482"/>
    <cellStyle name="표준 38 6" xfId="7137"/>
    <cellStyle name="표준 38 6 2" xfId="16145"/>
    <cellStyle name="표준 38 6 2 2" xfId="37021"/>
    <cellStyle name="표준 38 6 3" xfId="28283"/>
    <cellStyle name="표준 38 7" xfId="7782"/>
    <cellStyle name="표준 38 7 2" xfId="16788"/>
    <cellStyle name="표준 38 7 2 2" xfId="37664"/>
    <cellStyle name="표준 38 7 3" xfId="28926"/>
    <cellStyle name="표준 38 8" xfId="8630"/>
    <cellStyle name="표준 38 8 2" xfId="17635"/>
    <cellStyle name="표준 38 8 2 2" xfId="38511"/>
    <cellStyle name="표준 38 8 3" xfId="29773"/>
    <cellStyle name="표준 38 9" xfId="9454"/>
    <cellStyle name="표준 38 9 2" xfId="18453"/>
    <cellStyle name="표준 38 9 2 2" xfId="39329"/>
    <cellStyle name="표준 38 9 3" xfId="30591"/>
    <cellStyle name="표준 39" xfId="3054"/>
    <cellStyle name="표준 4" xfId="1199"/>
    <cellStyle name="표준 4 10" xfId="3500"/>
    <cellStyle name="표준 4 10 2" xfId="5773"/>
    <cellStyle name="표준 4 10 2 2" xfId="14782"/>
    <cellStyle name="표준 4 10 2 2 2" xfId="35658"/>
    <cellStyle name="표준 4 10 2 3" xfId="26920"/>
    <cellStyle name="표준 4 10 3" xfId="11160"/>
    <cellStyle name="표준 4 10 3 2" xfId="19929"/>
    <cellStyle name="표준 4 10 3 2 2" xfId="40805"/>
    <cellStyle name="표준 4 10 3 3" xfId="32069"/>
    <cellStyle name="표준 4 10 4" xfId="12024"/>
    <cellStyle name="표준 4 10 4 2" xfId="20790"/>
    <cellStyle name="표준 4 10 4 2 2" xfId="41666"/>
    <cellStyle name="표준 4 10 4 3" xfId="32930"/>
    <cellStyle name="표준 4 10 5" xfId="12963"/>
    <cellStyle name="표준 4 10 5 2" xfId="33840"/>
    <cellStyle name="표준 4 10 6" xfId="25090"/>
    <cellStyle name="표준 4 11" xfId="4659"/>
    <cellStyle name="표준 4 11 2" xfId="6493"/>
    <cellStyle name="표준 4 11 2 2" xfId="15502"/>
    <cellStyle name="표준 4 11 2 2 2" xfId="36378"/>
    <cellStyle name="표준 4 11 2 3" xfId="27640"/>
    <cellStyle name="표준 4 11 3" xfId="13684"/>
    <cellStyle name="표준 4 11 3 2" xfId="34560"/>
    <cellStyle name="표준 4 11 4" xfId="25822"/>
    <cellStyle name="표준 4 12" xfId="4492"/>
    <cellStyle name="표준 4 13" xfId="7138"/>
    <cellStyle name="표준 4 13 2" xfId="16146"/>
    <cellStyle name="표준 4 13 2 2" xfId="37022"/>
    <cellStyle name="표준 4 13 3" xfId="28284"/>
    <cellStyle name="표준 4 14" xfId="7783"/>
    <cellStyle name="표준 4 14 2" xfId="16789"/>
    <cellStyle name="표준 4 14 2 2" xfId="37665"/>
    <cellStyle name="표준 4 14 3" xfId="28927"/>
    <cellStyle name="표준 4 15" xfId="8631"/>
    <cellStyle name="표준 4 15 2" xfId="17636"/>
    <cellStyle name="표준 4 15 2 2" xfId="38512"/>
    <cellStyle name="표준 4 15 3" xfId="29774"/>
    <cellStyle name="표준 4 16" xfId="9455"/>
    <cellStyle name="표준 4 16 2" xfId="18454"/>
    <cellStyle name="표준 4 16 2 2" xfId="39330"/>
    <cellStyle name="표준 4 16 3" xfId="30592"/>
    <cellStyle name="표준 4 17" xfId="10511"/>
    <cellStyle name="표준 4 17 2" xfId="19282"/>
    <cellStyle name="표준 4 17 2 2" xfId="40158"/>
    <cellStyle name="표준 4 17 3" xfId="31422"/>
    <cellStyle name="표준 4 18" xfId="11377"/>
    <cellStyle name="표준 4 18 2" xfId="20143"/>
    <cellStyle name="표준 4 18 2 2" xfId="41019"/>
    <cellStyle name="표준 4 18 3" xfId="32283"/>
    <cellStyle name="표준 4 19" xfId="12199"/>
    <cellStyle name="표준 4 2" xfId="3056"/>
    <cellStyle name="표준 4 2 10" xfId="10119"/>
    <cellStyle name="표준 4 2 11" xfId="10512"/>
    <cellStyle name="표준 4 2 11 2" xfId="19283"/>
    <cellStyle name="표준 4 2 11 2 2" xfId="40159"/>
    <cellStyle name="표준 4 2 11 3" xfId="31423"/>
    <cellStyle name="표준 4 2 12" xfId="11378"/>
    <cellStyle name="표준 4 2 12 2" xfId="20144"/>
    <cellStyle name="표준 4 2 12 2 2" xfId="41020"/>
    <cellStyle name="표준 4 2 12 3" xfId="32284"/>
    <cellStyle name="표준 4 2 13" xfId="12527"/>
    <cellStyle name="표준 4 2 13 2" xfId="33404"/>
    <cellStyle name="표준 4 2 14" xfId="24654"/>
    <cellStyle name="표준 4 2 2" xfId="3273"/>
    <cellStyle name="표준 4 2 2 10" xfId="11591"/>
    <cellStyle name="표준 4 2 2 10 2" xfId="20357"/>
    <cellStyle name="표준 4 2 2 10 2 2" xfId="41233"/>
    <cellStyle name="표준 4 2 2 10 3" xfId="32497"/>
    <cellStyle name="표준 4 2 2 11" xfId="12740"/>
    <cellStyle name="표준 4 2 2 11 2" xfId="33617"/>
    <cellStyle name="표준 4 2 2 12" xfId="24867"/>
    <cellStyle name="표준 4 2 2 2" xfId="3714"/>
    <cellStyle name="표준 4 2 2 2 2" xfId="5987"/>
    <cellStyle name="표준 4 2 2 2 2 2" xfId="14996"/>
    <cellStyle name="표준 4 2 2 2 2 2 2" xfId="35872"/>
    <cellStyle name="표준 4 2 2 2 2 3" xfId="27134"/>
    <cellStyle name="표준 4 2 2 2 3" xfId="13177"/>
    <cellStyle name="표준 4 2 2 2 3 2" xfId="34054"/>
    <cellStyle name="표준 4 2 2 2 4" xfId="25304"/>
    <cellStyle name="표준 4 2 2 3" xfId="4876"/>
    <cellStyle name="표준 4 2 2 3 2" xfId="6707"/>
    <cellStyle name="표준 4 2 2 3 2 2" xfId="15716"/>
    <cellStyle name="표준 4 2 2 3 2 2 2" xfId="36592"/>
    <cellStyle name="표준 4 2 2 3 2 3" xfId="27854"/>
    <cellStyle name="표준 4 2 2 3 3" xfId="13898"/>
    <cellStyle name="표준 4 2 2 3 3 2" xfId="34774"/>
    <cellStyle name="표준 4 2 2 3 4" xfId="26036"/>
    <cellStyle name="표준 4 2 2 4" xfId="5550"/>
    <cellStyle name="표준 4 2 2 4 2" xfId="14559"/>
    <cellStyle name="표준 4 2 2 4 2 2" xfId="35435"/>
    <cellStyle name="표준 4 2 2 4 3" xfId="26697"/>
    <cellStyle name="표준 4 2 2 5" xfId="7353"/>
    <cellStyle name="표준 4 2 2 5 2" xfId="16360"/>
    <cellStyle name="표준 4 2 2 5 2 2" xfId="37236"/>
    <cellStyle name="표준 4 2 2 5 3" xfId="28498"/>
    <cellStyle name="표준 4 2 2 6" xfId="7997"/>
    <cellStyle name="표준 4 2 2 6 2" xfId="17003"/>
    <cellStyle name="표준 4 2 2 6 2 2" xfId="37879"/>
    <cellStyle name="표준 4 2 2 6 3" xfId="29141"/>
    <cellStyle name="표준 4 2 2 7" xfId="8845"/>
    <cellStyle name="표준 4 2 2 7 2" xfId="17850"/>
    <cellStyle name="표준 4 2 2 7 2 2" xfId="38726"/>
    <cellStyle name="표준 4 2 2 7 3" xfId="29988"/>
    <cellStyle name="표준 4 2 2 8" xfId="9670"/>
    <cellStyle name="표준 4 2 2 8 2" xfId="18668"/>
    <cellStyle name="표준 4 2 2 8 2 2" xfId="39544"/>
    <cellStyle name="표준 4 2 2 8 3" xfId="30806"/>
    <cellStyle name="표준 4 2 2 9" xfId="10725"/>
    <cellStyle name="표준 4 2 2 9 2" xfId="19496"/>
    <cellStyle name="표준 4 2 2 9 2 2" xfId="40372"/>
    <cellStyle name="표준 4 2 2 9 3" xfId="31636"/>
    <cellStyle name="표준 4 2 3" xfId="3501"/>
    <cellStyle name="표준 4 2 3 10" xfId="12964"/>
    <cellStyle name="표준 4 2 3 10 2" xfId="33841"/>
    <cellStyle name="표준 4 2 3 11" xfId="25091"/>
    <cellStyle name="표준 4 2 3 2" xfId="5099"/>
    <cellStyle name="표준 4 2 3 2 2" xfId="6924"/>
    <cellStyle name="표준 4 2 3 2 2 2" xfId="15933"/>
    <cellStyle name="표준 4 2 3 2 2 2 2" xfId="36809"/>
    <cellStyle name="표준 4 2 3 2 2 3" xfId="28071"/>
    <cellStyle name="표준 4 2 3 2 3" xfId="14115"/>
    <cellStyle name="표준 4 2 3 2 3 2" xfId="34991"/>
    <cellStyle name="표준 4 2 3 2 4" xfId="26253"/>
    <cellStyle name="표준 4 2 3 3" xfId="5774"/>
    <cellStyle name="표준 4 2 3 3 2" xfId="14783"/>
    <cellStyle name="표준 4 2 3 3 2 2" xfId="35659"/>
    <cellStyle name="표준 4 2 3 3 3" xfId="26921"/>
    <cellStyle name="표준 4 2 3 4" xfId="7570"/>
    <cellStyle name="표준 4 2 3 4 2" xfId="16577"/>
    <cellStyle name="표준 4 2 3 4 2 2" xfId="37453"/>
    <cellStyle name="표준 4 2 3 4 3" xfId="28715"/>
    <cellStyle name="표준 4 2 3 5" xfId="8214"/>
    <cellStyle name="표준 4 2 3 5 2" xfId="17220"/>
    <cellStyle name="표준 4 2 3 5 2 2" xfId="38096"/>
    <cellStyle name="표준 4 2 3 5 3" xfId="29358"/>
    <cellStyle name="표준 4 2 3 6" xfId="9062"/>
    <cellStyle name="표준 4 2 3 6 2" xfId="18067"/>
    <cellStyle name="표준 4 2 3 6 2 2" xfId="38943"/>
    <cellStyle name="표준 4 2 3 6 3" xfId="30205"/>
    <cellStyle name="표준 4 2 3 7" xfId="9887"/>
    <cellStyle name="표준 4 2 3 7 2" xfId="18885"/>
    <cellStyle name="표준 4 2 3 7 2 2" xfId="39761"/>
    <cellStyle name="표준 4 2 3 7 3" xfId="31023"/>
    <cellStyle name="표준 4 2 3 8" xfId="10942"/>
    <cellStyle name="표준 4 2 3 8 2" xfId="19713"/>
    <cellStyle name="표준 4 2 3 8 2 2" xfId="40589"/>
    <cellStyle name="표준 4 2 3 8 3" xfId="31853"/>
    <cellStyle name="표준 4 2 3 9" xfId="11808"/>
    <cellStyle name="표준 4 2 3 9 2" xfId="20574"/>
    <cellStyle name="표준 4 2 3 9 2 2" xfId="41450"/>
    <cellStyle name="표준 4 2 3 9 3" xfId="32714"/>
    <cellStyle name="표준 4 2 4" xfId="4660"/>
    <cellStyle name="표준 4 2 4 2" xfId="6494"/>
    <cellStyle name="표준 4 2 4 2 2" xfId="15503"/>
    <cellStyle name="표준 4 2 4 2 2 2" xfId="36379"/>
    <cellStyle name="표준 4 2 4 2 3" xfId="27641"/>
    <cellStyle name="표준 4 2 4 3" xfId="11161"/>
    <cellStyle name="표준 4 2 4 3 2" xfId="19930"/>
    <cellStyle name="표준 4 2 4 3 2 2" xfId="40806"/>
    <cellStyle name="표준 4 2 4 3 3" xfId="32070"/>
    <cellStyle name="표준 4 2 4 4" xfId="12025"/>
    <cellStyle name="표준 4 2 4 4 2" xfId="20791"/>
    <cellStyle name="표준 4 2 4 4 2 2" xfId="41667"/>
    <cellStyle name="표준 4 2 4 4 3" xfId="32931"/>
    <cellStyle name="표준 4 2 4 5" xfId="13685"/>
    <cellStyle name="표준 4 2 4 5 2" xfId="34561"/>
    <cellStyle name="표준 4 2 4 6" xfId="25823"/>
    <cellStyle name="표준 4 2 5" xfId="5337"/>
    <cellStyle name="표준 4 2 5 2" xfId="14346"/>
    <cellStyle name="표준 4 2 5 2 2" xfId="35222"/>
    <cellStyle name="표준 4 2 5 3" xfId="26484"/>
    <cellStyle name="표준 4 2 6" xfId="7139"/>
    <cellStyle name="표준 4 2 6 2" xfId="16147"/>
    <cellStyle name="표준 4 2 6 2 2" xfId="37023"/>
    <cellStyle name="표준 4 2 6 3" xfId="28285"/>
    <cellStyle name="표준 4 2 7" xfId="7784"/>
    <cellStyle name="표준 4 2 7 2" xfId="16790"/>
    <cellStyle name="표준 4 2 7 2 2" xfId="37666"/>
    <cellStyle name="표준 4 2 7 3" xfId="28928"/>
    <cellStyle name="표준 4 2 8" xfId="8632"/>
    <cellStyle name="표준 4 2 8 2" xfId="17637"/>
    <cellStyle name="표준 4 2 8 2 2" xfId="38513"/>
    <cellStyle name="표준 4 2 8 3" xfId="29775"/>
    <cellStyle name="표준 4 2 9" xfId="9456"/>
    <cellStyle name="표준 4 2 9 2" xfId="18455"/>
    <cellStyle name="표준 4 2 9 2 2" xfId="39331"/>
    <cellStyle name="표준 4 2 9 3" xfId="30593"/>
    <cellStyle name="표준 4 3" xfId="3057"/>
    <cellStyle name="표준 4 3 10" xfId="10120"/>
    <cellStyle name="표준 4 3 11" xfId="10513"/>
    <cellStyle name="표준 4 3 11 2" xfId="19284"/>
    <cellStyle name="표준 4 3 11 2 2" xfId="40160"/>
    <cellStyle name="표준 4 3 11 3" xfId="31424"/>
    <cellStyle name="표준 4 3 12" xfId="11379"/>
    <cellStyle name="표준 4 3 12 2" xfId="20145"/>
    <cellStyle name="표준 4 3 12 2 2" xfId="41021"/>
    <cellStyle name="표준 4 3 12 3" xfId="32285"/>
    <cellStyle name="표준 4 3 13" xfId="12528"/>
    <cellStyle name="표준 4 3 13 2" xfId="33405"/>
    <cellStyle name="표준 4 3 14" xfId="24655"/>
    <cellStyle name="표준 4 3 2" xfId="3274"/>
    <cellStyle name="표준 4 3 2 10" xfId="11592"/>
    <cellStyle name="표준 4 3 2 10 2" xfId="20358"/>
    <cellStyle name="표준 4 3 2 10 2 2" xfId="41234"/>
    <cellStyle name="표준 4 3 2 10 3" xfId="32498"/>
    <cellStyle name="표준 4 3 2 11" xfId="12741"/>
    <cellStyle name="표준 4 3 2 11 2" xfId="33618"/>
    <cellStyle name="표준 4 3 2 12" xfId="24868"/>
    <cellStyle name="표준 4 3 2 2" xfId="3715"/>
    <cellStyle name="표준 4 3 2 2 2" xfId="5988"/>
    <cellStyle name="표준 4 3 2 2 2 2" xfId="14997"/>
    <cellStyle name="표준 4 3 2 2 2 2 2" xfId="35873"/>
    <cellStyle name="표준 4 3 2 2 2 3" xfId="27135"/>
    <cellStyle name="표준 4 3 2 2 3" xfId="13178"/>
    <cellStyle name="표준 4 3 2 2 3 2" xfId="34055"/>
    <cellStyle name="표준 4 3 2 2 4" xfId="25305"/>
    <cellStyle name="표준 4 3 2 3" xfId="4877"/>
    <cellStyle name="표준 4 3 2 3 2" xfId="6708"/>
    <cellStyle name="표준 4 3 2 3 2 2" xfId="15717"/>
    <cellStyle name="표준 4 3 2 3 2 2 2" xfId="36593"/>
    <cellStyle name="표준 4 3 2 3 2 3" xfId="27855"/>
    <cellStyle name="표준 4 3 2 3 3" xfId="13899"/>
    <cellStyle name="표준 4 3 2 3 3 2" xfId="34775"/>
    <cellStyle name="표준 4 3 2 3 4" xfId="26037"/>
    <cellStyle name="표준 4 3 2 4" xfId="5551"/>
    <cellStyle name="표준 4 3 2 4 2" xfId="14560"/>
    <cellStyle name="표준 4 3 2 4 2 2" xfId="35436"/>
    <cellStyle name="표준 4 3 2 4 3" xfId="26698"/>
    <cellStyle name="표준 4 3 2 5" xfId="7354"/>
    <cellStyle name="표준 4 3 2 5 2" xfId="16361"/>
    <cellStyle name="표준 4 3 2 5 2 2" xfId="37237"/>
    <cellStyle name="표준 4 3 2 5 3" xfId="28499"/>
    <cellStyle name="표준 4 3 2 6" xfId="7998"/>
    <cellStyle name="표준 4 3 2 6 2" xfId="17004"/>
    <cellStyle name="표준 4 3 2 6 2 2" xfId="37880"/>
    <cellStyle name="표준 4 3 2 6 3" xfId="29142"/>
    <cellStyle name="표준 4 3 2 7" xfId="8846"/>
    <cellStyle name="표준 4 3 2 7 2" xfId="17851"/>
    <cellStyle name="표준 4 3 2 7 2 2" xfId="38727"/>
    <cellStyle name="표준 4 3 2 7 3" xfId="29989"/>
    <cellStyle name="표준 4 3 2 8" xfId="9671"/>
    <cellStyle name="표준 4 3 2 8 2" xfId="18669"/>
    <cellStyle name="표준 4 3 2 8 2 2" xfId="39545"/>
    <cellStyle name="표준 4 3 2 8 3" xfId="30807"/>
    <cellStyle name="표준 4 3 2 9" xfId="10726"/>
    <cellStyle name="표준 4 3 2 9 2" xfId="19497"/>
    <cellStyle name="표준 4 3 2 9 2 2" xfId="40373"/>
    <cellStyle name="표준 4 3 2 9 3" xfId="31637"/>
    <cellStyle name="표준 4 3 3" xfId="3502"/>
    <cellStyle name="표준 4 3 3 10" xfId="12965"/>
    <cellStyle name="표준 4 3 3 10 2" xfId="33842"/>
    <cellStyle name="표준 4 3 3 11" xfId="25092"/>
    <cellStyle name="표준 4 3 3 2" xfId="5100"/>
    <cellStyle name="표준 4 3 3 2 2" xfId="6925"/>
    <cellStyle name="표준 4 3 3 2 2 2" xfId="15934"/>
    <cellStyle name="표준 4 3 3 2 2 2 2" xfId="36810"/>
    <cellStyle name="표준 4 3 3 2 2 3" xfId="28072"/>
    <cellStyle name="표준 4 3 3 2 3" xfId="14116"/>
    <cellStyle name="표준 4 3 3 2 3 2" xfId="34992"/>
    <cellStyle name="표준 4 3 3 2 4" xfId="26254"/>
    <cellStyle name="표준 4 3 3 3" xfId="5775"/>
    <cellStyle name="표준 4 3 3 3 2" xfId="14784"/>
    <cellStyle name="표준 4 3 3 3 2 2" xfId="35660"/>
    <cellStyle name="표준 4 3 3 3 3" xfId="26922"/>
    <cellStyle name="표준 4 3 3 4" xfId="7571"/>
    <cellStyle name="표준 4 3 3 4 2" xfId="16578"/>
    <cellStyle name="표준 4 3 3 4 2 2" xfId="37454"/>
    <cellStyle name="표준 4 3 3 4 3" xfId="28716"/>
    <cellStyle name="표준 4 3 3 5" xfId="8215"/>
    <cellStyle name="표준 4 3 3 5 2" xfId="17221"/>
    <cellStyle name="표준 4 3 3 5 2 2" xfId="38097"/>
    <cellStyle name="표준 4 3 3 5 3" xfId="29359"/>
    <cellStyle name="표준 4 3 3 6" xfId="9063"/>
    <cellStyle name="표준 4 3 3 6 2" xfId="18068"/>
    <cellStyle name="표준 4 3 3 6 2 2" xfId="38944"/>
    <cellStyle name="표준 4 3 3 6 3" xfId="30206"/>
    <cellStyle name="표준 4 3 3 7" xfId="9888"/>
    <cellStyle name="표준 4 3 3 7 2" xfId="18886"/>
    <cellStyle name="표준 4 3 3 7 2 2" xfId="39762"/>
    <cellStyle name="표준 4 3 3 7 3" xfId="31024"/>
    <cellStyle name="표준 4 3 3 8" xfId="10943"/>
    <cellStyle name="표준 4 3 3 8 2" xfId="19714"/>
    <cellStyle name="표준 4 3 3 8 2 2" xfId="40590"/>
    <cellStyle name="표준 4 3 3 8 3" xfId="31854"/>
    <cellStyle name="표준 4 3 3 9" xfId="11809"/>
    <cellStyle name="표준 4 3 3 9 2" xfId="20575"/>
    <cellStyle name="표준 4 3 3 9 2 2" xfId="41451"/>
    <cellStyle name="표준 4 3 3 9 3" xfId="32715"/>
    <cellStyle name="표준 4 3 4" xfId="4661"/>
    <cellStyle name="표준 4 3 4 2" xfId="6495"/>
    <cellStyle name="표준 4 3 4 2 2" xfId="15504"/>
    <cellStyle name="표준 4 3 4 2 2 2" xfId="36380"/>
    <cellStyle name="표준 4 3 4 2 3" xfId="27642"/>
    <cellStyle name="표준 4 3 4 3" xfId="11162"/>
    <cellStyle name="표준 4 3 4 3 2" xfId="19931"/>
    <cellStyle name="표준 4 3 4 3 2 2" xfId="40807"/>
    <cellStyle name="표준 4 3 4 3 3" xfId="32071"/>
    <cellStyle name="표준 4 3 4 4" xfId="12026"/>
    <cellStyle name="표준 4 3 4 4 2" xfId="20792"/>
    <cellStyle name="표준 4 3 4 4 2 2" xfId="41668"/>
    <cellStyle name="표준 4 3 4 4 3" xfId="32932"/>
    <cellStyle name="표준 4 3 4 5" xfId="13686"/>
    <cellStyle name="표준 4 3 4 5 2" xfId="34562"/>
    <cellStyle name="표준 4 3 4 6" xfId="25824"/>
    <cellStyle name="표준 4 3 5" xfId="5338"/>
    <cellStyle name="표준 4 3 5 2" xfId="14347"/>
    <cellStyle name="표준 4 3 5 2 2" xfId="35223"/>
    <cellStyle name="표준 4 3 5 3" xfId="26485"/>
    <cellStyle name="표준 4 3 6" xfId="7140"/>
    <cellStyle name="표준 4 3 6 2" xfId="16148"/>
    <cellStyle name="표준 4 3 6 2 2" xfId="37024"/>
    <cellStyle name="표준 4 3 6 3" xfId="28286"/>
    <cellStyle name="표준 4 3 7" xfId="7785"/>
    <cellStyle name="표준 4 3 7 2" xfId="16791"/>
    <cellStyle name="표준 4 3 7 2 2" xfId="37667"/>
    <cellStyle name="표준 4 3 7 3" xfId="28929"/>
    <cellStyle name="표준 4 3 8" xfId="8633"/>
    <cellStyle name="표준 4 3 8 2" xfId="17638"/>
    <cellStyle name="표준 4 3 8 2 2" xfId="38514"/>
    <cellStyle name="표준 4 3 8 3" xfId="29776"/>
    <cellStyle name="표준 4 3 9" xfId="9457"/>
    <cellStyle name="표준 4 3 9 2" xfId="18456"/>
    <cellStyle name="표준 4 3 9 2 2" xfId="39332"/>
    <cellStyle name="표준 4 3 9 3" xfId="30594"/>
    <cellStyle name="표준 4 4" xfId="3058"/>
    <cellStyle name="표준 4 4 10" xfId="10514"/>
    <cellStyle name="표준 4 4 10 2" xfId="19285"/>
    <cellStyle name="표준 4 4 10 2 2" xfId="40161"/>
    <cellStyle name="표준 4 4 10 3" xfId="31425"/>
    <cellStyle name="표준 4 4 11" xfId="11380"/>
    <cellStyle name="표준 4 4 11 2" xfId="20146"/>
    <cellStyle name="표준 4 4 11 2 2" xfId="41022"/>
    <cellStyle name="표준 4 4 11 3" xfId="32286"/>
    <cellStyle name="표준 4 4 12" xfId="12529"/>
    <cellStyle name="표준 4 4 12 2" xfId="33406"/>
    <cellStyle name="표준 4 4 13" xfId="24656"/>
    <cellStyle name="표준 4 4 2" xfId="3275"/>
    <cellStyle name="표준 4 4 2 10" xfId="11593"/>
    <cellStyle name="표준 4 4 2 10 2" xfId="20359"/>
    <cellStyle name="표준 4 4 2 10 2 2" xfId="41235"/>
    <cellStyle name="표준 4 4 2 10 3" xfId="32499"/>
    <cellStyle name="표준 4 4 2 11" xfId="12742"/>
    <cellStyle name="표준 4 4 2 11 2" xfId="33619"/>
    <cellStyle name="표준 4 4 2 12" xfId="24869"/>
    <cellStyle name="표준 4 4 2 2" xfId="3716"/>
    <cellStyle name="표준 4 4 2 2 2" xfId="5989"/>
    <cellStyle name="표준 4 4 2 2 2 2" xfId="14998"/>
    <cellStyle name="표준 4 4 2 2 2 2 2" xfId="35874"/>
    <cellStyle name="표준 4 4 2 2 2 3" xfId="27136"/>
    <cellStyle name="표준 4 4 2 2 3" xfId="13179"/>
    <cellStyle name="표준 4 4 2 2 3 2" xfId="34056"/>
    <cellStyle name="표준 4 4 2 2 4" xfId="25306"/>
    <cellStyle name="표준 4 4 2 3" xfId="4878"/>
    <cellStyle name="표준 4 4 2 3 2" xfId="6709"/>
    <cellStyle name="표준 4 4 2 3 2 2" xfId="15718"/>
    <cellStyle name="표준 4 4 2 3 2 2 2" xfId="36594"/>
    <cellStyle name="표준 4 4 2 3 2 3" xfId="27856"/>
    <cellStyle name="표준 4 4 2 3 3" xfId="13900"/>
    <cellStyle name="표준 4 4 2 3 3 2" xfId="34776"/>
    <cellStyle name="표준 4 4 2 3 4" xfId="26038"/>
    <cellStyle name="표준 4 4 2 4" xfId="5552"/>
    <cellStyle name="표준 4 4 2 4 2" xfId="14561"/>
    <cellStyle name="표준 4 4 2 4 2 2" xfId="35437"/>
    <cellStyle name="표준 4 4 2 4 3" xfId="26699"/>
    <cellStyle name="표준 4 4 2 5" xfId="7355"/>
    <cellStyle name="표준 4 4 2 5 2" xfId="16362"/>
    <cellStyle name="표준 4 4 2 5 2 2" xfId="37238"/>
    <cellStyle name="표준 4 4 2 5 3" xfId="28500"/>
    <cellStyle name="표준 4 4 2 6" xfId="7999"/>
    <cellStyle name="표준 4 4 2 6 2" xfId="17005"/>
    <cellStyle name="표준 4 4 2 6 2 2" xfId="37881"/>
    <cellStyle name="표준 4 4 2 6 3" xfId="29143"/>
    <cellStyle name="표준 4 4 2 7" xfId="8847"/>
    <cellStyle name="표준 4 4 2 7 2" xfId="17852"/>
    <cellStyle name="표준 4 4 2 7 2 2" xfId="38728"/>
    <cellStyle name="표준 4 4 2 7 3" xfId="29990"/>
    <cellStyle name="표준 4 4 2 8" xfId="9672"/>
    <cellStyle name="표준 4 4 2 8 2" xfId="18670"/>
    <cellStyle name="표준 4 4 2 8 2 2" xfId="39546"/>
    <cellStyle name="표준 4 4 2 8 3" xfId="30808"/>
    <cellStyle name="표준 4 4 2 9" xfId="10727"/>
    <cellStyle name="표준 4 4 2 9 2" xfId="19498"/>
    <cellStyle name="표준 4 4 2 9 2 2" xfId="40374"/>
    <cellStyle name="표준 4 4 2 9 3" xfId="31638"/>
    <cellStyle name="표준 4 4 3" xfId="3503"/>
    <cellStyle name="표준 4 4 3 10" xfId="12966"/>
    <cellStyle name="표준 4 4 3 10 2" xfId="33843"/>
    <cellStyle name="표준 4 4 3 11" xfId="25093"/>
    <cellStyle name="표준 4 4 3 2" xfId="5101"/>
    <cellStyle name="표준 4 4 3 2 2" xfId="6926"/>
    <cellStyle name="표준 4 4 3 2 2 2" xfId="15935"/>
    <cellStyle name="표준 4 4 3 2 2 2 2" xfId="36811"/>
    <cellStyle name="표준 4 4 3 2 2 3" xfId="28073"/>
    <cellStyle name="표준 4 4 3 2 3" xfId="14117"/>
    <cellStyle name="표준 4 4 3 2 3 2" xfId="34993"/>
    <cellStyle name="표준 4 4 3 2 4" xfId="26255"/>
    <cellStyle name="표준 4 4 3 3" xfId="5776"/>
    <cellStyle name="표준 4 4 3 3 2" xfId="14785"/>
    <cellStyle name="표준 4 4 3 3 2 2" xfId="35661"/>
    <cellStyle name="표준 4 4 3 3 3" xfId="26923"/>
    <cellStyle name="표준 4 4 3 4" xfId="7572"/>
    <cellStyle name="표준 4 4 3 4 2" xfId="16579"/>
    <cellStyle name="표준 4 4 3 4 2 2" xfId="37455"/>
    <cellStyle name="표준 4 4 3 4 3" xfId="28717"/>
    <cellStyle name="표준 4 4 3 5" xfId="8216"/>
    <cellStyle name="표준 4 4 3 5 2" xfId="17222"/>
    <cellStyle name="표준 4 4 3 5 2 2" xfId="38098"/>
    <cellStyle name="표준 4 4 3 5 3" xfId="29360"/>
    <cellStyle name="표준 4 4 3 6" xfId="9064"/>
    <cellStyle name="표준 4 4 3 6 2" xfId="18069"/>
    <cellStyle name="표준 4 4 3 6 2 2" xfId="38945"/>
    <cellStyle name="표준 4 4 3 6 3" xfId="30207"/>
    <cellStyle name="표준 4 4 3 7" xfId="9889"/>
    <cellStyle name="표준 4 4 3 7 2" xfId="18887"/>
    <cellStyle name="표준 4 4 3 7 2 2" xfId="39763"/>
    <cellStyle name="표준 4 4 3 7 3" xfId="31025"/>
    <cellStyle name="표준 4 4 3 8" xfId="10944"/>
    <cellStyle name="표준 4 4 3 8 2" xfId="19715"/>
    <cellStyle name="표준 4 4 3 8 2 2" xfId="40591"/>
    <cellStyle name="표준 4 4 3 8 3" xfId="31855"/>
    <cellStyle name="표준 4 4 3 9" xfId="11810"/>
    <cellStyle name="표준 4 4 3 9 2" xfId="20576"/>
    <cellStyle name="표준 4 4 3 9 2 2" xfId="41452"/>
    <cellStyle name="표준 4 4 3 9 3" xfId="32716"/>
    <cellStyle name="표준 4 4 4" xfId="4662"/>
    <cellStyle name="표준 4 4 4 2" xfId="6496"/>
    <cellStyle name="표준 4 4 4 2 2" xfId="15505"/>
    <cellStyle name="표준 4 4 4 2 2 2" xfId="36381"/>
    <cellStyle name="표준 4 4 4 2 3" xfId="27643"/>
    <cellStyle name="표준 4 4 4 3" xfId="11163"/>
    <cellStyle name="표준 4 4 4 3 2" xfId="19932"/>
    <cellStyle name="표준 4 4 4 3 2 2" xfId="40808"/>
    <cellStyle name="표준 4 4 4 3 3" xfId="32072"/>
    <cellStyle name="표준 4 4 4 4" xfId="12027"/>
    <cellStyle name="표준 4 4 4 4 2" xfId="20793"/>
    <cellStyle name="표준 4 4 4 4 2 2" xfId="41669"/>
    <cellStyle name="표준 4 4 4 4 3" xfId="32933"/>
    <cellStyle name="표준 4 4 4 5" xfId="13687"/>
    <cellStyle name="표준 4 4 4 5 2" xfId="34563"/>
    <cellStyle name="표준 4 4 4 6" xfId="25825"/>
    <cellStyle name="표준 4 4 5" xfId="5339"/>
    <cellStyle name="표준 4 4 5 2" xfId="14348"/>
    <cellStyle name="표준 4 4 5 2 2" xfId="35224"/>
    <cellStyle name="표준 4 4 5 3" xfId="26486"/>
    <cellStyle name="표준 4 4 6" xfId="7141"/>
    <cellStyle name="표준 4 4 6 2" xfId="16149"/>
    <cellStyle name="표준 4 4 6 2 2" xfId="37025"/>
    <cellStyle name="표준 4 4 6 3" xfId="28287"/>
    <cellStyle name="표준 4 4 7" xfId="7786"/>
    <cellStyle name="표준 4 4 7 2" xfId="16792"/>
    <cellStyle name="표준 4 4 7 2 2" xfId="37668"/>
    <cellStyle name="표준 4 4 7 3" xfId="28930"/>
    <cellStyle name="표준 4 4 8" xfId="8634"/>
    <cellStyle name="표준 4 4 8 2" xfId="17639"/>
    <cellStyle name="표준 4 4 8 2 2" xfId="38515"/>
    <cellStyle name="표준 4 4 8 3" xfId="29777"/>
    <cellStyle name="표준 4 4 9" xfId="9458"/>
    <cellStyle name="표준 4 4 9 2" xfId="18457"/>
    <cellStyle name="표준 4 4 9 2 2" xfId="39333"/>
    <cellStyle name="표준 4 4 9 3" xfId="30595"/>
    <cellStyle name="표준 4 5" xfId="3059"/>
    <cellStyle name="표준 4 5 10" xfId="10515"/>
    <cellStyle name="표준 4 5 10 2" xfId="19286"/>
    <cellStyle name="표준 4 5 10 2 2" xfId="40162"/>
    <cellStyle name="표준 4 5 10 3" xfId="31426"/>
    <cellStyle name="표준 4 5 11" xfId="11381"/>
    <cellStyle name="표준 4 5 11 2" xfId="20147"/>
    <cellStyle name="표준 4 5 11 2 2" xfId="41023"/>
    <cellStyle name="표준 4 5 11 3" xfId="32287"/>
    <cellStyle name="표준 4 5 12" xfId="12530"/>
    <cellStyle name="표준 4 5 12 2" xfId="33407"/>
    <cellStyle name="표준 4 5 13" xfId="24657"/>
    <cellStyle name="표준 4 5 2" xfId="3276"/>
    <cellStyle name="표준 4 5 2 10" xfId="11594"/>
    <cellStyle name="표준 4 5 2 10 2" xfId="20360"/>
    <cellStyle name="표준 4 5 2 10 2 2" xfId="41236"/>
    <cellStyle name="표준 4 5 2 10 3" xfId="32500"/>
    <cellStyle name="표준 4 5 2 11" xfId="12743"/>
    <cellStyle name="표준 4 5 2 11 2" xfId="33620"/>
    <cellStyle name="표준 4 5 2 12" xfId="24870"/>
    <cellStyle name="표준 4 5 2 2" xfId="3717"/>
    <cellStyle name="표준 4 5 2 2 2" xfId="5990"/>
    <cellStyle name="표준 4 5 2 2 2 2" xfId="14999"/>
    <cellStyle name="표준 4 5 2 2 2 2 2" xfId="35875"/>
    <cellStyle name="표준 4 5 2 2 2 3" xfId="27137"/>
    <cellStyle name="표준 4 5 2 2 3" xfId="13180"/>
    <cellStyle name="표준 4 5 2 2 3 2" xfId="34057"/>
    <cellStyle name="표준 4 5 2 2 4" xfId="25307"/>
    <cellStyle name="표준 4 5 2 3" xfId="4879"/>
    <cellStyle name="표준 4 5 2 3 2" xfId="6710"/>
    <cellStyle name="표준 4 5 2 3 2 2" xfId="15719"/>
    <cellStyle name="표준 4 5 2 3 2 2 2" xfId="36595"/>
    <cellStyle name="표준 4 5 2 3 2 3" xfId="27857"/>
    <cellStyle name="표준 4 5 2 3 3" xfId="13901"/>
    <cellStyle name="표준 4 5 2 3 3 2" xfId="34777"/>
    <cellStyle name="표준 4 5 2 3 4" xfId="26039"/>
    <cellStyle name="표준 4 5 2 4" xfId="5553"/>
    <cellStyle name="표준 4 5 2 4 2" xfId="14562"/>
    <cellStyle name="표준 4 5 2 4 2 2" xfId="35438"/>
    <cellStyle name="표준 4 5 2 4 3" xfId="26700"/>
    <cellStyle name="표준 4 5 2 5" xfId="7356"/>
    <cellStyle name="표준 4 5 2 5 2" xfId="16363"/>
    <cellStyle name="표준 4 5 2 5 2 2" xfId="37239"/>
    <cellStyle name="표준 4 5 2 5 3" xfId="28501"/>
    <cellStyle name="표준 4 5 2 6" xfId="8000"/>
    <cellStyle name="표준 4 5 2 6 2" xfId="17006"/>
    <cellStyle name="표준 4 5 2 6 2 2" xfId="37882"/>
    <cellStyle name="표준 4 5 2 6 3" xfId="29144"/>
    <cellStyle name="표준 4 5 2 7" xfId="8848"/>
    <cellStyle name="표준 4 5 2 7 2" xfId="17853"/>
    <cellStyle name="표준 4 5 2 7 2 2" xfId="38729"/>
    <cellStyle name="표준 4 5 2 7 3" xfId="29991"/>
    <cellStyle name="표준 4 5 2 8" xfId="9673"/>
    <cellStyle name="표준 4 5 2 8 2" xfId="18671"/>
    <cellStyle name="표준 4 5 2 8 2 2" xfId="39547"/>
    <cellStyle name="표준 4 5 2 8 3" xfId="30809"/>
    <cellStyle name="표준 4 5 2 9" xfId="10728"/>
    <cellStyle name="표준 4 5 2 9 2" xfId="19499"/>
    <cellStyle name="표준 4 5 2 9 2 2" xfId="40375"/>
    <cellStyle name="표준 4 5 2 9 3" xfId="31639"/>
    <cellStyle name="표준 4 5 3" xfId="3504"/>
    <cellStyle name="표준 4 5 3 10" xfId="12967"/>
    <cellStyle name="표준 4 5 3 10 2" xfId="33844"/>
    <cellStyle name="표준 4 5 3 11" xfId="25094"/>
    <cellStyle name="표준 4 5 3 2" xfId="5102"/>
    <cellStyle name="표준 4 5 3 2 2" xfId="6927"/>
    <cellStyle name="표준 4 5 3 2 2 2" xfId="15936"/>
    <cellStyle name="표준 4 5 3 2 2 2 2" xfId="36812"/>
    <cellStyle name="표준 4 5 3 2 2 3" xfId="28074"/>
    <cellStyle name="표준 4 5 3 2 3" xfId="14118"/>
    <cellStyle name="표준 4 5 3 2 3 2" xfId="34994"/>
    <cellStyle name="표준 4 5 3 2 4" xfId="26256"/>
    <cellStyle name="표준 4 5 3 3" xfId="5777"/>
    <cellStyle name="표준 4 5 3 3 2" xfId="14786"/>
    <cellStyle name="표준 4 5 3 3 2 2" xfId="35662"/>
    <cellStyle name="표준 4 5 3 3 3" xfId="26924"/>
    <cellStyle name="표준 4 5 3 4" xfId="7573"/>
    <cellStyle name="표준 4 5 3 4 2" xfId="16580"/>
    <cellStyle name="표준 4 5 3 4 2 2" xfId="37456"/>
    <cellStyle name="표준 4 5 3 4 3" xfId="28718"/>
    <cellStyle name="표준 4 5 3 5" xfId="8217"/>
    <cellStyle name="표준 4 5 3 5 2" xfId="17223"/>
    <cellStyle name="표준 4 5 3 5 2 2" xfId="38099"/>
    <cellStyle name="표준 4 5 3 5 3" xfId="29361"/>
    <cellStyle name="표준 4 5 3 6" xfId="9065"/>
    <cellStyle name="표준 4 5 3 6 2" xfId="18070"/>
    <cellStyle name="표준 4 5 3 6 2 2" xfId="38946"/>
    <cellStyle name="표준 4 5 3 6 3" xfId="30208"/>
    <cellStyle name="표준 4 5 3 7" xfId="9890"/>
    <cellStyle name="표준 4 5 3 7 2" xfId="18888"/>
    <cellStyle name="표준 4 5 3 7 2 2" xfId="39764"/>
    <cellStyle name="표준 4 5 3 7 3" xfId="31026"/>
    <cellStyle name="표준 4 5 3 8" xfId="10945"/>
    <cellStyle name="표준 4 5 3 8 2" xfId="19716"/>
    <cellStyle name="표준 4 5 3 8 2 2" xfId="40592"/>
    <cellStyle name="표준 4 5 3 8 3" xfId="31856"/>
    <cellStyle name="표준 4 5 3 9" xfId="11811"/>
    <cellStyle name="표준 4 5 3 9 2" xfId="20577"/>
    <cellStyle name="표준 4 5 3 9 2 2" xfId="41453"/>
    <cellStyle name="표준 4 5 3 9 3" xfId="32717"/>
    <cellStyle name="표준 4 5 4" xfId="4663"/>
    <cellStyle name="표준 4 5 4 2" xfId="6497"/>
    <cellStyle name="표준 4 5 4 2 2" xfId="15506"/>
    <cellStyle name="표준 4 5 4 2 2 2" xfId="36382"/>
    <cellStyle name="표준 4 5 4 2 3" xfId="27644"/>
    <cellStyle name="표준 4 5 4 3" xfId="11164"/>
    <cellStyle name="표준 4 5 4 3 2" xfId="19933"/>
    <cellStyle name="표준 4 5 4 3 2 2" xfId="40809"/>
    <cellStyle name="표준 4 5 4 3 3" xfId="32073"/>
    <cellStyle name="표준 4 5 4 4" xfId="12028"/>
    <cellStyle name="표준 4 5 4 4 2" xfId="20794"/>
    <cellStyle name="표준 4 5 4 4 2 2" xfId="41670"/>
    <cellStyle name="표준 4 5 4 4 3" xfId="32934"/>
    <cellStyle name="표준 4 5 4 5" xfId="13688"/>
    <cellStyle name="표준 4 5 4 5 2" xfId="34564"/>
    <cellStyle name="표준 4 5 4 6" xfId="25826"/>
    <cellStyle name="표준 4 5 5" xfId="5340"/>
    <cellStyle name="표준 4 5 5 2" xfId="14349"/>
    <cellStyle name="표준 4 5 5 2 2" xfId="35225"/>
    <cellStyle name="표준 4 5 5 3" xfId="26487"/>
    <cellStyle name="표준 4 5 6" xfId="7142"/>
    <cellStyle name="표준 4 5 6 2" xfId="16150"/>
    <cellStyle name="표준 4 5 6 2 2" xfId="37026"/>
    <cellStyle name="표준 4 5 6 3" xfId="28288"/>
    <cellStyle name="표준 4 5 7" xfId="7787"/>
    <cellStyle name="표준 4 5 7 2" xfId="16793"/>
    <cellStyle name="표준 4 5 7 2 2" xfId="37669"/>
    <cellStyle name="표준 4 5 7 3" xfId="28931"/>
    <cellStyle name="표준 4 5 8" xfId="8635"/>
    <cellStyle name="표준 4 5 8 2" xfId="17640"/>
    <cellStyle name="표준 4 5 8 2 2" xfId="38516"/>
    <cellStyle name="표준 4 5 8 3" xfId="29778"/>
    <cellStyle name="표준 4 5 9" xfId="9459"/>
    <cellStyle name="표준 4 5 9 2" xfId="18458"/>
    <cellStyle name="표준 4 5 9 2 2" xfId="39334"/>
    <cellStyle name="표준 4 5 9 3" xfId="30596"/>
    <cellStyle name="표준 4 6" xfId="3060"/>
    <cellStyle name="표준 4 6 10" xfId="10516"/>
    <cellStyle name="표준 4 6 10 2" xfId="19287"/>
    <cellStyle name="표준 4 6 10 2 2" xfId="40163"/>
    <cellStyle name="표준 4 6 10 3" xfId="31427"/>
    <cellStyle name="표준 4 6 11" xfId="11382"/>
    <cellStyle name="표준 4 6 11 2" xfId="20148"/>
    <cellStyle name="표준 4 6 11 2 2" xfId="41024"/>
    <cellStyle name="표준 4 6 11 3" xfId="32288"/>
    <cellStyle name="표준 4 6 12" xfId="12531"/>
    <cellStyle name="표준 4 6 12 2" xfId="33408"/>
    <cellStyle name="표준 4 6 13" xfId="24658"/>
    <cellStyle name="표준 4 6 2" xfId="3277"/>
    <cellStyle name="표준 4 6 2 10" xfId="11595"/>
    <cellStyle name="표준 4 6 2 10 2" xfId="20361"/>
    <cellStyle name="표준 4 6 2 10 2 2" xfId="41237"/>
    <cellStyle name="표준 4 6 2 10 3" xfId="32501"/>
    <cellStyle name="표준 4 6 2 11" xfId="12744"/>
    <cellStyle name="표준 4 6 2 11 2" xfId="33621"/>
    <cellStyle name="표준 4 6 2 12" xfId="24871"/>
    <cellStyle name="표준 4 6 2 2" xfId="3718"/>
    <cellStyle name="표준 4 6 2 2 2" xfId="5991"/>
    <cellStyle name="표준 4 6 2 2 2 2" xfId="15000"/>
    <cellStyle name="표준 4 6 2 2 2 2 2" xfId="35876"/>
    <cellStyle name="표준 4 6 2 2 2 3" xfId="27138"/>
    <cellStyle name="표준 4 6 2 2 3" xfId="13181"/>
    <cellStyle name="표준 4 6 2 2 3 2" xfId="34058"/>
    <cellStyle name="표준 4 6 2 2 4" xfId="25308"/>
    <cellStyle name="표준 4 6 2 3" xfId="4880"/>
    <cellStyle name="표준 4 6 2 3 2" xfId="6711"/>
    <cellStyle name="표준 4 6 2 3 2 2" xfId="15720"/>
    <cellStyle name="표준 4 6 2 3 2 2 2" xfId="36596"/>
    <cellStyle name="표준 4 6 2 3 2 3" xfId="27858"/>
    <cellStyle name="표준 4 6 2 3 3" xfId="13902"/>
    <cellStyle name="표준 4 6 2 3 3 2" xfId="34778"/>
    <cellStyle name="표준 4 6 2 3 4" xfId="26040"/>
    <cellStyle name="표준 4 6 2 4" xfId="5554"/>
    <cellStyle name="표준 4 6 2 4 2" xfId="14563"/>
    <cellStyle name="표준 4 6 2 4 2 2" xfId="35439"/>
    <cellStyle name="표준 4 6 2 4 3" xfId="26701"/>
    <cellStyle name="표준 4 6 2 5" xfId="7357"/>
    <cellStyle name="표준 4 6 2 5 2" xfId="16364"/>
    <cellStyle name="표준 4 6 2 5 2 2" xfId="37240"/>
    <cellStyle name="표준 4 6 2 5 3" xfId="28502"/>
    <cellStyle name="표준 4 6 2 6" xfId="8001"/>
    <cellStyle name="표준 4 6 2 6 2" xfId="17007"/>
    <cellStyle name="표준 4 6 2 6 2 2" xfId="37883"/>
    <cellStyle name="표준 4 6 2 6 3" xfId="29145"/>
    <cellStyle name="표준 4 6 2 7" xfId="8849"/>
    <cellStyle name="표준 4 6 2 7 2" xfId="17854"/>
    <cellStyle name="표준 4 6 2 7 2 2" xfId="38730"/>
    <cellStyle name="표준 4 6 2 7 3" xfId="29992"/>
    <cellStyle name="표준 4 6 2 8" xfId="9674"/>
    <cellStyle name="표준 4 6 2 8 2" xfId="18672"/>
    <cellStyle name="표준 4 6 2 8 2 2" xfId="39548"/>
    <cellStyle name="표준 4 6 2 8 3" xfId="30810"/>
    <cellStyle name="표준 4 6 2 9" xfId="10729"/>
    <cellStyle name="표준 4 6 2 9 2" xfId="19500"/>
    <cellStyle name="표준 4 6 2 9 2 2" xfId="40376"/>
    <cellStyle name="표준 4 6 2 9 3" xfId="31640"/>
    <cellStyle name="표준 4 6 3" xfId="3505"/>
    <cellStyle name="표준 4 6 3 10" xfId="12968"/>
    <cellStyle name="표준 4 6 3 10 2" xfId="33845"/>
    <cellStyle name="표준 4 6 3 11" xfId="25095"/>
    <cellStyle name="표준 4 6 3 2" xfId="5103"/>
    <cellStyle name="표준 4 6 3 2 2" xfId="6928"/>
    <cellStyle name="표준 4 6 3 2 2 2" xfId="15937"/>
    <cellStyle name="표준 4 6 3 2 2 2 2" xfId="36813"/>
    <cellStyle name="표준 4 6 3 2 2 3" xfId="28075"/>
    <cellStyle name="표준 4 6 3 2 3" xfId="14119"/>
    <cellStyle name="표준 4 6 3 2 3 2" xfId="34995"/>
    <cellStyle name="표준 4 6 3 2 4" xfId="26257"/>
    <cellStyle name="표준 4 6 3 3" xfId="5778"/>
    <cellStyle name="표준 4 6 3 3 2" xfId="14787"/>
    <cellStyle name="표준 4 6 3 3 2 2" xfId="35663"/>
    <cellStyle name="표준 4 6 3 3 3" xfId="26925"/>
    <cellStyle name="표준 4 6 3 4" xfId="7574"/>
    <cellStyle name="표준 4 6 3 4 2" xfId="16581"/>
    <cellStyle name="표준 4 6 3 4 2 2" xfId="37457"/>
    <cellStyle name="표준 4 6 3 4 3" xfId="28719"/>
    <cellStyle name="표준 4 6 3 5" xfId="8218"/>
    <cellStyle name="표준 4 6 3 5 2" xfId="17224"/>
    <cellStyle name="표준 4 6 3 5 2 2" xfId="38100"/>
    <cellStyle name="표준 4 6 3 5 3" xfId="29362"/>
    <cellStyle name="표준 4 6 3 6" xfId="9066"/>
    <cellStyle name="표준 4 6 3 6 2" xfId="18071"/>
    <cellStyle name="표준 4 6 3 6 2 2" xfId="38947"/>
    <cellStyle name="표준 4 6 3 6 3" xfId="30209"/>
    <cellStyle name="표준 4 6 3 7" xfId="9891"/>
    <cellStyle name="표준 4 6 3 7 2" xfId="18889"/>
    <cellStyle name="표준 4 6 3 7 2 2" xfId="39765"/>
    <cellStyle name="표준 4 6 3 7 3" xfId="31027"/>
    <cellStyle name="표준 4 6 3 8" xfId="10946"/>
    <cellStyle name="표준 4 6 3 8 2" xfId="19717"/>
    <cellStyle name="표준 4 6 3 8 2 2" xfId="40593"/>
    <cellStyle name="표준 4 6 3 8 3" xfId="31857"/>
    <cellStyle name="표준 4 6 3 9" xfId="11812"/>
    <cellStyle name="표준 4 6 3 9 2" xfId="20578"/>
    <cellStyle name="표준 4 6 3 9 2 2" xfId="41454"/>
    <cellStyle name="표준 4 6 3 9 3" xfId="32718"/>
    <cellStyle name="표준 4 6 4" xfId="4664"/>
    <cellStyle name="표준 4 6 4 2" xfId="6498"/>
    <cellStyle name="표준 4 6 4 2 2" xfId="15507"/>
    <cellStyle name="표준 4 6 4 2 2 2" xfId="36383"/>
    <cellStyle name="표준 4 6 4 2 3" xfId="27645"/>
    <cellStyle name="표준 4 6 4 3" xfId="11165"/>
    <cellStyle name="표준 4 6 4 3 2" xfId="19934"/>
    <cellStyle name="표준 4 6 4 3 2 2" xfId="40810"/>
    <cellStyle name="표준 4 6 4 3 3" xfId="32074"/>
    <cellStyle name="표준 4 6 4 4" xfId="12029"/>
    <cellStyle name="표준 4 6 4 4 2" xfId="20795"/>
    <cellStyle name="표준 4 6 4 4 2 2" xfId="41671"/>
    <cellStyle name="표준 4 6 4 4 3" xfId="32935"/>
    <cellStyle name="표준 4 6 4 5" xfId="13689"/>
    <cellStyle name="표준 4 6 4 5 2" xfId="34565"/>
    <cellStyle name="표준 4 6 4 6" xfId="25827"/>
    <cellStyle name="표준 4 6 5" xfId="5341"/>
    <cellStyle name="표준 4 6 5 2" xfId="14350"/>
    <cellStyle name="표준 4 6 5 2 2" xfId="35226"/>
    <cellStyle name="표준 4 6 5 3" xfId="26488"/>
    <cellStyle name="표준 4 6 6" xfId="7143"/>
    <cellStyle name="표준 4 6 6 2" xfId="16151"/>
    <cellStyle name="표준 4 6 6 2 2" xfId="37027"/>
    <cellStyle name="표준 4 6 6 3" xfId="28289"/>
    <cellStyle name="표준 4 6 7" xfId="7788"/>
    <cellStyle name="표준 4 6 7 2" xfId="16794"/>
    <cellStyle name="표준 4 6 7 2 2" xfId="37670"/>
    <cellStyle name="표준 4 6 7 3" xfId="28932"/>
    <cellStyle name="표준 4 6 8" xfId="8636"/>
    <cellStyle name="표준 4 6 8 2" xfId="17641"/>
    <cellStyle name="표준 4 6 8 2 2" xfId="38517"/>
    <cellStyle name="표준 4 6 8 3" xfId="29779"/>
    <cellStyle name="표준 4 6 9" xfId="9460"/>
    <cellStyle name="표준 4 6 9 2" xfId="18459"/>
    <cellStyle name="표준 4 6 9 2 2" xfId="39335"/>
    <cellStyle name="표준 4 6 9 3" xfId="30597"/>
    <cellStyle name="표준 4 7" xfId="3061"/>
    <cellStyle name="표준 4 7 10" xfId="10517"/>
    <cellStyle name="표준 4 7 10 2" xfId="19288"/>
    <cellStyle name="표준 4 7 10 2 2" xfId="40164"/>
    <cellStyle name="표준 4 7 10 3" xfId="31428"/>
    <cellStyle name="표준 4 7 11" xfId="11383"/>
    <cellStyle name="표준 4 7 11 2" xfId="20149"/>
    <cellStyle name="표준 4 7 11 2 2" xfId="41025"/>
    <cellStyle name="표준 4 7 11 3" xfId="32289"/>
    <cellStyle name="표준 4 7 12" xfId="12532"/>
    <cellStyle name="표준 4 7 12 2" xfId="33409"/>
    <cellStyle name="표준 4 7 13" xfId="24659"/>
    <cellStyle name="표준 4 7 2" xfId="3278"/>
    <cellStyle name="표준 4 7 2 10" xfId="11596"/>
    <cellStyle name="표준 4 7 2 10 2" xfId="20362"/>
    <cellStyle name="표준 4 7 2 10 2 2" xfId="41238"/>
    <cellStyle name="표준 4 7 2 10 3" xfId="32502"/>
    <cellStyle name="표준 4 7 2 11" xfId="12745"/>
    <cellStyle name="표준 4 7 2 11 2" xfId="33622"/>
    <cellStyle name="표준 4 7 2 12" xfId="24872"/>
    <cellStyle name="표준 4 7 2 2" xfId="3719"/>
    <cellStyle name="표준 4 7 2 2 2" xfId="5992"/>
    <cellStyle name="표준 4 7 2 2 2 2" xfId="15001"/>
    <cellStyle name="표준 4 7 2 2 2 2 2" xfId="35877"/>
    <cellStyle name="표준 4 7 2 2 2 3" xfId="27139"/>
    <cellStyle name="표준 4 7 2 2 3" xfId="13182"/>
    <cellStyle name="표준 4 7 2 2 3 2" xfId="34059"/>
    <cellStyle name="표준 4 7 2 2 4" xfId="25309"/>
    <cellStyle name="표준 4 7 2 3" xfId="4881"/>
    <cellStyle name="표준 4 7 2 3 2" xfId="6712"/>
    <cellStyle name="표준 4 7 2 3 2 2" xfId="15721"/>
    <cellStyle name="표준 4 7 2 3 2 2 2" xfId="36597"/>
    <cellStyle name="표준 4 7 2 3 2 3" xfId="27859"/>
    <cellStyle name="표준 4 7 2 3 3" xfId="13903"/>
    <cellStyle name="표준 4 7 2 3 3 2" xfId="34779"/>
    <cellStyle name="표준 4 7 2 3 4" xfId="26041"/>
    <cellStyle name="표준 4 7 2 4" xfId="5555"/>
    <cellStyle name="표준 4 7 2 4 2" xfId="14564"/>
    <cellStyle name="표준 4 7 2 4 2 2" xfId="35440"/>
    <cellStyle name="표준 4 7 2 4 3" xfId="26702"/>
    <cellStyle name="표준 4 7 2 5" xfId="7358"/>
    <cellStyle name="표준 4 7 2 5 2" xfId="16365"/>
    <cellStyle name="표준 4 7 2 5 2 2" xfId="37241"/>
    <cellStyle name="표준 4 7 2 5 3" xfId="28503"/>
    <cellStyle name="표준 4 7 2 6" xfId="8002"/>
    <cellStyle name="표준 4 7 2 6 2" xfId="17008"/>
    <cellStyle name="표준 4 7 2 6 2 2" xfId="37884"/>
    <cellStyle name="표준 4 7 2 6 3" xfId="29146"/>
    <cellStyle name="표준 4 7 2 7" xfId="8850"/>
    <cellStyle name="표준 4 7 2 7 2" xfId="17855"/>
    <cellStyle name="표준 4 7 2 7 2 2" xfId="38731"/>
    <cellStyle name="표준 4 7 2 7 3" xfId="29993"/>
    <cellStyle name="표준 4 7 2 8" xfId="9675"/>
    <cellStyle name="표준 4 7 2 8 2" xfId="18673"/>
    <cellStyle name="표준 4 7 2 8 2 2" xfId="39549"/>
    <cellStyle name="표준 4 7 2 8 3" xfId="30811"/>
    <cellStyle name="표준 4 7 2 9" xfId="10730"/>
    <cellStyle name="표준 4 7 2 9 2" xfId="19501"/>
    <cellStyle name="표준 4 7 2 9 2 2" xfId="40377"/>
    <cellStyle name="표준 4 7 2 9 3" xfId="31641"/>
    <cellStyle name="표준 4 7 3" xfId="3506"/>
    <cellStyle name="표준 4 7 3 10" xfId="12969"/>
    <cellStyle name="표준 4 7 3 10 2" xfId="33846"/>
    <cellStyle name="표준 4 7 3 11" xfId="25096"/>
    <cellStyle name="표준 4 7 3 2" xfId="5104"/>
    <cellStyle name="표준 4 7 3 2 2" xfId="6929"/>
    <cellStyle name="표준 4 7 3 2 2 2" xfId="15938"/>
    <cellStyle name="표준 4 7 3 2 2 2 2" xfId="36814"/>
    <cellStyle name="표준 4 7 3 2 2 3" xfId="28076"/>
    <cellStyle name="표준 4 7 3 2 3" xfId="14120"/>
    <cellStyle name="표준 4 7 3 2 3 2" xfId="34996"/>
    <cellStyle name="표준 4 7 3 2 4" xfId="26258"/>
    <cellStyle name="표준 4 7 3 3" xfId="5779"/>
    <cellStyle name="표준 4 7 3 3 2" xfId="14788"/>
    <cellStyle name="표준 4 7 3 3 2 2" xfId="35664"/>
    <cellStyle name="표준 4 7 3 3 3" xfId="26926"/>
    <cellStyle name="표준 4 7 3 4" xfId="7575"/>
    <cellStyle name="표준 4 7 3 4 2" xfId="16582"/>
    <cellStyle name="표준 4 7 3 4 2 2" xfId="37458"/>
    <cellStyle name="표준 4 7 3 4 3" xfId="28720"/>
    <cellStyle name="표준 4 7 3 5" xfId="8219"/>
    <cellStyle name="표준 4 7 3 5 2" xfId="17225"/>
    <cellStyle name="표준 4 7 3 5 2 2" xfId="38101"/>
    <cellStyle name="표준 4 7 3 5 3" xfId="29363"/>
    <cellStyle name="표준 4 7 3 6" xfId="9067"/>
    <cellStyle name="표준 4 7 3 6 2" xfId="18072"/>
    <cellStyle name="표준 4 7 3 6 2 2" xfId="38948"/>
    <cellStyle name="표준 4 7 3 6 3" xfId="30210"/>
    <cellStyle name="표준 4 7 3 7" xfId="9892"/>
    <cellStyle name="표준 4 7 3 7 2" xfId="18890"/>
    <cellStyle name="표준 4 7 3 7 2 2" xfId="39766"/>
    <cellStyle name="표준 4 7 3 7 3" xfId="31028"/>
    <cellStyle name="표준 4 7 3 8" xfId="10947"/>
    <cellStyle name="표준 4 7 3 8 2" xfId="19718"/>
    <cellStyle name="표준 4 7 3 8 2 2" xfId="40594"/>
    <cellStyle name="표준 4 7 3 8 3" xfId="31858"/>
    <cellStyle name="표준 4 7 3 9" xfId="11813"/>
    <cellStyle name="표준 4 7 3 9 2" xfId="20579"/>
    <cellStyle name="표준 4 7 3 9 2 2" xfId="41455"/>
    <cellStyle name="표준 4 7 3 9 3" xfId="32719"/>
    <cellStyle name="표준 4 7 4" xfId="4665"/>
    <cellStyle name="표준 4 7 4 2" xfId="6499"/>
    <cellStyle name="표준 4 7 4 2 2" xfId="15508"/>
    <cellStyle name="표준 4 7 4 2 2 2" xfId="36384"/>
    <cellStyle name="표준 4 7 4 2 3" xfId="27646"/>
    <cellStyle name="표준 4 7 4 3" xfId="11166"/>
    <cellStyle name="표준 4 7 4 3 2" xfId="19935"/>
    <cellStyle name="표준 4 7 4 3 2 2" xfId="40811"/>
    <cellStyle name="표준 4 7 4 3 3" xfId="32075"/>
    <cellStyle name="표준 4 7 4 4" xfId="12030"/>
    <cellStyle name="표준 4 7 4 4 2" xfId="20796"/>
    <cellStyle name="표준 4 7 4 4 2 2" xfId="41672"/>
    <cellStyle name="표준 4 7 4 4 3" xfId="32936"/>
    <cellStyle name="표준 4 7 4 5" xfId="13690"/>
    <cellStyle name="표준 4 7 4 5 2" xfId="34566"/>
    <cellStyle name="표준 4 7 4 6" xfId="25828"/>
    <cellStyle name="표준 4 7 5" xfId="5342"/>
    <cellStyle name="표준 4 7 5 2" xfId="14351"/>
    <cellStyle name="표준 4 7 5 2 2" xfId="35227"/>
    <cellStyle name="표준 4 7 5 3" xfId="26489"/>
    <cellStyle name="표준 4 7 6" xfId="7144"/>
    <cellStyle name="표준 4 7 6 2" xfId="16152"/>
    <cellStyle name="표준 4 7 6 2 2" xfId="37028"/>
    <cellStyle name="표준 4 7 6 3" xfId="28290"/>
    <cellStyle name="표준 4 7 7" xfId="7789"/>
    <cellStyle name="표준 4 7 7 2" xfId="16795"/>
    <cellStyle name="표준 4 7 7 2 2" xfId="37671"/>
    <cellStyle name="표준 4 7 7 3" xfId="28933"/>
    <cellStyle name="표준 4 7 8" xfId="8637"/>
    <cellStyle name="표준 4 7 8 2" xfId="17642"/>
    <cellStyle name="표준 4 7 8 2 2" xfId="38518"/>
    <cellStyle name="표준 4 7 8 3" xfId="29780"/>
    <cellStyle name="표준 4 7 9" xfId="9461"/>
    <cellStyle name="표준 4 7 9 2" xfId="18460"/>
    <cellStyle name="표준 4 7 9 2 2" xfId="39336"/>
    <cellStyle name="표준 4 7 9 3" xfId="30598"/>
    <cellStyle name="표준 4 8" xfId="3272"/>
    <cellStyle name="표준 4 8 10" xfId="11590"/>
    <cellStyle name="표준 4 8 10 2" xfId="20356"/>
    <cellStyle name="표준 4 8 10 2 2" xfId="41232"/>
    <cellStyle name="표준 4 8 10 3" xfId="32496"/>
    <cellStyle name="표준 4 8 11" xfId="12739"/>
    <cellStyle name="표준 4 8 11 2" xfId="33616"/>
    <cellStyle name="표준 4 8 12" xfId="24866"/>
    <cellStyle name="표준 4 8 2" xfId="3713"/>
    <cellStyle name="표준 4 8 2 2" xfId="5986"/>
    <cellStyle name="표준 4 8 2 2 2" xfId="14995"/>
    <cellStyle name="표준 4 8 2 2 2 2" xfId="35871"/>
    <cellStyle name="표준 4 8 2 2 3" xfId="27133"/>
    <cellStyle name="표준 4 8 2 3" xfId="13176"/>
    <cellStyle name="표준 4 8 2 3 2" xfId="34053"/>
    <cellStyle name="표준 4 8 2 4" xfId="25303"/>
    <cellStyle name="표준 4 8 3" xfId="4875"/>
    <cellStyle name="표준 4 8 3 2" xfId="6706"/>
    <cellStyle name="표준 4 8 3 2 2" xfId="15715"/>
    <cellStyle name="표준 4 8 3 2 2 2" xfId="36591"/>
    <cellStyle name="표준 4 8 3 2 3" xfId="27853"/>
    <cellStyle name="표준 4 8 3 3" xfId="13897"/>
    <cellStyle name="표준 4 8 3 3 2" xfId="34773"/>
    <cellStyle name="표준 4 8 3 4" xfId="26035"/>
    <cellStyle name="표준 4 8 4" xfId="5549"/>
    <cellStyle name="표준 4 8 4 2" xfId="14558"/>
    <cellStyle name="표준 4 8 4 2 2" xfId="35434"/>
    <cellStyle name="표준 4 8 4 3" xfId="26696"/>
    <cellStyle name="표준 4 8 5" xfId="7352"/>
    <cellStyle name="표준 4 8 5 2" xfId="16359"/>
    <cellStyle name="표준 4 8 5 2 2" xfId="37235"/>
    <cellStyle name="표준 4 8 5 3" xfId="28497"/>
    <cellStyle name="표준 4 8 6" xfId="7996"/>
    <cellStyle name="표준 4 8 6 2" xfId="17002"/>
    <cellStyle name="표준 4 8 6 2 2" xfId="37878"/>
    <cellStyle name="표준 4 8 6 3" xfId="29140"/>
    <cellStyle name="표준 4 8 7" xfId="8844"/>
    <cellStyle name="표준 4 8 7 2" xfId="17849"/>
    <cellStyle name="표준 4 8 7 2 2" xfId="38725"/>
    <cellStyle name="표준 4 8 7 3" xfId="29987"/>
    <cellStyle name="표준 4 8 8" xfId="9669"/>
    <cellStyle name="표준 4 8 8 2" xfId="18667"/>
    <cellStyle name="표준 4 8 8 2 2" xfId="39543"/>
    <cellStyle name="표준 4 8 8 3" xfId="30805"/>
    <cellStyle name="표준 4 8 9" xfId="10724"/>
    <cellStyle name="표준 4 8 9 2" xfId="19495"/>
    <cellStyle name="표준 4 8 9 2 2" xfId="40371"/>
    <cellStyle name="표준 4 8 9 3" xfId="31635"/>
    <cellStyle name="표준 4 9" xfId="3055"/>
    <cellStyle name="표준 4 9 10" xfId="12526"/>
    <cellStyle name="표준 4 9 10 2" xfId="33403"/>
    <cellStyle name="표준 4 9 11" xfId="24653"/>
    <cellStyle name="표준 4 9 2" xfId="5098"/>
    <cellStyle name="표준 4 9 2 2" xfId="6923"/>
    <cellStyle name="표준 4 9 2 2 2" xfId="15932"/>
    <cellStyle name="표준 4 9 2 2 2 2" xfId="36808"/>
    <cellStyle name="표준 4 9 2 2 3" xfId="28070"/>
    <cellStyle name="표준 4 9 2 3" xfId="14114"/>
    <cellStyle name="표준 4 9 2 3 2" xfId="34990"/>
    <cellStyle name="표준 4 9 2 4" xfId="26252"/>
    <cellStyle name="표준 4 9 3" xfId="5336"/>
    <cellStyle name="표준 4 9 3 2" xfId="14345"/>
    <cellStyle name="표준 4 9 3 2 2" xfId="35221"/>
    <cellStyle name="표준 4 9 3 3" xfId="26483"/>
    <cellStyle name="표준 4 9 4" xfId="7569"/>
    <cellStyle name="표준 4 9 4 2" xfId="16576"/>
    <cellStyle name="표준 4 9 4 2 2" xfId="37452"/>
    <cellStyle name="표준 4 9 4 3" xfId="28714"/>
    <cellStyle name="표준 4 9 5" xfId="8213"/>
    <cellStyle name="표준 4 9 5 2" xfId="17219"/>
    <cellStyle name="표준 4 9 5 2 2" xfId="38095"/>
    <cellStyle name="표준 4 9 5 3" xfId="29357"/>
    <cellStyle name="표준 4 9 6" xfId="9061"/>
    <cellStyle name="표준 4 9 6 2" xfId="18066"/>
    <cellStyle name="표준 4 9 6 2 2" xfId="38942"/>
    <cellStyle name="표준 4 9 6 3" xfId="30204"/>
    <cellStyle name="표준 4 9 7" xfId="9886"/>
    <cellStyle name="표준 4 9 7 2" xfId="18884"/>
    <cellStyle name="표준 4 9 7 2 2" xfId="39760"/>
    <cellStyle name="표준 4 9 7 3" xfId="31022"/>
    <cellStyle name="표준 4 9 8" xfId="10941"/>
    <cellStyle name="표준 4 9 8 2" xfId="19712"/>
    <cellStyle name="표준 4 9 8 2 2" xfId="40588"/>
    <cellStyle name="표준 4 9 8 3" xfId="31852"/>
    <cellStyle name="표준 4 9 9" xfId="11807"/>
    <cellStyle name="표준 4 9 9 2" xfId="20573"/>
    <cellStyle name="표준 4 9 9 2 2" xfId="41449"/>
    <cellStyle name="표준 4 9 9 3" xfId="32713"/>
    <cellStyle name="표준 40" xfId="3062"/>
    <cellStyle name="표준 41" xfId="3279"/>
    <cellStyle name="표준 41 10" xfId="11597"/>
    <cellStyle name="표준 41 10 2" xfId="20363"/>
    <cellStyle name="표준 41 10 2 2" xfId="41239"/>
    <cellStyle name="표준 41 10 3" xfId="32503"/>
    <cellStyle name="표준 41 11" xfId="12746"/>
    <cellStyle name="표준 41 11 2" xfId="33623"/>
    <cellStyle name="표준 41 12" xfId="24873"/>
    <cellStyle name="표준 41 2" xfId="3720"/>
    <cellStyle name="표준 41 2 10" xfId="13183"/>
    <cellStyle name="표준 41 2 10 2" xfId="34060"/>
    <cellStyle name="표준 41 2 11" xfId="25310"/>
    <cellStyle name="표준 41 2 2" xfId="5105"/>
    <cellStyle name="표준 41 2 2 2" xfId="6930"/>
    <cellStyle name="표준 41 2 2 2 2" xfId="15939"/>
    <cellStyle name="표준 41 2 2 2 2 2" xfId="36815"/>
    <cellStyle name="표준 41 2 2 2 3" xfId="28077"/>
    <cellStyle name="표준 41 2 2 3" xfId="14121"/>
    <cellStyle name="표준 41 2 2 3 2" xfId="34997"/>
    <cellStyle name="표준 41 2 2 4" xfId="26259"/>
    <cellStyle name="표준 41 2 3" xfId="5993"/>
    <cellStyle name="표준 41 2 3 2" xfId="15002"/>
    <cellStyle name="표준 41 2 3 2 2" xfId="35878"/>
    <cellStyle name="표준 41 2 3 3" xfId="27140"/>
    <cellStyle name="표준 41 2 4" xfId="7576"/>
    <cellStyle name="표준 41 2 4 2" xfId="16583"/>
    <cellStyle name="표준 41 2 4 2 2" xfId="37459"/>
    <cellStyle name="표준 41 2 4 3" xfId="28721"/>
    <cellStyle name="표준 41 2 5" xfId="8220"/>
    <cellStyle name="표준 41 2 5 2" xfId="17226"/>
    <cellStyle name="표준 41 2 5 2 2" xfId="38102"/>
    <cellStyle name="표준 41 2 5 3" xfId="29364"/>
    <cellStyle name="표준 41 2 6" xfId="9068"/>
    <cellStyle name="표준 41 2 6 2" xfId="18073"/>
    <cellStyle name="표준 41 2 6 2 2" xfId="38949"/>
    <cellStyle name="표준 41 2 6 3" xfId="30211"/>
    <cellStyle name="표준 41 2 7" xfId="9893"/>
    <cellStyle name="표준 41 2 7 2" xfId="18891"/>
    <cellStyle name="표준 41 2 7 2 2" xfId="39767"/>
    <cellStyle name="표준 41 2 7 3" xfId="31029"/>
    <cellStyle name="표준 41 2 8" xfId="10948"/>
    <cellStyle name="표준 41 2 8 2" xfId="19719"/>
    <cellStyle name="표준 41 2 8 2 2" xfId="40595"/>
    <cellStyle name="표준 41 2 8 3" xfId="31859"/>
    <cellStyle name="표준 41 2 9" xfId="11814"/>
    <cellStyle name="표준 41 2 9 2" xfId="20580"/>
    <cellStyle name="표준 41 2 9 2 2" xfId="41456"/>
    <cellStyle name="표준 41 2 9 3" xfId="32720"/>
    <cellStyle name="표준 41 3" xfId="4882"/>
    <cellStyle name="표준 41 3 2" xfId="6713"/>
    <cellStyle name="표준 41 3 2 2" xfId="15722"/>
    <cellStyle name="표준 41 3 2 2 2" xfId="36598"/>
    <cellStyle name="표준 41 3 2 3" xfId="27860"/>
    <cellStyle name="표준 41 3 3" xfId="11167"/>
    <cellStyle name="표준 41 3 3 2" xfId="19936"/>
    <cellStyle name="표준 41 3 3 2 2" xfId="40812"/>
    <cellStyle name="표준 41 3 3 3" xfId="32076"/>
    <cellStyle name="표준 41 3 4" xfId="12031"/>
    <cellStyle name="표준 41 3 4 2" xfId="20797"/>
    <cellStyle name="표준 41 3 4 2 2" xfId="41673"/>
    <cellStyle name="표준 41 3 4 3" xfId="32937"/>
    <cellStyle name="표준 41 3 5" xfId="13904"/>
    <cellStyle name="표준 41 3 5 2" xfId="34780"/>
    <cellStyle name="표준 41 3 6" xfId="26042"/>
    <cellStyle name="표준 41 4" xfId="5556"/>
    <cellStyle name="표준 41 4 2" xfId="14565"/>
    <cellStyle name="표준 41 4 2 2" xfId="35441"/>
    <cellStyle name="표준 41 4 3" xfId="26703"/>
    <cellStyle name="표준 41 5" xfId="7359"/>
    <cellStyle name="표준 41 5 2" xfId="16366"/>
    <cellStyle name="표준 41 5 2 2" xfId="37242"/>
    <cellStyle name="표준 41 5 3" xfId="28504"/>
    <cellStyle name="표준 41 6" xfId="8003"/>
    <cellStyle name="표준 41 6 2" xfId="17009"/>
    <cellStyle name="표준 41 6 2 2" xfId="37885"/>
    <cellStyle name="표준 41 6 3" xfId="29147"/>
    <cellStyle name="표준 41 7" xfId="8851"/>
    <cellStyle name="표준 41 7 2" xfId="17856"/>
    <cellStyle name="표준 41 7 2 2" xfId="38732"/>
    <cellStyle name="표준 41 7 3" xfId="29994"/>
    <cellStyle name="표준 41 8" xfId="9676"/>
    <cellStyle name="표준 41 8 2" xfId="18674"/>
    <cellStyle name="표준 41 8 2 2" xfId="39550"/>
    <cellStyle name="표준 41 8 3" xfId="30812"/>
    <cellStyle name="표준 41 9" xfId="10731"/>
    <cellStyle name="표준 41 9 2" xfId="19502"/>
    <cellStyle name="표준 41 9 2 2" xfId="40378"/>
    <cellStyle name="표준 41 9 3" xfId="31642"/>
    <cellStyle name="표준 42" xfId="3280"/>
    <cellStyle name="표준 42 10" xfId="11598"/>
    <cellStyle name="표준 42 10 2" xfId="20364"/>
    <cellStyle name="표준 42 10 2 2" xfId="41240"/>
    <cellStyle name="표준 42 10 3" xfId="32504"/>
    <cellStyle name="표준 42 11" xfId="12747"/>
    <cellStyle name="표준 42 11 2" xfId="33624"/>
    <cellStyle name="표준 42 12" xfId="24874"/>
    <cellStyle name="표준 42 2" xfId="3721"/>
    <cellStyle name="표준 42 2 10" xfId="13184"/>
    <cellStyle name="표준 42 2 10 2" xfId="34061"/>
    <cellStyle name="표준 42 2 11" xfId="25311"/>
    <cellStyle name="표준 42 2 2" xfId="5106"/>
    <cellStyle name="표준 42 2 2 2" xfId="6931"/>
    <cellStyle name="표준 42 2 2 2 2" xfId="15940"/>
    <cellStyle name="표준 42 2 2 2 2 2" xfId="36816"/>
    <cellStyle name="표준 42 2 2 2 3" xfId="28078"/>
    <cellStyle name="표준 42 2 2 3" xfId="14122"/>
    <cellStyle name="표준 42 2 2 3 2" xfId="34998"/>
    <cellStyle name="표준 42 2 2 4" xfId="26260"/>
    <cellStyle name="표준 42 2 3" xfId="5994"/>
    <cellStyle name="표준 42 2 3 2" xfId="15003"/>
    <cellStyle name="표준 42 2 3 2 2" xfId="35879"/>
    <cellStyle name="표준 42 2 3 3" xfId="27141"/>
    <cellStyle name="표준 42 2 4" xfId="7577"/>
    <cellStyle name="표준 42 2 4 2" xfId="16584"/>
    <cellStyle name="표준 42 2 4 2 2" xfId="37460"/>
    <cellStyle name="표준 42 2 4 3" xfId="28722"/>
    <cellStyle name="표준 42 2 5" xfId="8221"/>
    <cellStyle name="표준 42 2 5 2" xfId="17227"/>
    <cellStyle name="표준 42 2 5 2 2" xfId="38103"/>
    <cellStyle name="표준 42 2 5 3" xfId="29365"/>
    <cellStyle name="표준 42 2 6" xfId="9069"/>
    <cellStyle name="표준 42 2 6 2" xfId="18074"/>
    <cellStyle name="표준 42 2 6 2 2" xfId="38950"/>
    <cellStyle name="표준 42 2 6 3" xfId="30212"/>
    <cellStyle name="표준 42 2 7" xfId="9894"/>
    <cellStyle name="표준 42 2 7 2" xfId="18892"/>
    <cellStyle name="표준 42 2 7 2 2" xfId="39768"/>
    <cellStyle name="표준 42 2 7 3" xfId="31030"/>
    <cellStyle name="표준 42 2 8" xfId="10949"/>
    <cellStyle name="표준 42 2 8 2" xfId="19720"/>
    <cellStyle name="표준 42 2 8 2 2" xfId="40596"/>
    <cellStyle name="표준 42 2 8 3" xfId="31860"/>
    <cellStyle name="표준 42 2 9" xfId="11815"/>
    <cellStyle name="표준 42 2 9 2" xfId="20581"/>
    <cellStyle name="표준 42 2 9 2 2" xfId="41457"/>
    <cellStyle name="표준 42 2 9 3" xfId="32721"/>
    <cellStyle name="표준 42 3" xfId="4883"/>
    <cellStyle name="표준 42 3 2" xfId="6714"/>
    <cellStyle name="표준 42 3 2 2" xfId="15723"/>
    <cellStyle name="표준 42 3 2 2 2" xfId="36599"/>
    <cellStyle name="표준 42 3 2 3" xfId="27861"/>
    <cellStyle name="표준 42 3 3" xfId="11168"/>
    <cellStyle name="표준 42 3 3 2" xfId="19937"/>
    <cellStyle name="표준 42 3 3 2 2" xfId="40813"/>
    <cellStyle name="표준 42 3 3 3" xfId="32077"/>
    <cellStyle name="표준 42 3 4" xfId="12032"/>
    <cellStyle name="표준 42 3 4 2" xfId="20798"/>
    <cellStyle name="표준 42 3 4 2 2" xfId="41674"/>
    <cellStyle name="표준 42 3 4 3" xfId="32938"/>
    <cellStyle name="표준 42 3 5" xfId="13905"/>
    <cellStyle name="표준 42 3 5 2" xfId="34781"/>
    <cellStyle name="표준 42 3 6" xfId="26043"/>
    <cellStyle name="표준 42 4" xfId="5557"/>
    <cellStyle name="표준 42 4 2" xfId="14566"/>
    <cellStyle name="표준 42 4 2 2" xfId="35442"/>
    <cellStyle name="표준 42 4 3" xfId="26704"/>
    <cellStyle name="표준 42 5" xfId="7360"/>
    <cellStyle name="표준 42 5 2" xfId="16367"/>
    <cellStyle name="표준 42 5 2 2" xfId="37243"/>
    <cellStyle name="표준 42 5 3" xfId="28505"/>
    <cellStyle name="표준 42 6" xfId="8004"/>
    <cellStyle name="표준 42 6 2" xfId="17010"/>
    <cellStyle name="표준 42 6 2 2" xfId="37886"/>
    <cellStyle name="표준 42 6 3" xfId="29148"/>
    <cellStyle name="표준 42 7" xfId="8852"/>
    <cellStyle name="표준 42 7 2" xfId="17857"/>
    <cellStyle name="표준 42 7 2 2" xfId="38733"/>
    <cellStyle name="표준 42 7 3" xfId="29995"/>
    <cellStyle name="표준 42 8" xfId="9677"/>
    <cellStyle name="표준 42 8 2" xfId="18675"/>
    <cellStyle name="표준 42 8 2 2" xfId="39551"/>
    <cellStyle name="표준 42 8 3" xfId="30813"/>
    <cellStyle name="표준 42 9" xfId="10732"/>
    <cellStyle name="표준 42 9 2" xfId="19503"/>
    <cellStyle name="표준 42 9 2 2" xfId="40379"/>
    <cellStyle name="표준 42 9 3" xfId="31643"/>
    <cellStyle name="표준 43" xfId="3281"/>
    <cellStyle name="표준 43 10" xfId="11599"/>
    <cellStyle name="표준 43 10 2" xfId="20365"/>
    <cellStyle name="표준 43 10 2 2" xfId="41241"/>
    <cellStyle name="표준 43 10 3" xfId="32505"/>
    <cellStyle name="표준 43 11" xfId="12748"/>
    <cellStyle name="표준 43 11 2" xfId="33625"/>
    <cellStyle name="표준 43 12" xfId="24875"/>
    <cellStyle name="표준 43 2" xfId="3722"/>
    <cellStyle name="표준 43 2 10" xfId="13185"/>
    <cellStyle name="표준 43 2 10 2" xfId="34062"/>
    <cellStyle name="표준 43 2 11" xfId="25312"/>
    <cellStyle name="표준 43 2 2" xfId="5107"/>
    <cellStyle name="표준 43 2 2 2" xfId="6932"/>
    <cellStyle name="표준 43 2 2 2 2" xfId="15941"/>
    <cellStyle name="표준 43 2 2 2 2 2" xfId="36817"/>
    <cellStyle name="표준 43 2 2 2 3" xfId="28079"/>
    <cellStyle name="표준 43 2 2 3" xfId="14123"/>
    <cellStyle name="표준 43 2 2 3 2" xfId="34999"/>
    <cellStyle name="표준 43 2 2 4" xfId="26261"/>
    <cellStyle name="표준 43 2 3" xfId="5995"/>
    <cellStyle name="표준 43 2 3 2" xfId="15004"/>
    <cellStyle name="표준 43 2 3 2 2" xfId="35880"/>
    <cellStyle name="표준 43 2 3 3" xfId="27142"/>
    <cellStyle name="표준 43 2 4" xfId="7578"/>
    <cellStyle name="표준 43 2 4 2" xfId="16585"/>
    <cellStyle name="표준 43 2 4 2 2" xfId="37461"/>
    <cellStyle name="표준 43 2 4 3" xfId="28723"/>
    <cellStyle name="표준 43 2 5" xfId="8222"/>
    <cellStyle name="표준 43 2 5 2" xfId="17228"/>
    <cellStyle name="표준 43 2 5 2 2" xfId="38104"/>
    <cellStyle name="표준 43 2 5 3" xfId="29366"/>
    <cellStyle name="표준 43 2 6" xfId="9070"/>
    <cellStyle name="표준 43 2 6 2" xfId="18075"/>
    <cellStyle name="표준 43 2 6 2 2" xfId="38951"/>
    <cellStyle name="표준 43 2 6 3" xfId="30213"/>
    <cellStyle name="표준 43 2 7" xfId="9895"/>
    <cellStyle name="표준 43 2 7 2" xfId="18893"/>
    <cellStyle name="표준 43 2 7 2 2" xfId="39769"/>
    <cellStyle name="표준 43 2 7 3" xfId="31031"/>
    <cellStyle name="표준 43 2 8" xfId="10950"/>
    <cellStyle name="표준 43 2 8 2" xfId="19721"/>
    <cellStyle name="표준 43 2 8 2 2" xfId="40597"/>
    <cellStyle name="표준 43 2 8 3" xfId="31861"/>
    <cellStyle name="표준 43 2 9" xfId="11816"/>
    <cellStyle name="표준 43 2 9 2" xfId="20582"/>
    <cellStyle name="표준 43 2 9 2 2" xfId="41458"/>
    <cellStyle name="표준 43 2 9 3" xfId="32722"/>
    <cellStyle name="표준 43 3" xfId="4884"/>
    <cellStyle name="표준 43 3 2" xfId="6715"/>
    <cellStyle name="표준 43 3 2 2" xfId="15724"/>
    <cellStyle name="표준 43 3 2 2 2" xfId="36600"/>
    <cellStyle name="표준 43 3 2 3" xfId="27862"/>
    <cellStyle name="표준 43 3 3" xfId="11169"/>
    <cellStyle name="표준 43 3 3 2" xfId="19938"/>
    <cellStyle name="표준 43 3 3 2 2" xfId="40814"/>
    <cellStyle name="표준 43 3 3 3" xfId="32078"/>
    <cellStyle name="표준 43 3 4" xfId="12033"/>
    <cellStyle name="표준 43 3 4 2" xfId="20799"/>
    <cellStyle name="표준 43 3 4 2 2" xfId="41675"/>
    <cellStyle name="표준 43 3 4 3" xfId="32939"/>
    <cellStyle name="표준 43 3 5" xfId="13906"/>
    <cellStyle name="표준 43 3 5 2" xfId="34782"/>
    <cellStyle name="표준 43 3 6" xfId="26044"/>
    <cellStyle name="표준 43 4" xfId="5558"/>
    <cellStyle name="표준 43 4 2" xfId="14567"/>
    <cellStyle name="표준 43 4 2 2" xfId="35443"/>
    <cellStyle name="표준 43 4 3" xfId="26705"/>
    <cellStyle name="표준 43 5" xfId="7361"/>
    <cellStyle name="표준 43 5 2" xfId="16368"/>
    <cellStyle name="표준 43 5 2 2" xfId="37244"/>
    <cellStyle name="표준 43 5 3" xfId="28506"/>
    <cellStyle name="표준 43 6" xfId="8005"/>
    <cellStyle name="표준 43 6 2" xfId="17011"/>
    <cellStyle name="표준 43 6 2 2" xfId="37887"/>
    <cellStyle name="표준 43 6 3" xfId="29149"/>
    <cellStyle name="표준 43 7" xfId="8853"/>
    <cellStyle name="표준 43 7 2" xfId="17858"/>
    <cellStyle name="표준 43 7 2 2" xfId="38734"/>
    <cellStyle name="표준 43 7 3" xfId="29996"/>
    <cellStyle name="표준 43 8" xfId="9678"/>
    <cellStyle name="표준 43 8 2" xfId="18676"/>
    <cellStyle name="표준 43 8 2 2" xfId="39552"/>
    <cellStyle name="표준 43 8 3" xfId="30814"/>
    <cellStyle name="표준 43 9" xfId="10733"/>
    <cellStyle name="표준 43 9 2" xfId="19504"/>
    <cellStyle name="표준 43 9 2 2" xfId="40380"/>
    <cellStyle name="표준 43 9 3" xfId="31644"/>
    <cellStyle name="표준 44" xfId="3282"/>
    <cellStyle name="표준 44 10" xfId="11600"/>
    <cellStyle name="표준 44 10 2" xfId="20366"/>
    <cellStyle name="표준 44 10 2 2" xfId="41242"/>
    <cellStyle name="표준 44 10 3" xfId="32506"/>
    <cellStyle name="표준 44 11" xfId="12749"/>
    <cellStyle name="표준 44 11 2" xfId="33626"/>
    <cellStyle name="표준 44 12" xfId="24876"/>
    <cellStyle name="표준 44 2" xfId="3723"/>
    <cellStyle name="표준 44 2 10" xfId="13186"/>
    <cellStyle name="표준 44 2 10 2" xfId="34063"/>
    <cellStyle name="표준 44 2 11" xfId="25313"/>
    <cellStyle name="표준 44 2 2" xfId="5108"/>
    <cellStyle name="표준 44 2 2 2" xfId="6933"/>
    <cellStyle name="표준 44 2 2 2 2" xfId="15942"/>
    <cellStyle name="표준 44 2 2 2 2 2" xfId="36818"/>
    <cellStyle name="표준 44 2 2 2 3" xfId="28080"/>
    <cellStyle name="표준 44 2 2 3" xfId="14124"/>
    <cellStyle name="표준 44 2 2 3 2" xfId="35000"/>
    <cellStyle name="표준 44 2 2 4" xfId="26262"/>
    <cellStyle name="표준 44 2 3" xfId="5996"/>
    <cellStyle name="표준 44 2 3 2" xfId="15005"/>
    <cellStyle name="표준 44 2 3 2 2" xfId="35881"/>
    <cellStyle name="표준 44 2 3 3" xfId="27143"/>
    <cellStyle name="표준 44 2 4" xfId="7579"/>
    <cellStyle name="표준 44 2 4 2" xfId="16586"/>
    <cellStyle name="표준 44 2 4 2 2" xfId="37462"/>
    <cellStyle name="표준 44 2 4 3" xfId="28724"/>
    <cellStyle name="표준 44 2 5" xfId="8223"/>
    <cellStyle name="표준 44 2 5 2" xfId="17229"/>
    <cellStyle name="표준 44 2 5 2 2" xfId="38105"/>
    <cellStyle name="표준 44 2 5 3" xfId="29367"/>
    <cellStyle name="표준 44 2 6" xfId="9071"/>
    <cellStyle name="표준 44 2 6 2" xfId="18076"/>
    <cellStyle name="표준 44 2 6 2 2" xfId="38952"/>
    <cellStyle name="표준 44 2 6 3" xfId="30214"/>
    <cellStyle name="표준 44 2 7" xfId="9896"/>
    <cellStyle name="표준 44 2 7 2" xfId="18894"/>
    <cellStyle name="표준 44 2 7 2 2" xfId="39770"/>
    <cellStyle name="표준 44 2 7 3" xfId="31032"/>
    <cellStyle name="표준 44 2 8" xfId="10951"/>
    <cellStyle name="표준 44 2 8 2" xfId="19722"/>
    <cellStyle name="표준 44 2 8 2 2" xfId="40598"/>
    <cellStyle name="표준 44 2 8 3" xfId="31862"/>
    <cellStyle name="표준 44 2 9" xfId="11817"/>
    <cellStyle name="표준 44 2 9 2" xfId="20583"/>
    <cellStyle name="표준 44 2 9 2 2" xfId="41459"/>
    <cellStyle name="표준 44 2 9 3" xfId="32723"/>
    <cellStyle name="표준 44 3" xfId="4885"/>
    <cellStyle name="표준 44 3 2" xfId="6716"/>
    <cellStyle name="표준 44 3 2 2" xfId="15725"/>
    <cellStyle name="표준 44 3 2 2 2" xfId="36601"/>
    <cellStyle name="표준 44 3 2 3" xfId="27863"/>
    <cellStyle name="표준 44 3 3" xfId="11170"/>
    <cellStyle name="표준 44 3 3 2" xfId="19939"/>
    <cellStyle name="표준 44 3 3 2 2" xfId="40815"/>
    <cellStyle name="표준 44 3 3 3" xfId="32079"/>
    <cellStyle name="표준 44 3 4" xfId="12034"/>
    <cellStyle name="표준 44 3 4 2" xfId="20800"/>
    <cellStyle name="표준 44 3 4 2 2" xfId="41676"/>
    <cellStyle name="표준 44 3 4 3" xfId="32940"/>
    <cellStyle name="표준 44 3 5" xfId="13907"/>
    <cellStyle name="표준 44 3 5 2" xfId="34783"/>
    <cellStyle name="표준 44 3 6" xfId="26045"/>
    <cellStyle name="표준 44 4" xfId="5559"/>
    <cellStyle name="표준 44 4 2" xfId="14568"/>
    <cellStyle name="표준 44 4 2 2" xfId="35444"/>
    <cellStyle name="표준 44 4 3" xfId="26706"/>
    <cellStyle name="표준 44 5" xfId="7362"/>
    <cellStyle name="표준 44 5 2" xfId="16369"/>
    <cellStyle name="표준 44 5 2 2" xfId="37245"/>
    <cellStyle name="표준 44 5 3" xfId="28507"/>
    <cellStyle name="표준 44 6" xfId="8006"/>
    <cellStyle name="표준 44 6 2" xfId="17012"/>
    <cellStyle name="표준 44 6 2 2" xfId="37888"/>
    <cellStyle name="표준 44 6 3" xfId="29150"/>
    <cellStyle name="표준 44 7" xfId="8854"/>
    <cellStyle name="표준 44 7 2" xfId="17859"/>
    <cellStyle name="표준 44 7 2 2" xfId="38735"/>
    <cellStyle name="표준 44 7 3" xfId="29997"/>
    <cellStyle name="표준 44 8" xfId="9679"/>
    <cellStyle name="표준 44 8 2" xfId="18677"/>
    <cellStyle name="표준 44 8 2 2" xfId="39553"/>
    <cellStyle name="표준 44 8 3" xfId="30815"/>
    <cellStyle name="표준 44 9" xfId="10734"/>
    <cellStyle name="표준 44 9 2" xfId="19505"/>
    <cellStyle name="표준 44 9 2 2" xfId="40381"/>
    <cellStyle name="표준 44 9 3" xfId="31645"/>
    <cellStyle name="표준 45" xfId="3099"/>
    <cellStyle name="표준 45 10" xfId="11419"/>
    <cellStyle name="표준 45 10 2" xfId="20185"/>
    <cellStyle name="표준 45 10 2 2" xfId="41061"/>
    <cellStyle name="표준 45 10 3" xfId="32325"/>
    <cellStyle name="표준 45 11" xfId="12568"/>
    <cellStyle name="표준 45 11 2" xfId="33445"/>
    <cellStyle name="표준 45 12" xfId="24695"/>
    <cellStyle name="표준 45 2" xfId="3542"/>
    <cellStyle name="표준 45 2 2" xfId="5815"/>
    <cellStyle name="표준 45 2 2 2" xfId="14824"/>
    <cellStyle name="표준 45 2 2 2 2" xfId="35700"/>
    <cellStyle name="표준 45 2 2 3" xfId="26962"/>
    <cellStyle name="표준 45 2 3" xfId="11171"/>
    <cellStyle name="표준 45 2 3 2" xfId="19940"/>
    <cellStyle name="표준 45 2 3 2 2" xfId="40816"/>
    <cellStyle name="표준 45 2 3 3" xfId="32080"/>
    <cellStyle name="표준 45 2 4" xfId="12035"/>
    <cellStyle name="표준 45 2 4 2" xfId="20801"/>
    <cellStyle name="표준 45 2 4 2 2" xfId="41677"/>
    <cellStyle name="표준 45 2 4 3" xfId="32941"/>
    <cellStyle name="표준 45 2 5" xfId="13005"/>
    <cellStyle name="표준 45 2 5 2" xfId="33882"/>
    <cellStyle name="표준 45 2 6" xfId="25132"/>
    <cellStyle name="표준 45 3" xfId="4702"/>
    <cellStyle name="표준 45 3 2" xfId="6535"/>
    <cellStyle name="표준 45 3 2 2" xfId="15544"/>
    <cellStyle name="표준 45 3 2 2 2" xfId="36420"/>
    <cellStyle name="표준 45 3 2 3" xfId="27682"/>
    <cellStyle name="표준 45 3 3" xfId="13726"/>
    <cellStyle name="표준 45 3 3 2" xfId="34602"/>
    <cellStyle name="표준 45 3 4" xfId="25864"/>
    <cellStyle name="표준 45 4" xfId="5378"/>
    <cellStyle name="표준 45 4 2" xfId="14387"/>
    <cellStyle name="표준 45 4 2 2" xfId="35263"/>
    <cellStyle name="표준 45 4 3" xfId="26525"/>
    <cellStyle name="표준 45 5" xfId="7181"/>
    <cellStyle name="표준 45 5 2" xfId="16188"/>
    <cellStyle name="표준 45 5 2 2" xfId="37064"/>
    <cellStyle name="표준 45 5 3" xfId="28326"/>
    <cellStyle name="표준 45 6" xfId="7825"/>
    <cellStyle name="표준 45 6 2" xfId="16831"/>
    <cellStyle name="표준 45 6 2 2" xfId="37707"/>
    <cellStyle name="표준 45 6 3" xfId="28969"/>
    <cellStyle name="표준 45 7" xfId="8673"/>
    <cellStyle name="표준 45 7 2" xfId="17678"/>
    <cellStyle name="표준 45 7 2 2" xfId="38554"/>
    <cellStyle name="표준 45 7 3" xfId="29816"/>
    <cellStyle name="표준 45 8" xfId="9498"/>
    <cellStyle name="표준 45 8 2" xfId="18496"/>
    <cellStyle name="표준 45 8 2 2" xfId="39372"/>
    <cellStyle name="표준 45 8 3" xfId="30634"/>
    <cellStyle name="표준 45 9" xfId="10553"/>
    <cellStyle name="표준 45 9 2" xfId="19324"/>
    <cellStyle name="표준 45 9 2 2" xfId="40200"/>
    <cellStyle name="표준 45 9 3" xfId="31464"/>
    <cellStyle name="표준 46" xfId="1200"/>
    <cellStyle name="표준 46 2" xfId="4924"/>
    <cellStyle name="표준 46 2 2" xfId="6752"/>
    <cellStyle name="표준 46 2 2 2" xfId="15761"/>
    <cellStyle name="표준 46 2 2 2 2" xfId="36637"/>
    <cellStyle name="표준 46 2 2 3" xfId="27899"/>
    <cellStyle name="표준 46 2 3" xfId="11172"/>
    <cellStyle name="표준 46 2 3 2" xfId="19941"/>
    <cellStyle name="표준 46 2 3 2 2" xfId="40817"/>
    <cellStyle name="표준 46 2 3 3" xfId="32081"/>
    <cellStyle name="표준 46 2 4" xfId="12036"/>
    <cellStyle name="표준 46 2 4 2" xfId="20802"/>
    <cellStyle name="표준 46 2 4 2 2" xfId="41678"/>
    <cellStyle name="표준 46 2 4 3" xfId="32942"/>
    <cellStyle name="표준 46 2 5" xfId="13943"/>
    <cellStyle name="표준 46 2 5 2" xfId="34819"/>
    <cellStyle name="표준 46 2 6" xfId="26081"/>
    <cellStyle name="표준 46 3" xfId="7398"/>
    <cellStyle name="표준 46 3 2" xfId="16405"/>
    <cellStyle name="표준 46 3 2 2" xfId="37281"/>
    <cellStyle name="표준 46 3 3" xfId="28543"/>
    <cellStyle name="표준 46 4" xfId="8042"/>
    <cellStyle name="표준 46 4 2" xfId="17048"/>
    <cellStyle name="표준 46 4 2 2" xfId="37924"/>
    <cellStyle name="표준 46 4 3" xfId="29186"/>
    <cellStyle name="표준 46 5" xfId="8890"/>
    <cellStyle name="표준 46 5 2" xfId="17895"/>
    <cellStyle name="표준 46 5 2 2" xfId="38771"/>
    <cellStyle name="표준 46 5 3" xfId="30033"/>
    <cellStyle name="표준 46 6" xfId="9715"/>
    <cellStyle name="표준 46 6 2" xfId="18713"/>
    <cellStyle name="표준 46 6 2 2" xfId="39589"/>
    <cellStyle name="표준 46 6 3" xfId="30851"/>
    <cellStyle name="표준 46 7" xfId="10770"/>
    <cellStyle name="표준 46 7 2" xfId="19541"/>
    <cellStyle name="표준 46 7 2 2" xfId="40417"/>
    <cellStyle name="표준 46 7 3" xfId="31681"/>
    <cellStyle name="표준 46 8" xfId="11636"/>
    <cellStyle name="표준 46 8 2" xfId="20402"/>
    <cellStyle name="표준 46 8 2 2" xfId="41278"/>
    <cellStyle name="표준 46 8 3" xfId="32542"/>
    <cellStyle name="표준 47" xfId="3098"/>
    <cellStyle name="표준 47 2" xfId="10987"/>
    <cellStyle name="표준 47 2 2" xfId="19758"/>
    <cellStyle name="표준 47 2 2 2" xfId="40634"/>
    <cellStyle name="표준 47 2 3" xfId="31898"/>
    <cellStyle name="표준 47 3" xfId="11853"/>
    <cellStyle name="표준 47 3 2" xfId="20619"/>
    <cellStyle name="표준 47 3 2 2" xfId="41495"/>
    <cellStyle name="표준 47 3 3" xfId="32759"/>
    <cellStyle name="표준 48" xfId="3321"/>
    <cellStyle name="표준 49" xfId="3799"/>
    <cellStyle name="표준 49 2" xfId="6032"/>
    <cellStyle name="표준 49 2 2" xfId="15041"/>
    <cellStyle name="표준 49 2 2 2" xfId="35917"/>
    <cellStyle name="표준 49 2 3" xfId="27179"/>
    <cellStyle name="표준 49 3" xfId="13222"/>
    <cellStyle name="표준 49 3 2" xfId="34099"/>
    <cellStyle name="표준 49 4" xfId="25361"/>
    <cellStyle name="표준 5" xfId="3063"/>
    <cellStyle name="표준 5 10" xfId="3802"/>
    <cellStyle name="표준 5 10 2" xfId="11173"/>
    <cellStyle name="표준 5 10 2 2" xfId="19942"/>
    <cellStyle name="표준 5 10 2 2 2" xfId="40818"/>
    <cellStyle name="표준 5 10 2 3" xfId="32082"/>
    <cellStyle name="표준 5 10 3" xfId="12037"/>
    <cellStyle name="표준 5 10 3 2" xfId="20803"/>
    <cellStyle name="표준 5 10 3 2 2" xfId="41679"/>
    <cellStyle name="표준 5 10 3 3" xfId="32943"/>
    <cellStyle name="표준 5 11" xfId="4666"/>
    <cellStyle name="표준 5 11 2" xfId="6500"/>
    <cellStyle name="표준 5 11 2 2" xfId="15509"/>
    <cellStyle name="표준 5 11 2 2 2" xfId="36385"/>
    <cellStyle name="표준 5 11 2 3" xfId="27647"/>
    <cellStyle name="표준 5 11 3" xfId="13691"/>
    <cellStyle name="표준 5 11 3 2" xfId="34567"/>
    <cellStyle name="표준 5 11 4" xfId="25829"/>
    <cellStyle name="표준 5 12" xfId="4489"/>
    <cellStyle name="표준 5 13" xfId="5343"/>
    <cellStyle name="표준 5 13 2" xfId="14352"/>
    <cellStyle name="표준 5 13 2 2" xfId="35228"/>
    <cellStyle name="표준 5 13 3" xfId="26490"/>
    <cellStyle name="표준 5 14" xfId="7145"/>
    <cellStyle name="표준 5 14 2" xfId="16153"/>
    <cellStyle name="표준 5 14 2 2" xfId="37029"/>
    <cellStyle name="표준 5 14 3" xfId="28291"/>
    <cellStyle name="표준 5 15" xfId="7790"/>
    <cellStyle name="표준 5 15 2" xfId="16796"/>
    <cellStyle name="표준 5 15 2 2" xfId="37672"/>
    <cellStyle name="표준 5 15 3" xfId="28934"/>
    <cellStyle name="표준 5 16" xfId="8638"/>
    <cellStyle name="표준 5 16 2" xfId="17643"/>
    <cellStyle name="표준 5 16 2 2" xfId="38519"/>
    <cellStyle name="표준 5 16 3" xfId="29781"/>
    <cellStyle name="표준 5 17" xfId="9462"/>
    <cellStyle name="표준 5 17 2" xfId="18461"/>
    <cellStyle name="표준 5 17 2 2" xfId="39337"/>
    <cellStyle name="표준 5 17 3" xfId="30599"/>
    <cellStyle name="표준 5 18" xfId="10518"/>
    <cellStyle name="표준 5 18 2" xfId="19289"/>
    <cellStyle name="표준 5 18 2 2" xfId="40165"/>
    <cellStyle name="표준 5 18 3" xfId="31429"/>
    <cellStyle name="표준 5 19" xfId="11384"/>
    <cellStyle name="표준 5 19 2" xfId="20150"/>
    <cellStyle name="표준 5 19 2 2" xfId="41026"/>
    <cellStyle name="표준 5 19 3" xfId="32290"/>
    <cellStyle name="표준 5 2" xfId="3064"/>
    <cellStyle name="표준 5 2 10" xfId="9463"/>
    <cellStyle name="표준 5 2 10 2" xfId="18462"/>
    <cellStyle name="표준 5 2 10 2 2" xfId="39338"/>
    <cellStyle name="표준 5 2 10 3" xfId="30600"/>
    <cellStyle name="표준 5 2 11" xfId="10519"/>
    <cellStyle name="표준 5 2 11 2" xfId="19290"/>
    <cellStyle name="표준 5 2 11 2 2" xfId="40166"/>
    <cellStyle name="표준 5 2 11 3" xfId="31430"/>
    <cellStyle name="표준 5 2 12" xfId="11385"/>
    <cellStyle name="표준 5 2 12 2" xfId="20151"/>
    <cellStyle name="표준 5 2 12 2 2" xfId="41027"/>
    <cellStyle name="표준 5 2 12 3" xfId="32291"/>
    <cellStyle name="표준 5 2 13" xfId="12534"/>
    <cellStyle name="표준 5 2 13 2" xfId="33411"/>
    <cellStyle name="표준 5 2 14" xfId="24661"/>
    <cellStyle name="표준 5 2 2" xfId="3284"/>
    <cellStyle name="표준 5 2 2 10" xfId="11602"/>
    <cellStyle name="표준 5 2 2 10 2" xfId="20368"/>
    <cellStyle name="표준 5 2 2 10 2 2" xfId="41244"/>
    <cellStyle name="표준 5 2 2 10 3" xfId="32508"/>
    <cellStyle name="표준 5 2 2 11" xfId="12751"/>
    <cellStyle name="표준 5 2 2 11 2" xfId="33628"/>
    <cellStyle name="표준 5 2 2 12" xfId="24878"/>
    <cellStyle name="표준 5 2 2 2" xfId="3725"/>
    <cellStyle name="표준 5 2 2 2 2" xfId="5998"/>
    <cellStyle name="표준 5 2 2 2 2 2" xfId="15007"/>
    <cellStyle name="표준 5 2 2 2 2 2 2" xfId="35883"/>
    <cellStyle name="표준 5 2 2 2 2 3" xfId="27145"/>
    <cellStyle name="표준 5 2 2 2 3" xfId="13188"/>
    <cellStyle name="표준 5 2 2 2 3 2" xfId="34065"/>
    <cellStyle name="표준 5 2 2 2 4" xfId="25315"/>
    <cellStyle name="표준 5 2 2 3" xfId="4887"/>
    <cellStyle name="표준 5 2 2 3 2" xfId="6718"/>
    <cellStyle name="표준 5 2 2 3 2 2" xfId="15727"/>
    <cellStyle name="표준 5 2 2 3 2 2 2" xfId="36603"/>
    <cellStyle name="표준 5 2 2 3 2 3" xfId="27865"/>
    <cellStyle name="표준 5 2 2 3 3" xfId="13909"/>
    <cellStyle name="표준 5 2 2 3 3 2" xfId="34785"/>
    <cellStyle name="표준 5 2 2 3 4" xfId="26047"/>
    <cellStyle name="표준 5 2 2 4" xfId="5561"/>
    <cellStyle name="표준 5 2 2 4 2" xfId="14570"/>
    <cellStyle name="표준 5 2 2 4 2 2" xfId="35446"/>
    <cellStyle name="표준 5 2 2 4 3" xfId="26708"/>
    <cellStyle name="표준 5 2 2 5" xfId="7364"/>
    <cellStyle name="표준 5 2 2 5 2" xfId="16371"/>
    <cellStyle name="표준 5 2 2 5 2 2" xfId="37247"/>
    <cellStyle name="표준 5 2 2 5 3" xfId="28509"/>
    <cellStyle name="표준 5 2 2 6" xfId="8008"/>
    <cellStyle name="표준 5 2 2 6 2" xfId="17014"/>
    <cellStyle name="표준 5 2 2 6 2 2" xfId="37890"/>
    <cellStyle name="표준 5 2 2 6 3" xfId="29152"/>
    <cellStyle name="표준 5 2 2 7" xfId="8856"/>
    <cellStyle name="표준 5 2 2 7 2" xfId="17861"/>
    <cellStyle name="표준 5 2 2 7 2 2" xfId="38737"/>
    <cellStyle name="표준 5 2 2 7 3" xfId="29999"/>
    <cellStyle name="표준 5 2 2 8" xfId="9681"/>
    <cellStyle name="표준 5 2 2 8 2" xfId="18679"/>
    <cellStyle name="표준 5 2 2 8 2 2" xfId="39555"/>
    <cellStyle name="표준 5 2 2 8 3" xfId="30817"/>
    <cellStyle name="표준 5 2 2 9" xfId="10736"/>
    <cellStyle name="표준 5 2 2 9 2" xfId="19507"/>
    <cellStyle name="표준 5 2 2 9 2 2" xfId="40383"/>
    <cellStyle name="표준 5 2 2 9 3" xfId="31647"/>
    <cellStyle name="표준 5 2 3" xfId="3508"/>
    <cellStyle name="표준 5 2 3 10" xfId="12971"/>
    <cellStyle name="표준 5 2 3 10 2" xfId="33848"/>
    <cellStyle name="표준 5 2 3 11" xfId="25098"/>
    <cellStyle name="표준 5 2 3 2" xfId="5110"/>
    <cellStyle name="표준 5 2 3 2 2" xfId="6935"/>
    <cellStyle name="표준 5 2 3 2 2 2" xfId="15944"/>
    <cellStyle name="표준 5 2 3 2 2 2 2" xfId="36820"/>
    <cellStyle name="표준 5 2 3 2 2 3" xfId="28082"/>
    <cellStyle name="표준 5 2 3 2 3" xfId="14126"/>
    <cellStyle name="표준 5 2 3 2 3 2" xfId="35002"/>
    <cellStyle name="표준 5 2 3 2 4" xfId="26264"/>
    <cellStyle name="표준 5 2 3 3" xfId="5781"/>
    <cellStyle name="표준 5 2 3 3 2" xfId="14790"/>
    <cellStyle name="표준 5 2 3 3 2 2" xfId="35666"/>
    <cellStyle name="표준 5 2 3 3 3" xfId="26928"/>
    <cellStyle name="표준 5 2 3 4" xfId="7581"/>
    <cellStyle name="표준 5 2 3 4 2" xfId="16588"/>
    <cellStyle name="표준 5 2 3 4 2 2" xfId="37464"/>
    <cellStyle name="표준 5 2 3 4 3" xfId="28726"/>
    <cellStyle name="표준 5 2 3 5" xfId="8225"/>
    <cellStyle name="표준 5 2 3 5 2" xfId="17231"/>
    <cellStyle name="표준 5 2 3 5 2 2" xfId="38107"/>
    <cellStyle name="표준 5 2 3 5 3" xfId="29369"/>
    <cellStyle name="표준 5 2 3 6" xfId="9073"/>
    <cellStyle name="표준 5 2 3 6 2" xfId="18078"/>
    <cellStyle name="표준 5 2 3 6 2 2" xfId="38954"/>
    <cellStyle name="표준 5 2 3 6 3" xfId="30216"/>
    <cellStyle name="표준 5 2 3 7" xfId="9898"/>
    <cellStyle name="표준 5 2 3 7 2" xfId="18896"/>
    <cellStyle name="표준 5 2 3 7 2 2" xfId="39772"/>
    <cellStyle name="표준 5 2 3 7 3" xfId="31034"/>
    <cellStyle name="표준 5 2 3 8" xfId="10953"/>
    <cellStyle name="표준 5 2 3 8 2" xfId="19724"/>
    <cellStyle name="표준 5 2 3 8 2 2" xfId="40600"/>
    <cellStyle name="표준 5 2 3 8 3" xfId="31864"/>
    <cellStyle name="표준 5 2 3 9" xfId="11819"/>
    <cellStyle name="표준 5 2 3 9 2" xfId="20585"/>
    <cellStyle name="표준 5 2 3 9 2 2" xfId="41461"/>
    <cellStyle name="표준 5 2 3 9 3" xfId="32725"/>
    <cellStyle name="표준 5 2 4" xfId="4667"/>
    <cellStyle name="표준 5 2 4 2" xfId="6501"/>
    <cellStyle name="표준 5 2 4 2 2" xfId="15510"/>
    <cellStyle name="표준 5 2 4 2 2 2" xfId="36386"/>
    <cellStyle name="표준 5 2 4 2 3" xfId="27648"/>
    <cellStyle name="표준 5 2 4 3" xfId="11174"/>
    <cellStyle name="표준 5 2 4 3 2" xfId="19943"/>
    <cellStyle name="표준 5 2 4 3 2 2" xfId="40819"/>
    <cellStyle name="표준 5 2 4 3 3" xfId="32083"/>
    <cellStyle name="표준 5 2 4 4" xfId="12038"/>
    <cellStyle name="표준 5 2 4 4 2" xfId="20804"/>
    <cellStyle name="표준 5 2 4 4 2 2" xfId="41680"/>
    <cellStyle name="표준 5 2 4 4 3" xfId="32944"/>
    <cellStyle name="표준 5 2 4 5" xfId="13692"/>
    <cellStyle name="표준 5 2 4 5 2" xfId="34568"/>
    <cellStyle name="표준 5 2 4 6" xfId="25830"/>
    <cellStyle name="표준 5 2 5" xfId="3849"/>
    <cellStyle name="표준 5 2 6" xfId="5344"/>
    <cellStyle name="표준 5 2 6 2" xfId="14353"/>
    <cellStyle name="표준 5 2 6 2 2" xfId="35229"/>
    <cellStyle name="표준 5 2 6 3" xfId="26491"/>
    <cellStyle name="표준 5 2 7" xfId="7146"/>
    <cellStyle name="표준 5 2 7 2" xfId="16154"/>
    <cellStyle name="표준 5 2 7 2 2" xfId="37030"/>
    <cellStyle name="표준 5 2 7 3" xfId="28292"/>
    <cellStyle name="표준 5 2 8" xfId="7791"/>
    <cellStyle name="표준 5 2 8 2" xfId="16797"/>
    <cellStyle name="표준 5 2 8 2 2" xfId="37673"/>
    <cellStyle name="표준 5 2 8 3" xfId="28935"/>
    <cellStyle name="표준 5 2 9" xfId="8639"/>
    <cellStyle name="표준 5 2 9 2" xfId="17644"/>
    <cellStyle name="표준 5 2 9 2 2" xfId="38520"/>
    <cellStyle name="표준 5 2 9 3" xfId="29782"/>
    <cellStyle name="표준 5 20" xfId="12533"/>
    <cellStyle name="표준 5 20 2" xfId="33410"/>
    <cellStyle name="표준 5 21" xfId="20873"/>
    <cellStyle name="표준 5 22" xfId="12106"/>
    <cellStyle name="표준 5 23" xfId="24295"/>
    <cellStyle name="표준 5 24" xfId="24660"/>
    <cellStyle name="표준 5 3" xfId="3065"/>
    <cellStyle name="표준 5 3 10" xfId="9464"/>
    <cellStyle name="표준 5 3 10 2" xfId="18463"/>
    <cellStyle name="표준 5 3 10 2 2" xfId="39339"/>
    <cellStyle name="표준 5 3 10 3" xfId="30601"/>
    <cellStyle name="표준 5 3 11" xfId="10121"/>
    <cellStyle name="표준 5 3 12" xfId="10520"/>
    <cellStyle name="표준 5 3 12 2" xfId="19291"/>
    <cellStyle name="표준 5 3 12 2 2" xfId="40167"/>
    <cellStyle name="표준 5 3 12 3" xfId="31431"/>
    <cellStyle name="표준 5 3 13" xfId="11386"/>
    <cellStyle name="표준 5 3 13 2" xfId="20152"/>
    <cellStyle name="표준 5 3 13 2 2" xfId="41028"/>
    <cellStyle name="표준 5 3 13 3" xfId="32292"/>
    <cellStyle name="표준 5 3 14" xfId="12535"/>
    <cellStyle name="표준 5 3 14 2" xfId="33412"/>
    <cellStyle name="표준 5 3 15" xfId="24662"/>
    <cellStyle name="표준 5 3 2" xfId="3285"/>
    <cellStyle name="표준 5 3 2 10" xfId="10737"/>
    <cellStyle name="표준 5 3 2 10 2" xfId="19508"/>
    <cellStyle name="표준 5 3 2 10 2 2" xfId="40384"/>
    <cellStyle name="표준 5 3 2 10 3" xfId="31648"/>
    <cellStyle name="표준 5 3 2 11" xfId="11603"/>
    <cellStyle name="표준 5 3 2 11 2" xfId="20369"/>
    <cellStyle name="표준 5 3 2 11 2 2" xfId="41245"/>
    <cellStyle name="표준 5 3 2 11 3" xfId="32509"/>
    <cellStyle name="표준 5 3 2 12" xfId="12752"/>
    <cellStyle name="표준 5 3 2 12 2" xfId="33629"/>
    <cellStyle name="표준 5 3 2 13" xfId="24879"/>
    <cellStyle name="표준 5 3 2 2" xfId="3726"/>
    <cellStyle name="표준 5 3 2 2 2" xfId="5999"/>
    <cellStyle name="표준 5 3 2 2 2 2" xfId="15008"/>
    <cellStyle name="표준 5 3 2 2 2 2 2" xfId="35884"/>
    <cellStyle name="표준 5 3 2 2 2 3" xfId="27146"/>
    <cellStyle name="표준 5 3 2 2 3" xfId="13189"/>
    <cellStyle name="표준 5 3 2 2 3 2" xfId="34066"/>
    <cellStyle name="표준 5 3 2 2 4" xfId="25316"/>
    <cellStyle name="표준 5 3 2 3" xfId="4888"/>
    <cellStyle name="표준 5 3 2 3 2" xfId="6719"/>
    <cellStyle name="표준 5 3 2 3 2 2" xfId="15728"/>
    <cellStyle name="표준 5 3 2 3 2 2 2" xfId="36604"/>
    <cellStyle name="표준 5 3 2 3 2 3" xfId="27866"/>
    <cellStyle name="표준 5 3 2 3 3" xfId="13910"/>
    <cellStyle name="표준 5 3 2 3 3 2" xfId="34786"/>
    <cellStyle name="표준 5 3 2 3 4" xfId="26048"/>
    <cellStyle name="표준 5 3 2 4" xfId="5562"/>
    <cellStyle name="표준 5 3 2 4 2" xfId="14571"/>
    <cellStyle name="표준 5 3 2 4 2 2" xfId="35447"/>
    <cellStyle name="표준 5 3 2 4 3" xfId="26709"/>
    <cellStyle name="표준 5 3 2 5" xfId="7365"/>
    <cellStyle name="표준 5 3 2 5 2" xfId="16372"/>
    <cellStyle name="표준 5 3 2 5 2 2" xfId="37248"/>
    <cellStyle name="표준 5 3 2 5 3" xfId="28510"/>
    <cellStyle name="표준 5 3 2 6" xfId="8009"/>
    <cellStyle name="표준 5 3 2 6 2" xfId="17015"/>
    <cellStyle name="표준 5 3 2 6 2 2" xfId="37891"/>
    <cellStyle name="표준 5 3 2 6 3" xfId="29153"/>
    <cellStyle name="표준 5 3 2 7" xfId="8857"/>
    <cellStyle name="표준 5 3 2 7 2" xfId="17862"/>
    <cellStyle name="표준 5 3 2 7 2 2" xfId="38738"/>
    <cellStyle name="표준 5 3 2 7 3" xfId="30000"/>
    <cellStyle name="표준 5 3 2 8" xfId="9682"/>
    <cellStyle name="표준 5 3 2 8 2" xfId="18680"/>
    <cellStyle name="표준 5 3 2 8 2 2" xfId="39556"/>
    <cellStyle name="표준 5 3 2 8 3" xfId="30818"/>
    <cellStyle name="표준 5 3 2 9" xfId="10122"/>
    <cellStyle name="표준 5 3 3" xfId="3509"/>
    <cellStyle name="표준 5 3 3 10" xfId="12972"/>
    <cellStyle name="표준 5 3 3 10 2" xfId="33849"/>
    <cellStyle name="표준 5 3 3 11" xfId="25099"/>
    <cellStyle name="표준 5 3 3 2" xfId="5111"/>
    <cellStyle name="표준 5 3 3 2 2" xfId="6936"/>
    <cellStyle name="표준 5 3 3 2 2 2" xfId="15945"/>
    <cellStyle name="표준 5 3 3 2 2 2 2" xfId="36821"/>
    <cellStyle name="표준 5 3 3 2 2 3" xfId="28083"/>
    <cellStyle name="표준 5 3 3 2 3" xfId="14127"/>
    <cellStyle name="표준 5 3 3 2 3 2" xfId="35003"/>
    <cellStyle name="표준 5 3 3 2 4" xfId="26265"/>
    <cellStyle name="표준 5 3 3 3" xfId="5782"/>
    <cellStyle name="표준 5 3 3 3 2" xfId="14791"/>
    <cellStyle name="표준 5 3 3 3 2 2" xfId="35667"/>
    <cellStyle name="표준 5 3 3 3 3" xfId="26929"/>
    <cellStyle name="표준 5 3 3 4" xfId="7582"/>
    <cellStyle name="표준 5 3 3 4 2" xfId="16589"/>
    <cellStyle name="표준 5 3 3 4 2 2" xfId="37465"/>
    <cellStyle name="표준 5 3 3 4 3" xfId="28727"/>
    <cellStyle name="표준 5 3 3 5" xfId="8226"/>
    <cellStyle name="표준 5 3 3 5 2" xfId="17232"/>
    <cellStyle name="표준 5 3 3 5 2 2" xfId="38108"/>
    <cellStyle name="표준 5 3 3 5 3" xfId="29370"/>
    <cellStyle name="표준 5 3 3 6" xfId="9074"/>
    <cellStyle name="표준 5 3 3 6 2" xfId="18079"/>
    <cellStyle name="표준 5 3 3 6 2 2" xfId="38955"/>
    <cellStyle name="표준 5 3 3 6 3" xfId="30217"/>
    <cellStyle name="표준 5 3 3 7" xfId="9899"/>
    <cellStyle name="표준 5 3 3 7 2" xfId="18897"/>
    <cellStyle name="표준 5 3 3 7 2 2" xfId="39773"/>
    <cellStyle name="표준 5 3 3 7 3" xfId="31035"/>
    <cellStyle name="표준 5 3 3 8" xfId="10954"/>
    <cellStyle name="표준 5 3 3 8 2" xfId="19725"/>
    <cellStyle name="표준 5 3 3 8 2 2" xfId="40601"/>
    <cellStyle name="표준 5 3 3 8 3" xfId="31865"/>
    <cellStyle name="표준 5 3 3 9" xfId="11820"/>
    <cellStyle name="표준 5 3 3 9 2" xfId="20586"/>
    <cellStyle name="표준 5 3 3 9 2 2" xfId="41462"/>
    <cellStyle name="표준 5 3 3 9 3" xfId="32726"/>
    <cellStyle name="표준 5 3 4" xfId="4668"/>
    <cellStyle name="표준 5 3 4 2" xfId="6502"/>
    <cellStyle name="표준 5 3 4 2 2" xfId="15511"/>
    <cellStyle name="표준 5 3 4 2 2 2" xfId="36387"/>
    <cellStyle name="표준 5 3 4 2 3" xfId="27649"/>
    <cellStyle name="표준 5 3 4 3" xfId="11175"/>
    <cellStyle name="표준 5 3 4 3 2" xfId="19944"/>
    <cellStyle name="표준 5 3 4 3 2 2" xfId="40820"/>
    <cellStyle name="표준 5 3 4 3 3" xfId="32084"/>
    <cellStyle name="표준 5 3 4 4" xfId="12039"/>
    <cellStyle name="표준 5 3 4 4 2" xfId="20805"/>
    <cellStyle name="표준 5 3 4 4 2 2" xfId="41681"/>
    <cellStyle name="표준 5 3 4 4 3" xfId="32945"/>
    <cellStyle name="표준 5 3 4 5" xfId="13693"/>
    <cellStyle name="표준 5 3 4 5 2" xfId="34569"/>
    <cellStyle name="표준 5 3 4 6" xfId="25831"/>
    <cellStyle name="표준 5 3 5" xfId="5345"/>
    <cellStyle name="표준 5 3 5 2" xfId="14354"/>
    <cellStyle name="표준 5 3 5 2 2" xfId="35230"/>
    <cellStyle name="표준 5 3 5 3" xfId="26492"/>
    <cellStyle name="표준 5 3 6" xfId="7147"/>
    <cellStyle name="표준 5 3 6 2" xfId="16155"/>
    <cellStyle name="표준 5 3 6 2 2" xfId="37031"/>
    <cellStyle name="표준 5 3 6 3" xfId="28293"/>
    <cellStyle name="표준 5 3 7" xfId="7792"/>
    <cellStyle name="표준 5 3 7 2" xfId="16798"/>
    <cellStyle name="표준 5 3 7 2 2" xfId="37674"/>
    <cellStyle name="표준 5 3 7 3" xfId="28936"/>
    <cellStyle name="표준 5 3 8" xfId="8640"/>
    <cellStyle name="표준 5 3 8 2" xfId="17645"/>
    <cellStyle name="표준 5 3 8 2 2" xfId="38521"/>
    <cellStyle name="표준 5 3 8 3" xfId="29783"/>
    <cellStyle name="표준 5 3 9" xfId="9186"/>
    <cellStyle name="표준 5 3 9 2" xfId="18190"/>
    <cellStyle name="표준 5 3 9 2 2" xfId="39066"/>
    <cellStyle name="표준 5 3 9 3" xfId="30328"/>
    <cellStyle name="표준 5 4" xfId="3066"/>
    <cellStyle name="표준 5 4 10" xfId="9465"/>
    <cellStyle name="표준 5 4 10 2" xfId="18464"/>
    <cellStyle name="표준 5 4 10 2 2" xfId="39340"/>
    <cellStyle name="표준 5 4 10 3" xfId="30602"/>
    <cellStyle name="표준 5 4 11" xfId="10123"/>
    <cellStyle name="표준 5 4 12" xfId="10521"/>
    <cellStyle name="표준 5 4 12 2" xfId="19292"/>
    <cellStyle name="표준 5 4 12 2 2" xfId="40168"/>
    <cellStyle name="표준 5 4 12 3" xfId="31432"/>
    <cellStyle name="표준 5 4 13" xfId="11387"/>
    <cellStyle name="표준 5 4 13 2" xfId="20153"/>
    <cellStyle name="표준 5 4 13 2 2" xfId="41029"/>
    <cellStyle name="표준 5 4 13 3" xfId="32293"/>
    <cellStyle name="표준 5 4 14" xfId="12536"/>
    <cellStyle name="표준 5 4 14 2" xfId="33413"/>
    <cellStyle name="표준 5 4 15" xfId="24663"/>
    <cellStyle name="표준 5 4 2" xfId="3286"/>
    <cellStyle name="표준 5 4 2 10" xfId="10738"/>
    <cellStyle name="표준 5 4 2 10 2" xfId="19509"/>
    <cellStyle name="표준 5 4 2 10 2 2" xfId="40385"/>
    <cellStyle name="표준 5 4 2 10 3" xfId="31649"/>
    <cellStyle name="표준 5 4 2 11" xfId="11604"/>
    <cellStyle name="표준 5 4 2 11 2" xfId="20370"/>
    <cellStyle name="표준 5 4 2 11 2 2" xfId="41246"/>
    <cellStyle name="표준 5 4 2 11 3" xfId="32510"/>
    <cellStyle name="표준 5 4 2 12" xfId="12753"/>
    <cellStyle name="표준 5 4 2 12 2" xfId="33630"/>
    <cellStyle name="표준 5 4 2 13" xfId="24880"/>
    <cellStyle name="표준 5 4 2 2" xfId="3727"/>
    <cellStyle name="표준 5 4 2 2 2" xfId="6000"/>
    <cellStyle name="표준 5 4 2 2 2 2" xfId="15009"/>
    <cellStyle name="표준 5 4 2 2 2 2 2" xfId="35885"/>
    <cellStyle name="표준 5 4 2 2 2 3" xfId="27147"/>
    <cellStyle name="표준 5 4 2 2 3" xfId="13190"/>
    <cellStyle name="표준 5 4 2 2 3 2" xfId="34067"/>
    <cellStyle name="표준 5 4 2 2 4" xfId="25317"/>
    <cellStyle name="표준 5 4 2 3" xfId="4889"/>
    <cellStyle name="표준 5 4 2 3 2" xfId="6720"/>
    <cellStyle name="표준 5 4 2 3 2 2" xfId="15729"/>
    <cellStyle name="표준 5 4 2 3 2 2 2" xfId="36605"/>
    <cellStyle name="표준 5 4 2 3 2 3" xfId="27867"/>
    <cellStyle name="표준 5 4 2 3 3" xfId="13911"/>
    <cellStyle name="표준 5 4 2 3 3 2" xfId="34787"/>
    <cellStyle name="표준 5 4 2 3 4" xfId="26049"/>
    <cellStyle name="표준 5 4 2 4" xfId="5563"/>
    <cellStyle name="표준 5 4 2 4 2" xfId="14572"/>
    <cellStyle name="표준 5 4 2 4 2 2" xfId="35448"/>
    <cellStyle name="표준 5 4 2 4 3" xfId="26710"/>
    <cellStyle name="표준 5 4 2 5" xfId="7366"/>
    <cellStyle name="표준 5 4 2 5 2" xfId="16373"/>
    <cellStyle name="표준 5 4 2 5 2 2" xfId="37249"/>
    <cellStyle name="표준 5 4 2 5 3" xfId="28511"/>
    <cellStyle name="표준 5 4 2 6" xfId="8010"/>
    <cellStyle name="표준 5 4 2 6 2" xfId="17016"/>
    <cellStyle name="표준 5 4 2 6 2 2" xfId="37892"/>
    <cellStyle name="표준 5 4 2 6 3" xfId="29154"/>
    <cellStyle name="표준 5 4 2 7" xfId="8858"/>
    <cellStyle name="표준 5 4 2 7 2" xfId="17863"/>
    <cellStyle name="표준 5 4 2 7 2 2" xfId="38739"/>
    <cellStyle name="표준 5 4 2 7 3" xfId="30001"/>
    <cellStyle name="표준 5 4 2 8" xfId="9683"/>
    <cellStyle name="표준 5 4 2 8 2" xfId="18681"/>
    <cellStyle name="표준 5 4 2 8 2 2" xfId="39557"/>
    <cellStyle name="표준 5 4 2 8 3" xfId="30819"/>
    <cellStyle name="표준 5 4 2 9" xfId="10124"/>
    <cellStyle name="표준 5 4 3" xfId="3510"/>
    <cellStyle name="표준 5 4 3 10" xfId="12973"/>
    <cellStyle name="표준 5 4 3 10 2" xfId="33850"/>
    <cellStyle name="표준 5 4 3 11" xfId="25100"/>
    <cellStyle name="표준 5 4 3 2" xfId="5112"/>
    <cellStyle name="표준 5 4 3 2 2" xfId="6937"/>
    <cellStyle name="표준 5 4 3 2 2 2" xfId="15946"/>
    <cellStyle name="표준 5 4 3 2 2 2 2" xfId="36822"/>
    <cellStyle name="표준 5 4 3 2 2 3" xfId="28084"/>
    <cellStyle name="표준 5 4 3 2 3" xfId="14128"/>
    <cellStyle name="표준 5 4 3 2 3 2" xfId="35004"/>
    <cellStyle name="표준 5 4 3 2 4" xfId="26266"/>
    <cellStyle name="표준 5 4 3 3" xfId="5783"/>
    <cellStyle name="표준 5 4 3 3 2" xfId="14792"/>
    <cellStyle name="표준 5 4 3 3 2 2" xfId="35668"/>
    <cellStyle name="표준 5 4 3 3 3" xfId="26930"/>
    <cellStyle name="표준 5 4 3 4" xfId="7583"/>
    <cellStyle name="표준 5 4 3 4 2" xfId="16590"/>
    <cellStyle name="표준 5 4 3 4 2 2" xfId="37466"/>
    <cellStyle name="표준 5 4 3 4 3" xfId="28728"/>
    <cellStyle name="표준 5 4 3 5" xfId="8227"/>
    <cellStyle name="표준 5 4 3 5 2" xfId="17233"/>
    <cellStyle name="표준 5 4 3 5 2 2" xfId="38109"/>
    <cellStyle name="표준 5 4 3 5 3" xfId="29371"/>
    <cellStyle name="표준 5 4 3 6" xfId="9075"/>
    <cellStyle name="표준 5 4 3 6 2" xfId="18080"/>
    <cellStyle name="표준 5 4 3 6 2 2" xfId="38956"/>
    <cellStyle name="표준 5 4 3 6 3" xfId="30218"/>
    <cellStyle name="표준 5 4 3 7" xfId="9900"/>
    <cellStyle name="표준 5 4 3 7 2" xfId="18898"/>
    <cellStyle name="표준 5 4 3 7 2 2" xfId="39774"/>
    <cellStyle name="표준 5 4 3 7 3" xfId="31036"/>
    <cellStyle name="표준 5 4 3 8" xfId="10955"/>
    <cellStyle name="표준 5 4 3 8 2" xfId="19726"/>
    <cellStyle name="표준 5 4 3 8 2 2" xfId="40602"/>
    <cellStyle name="표준 5 4 3 8 3" xfId="31866"/>
    <cellStyle name="표준 5 4 3 9" xfId="11821"/>
    <cellStyle name="표준 5 4 3 9 2" xfId="20587"/>
    <cellStyle name="표준 5 4 3 9 2 2" xfId="41463"/>
    <cellStyle name="표준 5 4 3 9 3" xfId="32727"/>
    <cellStyle name="표준 5 4 4" xfId="4669"/>
    <cellStyle name="표준 5 4 4 2" xfId="6503"/>
    <cellStyle name="표준 5 4 4 2 2" xfId="15512"/>
    <cellStyle name="표준 5 4 4 2 2 2" xfId="36388"/>
    <cellStyle name="표준 5 4 4 2 3" xfId="27650"/>
    <cellStyle name="표준 5 4 4 3" xfId="11176"/>
    <cellStyle name="표준 5 4 4 3 2" xfId="19945"/>
    <cellStyle name="표준 5 4 4 3 2 2" xfId="40821"/>
    <cellStyle name="표준 5 4 4 3 3" xfId="32085"/>
    <cellStyle name="표준 5 4 4 4" xfId="12040"/>
    <cellStyle name="표준 5 4 4 4 2" xfId="20806"/>
    <cellStyle name="표준 5 4 4 4 2 2" xfId="41682"/>
    <cellStyle name="표준 5 4 4 4 3" xfId="32946"/>
    <cellStyle name="표준 5 4 4 5" xfId="13694"/>
    <cellStyle name="표준 5 4 4 5 2" xfId="34570"/>
    <cellStyle name="표준 5 4 4 6" xfId="25832"/>
    <cellStyle name="표준 5 4 5" xfId="5346"/>
    <cellStyle name="표준 5 4 5 2" xfId="14355"/>
    <cellStyle name="표준 5 4 5 2 2" xfId="35231"/>
    <cellStyle name="표준 5 4 5 3" xfId="26493"/>
    <cellStyle name="표준 5 4 6" xfId="7148"/>
    <cellStyle name="표준 5 4 6 2" xfId="16156"/>
    <cellStyle name="표준 5 4 6 2 2" xfId="37032"/>
    <cellStyle name="표준 5 4 6 3" xfId="28294"/>
    <cellStyle name="표준 5 4 7" xfId="7793"/>
    <cellStyle name="표준 5 4 7 2" xfId="16799"/>
    <cellStyle name="표준 5 4 7 2 2" xfId="37675"/>
    <cellStyle name="표준 5 4 7 3" xfId="28937"/>
    <cellStyle name="표준 5 4 8" xfId="8641"/>
    <cellStyle name="표준 5 4 8 2" xfId="17646"/>
    <cellStyle name="표준 5 4 8 2 2" xfId="38522"/>
    <cellStyle name="표준 5 4 8 3" xfId="29784"/>
    <cellStyle name="표준 5 4 9" xfId="9187"/>
    <cellStyle name="표준 5 4 9 2" xfId="18191"/>
    <cellStyle name="표준 5 4 9 2 2" xfId="39067"/>
    <cellStyle name="표준 5 4 9 3" xfId="30329"/>
    <cellStyle name="표준 5 5" xfId="3067"/>
    <cellStyle name="표준 5 5 10" xfId="9466"/>
    <cellStyle name="표준 5 5 10 2" xfId="18465"/>
    <cellStyle name="표준 5 5 10 2 2" xfId="39341"/>
    <cellStyle name="표준 5 5 10 3" xfId="30603"/>
    <cellStyle name="표준 5 5 11" xfId="10125"/>
    <cellStyle name="표준 5 5 12" xfId="10522"/>
    <cellStyle name="표준 5 5 12 2" xfId="19293"/>
    <cellStyle name="표준 5 5 12 2 2" xfId="40169"/>
    <cellStyle name="표준 5 5 12 3" xfId="31433"/>
    <cellStyle name="표준 5 5 13" xfId="11388"/>
    <cellStyle name="표준 5 5 13 2" xfId="20154"/>
    <cellStyle name="표준 5 5 13 2 2" xfId="41030"/>
    <cellStyle name="표준 5 5 13 3" xfId="32294"/>
    <cellStyle name="표준 5 5 14" xfId="12537"/>
    <cellStyle name="표준 5 5 14 2" xfId="33414"/>
    <cellStyle name="표준 5 5 15" xfId="24664"/>
    <cellStyle name="표준 5 5 2" xfId="3287"/>
    <cellStyle name="표준 5 5 2 10" xfId="10739"/>
    <cellStyle name="표준 5 5 2 10 2" xfId="19510"/>
    <cellStyle name="표준 5 5 2 10 2 2" xfId="40386"/>
    <cellStyle name="표준 5 5 2 10 3" xfId="31650"/>
    <cellStyle name="표준 5 5 2 11" xfId="11605"/>
    <cellStyle name="표준 5 5 2 11 2" xfId="20371"/>
    <cellStyle name="표준 5 5 2 11 2 2" xfId="41247"/>
    <cellStyle name="표준 5 5 2 11 3" xfId="32511"/>
    <cellStyle name="표준 5 5 2 12" xfId="12754"/>
    <cellStyle name="표준 5 5 2 12 2" xfId="33631"/>
    <cellStyle name="표준 5 5 2 13" xfId="24881"/>
    <cellStyle name="표준 5 5 2 2" xfId="3728"/>
    <cellStyle name="표준 5 5 2 2 2" xfId="6001"/>
    <cellStyle name="표준 5 5 2 2 2 2" xfId="15010"/>
    <cellStyle name="표준 5 5 2 2 2 2 2" xfId="35886"/>
    <cellStyle name="표준 5 5 2 2 2 3" xfId="27148"/>
    <cellStyle name="표준 5 5 2 2 3" xfId="13191"/>
    <cellStyle name="표준 5 5 2 2 3 2" xfId="34068"/>
    <cellStyle name="표준 5 5 2 2 4" xfId="25318"/>
    <cellStyle name="표준 5 5 2 3" xfId="4890"/>
    <cellStyle name="표준 5 5 2 3 2" xfId="6721"/>
    <cellStyle name="표준 5 5 2 3 2 2" xfId="15730"/>
    <cellStyle name="표준 5 5 2 3 2 2 2" xfId="36606"/>
    <cellStyle name="표준 5 5 2 3 2 3" xfId="27868"/>
    <cellStyle name="표준 5 5 2 3 3" xfId="13912"/>
    <cellStyle name="표준 5 5 2 3 3 2" xfId="34788"/>
    <cellStyle name="표준 5 5 2 3 4" xfId="26050"/>
    <cellStyle name="표준 5 5 2 4" xfId="5564"/>
    <cellStyle name="표준 5 5 2 4 2" xfId="14573"/>
    <cellStyle name="표준 5 5 2 4 2 2" xfId="35449"/>
    <cellStyle name="표준 5 5 2 4 3" xfId="26711"/>
    <cellStyle name="표준 5 5 2 5" xfId="7367"/>
    <cellStyle name="표준 5 5 2 5 2" xfId="16374"/>
    <cellStyle name="표준 5 5 2 5 2 2" xfId="37250"/>
    <cellStyle name="표준 5 5 2 5 3" xfId="28512"/>
    <cellStyle name="표준 5 5 2 6" xfId="8011"/>
    <cellStyle name="표준 5 5 2 6 2" xfId="17017"/>
    <cellStyle name="표준 5 5 2 6 2 2" xfId="37893"/>
    <cellStyle name="표준 5 5 2 6 3" xfId="29155"/>
    <cellStyle name="표준 5 5 2 7" xfId="8859"/>
    <cellStyle name="표준 5 5 2 7 2" xfId="17864"/>
    <cellStyle name="표준 5 5 2 7 2 2" xfId="38740"/>
    <cellStyle name="표준 5 5 2 7 3" xfId="30002"/>
    <cellStyle name="표준 5 5 2 8" xfId="9684"/>
    <cellStyle name="표준 5 5 2 8 2" xfId="18682"/>
    <cellStyle name="표준 5 5 2 8 2 2" xfId="39558"/>
    <cellStyle name="표준 5 5 2 8 3" xfId="30820"/>
    <cellStyle name="표준 5 5 2 9" xfId="10126"/>
    <cellStyle name="표준 5 5 3" xfId="3511"/>
    <cellStyle name="표준 5 5 3 10" xfId="12974"/>
    <cellStyle name="표준 5 5 3 10 2" xfId="33851"/>
    <cellStyle name="표준 5 5 3 11" xfId="25101"/>
    <cellStyle name="표준 5 5 3 2" xfId="5113"/>
    <cellStyle name="표준 5 5 3 2 2" xfId="6938"/>
    <cellStyle name="표준 5 5 3 2 2 2" xfId="15947"/>
    <cellStyle name="표준 5 5 3 2 2 2 2" xfId="36823"/>
    <cellStyle name="표준 5 5 3 2 2 3" xfId="28085"/>
    <cellStyle name="표준 5 5 3 2 3" xfId="14129"/>
    <cellStyle name="표준 5 5 3 2 3 2" xfId="35005"/>
    <cellStyle name="표준 5 5 3 2 4" xfId="26267"/>
    <cellStyle name="표준 5 5 3 3" xfId="5784"/>
    <cellStyle name="표준 5 5 3 3 2" xfId="14793"/>
    <cellStyle name="표준 5 5 3 3 2 2" xfId="35669"/>
    <cellStyle name="표준 5 5 3 3 3" xfId="26931"/>
    <cellStyle name="표준 5 5 3 4" xfId="7584"/>
    <cellStyle name="표준 5 5 3 4 2" xfId="16591"/>
    <cellStyle name="표준 5 5 3 4 2 2" xfId="37467"/>
    <cellStyle name="표준 5 5 3 4 3" xfId="28729"/>
    <cellStyle name="표준 5 5 3 5" xfId="8228"/>
    <cellStyle name="표준 5 5 3 5 2" xfId="17234"/>
    <cellStyle name="표준 5 5 3 5 2 2" xfId="38110"/>
    <cellStyle name="표준 5 5 3 5 3" xfId="29372"/>
    <cellStyle name="표준 5 5 3 6" xfId="9076"/>
    <cellStyle name="표준 5 5 3 6 2" xfId="18081"/>
    <cellStyle name="표준 5 5 3 6 2 2" xfId="38957"/>
    <cellStyle name="표준 5 5 3 6 3" xfId="30219"/>
    <cellStyle name="표준 5 5 3 7" xfId="9901"/>
    <cellStyle name="표준 5 5 3 7 2" xfId="18899"/>
    <cellStyle name="표준 5 5 3 7 2 2" xfId="39775"/>
    <cellStyle name="표준 5 5 3 7 3" xfId="31037"/>
    <cellStyle name="표준 5 5 3 8" xfId="10956"/>
    <cellStyle name="표준 5 5 3 8 2" xfId="19727"/>
    <cellStyle name="표준 5 5 3 8 2 2" xfId="40603"/>
    <cellStyle name="표준 5 5 3 8 3" xfId="31867"/>
    <cellStyle name="표준 5 5 3 9" xfId="11822"/>
    <cellStyle name="표준 5 5 3 9 2" xfId="20588"/>
    <cellStyle name="표준 5 5 3 9 2 2" xfId="41464"/>
    <cellStyle name="표준 5 5 3 9 3" xfId="32728"/>
    <cellStyle name="표준 5 5 4" xfId="4670"/>
    <cellStyle name="표준 5 5 4 2" xfId="6504"/>
    <cellStyle name="표준 5 5 4 2 2" xfId="15513"/>
    <cellStyle name="표준 5 5 4 2 2 2" xfId="36389"/>
    <cellStyle name="표준 5 5 4 2 3" xfId="27651"/>
    <cellStyle name="표준 5 5 4 3" xfId="11177"/>
    <cellStyle name="표준 5 5 4 3 2" xfId="19946"/>
    <cellStyle name="표준 5 5 4 3 2 2" xfId="40822"/>
    <cellStyle name="표준 5 5 4 3 3" xfId="32086"/>
    <cellStyle name="표준 5 5 4 4" xfId="12041"/>
    <cellStyle name="표준 5 5 4 4 2" xfId="20807"/>
    <cellStyle name="표준 5 5 4 4 2 2" xfId="41683"/>
    <cellStyle name="표준 5 5 4 4 3" xfId="32947"/>
    <cellStyle name="표준 5 5 4 5" xfId="13695"/>
    <cellStyle name="표준 5 5 4 5 2" xfId="34571"/>
    <cellStyle name="표준 5 5 4 6" xfId="25833"/>
    <cellStyle name="표준 5 5 5" xfId="5347"/>
    <cellStyle name="표준 5 5 5 2" xfId="14356"/>
    <cellStyle name="표준 5 5 5 2 2" xfId="35232"/>
    <cellStyle name="표준 5 5 5 3" xfId="26494"/>
    <cellStyle name="표준 5 5 6" xfId="7149"/>
    <cellStyle name="표준 5 5 6 2" xfId="16157"/>
    <cellStyle name="표준 5 5 6 2 2" xfId="37033"/>
    <cellStyle name="표준 5 5 6 3" xfId="28295"/>
    <cellStyle name="표준 5 5 7" xfId="7794"/>
    <cellStyle name="표준 5 5 7 2" xfId="16800"/>
    <cellStyle name="표준 5 5 7 2 2" xfId="37676"/>
    <cellStyle name="표준 5 5 7 3" xfId="28938"/>
    <cellStyle name="표준 5 5 8" xfId="8642"/>
    <cellStyle name="표준 5 5 8 2" xfId="17647"/>
    <cellStyle name="표준 5 5 8 2 2" xfId="38523"/>
    <cellStyle name="표준 5 5 8 3" xfId="29785"/>
    <cellStyle name="표준 5 5 9" xfId="9188"/>
    <cellStyle name="표준 5 5 9 2" xfId="18192"/>
    <cellStyle name="표준 5 5 9 2 2" xfId="39068"/>
    <cellStyle name="표준 5 5 9 3" xfId="30330"/>
    <cellStyle name="표준 5 6" xfId="3068"/>
    <cellStyle name="표준 5 6 10" xfId="10127"/>
    <cellStyle name="표준 5 6 11" xfId="10523"/>
    <cellStyle name="표준 5 6 11 2" xfId="19294"/>
    <cellStyle name="표준 5 6 11 2 2" xfId="40170"/>
    <cellStyle name="표준 5 6 11 3" xfId="31434"/>
    <cellStyle name="표준 5 6 12" xfId="11389"/>
    <cellStyle name="표준 5 6 12 2" xfId="20155"/>
    <cellStyle name="표준 5 6 12 2 2" xfId="41031"/>
    <cellStyle name="표준 5 6 12 3" xfId="32295"/>
    <cellStyle name="표준 5 6 13" xfId="12538"/>
    <cellStyle name="표준 5 6 13 2" xfId="33415"/>
    <cellStyle name="표준 5 6 14" xfId="24665"/>
    <cellStyle name="표준 5 6 2" xfId="3288"/>
    <cellStyle name="표준 5 6 2 10" xfId="11606"/>
    <cellStyle name="표준 5 6 2 10 2" xfId="20372"/>
    <cellStyle name="표준 5 6 2 10 2 2" xfId="41248"/>
    <cellStyle name="표준 5 6 2 10 3" xfId="32512"/>
    <cellStyle name="표준 5 6 2 11" xfId="12755"/>
    <cellStyle name="표준 5 6 2 11 2" xfId="33632"/>
    <cellStyle name="표준 5 6 2 12" xfId="24882"/>
    <cellStyle name="표준 5 6 2 2" xfId="3729"/>
    <cellStyle name="표준 5 6 2 2 2" xfId="6002"/>
    <cellStyle name="표준 5 6 2 2 2 2" xfId="15011"/>
    <cellStyle name="표준 5 6 2 2 2 2 2" xfId="35887"/>
    <cellStyle name="표준 5 6 2 2 2 3" xfId="27149"/>
    <cellStyle name="표준 5 6 2 2 3" xfId="13192"/>
    <cellStyle name="표준 5 6 2 2 3 2" xfId="34069"/>
    <cellStyle name="표준 5 6 2 2 4" xfId="25319"/>
    <cellStyle name="표준 5 6 2 3" xfId="4891"/>
    <cellStyle name="표준 5 6 2 3 2" xfId="6722"/>
    <cellStyle name="표준 5 6 2 3 2 2" xfId="15731"/>
    <cellStyle name="표준 5 6 2 3 2 2 2" xfId="36607"/>
    <cellStyle name="표준 5 6 2 3 2 3" xfId="27869"/>
    <cellStyle name="표준 5 6 2 3 3" xfId="13913"/>
    <cellStyle name="표준 5 6 2 3 3 2" xfId="34789"/>
    <cellStyle name="표준 5 6 2 3 4" xfId="26051"/>
    <cellStyle name="표준 5 6 2 4" xfId="5565"/>
    <cellStyle name="표준 5 6 2 4 2" xfId="14574"/>
    <cellStyle name="표준 5 6 2 4 2 2" xfId="35450"/>
    <cellStyle name="표준 5 6 2 4 3" xfId="26712"/>
    <cellStyle name="표준 5 6 2 5" xfId="7368"/>
    <cellStyle name="표준 5 6 2 5 2" xfId="16375"/>
    <cellStyle name="표준 5 6 2 5 2 2" xfId="37251"/>
    <cellStyle name="표준 5 6 2 5 3" xfId="28513"/>
    <cellStyle name="표준 5 6 2 6" xfId="8012"/>
    <cellStyle name="표준 5 6 2 6 2" xfId="17018"/>
    <cellStyle name="표준 5 6 2 6 2 2" xfId="37894"/>
    <cellStyle name="표준 5 6 2 6 3" xfId="29156"/>
    <cellStyle name="표준 5 6 2 7" xfId="8860"/>
    <cellStyle name="표준 5 6 2 7 2" xfId="17865"/>
    <cellStyle name="표준 5 6 2 7 2 2" xfId="38741"/>
    <cellStyle name="표준 5 6 2 7 3" xfId="30003"/>
    <cellStyle name="표준 5 6 2 8" xfId="9685"/>
    <cellStyle name="표준 5 6 2 8 2" xfId="18683"/>
    <cellStyle name="표준 5 6 2 8 2 2" xfId="39559"/>
    <cellStyle name="표준 5 6 2 8 3" xfId="30821"/>
    <cellStyle name="표준 5 6 2 9" xfId="10740"/>
    <cellStyle name="표준 5 6 2 9 2" xfId="19511"/>
    <cellStyle name="표준 5 6 2 9 2 2" xfId="40387"/>
    <cellStyle name="표준 5 6 2 9 3" xfId="31651"/>
    <cellStyle name="표준 5 6 3" xfId="3512"/>
    <cellStyle name="표준 5 6 3 10" xfId="12975"/>
    <cellStyle name="표준 5 6 3 10 2" xfId="33852"/>
    <cellStyle name="표준 5 6 3 11" xfId="25102"/>
    <cellStyle name="표준 5 6 3 2" xfId="5114"/>
    <cellStyle name="표준 5 6 3 2 2" xfId="6939"/>
    <cellStyle name="표준 5 6 3 2 2 2" xfId="15948"/>
    <cellStyle name="표준 5 6 3 2 2 2 2" xfId="36824"/>
    <cellStyle name="표준 5 6 3 2 2 3" xfId="28086"/>
    <cellStyle name="표준 5 6 3 2 3" xfId="14130"/>
    <cellStyle name="표준 5 6 3 2 3 2" xfId="35006"/>
    <cellStyle name="표준 5 6 3 2 4" xfId="26268"/>
    <cellStyle name="표준 5 6 3 3" xfId="5785"/>
    <cellStyle name="표준 5 6 3 3 2" xfId="14794"/>
    <cellStyle name="표준 5 6 3 3 2 2" xfId="35670"/>
    <cellStyle name="표준 5 6 3 3 3" xfId="26932"/>
    <cellStyle name="표준 5 6 3 4" xfId="7585"/>
    <cellStyle name="표준 5 6 3 4 2" xfId="16592"/>
    <cellStyle name="표준 5 6 3 4 2 2" xfId="37468"/>
    <cellStyle name="표준 5 6 3 4 3" xfId="28730"/>
    <cellStyle name="표준 5 6 3 5" xfId="8229"/>
    <cellStyle name="표준 5 6 3 5 2" xfId="17235"/>
    <cellStyle name="표준 5 6 3 5 2 2" xfId="38111"/>
    <cellStyle name="표준 5 6 3 5 3" xfId="29373"/>
    <cellStyle name="표준 5 6 3 6" xfId="9077"/>
    <cellStyle name="표준 5 6 3 6 2" xfId="18082"/>
    <cellStyle name="표준 5 6 3 6 2 2" xfId="38958"/>
    <cellStyle name="표준 5 6 3 6 3" xfId="30220"/>
    <cellStyle name="표준 5 6 3 7" xfId="9902"/>
    <cellStyle name="표준 5 6 3 7 2" xfId="18900"/>
    <cellStyle name="표준 5 6 3 7 2 2" xfId="39776"/>
    <cellStyle name="표준 5 6 3 7 3" xfId="31038"/>
    <cellStyle name="표준 5 6 3 8" xfId="10957"/>
    <cellStyle name="표준 5 6 3 8 2" xfId="19728"/>
    <cellStyle name="표준 5 6 3 8 2 2" xfId="40604"/>
    <cellStyle name="표준 5 6 3 8 3" xfId="31868"/>
    <cellStyle name="표준 5 6 3 9" xfId="11823"/>
    <cellStyle name="표준 5 6 3 9 2" xfId="20589"/>
    <cellStyle name="표준 5 6 3 9 2 2" xfId="41465"/>
    <cellStyle name="표준 5 6 3 9 3" xfId="32729"/>
    <cellStyle name="표준 5 6 4" xfId="4671"/>
    <cellStyle name="표준 5 6 4 2" xfId="6505"/>
    <cellStyle name="표준 5 6 4 2 2" xfId="15514"/>
    <cellStyle name="표준 5 6 4 2 2 2" xfId="36390"/>
    <cellStyle name="표준 5 6 4 2 3" xfId="27652"/>
    <cellStyle name="표준 5 6 4 3" xfId="11178"/>
    <cellStyle name="표준 5 6 4 3 2" xfId="19947"/>
    <cellStyle name="표준 5 6 4 3 2 2" xfId="40823"/>
    <cellStyle name="표준 5 6 4 3 3" xfId="32087"/>
    <cellStyle name="표준 5 6 4 4" xfId="12042"/>
    <cellStyle name="표준 5 6 4 4 2" xfId="20808"/>
    <cellStyle name="표준 5 6 4 4 2 2" xfId="41684"/>
    <cellStyle name="표준 5 6 4 4 3" xfId="32948"/>
    <cellStyle name="표준 5 6 4 5" xfId="13696"/>
    <cellStyle name="표준 5 6 4 5 2" xfId="34572"/>
    <cellStyle name="표준 5 6 4 6" xfId="25834"/>
    <cellStyle name="표준 5 6 5" xfId="5348"/>
    <cellStyle name="표준 5 6 5 2" xfId="14357"/>
    <cellStyle name="표준 5 6 5 2 2" xfId="35233"/>
    <cellStyle name="표준 5 6 5 3" xfId="26495"/>
    <cellStyle name="표준 5 6 6" xfId="7150"/>
    <cellStyle name="표준 5 6 6 2" xfId="16158"/>
    <cellStyle name="표준 5 6 6 2 2" xfId="37034"/>
    <cellStyle name="표준 5 6 6 3" xfId="28296"/>
    <cellStyle name="표준 5 6 7" xfId="7795"/>
    <cellStyle name="표준 5 6 7 2" xfId="16801"/>
    <cellStyle name="표준 5 6 7 2 2" xfId="37677"/>
    <cellStyle name="표준 5 6 7 3" xfId="28939"/>
    <cellStyle name="표준 5 6 8" xfId="8643"/>
    <cellStyle name="표준 5 6 8 2" xfId="17648"/>
    <cellStyle name="표준 5 6 8 2 2" xfId="38524"/>
    <cellStyle name="표준 5 6 8 3" xfId="29786"/>
    <cellStyle name="표준 5 6 9" xfId="9467"/>
    <cellStyle name="표준 5 6 9 2" xfId="18466"/>
    <cellStyle name="표준 5 6 9 2 2" xfId="39342"/>
    <cellStyle name="표준 5 6 9 3" xfId="30604"/>
    <cellStyle name="표준 5 7" xfId="3069"/>
    <cellStyle name="표준 5 7 10" xfId="10524"/>
    <cellStyle name="표준 5 7 10 2" xfId="19295"/>
    <cellStyle name="표준 5 7 10 2 2" xfId="40171"/>
    <cellStyle name="표준 5 7 10 3" xfId="31435"/>
    <cellStyle name="표준 5 7 11" xfId="11390"/>
    <cellStyle name="표준 5 7 11 2" xfId="20156"/>
    <cellStyle name="표준 5 7 11 2 2" xfId="41032"/>
    <cellStyle name="표준 5 7 11 3" xfId="32296"/>
    <cellStyle name="표준 5 7 12" xfId="12539"/>
    <cellStyle name="표준 5 7 12 2" xfId="33416"/>
    <cellStyle name="표준 5 7 13" xfId="24666"/>
    <cellStyle name="표준 5 7 2" xfId="3289"/>
    <cellStyle name="표준 5 7 2 10" xfId="11607"/>
    <cellStyle name="표준 5 7 2 10 2" xfId="20373"/>
    <cellStyle name="표준 5 7 2 10 2 2" xfId="41249"/>
    <cellStyle name="표준 5 7 2 10 3" xfId="32513"/>
    <cellStyle name="표준 5 7 2 11" xfId="12756"/>
    <cellStyle name="표준 5 7 2 11 2" xfId="33633"/>
    <cellStyle name="표준 5 7 2 12" xfId="24883"/>
    <cellStyle name="표준 5 7 2 2" xfId="3730"/>
    <cellStyle name="표준 5 7 2 2 2" xfId="6003"/>
    <cellStyle name="표준 5 7 2 2 2 2" xfId="15012"/>
    <cellStyle name="표준 5 7 2 2 2 2 2" xfId="35888"/>
    <cellStyle name="표준 5 7 2 2 2 3" xfId="27150"/>
    <cellStyle name="표준 5 7 2 2 3" xfId="13193"/>
    <cellStyle name="표준 5 7 2 2 3 2" xfId="34070"/>
    <cellStyle name="표준 5 7 2 2 4" xfId="25320"/>
    <cellStyle name="표준 5 7 2 3" xfId="4892"/>
    <cellStyle name="표준 5 7 2 3 2" xfId="6723"/>
    <cellStyle name="표준 5 7 2 3 2 2" xfId="15732"/>
    <cellStyle name="표준 5 7 2 3 2 2 2" xfId="36608"/>
    <cellStyle name="표준 5 7 2 3 2 3" xfId="27870"/>
    <cellStyle name="표준 5 7 2 3 3" xfId="13914"/>
    <cellStyle name="표준 5 7 2 3 3 2" xfId="34790"/>
    <cellStyle name="표준 5 7 2 3 4" xfId="26052"/>
    <cellStyle name="표준 5 7 2 4" xfId="5566"/>
    <cellStyle name="표준 5 7 2 4 2" xfId="14575"/>
    <cellStyle name="표준 5 7 2 4 2 2" xfId="35451"/>
    <cellStyle name="표준 5 7 2 4 3" xfId="26713"/>
    <cellStyle name="표준 5 7 2 5" xfId="7369"/>
    <cellStyle name="표준 5 7 2 5 2" xfId="16376"/>
    <cellStyle name="표준 5 7 2 5 2 2" xfId="37252"/>
    <cellStyle name="표준 5 7 2 5 3" xfId="28514"/>
    <cellStyle name="표준 5 7 2 6" xfId="8013"/>
    <cellStyle name="표준 5 7 2 6 2" xfId="17019"/>
    <cellStyle name="표준 5 7 2 6 2 2" xfId="37895"/>
    <cellStyle name="표준 5 7 2 6 3" xfId="29157"/>
    <cellStyle name="표준 5 7 2 7" xfId="8861"/>
    <cellStyle name="표준 5 7 2 7 2" xfId="17866"/>
    <cellStyle name="표준 5 7 2 7 2 2" xfId="38742"/>
    <cellStyle name="표준 5 7 2 7 3" xfId="30004"/>
    <cellStyle name="표준 5 7 2 8" xfId="9686"/>
    <cellStyle name="표준 5 7 2 8 2" xfId="18684"/>
    <cellStyle name="표준 5 7 2 8 2 2" xfId="39560"/>
    <cellStyle name="표준 5 7 2 8 3" xfId="30822"/>
    <cellStyle name="표준 5 7 2 9" xfId="10741"/>
    <cellStyle name="표준 5 7 2 9 2" xfId="19512"/>
    <cellStyle name="표준 5 7 2 9 2 2" xfId="40388"/>
    <cellStyle name="표준 5 7 2 9 3" xfId="31652"/>
    <cellStyle name="표준 5 7 3" xfId="3513"/>
    <cellStyle name="표준 5 7 3 10" xfId="12976"/>
    <cellStyle name="표준 5 7 3 10 2" xfId="33853"/>
    <cellStyle name="표준 5 7 3 11" xfId="25103"/>
    <cellStyle name="표준 5 7 3 2" xfId="5115"/>
    <cellStyle name="표준 5 7 3 2 2" xfId="6940"/>
    <cellStyle name="표준 5 7 3 2 2 2" xfId="15949"/>
    <cellStyle name="표준 5 7 3 2 2 2 2" xfId="36825"/>
    <cellStyle name="표준 5 7 3 2 2 3" xfId="28087"/>
    <cellStyle name="표준 5 7 3 2 3" xfId="14131"/>
    <cellStyle name="표준 5 7 3 2 3 2" xfId="35007"/>
    <cellStyle name="표준 5 7 3 2 4" xfId="26269"/>
    <cellStyle name="표준 5 7 3 3" xfId="5786"/>
    <cellStyle name="표준 5 7 3 3 2" xfId="14795"/>
    <cellStyle name="표준 5 7 3 3 2 2" xfId="35671"/>
    <cellStyle name="표준 5 7 3 3 3" xfId="26933"/>
    <cellStyle name="표준 5 7 3 4" xfId="7586"/>
    <cellStyle name="표준 5 7 3 4 2" xfId="16593"/>
    <cellStyle name="표준 5 7 3 4 2 2" xfId="37469"/>
    <cellStyle name="표준 5 7 3 4 3" xfId="28731"/>
    <cellStyle name="표준 5 7 3 5" xfId="8230"/>
    <cellStyle name="표준 5 7 3 5 2" xfId="17236"/>
    <cellStyle name="표준 5 7 3 5 2 2" xfId="38112"/>
    <cellStyle name="표준 5 7 3 5 3" xfId="29374"/>
    <cellStyle name="표준 5 7 3 6" xfId="9078"/>
    <cellStyle name="표준 5 7 3 6 2" xfId="18083"/>
    <cellStyle name="표준 5 7 3 6 2 2" xfId="38959"/>
    <cellStyle name="표준 5 7 3 6 3" xfId="30221"/>
    <cellStyle name="표준 5 7 3 7" xfId="9903"/>
    <cellStyle name="표준 5 7 3 7 2" xfId="18901"/>
    <cellStyle name="표준 5 7 3 7 2 2" xfId="39777"/>
    <cellStyle name="표준 5 7 3 7 3" xfId="31039"/>
    <cellStyle name="표준 5 7 3 8" xfId="10958"/>
    <cellStyle name="표준 5 7 3 8 2" xfId="19729"/>
    <cellStyle name="표준 5 7 3 8 2 2" xfId="40605"/>
    <cellStyle name="표준 5 7 3 8 3" xfId="31869"/>
    <cellStyle name="표준 5 7 3 9" xfId="11824"/>
    <cellStyle name="표준 5 7 3 9 2" xfId="20590"/>
    <cellStyle name="표준 5 7 3 9 2 2" xfId="41466"/>
    <cellStyle name="표준 5 7 3 9 3" xfId="32730"/>
    <cellStyle name="표준 5 7 4" xfId="4672"/>
    <cellStyle name="표준 5 7 4 2" xfId="6506"/>
    <cellStyle name="표준 5 7 4 2 2" xfId="15515"/>
    <cellStyle name="표준 5 7 4 2 2 2" xfId="36391"/>
    <cellStyle name="표준 5 7 4 2 3" xfId="27653"/>
    <cellStyle name="표준 5 7 4 3" xfId="11179"/>
    <cellStyle name="표준 5 7 4 3 2" xfId="19948"/>
    <cellStyle name="표준 5 7 4 3 2 2" xfId="40824"/>
    <cellStyle name="표준 5 7 4 3 3" xfId="32088"/>
    <cellStyle name="표준 5 7 4 4" xfId="12043"/>
    <cellStyle name="표준 5 7 4 4 2" xfId="20809"/>
    <cellStyle name="표준 5 7 4 4 2 2" xfId="41685"/>
    <cellStyle name="표준 5 7 4 4 3" xfId="32949"/>
    <cellStyle name="표준 5 7 4 5" xfId="13697"/>
    <cellStyle name="표준 5 7 4 5 2" xfId="34573"/>
    <cellStyle name="표준 5 7 4 6" xfId="25835"/>
    <cellStyle name="표준 5 7 5" xfId="5349"/>
    <cellStyle name="표준 5 7 5 2" xfId="14358"/>
    <cellStyle name="표준 5 7 5 2 2" xfId="35234"/>
    <cellStyle name="표준 5 7 5 3" xfId="26496"/>
    <cellStyle name="표준 5 7 6" xfId="7151"/>
    <cellStyle name="표준 5 7 6 2" xfId="16159"/>
    <cellStyle name="표준 5 7 6 2 2" xfId="37035"/>
    <cellStyle name="표준 5 7 6 3" xfId="28297"/>
    <cellStyle name="표준 5 7 7" xfId="7796"/>
    <cellStyle name="표준 5 7 7 2" xfId="16802"/>
    <cellStyle name="표준 5 7 7 2 2" xfId="37678"/>
    <cellStyle name="표준 5 7 7 3" xfId="28940"/>
    <cellStyle name="표준 5 7 8" xfId="8644"/>
    <cellStyle name="표준 5 7 8 2" xfId="17649"/>
    <cellStyle name="표준 5 7 8 2 2" xfId="38525"/>
    <cellStyle name="표준 5 7 8 3" xfId="29787"/>
    <cellStyle name="표준 5 7 9" xfId="9468"/>
    <cellStyle name="표준 5 7 9 2" xfId="18467"/>
    <cellStyle name="표준 5 7 9 2 2" xfId="39343"/>
    <cellStyle name="표준 5 7 9 3" xfId="30605"/>
    <cellStyle name="표준 5 8" xfId="3283"/>
    <cellStyle name="표준 5 8 10" xfId="11601"/>
    <cellStyle name="표준 5 8 10 2" xfId="20367"/>
    <cellStyle name="표준 5 8 10 2 2" xfId="41243"/>
    <cellStyle name="표준 5 8 10 3" xfId="32507"/>
    <cellStyle name="표준 5 8 11" xfId="12750"/>
    <cellStyle name="표준 5 8 11 2" xfId="33627"/>
    <cellStyle name="표준 5 8 12" xfId="24877"/>
    <cellStyle name="표준 5 8 2" xfId="3724"/>
    <cellStyle name="표준 5 8 2 2" xfId="5997"/>
    <cellStyle name="표준 5 8 2 2 2" xfId="15006"/>
    <cellStyle name="표준 5 8 2 2 2 2" xfId="35882"/>
    <cellStyle name="표준 5 8 2 2 3" xfId="27144"/>
    <cellStyle name="표준 5 8 2 3" xfId="13187"/>
    <cellStyle name="표준 5 8 2 3 2" xfId="34064"/>
    <cellStyle name="표준 5 8 2 4" xfId="25314"/>
    <cellStyle name="표준 5 8 3" xfId="4886"/>
    <cellStyle name="표준 5 8 3 2" xfId="6717"/>
    <cellStyle name="표준 5 8 3 2 2" xfId="15726"/>
    <cellStyle name="표준 5 8 3 2 2 2" xfId="36602"/>
    <cellStyle name="표준 5 8 3 2 3" xfId="27864"/>
    <cellStyle name="표준 5 8 3 3" xfId="13908"/>
    <cellStyle name="표준 5 8 3 3 2" xfId="34784"/>
    <cellStyle name="표준 5 8 3 4" xfId="26046"/>
    <cellStyle name="표준 5 8 4" xfId="5560"/>
    <cellStyle name="표준 5 8 4 2" xfId="14569"/>
    <cellStyle name="표준 5 8 4 2 2" xfId="35445"/>
    <cellStyle name="표준 5 8 4 3" xfId="26707"/>
    <cellStyle name="표준 5 8 5" xfId="7363"/>
    <cellStyle name="표준 5 8 5 2" xfId="16370"/>
    <cellStyle name="표준 5 8 5 2 2" xfId="37246"/>
    <cellStyle name="표준 5 8 5 3" xfId="28508"/>
    <cellStyle name="표준 5 8 6" xfId="8007"/>
    <cellStyle name="표준 5 8 6 2" xfId="17013"/>
    <cellStyle name="표준 5 8 6 2 2" xfId="37889"/>
    <cellStyle name="표준 5 8 6 3" xfId="29151"/>
    <cellStyle name="표준 5 8 7" xfId="8855"/>
    <cellStyle name="표준 5 8 7 2" xfId="17860"/>
    <cellStyle name="표준 5 8 7 2 2" xfId="38736"/>
    <cellStyle name="표준 5 8 7 3" xfId="29998"/>
    <cellStyle name="표준 5 8 8" xfId="9680"/>
    <cellStyle name="표준 5 8 8 2" xfId="18678"/>
    <cellStyle name="표준 5 8 8 2 2" xfId="39554"/>
    <cellStyle name="표준 5 8 8 3" xfId="30816"/>
    <cellStyle name="표준 5 8 9" xfId="10735"/>
    <cellStyle name="표준 5 8 9 2" xfId="19506"/>
    <cellStyle name="표준 5 8 9 2 2" xfId="40382"/>
    <cellStyle name="표준 5 8 9 3" xfId="31646"/>
    <cellStyle name="표준 5 9" xfId="3507"/>
    <cellStyle name="표준 5 9 10" xfId="12970"/>
    <cellStyle name="표준 5 9 10 2" xfId="33847"/>
    <cellStyle name="표준 5 9 11" xfId="25097"/>
    <cellStyle name="표준 5 9 2" xfId="5109"/>
    <cellStyle name="표준 5 9 2 2" xfId="6934"/>
    <cellStyle name="표준 5 9 2 2 2" xfId="15943"/>
    <cellStyle name="표준 5 9 2 2 2 2" xfId="36819"/>
    <cellStyle name="표준 5 9 2 2 3" xfId="28081"/>
    <cellStyle name="표준 5 9 2 3" xfId="14125"/>
    <cellStyle name="표준 5 9 2 3 2" xfId="35001"/>
    <cellStyle name="표준 5 9 2 4" xfId="26263"/>
    <cellStyle name="표준 5 9 3" xfId="5780"/>
    <cellStyle name="표준 5 9 3 2" xfId="14789"/>
    <cellStyle name="표준 5 9 3 2 2" xfId="35665"/>
    <cellStyle name="표준 5 9 3 3" xfId="26927"/>
    <cellStyle name="표준 5 9 4" xfId="7580"/>
    <cellStyle name="표준 5 9 4 2" xfId="16587"/>
    <cellStyle name="표준 5 9 4 2 2" xfId="37463"/>
    <cellStyle name="표준 5 9 4 3" xfId="28725"/>
    <cellStyle name="표준 5 9 5" xfId="8224"/>
    <cellStyle name="표준 5 9 5 2" xfId="17230"/>
    <cellStyle name="표준 5 9 5 2 2" xfId="38106"/>
    <cellStyle name="표준 5 9 5 3" xfId="29368"/>
    <cellStyle name="표준 5 9 6" xfId="9072"/>
    <cellStyle name="표준 5 9 6 2" xfId="18077"/>
    <cellStyle name="표준 5 9 6 2 2" xfId="38953"/>
    <cellStyle name="표준 5 9 6 3" xfId="30215"/>
    <cellStyle name="표준 5 9 7" xfId="9897"/>
    <cellStyle name="표준 5 9 7 2" xfId="18895"/>
    <cellStyle name="표준 5 9 7 2 2" xfId="39771"/>
    <cellStyle name="표준 5 9 7 3" xfId="31033"/>
    <cellStyle name="표준 5 9 8" xfId="10952"/>
    <cellStyle name="표준 5 9 8 2" xfId="19723"/>
    <cellStyle name="표준 5 9 8 2 2" xfId="40599"/>
    <cellStyle name="표준 5 9 8 3" xfId="31863"/>
    <cellStyle name="표준 5 9 9" xfId="11818"/>
    <cellStyle name="표준 5 9 9 2" xfId="20584"/>
    <cellStyle name="표준 5 9 9 2 2" xfId="41460"/>
    <cellStyle name="표준 5 9 9 3" xfId="32724"/>
    <cellStyle name="표준 50" xfId="3844"/>
    <cellStyle name="표준 50 2" xfId="6073"/>
    <cellStyle name="표준 50 2 2" xfId="15082"/>
    <cellStyle name="표준 50 2 2 2" xfId="35958"/>
    <cellStyle name="표준 50 2 3" xfId="27220"/>
    <cellStyle name="표준 50 3" xfId="13264"/>
    <cellStyle name="표준 50 3 2" xfId="34140"/>
    <cellStyle name="표준 50 4" xfId="25402"/>
    <cellStyle name="표준 51" xfId="3845"/>
    <cellStyle name="표준 52" xfId="4701"/>
    <cellStyle name="표준 53" xfId="5147"/>
    <cellStyle name="표준 53 2" xfId="14160"/>
    <cellStyle name="표준 53 2 2" xfId="35036"/>
    <cellStyle name="표준 53 3" xfId="26298"/>
    <cellStyle name="표준 54" xfId="5149"/>
    <cellStyle name="표준 54 2" xfId="14162"/>
    <cellStyle name="표준 54 2 2" xfId="35038"/>
    <cellStyle name="표준 54 3" xfId="26300"/>
    <cellStyle name="표준 55" xfId="5150"/>
    <cellStyle name="표준 55 2" xfId="14163"/>
    <cellStyle name="표준 55 2 2" xfId="35039"/>
    <cellStyle name="표준 55 3" xfId="26301"/>
    <cellStyle name="표준 56" xfId="5151"/>
    <cellStyle name="표준 56 2" xfId="14164"/>
    <cellStyle name="표준 56 2 2" xfId="35040"/>
    <cellStyle name="표준 56 3" xfId="26302"/>
    <cellStyle name="표준 57" xfId="5165"/>
    <cellStyle name="표준 58" xfId="5152"/>
    <cellStyle name="표준 58 2" xfId="14165"/>
    <cellStyle name="표준 58 2 2" xfId="35041"/>
    <cellStyle name="표준 58 3" xfId="26303"/>
    <cellStyle name="표준 59" xfId="6969"/>
    <cellStyle name="표준 6" xfId="3070"/>
    <cellStyle name="표준 6 10" xfId="4673"/>
    <cellStyle name="표준 6 10 2" xfId="6507"/>
    <cellStyle name="표준 6 10 2 2" xfId="15516"/>
    <cellStyle name="표준 6 10 2 2 2" xfId="36392"/>
    <cellStyle name="표준 6 10 2 3" xfId="27654"/>
    <cellStyle name="표준 6 10 3" xfId="11180"/>
    <cellStyle name="표준 6 10 3 2" xfId="19949"/>
    <cellStyle name="표준 6 10 3 2 2" xfId="40825"/>
    <cellStyle name="표준 6 10 3 3" xfId="32089"/>
    <cellStyle name="표준 6 10 4" xfId="12044"/>
    <cellStyle name="표준 6 10 4 2" xfId="20810"/>
    <cellStyle name="표준 6 10 4 2 2" xfId="41686"/>
    <cellStyle name="표준 6 10 4 3" xfId="32950"/>
    <cellStyle name="표준 6 10 5" xfId="13698"/>
    <cellStyle name="표준 6 10 5 2" xfId="34574"/>
    <cellStyle name="표준 6 10 6" xfId="25836"/>
    <cellStyle name="표준 6 11" xfId="5350"/>
    <cellStyle name="표준 6 11 2" xfId="14359"/>
    <cellStyle name="표준 6 11 2 2" xfId="35235"/>
    <cellStyle name="표준 6 11 3" xfId="26497"/>
    <cellStyle name="표준 6 12" xfId="7152"/>
    <cellStyle name="표준 6 12 2" xfId="16160"/>
    <cellStyle name="표준 6 12 2 2" xfId="37036"/>
    <cellStyle name="표준 6 12 3" xfId="28298"/>
    <cellStyle name="표준 6 13" xfId="7797"/>
    <cellStyle name="표준 6 13 2" xfId="16803"/>
    <cellStyle name="표준 6 13 2 2" xfId="37679"/>
    <cellStyle name="표준 6 13 3" xfId="28941"/>
    <cellStyle name="표준 6 14" xfId="8645"/>
    <cellStyle name="표준 6 14 2" xfId="17650"/>
    <cellStyle name="표준 6 14 2 2" xfId="38526"/>
    <cellStyle name="표준 6 14 3" xfId="29788"/>
    <cellStyle name="표준 6 15" xfId="9189"/>
    <cellStyle name="표준 6 15 2" xfId="18193"/>
    <cellStyle name="표준 6 15 2 2" xfId="39069"/>
    <cellStyle name="표준 6 15 3" xfId="30331"/>
    <cellStyle name="표준 6 16" xfId="9469"/>
    <cellStyle name="표준 6 16 2" xfId="18468"/>
    <cellStyle name="표준 6 16 2 2" xfId="39344"/>
    <cellStyle name="표준 6 16 3" xfId="30606"/>
    <cellStyle name="표준 6 17" xfId="10128"/>
    <cellStyle name="표준 6 18" xfId="10525"/>
    <cellStyle name="표준 6 18 2" xfId="19296"/>
    <cellStyle name="표준 6 18 2 2" xfId="40172"/>
    <cellStyle name="표준 6 18 3" xfId="31436"/>
    <cellStyle name="표준 6 19" xfId="11391"/>
    <cellStyle name="표준 6 19 2" xfId="20157"/>
    <cellStyle name="표준 6 19 2 2" xfId="41033"/>
    <cellStyle name="표준 6 19 3" xfId="32297"/>
    <cellStyle name="표준 6 2" xfId="3071"/>
    <cellStyle name="표준 6 2 10" xfId="9470"/>
    <cellStyle name="표준 6 2 10 2" xfId="18469"/>
    <cellStyle name="표준 6 2 10 2 2" xfId="39345"/>
    <cellStyle name="표준 6 2 10 3" xfId="30607"/>
    <cellStyle name="표준 6 2 11" xfId="10129"/>
    <cellStyle name="표준 6 2 12" xfId="10526"/>
    <cellStyle name="표준 6 2 12 2" xfId="19297"/>
    <cellStyle name="표준 6 2 12 2 2" xfId="40173"/>
    <cellStyle name="표준 6 2 12 3" xfId="31437"/>
    <cellStyle name="표준 6 2 13" xfId="11392"/>
    <cellStyle name="표준 6 2 13 2" xfId="20158"/>
    <cellStyle name="표준 6 2 13 2 2" xfId="41034"/>
    <cellStyle name="표준 6 2 13 3" xfId="32298"/>
    <cellStyle name="표준 6 2 14" xfId="12541"/>
    <cellStyle name="표준 6 2 14 2" xfId="33418"/>
    <cellStyle name="표준 6 2 15" xfId="24668"/>
    <cellStyle name="표준 6 2 2" xfId="3291"/>
    <cellStyle name="표준 6 2 2 10" xfId="10743"/>
    <cellStyle name="표준 6 2 2 10 2" xfId="19514"/>
    <cellStyle name="표준 6 2 2 10 2 2" xfId="40390"/>
    <cellStyle name="표준 6 2 2 10 3" xfId="31654"/>
    <cellStyle name="표준 6 2 2 11" xfId="11609"/>
    <cellStyle name="표준 6 2 2 11 2" xfId="20375"/>
    <cellStyle name="표준 6 2 2 11 2 2" xfId="41251"/>
    <cellStyle name="표준 6 2 2 11 3" xfId="32515"/>
    <cellStyle name="표준 6 2 2 12" xfId="12758"/>
    <cellStyle name="표준 6 2 2 12 2" xfId="33635"/>
    <cellStyle name="표준 6 2 2 13" xfId="24885"/>
    <cellStyle name="표준 6 2 2 2" xfId="3732"/>
    <cellStyle name="표준 6 2 2 2 2" xfId="6005"/>
    <cellStyle name="표준 6 2 2 2 2 2" xfId="15014"/>
    <cellStyle name="표준 6 2 2 2 2 2 2" xfId="35890"/>
    <cellStyle name="표준 6 2 2 2 2 3" xfId="27152"/>
    <cellStyle name="표준 6 2 2 2 3" xfId="13195"/>
    <cellStyle name="표준 6 2 2 2 3 2" xfId="34072"/>
    <cellStyle name="표준 6 2 2 2 4" xfId="25322"/>
    <cellStyle name="표준 6 2 2 3" xfId="4894"/>
    <cellStyle name="표준 6 2 2 3 2" xfId="6725"/>
    <cellStyle name="표준 6 2 2 3 2 2" xfId="15734"/>
    <cellStyle name="표준 6 2 2 3 2 2 2" xfId="36610"/>
    <cellStyle name="표준 6 2 2 3 2 3" xfId="27872"/>
    <cellStyle name="표준 6 2 2 3 3" xfId="13916"/>
    <cellStyle name="표준 6 2 2 3 3 2" xfId="34792"/>
    <cellStyle name="표준 6 2 2 3 4" xfId="26054"/>
    <cellStyle name="표준 6 2 2 4" xfId="5568"/>
    <cellStyle name="표준 6 2 2 4 2" xfId="14577"/>
    <cellStyle name="표준 6 2 2 4 2 2" xfId="35453"/>
    <cellStyle name="표준 6 2 2 4 3" xfId="26715"/>
    <cellStyle name="표준 6 2 2 5" xfId="7371"/>
    <cellStyle name="표준 6 2 2 5 2" xfId="16378"/>
    <cellStyle name="표준 6 2 2 5 2 2" xfId="37254"/>
    <cellStyle name="표준 6 2 2 5 3" xfId="28516"/>
    <cellStyle name="표준 6 2 2 6" xfId="8015"/>
    <cellStyle name="표준 6 2 2 6 2" xfId="17021"/>
    <cellStyle name="표준 6 2 2 6 2 2" xfId="37897"/>
    <cellStyle name="표준 6 2 2 6 3" xfId="29159"/>
    <cellStyle name="표준 6 2 2 7" xfId="8863"/>
    <cellStyle name="표준 6 2 2 7 2" xfId="17868"/>
    <cellStyle name="표준 6 2 2 7 2 2" xfId="38744"/>
    <cellStyle name="표준 6 2 2 7 3" xfId="30006"/>
    <cellStyle name="표준 6 2 2 8" xfId="9688"/>
    <cellStyle name="표준 6 2 2 8 2" xfId="18686"/>
    <cellStyle name="표준 6 2 2 8 2 2" xfId="39562"/>
    <cellStyle name="표준 6 2 2 8 3" xfId="30824"/>
    <cellStyle name="표준 6 2 2 9" xfId="10130"/>
    <cellStyle name="표준 6 2 3" xfId="3515"/>
    <cellStyle name="표준 6 2 3 10" xfId="12978"/>
    <cellStyle name="표준 6 2 3 10 2" xfId="33855"/>
    <cellStyle name="표준 6 2 3 11" xfId="25105"/>
    <cellStyle name="표준 6 2 3 2" xfId="5117"/>
    <cellStyle name="표준 6 2 3 2 2" xfId="6942"/>
    <cellStyle name="표준 6 2 3 2 2 2" xfId="15951"/>
    <cellStyle name="표준 6 2 3 2 2 2 2" xfId="36827"/>
    <cellStyle name="표준 6 2 3 2 2 3" xfId="28089"/>
    <cellStyle name="표준 6 2 3 2 3" xfId="14133"/>
    <cellStyle name="표준 6 2 3 2 3 2" xfId="35009"/>
    <cellStyle name="표준 6 2 3 2 4" xfId="26271"/>
    <cellStyle name="표준 6 2 3 3" xfId="5788"/>
    <cellStyle name="표준 6 2 3 3 2" xfId="14797"/>
    <cellStyle name="표준 6 2 3 3 2 2" xfId="35673"/>
    <cellStyle name="표준 6 2 3 3 3" xfId="26935"/>
    <cellStyle name="표준 6 2 3 4" xfId="7588"/>
    <cellStyle name="표준 6 2 3 4 2" xfId="16595"/>
    <cellStyle name="표준 6 2 3 4 2 2" xfId="37471"/>
    <cellStyle name="표준 6 2 3 4 3" xfId="28733"/>
    <cellStyle name="표준 6 2 3 5" xfId="8232"/>
    <cellStyle name="표준 6 2 3 5 2" xfId="17238"/>
    <cellStyle name="표준 6 2 3 5 2 2" xfId="38114"/>
    <cellStyle name="표준 6 2 3 5 3" xfId="29376"/>
    <cellStyle name="표준 6 2 3 6" xfId="9080"/>
    <cellStyle name="표준 6 2 3 6 2" xfId="18085"/>
    <cellStyle name="표준 6 2 3 6 2 2" xfId="38961"/>
    <cellStyle name="표준 6 2 3 6 3" xfId="30223"/>
    <cellStyle name="표준 6 2 3 7" xfId="9905"/>
    <cellStyle name="표준 6 2 3 7 2" xfId="18903"/>
    <cellStyle name="표준 6 2 3 7 2 2" xfId="39779"/>
    <cellStyle name="표준 6 2 3 7 3" xfId="31041"/>
    <cellStyle name="표준 6 2 3 8" xfId="10960"/>
    <cellStyle name="표준 6 2 3 8 2" xfId="19731"/>
    <cellStyle name="표준 6 2 3 8 2 2" xfId="40607"/>
    <cellStyle name="표준 6 2 3 8 3" xfId="31871"/>
    <cellStyle name="표준 6 2 3 9" xfId="11826"/>
    <cellStyle name="표준 6 2 3 9 2" xfId="20592"/>
    <cellStyle name="표준 6 2 3 9 2 2" xfId="41468"/>
    <cellStyle name="표준 6 2 3 9 3" xfId="32732"/>
    <cellStyle name="표준 6 2 4" xfId="4674"/>
    <cellStyle name="표준 6 2 4 2" xfId="6508"/>
    <cellStyle name="표준 6 2 4 2 2" xfId="15517"/>
    <cellStyle name="표준 6 2 4 2 2 2" xfId="36393"/>
    <cellStyle name="표준 6 2 4 2 3" xfId="27655"/>
    <cellStyle name="표준 6 2 4 3" xfId="11181"/>
    <cellStyle name="표준 6 2 4 3 2" xfId="19950"/>
    <cellStyle name="표준 6 2 4 3 2 2" xfId="40826"/>
    <cellStyle name="표준 6 2 4 3 3" xfId="32090"/>
    <cellStyle name="표준 6 2 4 4" xfId="12045"/>
    <cellStyle name="표준 6 2 4 4 2" xfId="20811"/>
    <cellStyle name="표준 6 2 4 4 2 2" xfId="41687"/>
    <cellStyle name="표준 6 2 4 4 3" xfId="32951"/>
    <cellStyle name="표준 6 2 4 5" xfId="13699"/>
    <cellStyle name="표준 6 2 4 5 2" xfId="34575"/>
    <cellStyle name="표준 6 2 4 6" xfId="25837"/>
    <cellStyle name="표준 6 2 5" xfId="5351"/>
    <cellStyle name="표준 6 2 5 2" xfId="14360"/>
    <cellStyle name="표준 6 2 5 2 2" xfId="35236"/>
    <cellStyle name="표준 6 2 5 3" xfId="26498"/>
    <cellStyle name="표준 6 2 6" xfId="7153"/>
    <cellStyle name="표준 6 2 6 2" xfId="16161"/>
    <cellStyle name="표준 6 2 6 2 2" xfId="37037"/>
    <cellStyle name="표준 6 2 6 3" xfId="28299"/>
    <cellStyle name="표준 6 2 7" xfId="7798"/>
    <cellStyle name="표준 6 2 7 2" xfId="16804"/>
    <cellStyle name="표준 6 2 7 2 2" xfId="37680"/>
    <cellStyle name="표준 6 2 7 3" xfId="28942"/>
    <cellStyle name="표준 6 2 8" xfId="8646"/>
    <cellStyle name="표준 6 2 8 2" xfId="17651"/>
    <cellStyle name="표준 6 2 8 2 2" xfId="38527"/>
    <cellStyle name="표준 6 2 8 3" xfId="29789"/>
    <cellStyle name="표준 6 2 9" xfId="9190"/>
    <cellStyle name="표준 6 2 9 2" xfId="18194"/>
    <cellStyle name="표준 6 2 9 2 2" xfId="39070"/>
    <cellStyle name="표준 6 2 9 3" xfId="30332"/>
    <cellStyle name="표준 6 20" xfId="12540"/>
    <cellStyle name="표준 6 20 2" xfId="33417"/>
    <cellStyle name="표준 6 21" xfId="24296"/>
    <cellStyle name="표준 6 22" xfId="24667"/>
    <cellStyle name="표준 6 3" xfId="3072"/>
    <cellStyle name="표준 6 3 10" xfId="9471"/>
    <cellStyle name="표준 6 3 10 2" xfId="18470"/>
    <cellStyle name="표준 6 3 10 2 2" xfId="39346"/>
    <cellStyle name="표준 6 3 10 3" xfId="30608"/>
    <cellStyle name="표준 6 3 11" xfId="10131"/>
    <cellStyle name="표준 6 3 12" xfId="10527"/>
    <cellStyle name="표준 6 3 12 2" xfId="19298"/>
    <cellStyle name="표준 6 3 12 2 2" xfId="40174"/>
    <cellStyle name="표준 6 3 12 3" xfId="31438"/>
    <cellStyle name="표준 6 3 13" xfId="11393"/>
    <cellStyle name="표준 6 3 13 2" xfId="20159"/>
    <cellStyle name="표준 6 3 13 2 2" xfId="41035"/>
    <cellStyle name="표준 6 3 13 3" xfId="32299"/>
    <cellStyle name="표준 6 3 14" xfId="12542"/>
    <cellStyle name="표준 6 3 14 2" xfId="33419"/>
    <cellStyle name="표준 6 3 15" xfId="24669"/>
    <cellStyle name="표준 6 3 2" xfId="3292"/>
    <cellStyle name="표준 6 3 2 10" xfId="10744"/>
    <cellStyle name="표준 6 3 2 10 2" xfId="19515"/>
    <cellStyle name="표준 6 3 2 10 2 2" xfId="40391"/>
    <cellStyle name="표준 6 3 2 10 3" xfId="31655"/>
    <cellStyle name="표준 6 3 2 11" xfId="11610"/>
    <cellStyle name="표준 6 3 2 11 2" xfId="20376"/>
    <cellStyle name="표준 6 3 2 11 2 2" xfId="41252"/>
    <cellStyle name="표준 6 3 2 11 3" xfId="32516"/>
    <cellStyle name="표준 6 3 2 12" xfId="12759"/>
    <cellStyle name="표준 6 3 2 12 2" xfId="33636"/>
    <cellStyle name="표준 6 3 2 13" xfId="24886"/>
    <cellStyle name="표준 6 3 2 2" xfId="3733"/>
    <cellStyle name="표준 6 3 2 2 2" xfId="6006"/>
    <cellStyle name="표준 6 3 2 2 2 2" xfId="15015"/>
    <cellStyle name="표준 6 3 2 2 2 2 2" xfId="35891"/>
    <cellStyle name="표준 6 3 2 2 2 3" xfId="27153"/>
    <cellStyle name="표준 6 3 2 2 3" xfId="13196"/>
    <cellStyle name="표준 6 3 2 2 3 2" xfId="34073"/>
    <cellStyle name="표준 6 3 2 2 4" xfId="25323"/>
    <cellStyle name="표준 6 3 2 3" xfId="4895"/>
    <cellStyle name="표준 6 3 2 3 2" xfId="6726"/>
    <cellStyle name="표준 6 3 2 3 2 2" xfId="15735"/>
    <cellStyle name="표준 6 3 2 3 2 2 2" xfId="36611"/>
    <cellStyle name="표준 6 3 2 3 2 3" xfId="27873"/>
    <cellStyle name="표준 6 3 2 3 3" xfId="13917"/>
    <cellStyle name="표준 6 3 2 3 3 2" xfId="34793"/>
    <cellStyle name="표준 6 3 2 3 4" xfId="26055"/>
    <cellStyle name="표준 6 3 2 4" xfId="5569"/>
    <cellStyle name="표준 6 3 2 4 2" xfId="14578"/>
    <cellStyle name="표준 6 3 2 4 2 2" xfId="35454"/>
    <cellStyle name="표준 6 3 2 4 3" xfId="26716"/>
    <cellStyle name="표준 6 3 2 5" xfId="7372"/>
    <cellStyle name="표준 6 3 2 5 2" xfId="16379"/>
    <cellStyle name="표준 6 3 2 5 2 2" xfId="37255"/>
    <cellStyle name="표준 6 3 2 5 3" xfId="28517"/>
    <cellStyle name="표준 6 3 2 6" xfId="8016"/>
    <cellStyle name="표준 6 3 2 6 2" xfId="17022"/>
    <cellStyle name="표준 6 3 2 6 2 2" xfId="37898"/>
    <cellStyle name="표준 6 3 2 6 3" xfId="29160"/>
    <cellStyle name="표준 6 3 2 7" xfId="8864"/>
    <cellStyle name="표준 6 3 2 7 2" xfId="17869"/>
    <cellStyle name="표준 6 3 2 7 2 2" xfId="38745"/>
    <cellStyle name="표준 6 3 2 7 3" xfId="30007"/>
    <cellStyle name="표준 6 3 2 8" xfId="9689"/>
    <cellStyle name="표준 6 3 2 8 2" xfId="18687"/>
    <cellStyle name="표준 6 3 2 8 2 2" xfId="39563"/>
    <cellStyle name="표준 6 3 2 8 3" xfId="30825"/>
    <cellStyle name="표준 6 3 2 9" xfId="10132"/>
    <cellStyle name="표준 6 3 3" xfId="3516"/>
    <cellStyle name="표준 6 3 3 10" xfId="12979"/>
    <cellStyle name="표준 6 3 3 10 2" xfId="33856"/>
    <cellStyle name="표준 6 3 3 11" xfId="25106"/>
    <cellStyle name="표준 6 3 3 2" xfId="5118"/>
    <cellStyle name="표준 6 3 3 2 2" xfId="6943"/>
    <cellStyle name="표준 6 3 3 2 2 2" xfId="15952"/>
    <cellStyle name="표준 6 3 3 2 2 2 2" xfId="36828"/>
    <cellStyle name="표준 6 3 3 2 2 3" xfId="28090"/>
    <cellStyle name="표준 6 3 3 2 3" xfId="14134"/>
    <cellStyle name="표준 6 3 3 2 3 2" xfId="35010"/>
    <cellStyle name="표준 6 3 3 2 4" xfId="26272"/>
    <cellStyle name="표준 6 3 3 3" xfId="5789"/>
    <cellStyle name="표준 6 3 3 3 2" xfId="14798"/>
    <cellStyle name="표준 6 3 3 3 2 2" xfId="35674"/>
    <cellStyle name="표준 6 3 3 3 3" xfId="26936"/>
    <cellStyle name="표준 6 3 3 4" xfId="7589"/>
    <cellStyle name="표준 6 3 3 4 2" xfId="16596"/>
    <cellStyle name="표준 6 3 3 4 2 2" xfId="37472"/>
    <cellStyle name="표준 6 3 3 4 3" xfId="28734"/>
    <cellStyle name="표준 6 3 3 5" xfId="8233"/>
    <cellStyle name="표준 6 3 3 5 2" xfId="17239"/>
    <cellStyle name="표준 6 3 3 5 2 2" xfId="38115"/>
    <cellStyle name="표준 6 3 3 5 3" xfId="29377"/>
    <cellStyle name="표준 6 3 3 6" xfId="9081"/>
    <cellStyle name="표준 6 3 3 6 2" xfId="18086"/>
    <cellStyle name="표준 6 3 3 6 2 2" xfId="38962"/>
    <cellStyle name="표준 6 3 3 6 3" xfId="30224"/>
    <cellStyle name="표준 6 3 3 7" xfId="9906"/>
    <cellStyle name="표준 6 3 3 7 2" xfId="18904"/>
    <cellStyle name="표준 6 3 3 7 2 2" xfId="39780"/>
    <cellStyle name="표준 6 3 3 7 3" xfId="31042"/>
    <cellStyle name="표준 6 3 3 8" xfId="10961"/>
    <cellStyle name="표준 6 3 3 8 2" xfId="19732"/>
    <cellStyle name="표준 6 3 3 8 2 2" xfId="40608"/>
    <cellStyle name="표준 6 3 3 8 3" xfId="31872"/>
    <cellStyle name="표준 6 3 3 9" xfId="11827"/>
    <cellStyle name="표준 6 3 3 9 2" xfId="20593"/>
    <cellStyle name="표준 6 3 3 9 2 2" xfId="41469"/>
    <cellStyle name="표준 6 3 3 9 3" xfId="32733"/>
    <cellStyle name="표준 6 3 4" xfId="4675"/>
    <cellStyle name="표준 6 3 4 2" xfId="6509"/>
    <cellStyle name="표준 6 3 4 2 2" xfId="15518"/>
    <cellStyle name="표준 6 3 4 2 2 2" xfId="36394"/>
    <cellStyle name="표준 6 3 4 2 3" xfId="27656"/>
    <cellStyle name="표준 6 3 4 3" xfId="11182"/>
    <cellStyle name="표준 6 3 4 3 2" xfId="19951"/>
    <cellStyle name="표준 6 3 4 3 2 2" xfId="40827"/>
    <cellStyle name="표준 6 3 4 3 3" xfId="32091"/>
    <cellStyle name="표준 6 3 4 4" xfId="12046"/>
    <cellStyle name="표준 6 3 4 4 2" xfId="20812"/>
    <cellStyle name="표준 6 3 4 4 2 2" xfId="41688"/>
    <cellStyle name="표준 6 3 4 4 3" xfId="32952"/>
    <cellStyle name="표준 6 3 4 5" xfId="13700"/>
    <cellStyle name="표준 6 3 4 5 2" xfId="34576"/>
    <cellStyle name="표준 6 3 4 6" xfId="25838"/>
    <cellStyle name="표준 6 3 5" xfId="5352"/>
    <cellStyle name="표준 6 3 5 2" xfId="14361"/>
    <cellStyle name="표준 6 3 5 2 2" xfId="35237"/>
    <cellStyle name="표준 6 3 5 3" xfId="26499"/>
    <cellStyle name="표준 6 3 6" xfId="7154"/>
    <cellStyle name="표준 6 3 6 2" xfId="16162"/>
    <cellStyle name="표준 6 3 6 2 2" xfId="37038"/>
    <cellStyle name="표준 6 3 6 3" xfId="28300"/>
    <cellStyle name="표준 6 3 7" xfId="7799"/>
    <cellStyle name="표준 6 3 7 2" xfId="16805"/>
    <cellStyle name="표준 6 3 7 2 2" xfId="37681"/>
    <cellStyle name="표준 6 3 7 3" xfId="28943"/>
    <cellStyle name="표준 6 3 8" xfId="8647"/>
    <cellStyle name="표준 6 3 8 2" xfId="17652"/>
    <cellStyle name="표준 6 3 8 2 2" xfId="38528"/>
    <cellStyle name="표준 6 3 8 3" xfId="29790"/>
    <cellStyle name="표준 6 3 9" xfId="9191"/>
    <cellStyle name="표준 6 3 9 2" xfId="18195"/>
    <cellStyle name="표준 6 3 9 2 2" xfId="39071"/>
    <cellStyle name="표준 6 3 9 3" xfId="30333"/>
    <cellStyle name="표준 6 4" xfId="3073"/>
    <cellStyle name="표준 6 4 10" xfId="9472"/>
    <cellStyle name="표준 6 4 10 2" xfId="18471"/>
    <cellStyle name="표준 6 4 10 2 2" xfId="39347"/>
    <cellStyle name="표준 6 4 10 3" xfId="30609"/>
    <cellStyle name="표준 6 4 11" xfId="10133"/>
    <cellStyle name="표준 6 4 12" xfId="10528"/>
    <cellStyle name="표준 6 4 12 2" xfId="19299"/>
    <cellStyle name="표준 6 4 12 2 2" xfId="40175"/>
    <cellStyle name="표준 6 4 12 3" xfId="31439"/>
    <cellStyle name="표준 6 4 13" xfId="11394"/>
    <cellStyle name="표준 6 4 13 2" xfId="20160"/>
    <cellStyle name="표준 6 4 13 2 2" xfId="41036"/>
    <cellStyle name="표준 6 4 13 3" xfId="32300"/>
    <cellStyle name="표준 6 4 14" xfId="12543"/>
    <cellStyle name="표준 6 4 14 2" xfId="33420"/>
    <cellStyle name="표준 6 4 15" xfId="24670"/>
    <cellStyle name="표준 6 4 2" xfId="3293"/>
    <cellStyle name="표준 6 4 2 10" xfId="10745"/>
    <cellStyle name="표준 6 4 2 10 2" xfId="19516"/>
    <cellStyle name="표준 6 4 2 10 2 2" xfId="40392"/>
    <cellStyle name="표준 6 4 2 10 3" xfId="31656"/>
    <cellStyle name="표준 6 4 2 11" xfId="11611"/>
    <cellStyle name="표준 6 4 2 11 2" xfId="20377"/>
    <cellStyle name="표준 6 4 2 11 2 2" xfId="41253"/>
    <cellStyle name="표준 6 4 2 11 3" xfId="32517"/>
    <cellStyle name="표준 6 4 2 12" xfId="12760"/>
    <cellStyle name="표준 6 4 2 12 2" xfId="33637"/>
    <cellStyle name="표준 6 4 2 13" xfId="24887"/>
    <cellStyle name="표준 6 4 2 2" xfId="3734"/>
    <cellStyle name="표준 6 4 2 2 2" xfId="6007"/>
    <cellStyle name="표준 6 4 2 2 2 2" xfId="15016"/>
    <cellStyle name="표준 6 4 2 2 2 2 2" xfId="35892"/>
    <cellStyle name="표준 6 4 2 2 2 3" xfId="27154"/>
    <cellStyle name="표준 6 4 2 2 3" xfId="13197"/>
    <cellStyle name="표준 6 4 2 2 3 2" xfId="34074"/>
    <cellStyle name="표준 6 4 2 2 4" xfId="25324"/>
    <cellStyle name="표준 6 4 2 3" xfId="4896"/>
    <cellStyle name="표준 6 4 2 3 2" xfId="6727"/>
    <cellStyle name="표준 6 4 2 3 2 2" xfId="15736"/>
    <cellStyle name="표준 6 4 2 3 2 2 2" xfId="36612"/>
    <cellStyle name="표준 6 4 2 3 2 3" xfId="27874"/>
    <cellStyle name="표준 6 4 2 3 3" xfId="13918"/>
    <cellStyle name="표준 6 4 2 3 3 2" xfId="34794"/>
    <cellStyle name="표준 6 4 2 3 4" xfId="26056"/>
    <cellStyle name="표준 6 4 2 4" xfId="5570"/>
    <cellStyle name="표준 6 4 2 4 2" xfId="14579"/>
    <cellStyle name="표준 6 4 2 4 2 2" xfId="35455"/>
    <cellStyle name="표준 6 4 2 4 3" xfId="26717"/>
    <cellStyle name="표준 6 4 2 5" xfId="7373"/>
    <cellStyle name="표준 6 4 2 5 2" xfId="16380"/>
    <cellStyle name="표준 6 4 2 5 2 2" xfId="37256"/>
    <cellStyle name="표준 6 4 2 5 3" xfId="28518"/>
    <cellStyle name="표준 6 4 2 6" xfId="8017"/>
    <cellStyle name="표준 6 4 2 6 2" xfId="17023"/>
    <cellStyle name="표준 6 4 2 6 2 2" xfId="37899"/>
    <cellStyle name="표준 6 4 2 6 3" xfId="29161"/>
    <cellStyle name="표준 6 4 2 7" xfId="8865"/>
    <cellStyle name="표준 6 4 2 7 2" xfId="17870"/>
    <cellStyle name="표준 6 4 2 7 2 2" xfId="38746"/>
    <cellStyle name="표준 6 4 2 7 3" xfId="30008"/>
    <cellStyle name="표준 6 4 2 8" xfId="9690"/>
    <cellStyle name="표준 6 4 2 8 2" xfId="18688"/>
    <cellStyle name="표준 6 4 2 8 2 2" xfId="39564"/>
    <cellStyle name="표준 6 4 2 8 3" xfId="30826"/>
    <cellStyle name="표준 6 4 2 9" xfId="10134"/>
    <cellStyle name="표준 6 4 3" xfId="3517"/>
    <cellStyle name="표준 6 4 3 10" xfId="12980"/>
    <cellStyle name="표준 6 4 3 10 2" xfId="33857"/>
    <cellStyle name="표준 6 4 3 11" xfId="25107"/>
    <cellStyle name="표준 6 4 3 2" xfId="5119"/>
    <cellStyle name="표준 6 4 3 2 2" xfId="6944"/>
    <cellStyle name="표준 6 4 3 2 2 2" xfId="15953"/>
    <cellStyle name="표준 6 4 3 2 2 2 2" xfId="36829"/>
    <cellStyle name="표준 6 4 3 2 2 3" xfId="28091"/>
    <cellStyle name="표준 6 4 3 2 3" xfId="14135"/>
    <cellStyle name="표준 6 4 3 2 3 2" xfId="35011"/>
    <cellStyle name="표준 6 4 3 2 4" xfId="26273"/>
    <cellStyle name="표준 6 4 3 3" xfId="5790"/>
    <cellStyle name="표준 6 4 3 3 2" xfId="14799"/>
    <cellStyle name="표준 6 4 3 3 2 2" xfId="35675"/>
    <cellStyle name="표준 6 4 3 3 3" xfId="26937"/>
    <cellStyle name="표준 6 4 3 4" xfId="7590"/>
    <cellStyle name="표준 6 4 3 4 2" xfId="16597"/>
    <cellStyle name="표준 6 4 3 4 2 2" xfId="37473"/>
    <cellStyle name="표준 6 4 3 4 3" xfId="28735"/>
    <cellStyle name="표준 6 4 3 5" xfId="8234"/>
    <cellStyle name="표준 6 4 3 5 2" xfId="17240"/>
    <cellStyle name="표준 6 4 3 5 2 2" xfId="38116"/>
    <cellStyle name="표준 6 4 3 5 3" xfId="29378"/>
    <cellStyle name="표준 6 4 3 6" xfId="9082"/>
    <cellStyle name="표준 6 4 3 6 2" xfId="18087"/>
    <cellStyle name="표준 6 4 3 6 2 2" xfId="38963"/>
    <cellStyle name="표준 6 4 3 6 3" xfId="30225"/>
    <cellStyle name="표준 6 4 3 7" xfId="9907"/>
    <cellStyle name="표준 6 4 3 7 2" xfId="18905"/>
    <cellStyle name="표준 6 4 3 7 2 2" xfId="39781"/>
    <cellStyle name="표준 6 4 3 7 3" xfId="31043"/>
    <cellStyle name="표준 6 4 3 8" xfId="10962"/>
    <cellStyle name="표준 6 4 3 8 2" xfId="19733"/>
    <cellStyle name="표준 6 4 3 8 2 2" xfId="40609"/>
    <cellStyle name="표준 6 4 3 8 3" xfId="31873"/>
    <cellStyle name="표준 6 4 3 9" xfId="11828"/>
    <cellStyle name="표준 6 4 3 9 2" xfId="20594"/>
    <cellStyle name="표준 6 4 3 9 2 2" xfId="41470"/>
    <cellStyle name="표준 6 4 3 9 3" xfId="32734"/>
    <cellStyle name="표준 6 4 4" xfId="4676"/>
    <cellStyle name="표준 6 4 4 2" xfId="6510"/>
    <cellStyle name="표준 6 4 4 2 2" xfId="15519"/>
    <cellStyle name="표준 6 4 4 2 2 2" xfId="36395"/>
    <cellStyle name="표준 6 4 4 2 3" xfId="27657"/>
    <cellStyle name="표준 6 4 4 3" xfId="11183"/>
    <cellStyle name="표준 6 4 4 3 2" xfId="19952"/>
    <cellStyle name="표준 6 4 4 3 2 2" xfId="40828"/>
    <cellStyle name="표준 6 4 4 3 3" xfId="32092"/>
    <cellStyle name="표준 6 4 4 4" xfId="12047"/>
    <cellStyle name="표준 6 4 4 4 2" xfId="20813"/>
    <cellStyle name="표준 6 4 4 4 2 2" xfId="41689"/>
    <cellStyle name="표준 6 4 4 4 3" xfId="32953"/>
    <cellStyle name="표준 6 4 4 5" xfId="13701"/>
    <cellStyle name="표준 6 4 4 5 2" xfId="34577"/>
    <cellStyle name="표준 6 4 4 6" xfId="25839"/>
    <cellStyle name="표준 6 4 5" xfId="5353"/>
    <cellStyle name="표준 6 4 5 2" xfId="14362"/>
    <cellStyle name="표준 6 4 5 2 2" xfId="35238"/>
    <cellStyle name="표준 6 4 5 3" xfId="26500"/>
    <cellStyle name="표준 6 4 6" xfId="7155"/>
    <cellStyle name="표준 6 4 6 2" xfId="16163"/>
    <cellStyle name="표준 6 4 6 2 2" xfId="37039"/>
    <cellStyle name="표준 6 4 6 3" xfId="28301"/>
    <cellStyle name="표준 6 4 7" xfId="7800"/>
    <cellStyle name="표준 6 4 7 2" xfId="16806"/>
    <cellStyle name="표준 6 4 7 2 2" xfId="37682"/>
    <cellStyle name="표준 6 4 7 3" xfId="28944"/>
    <cellStyle name="표준 6 4 8" xfId="8648"/>
    <cellStyle name="표준 6 4 8 2" xfId="17653"/>
    <cellStyle name="표준 6 4 8 2 2" xfId="38529"/>
    <cellStyle name="표준 6 4 8 3" xfId="29791"/>
    <cellStyle name="표준 6 4 9" xfId="9192"/>
    <cellStyle name="표준 6 4 9 2" xfId="18196"/>
    <cellStyle name="표준 6 4 9 2 2" xfId="39072"/>
    <cellStyle name="표준 6 4 9 3" xfId="30334"/>
    <cellStyle name="표준 6 5" xfId="3074"/>
    <cellStyle name="표준 6 5 10" xfId="10135"/>
    <cellStyle name="표준 6 5 11" xfId="10529"/>
    <cellStyle name="표준 6 5 11 2" xfId="19300"/>
    <cellStyle name="표준 6 5 11 2 2" xfId="40176"/>
    <cellStyle name="표준 6 5 11 3" xfId="31440"/>
    <cellStyle name="표준 6 5 12" xfId="11395"/>
    <cellStyle name="표준 6 5 12 2" xfId="20161"/>
    <cellStyle name="표준 6 5 12 2 2" xfId="41037"/>
    <cellStyle name="표준 6 5 12 3" xfId="32301"/>
    <cellStyle name="표준 6 5 13" xfId="12544"/>
    <cellStyle name="표준 6 5 13 2" xfId="33421"/>
    <cellStyle name="표준 6 5 14" xfId="24671"/>
    <cellStyle name="표준 6 5 2" xfId="3294"/>
    <cellStyle name="표준 6 5 2 10" xfId="11612"/>
    <cellStyle name="표준 6 5 2 10 2" xfId="20378"/>
    <cellStyle name="표준 6 5 2 10 2 2" xfId="41254"/>
    <cellStyle name="표준 6 5 2 10 3" xfId="32518"/>
    <cellStyle name="표준 6 5 2 11" xfId="12761"/>
    <cellStyle name="표준 6 5 2 11 2" xfId="33638"/>
    <cellStyle name="표준 6 5 2 12" xfId="24888"/>
    <cellStyle name="표준 6 5 2 2" xfId="3735"/>
    <cellStyle name="표준 6 5 2 2 2" xfId="6008"/>
    <cellStyle name="표준 6 5 2 2 2 2" xfId="15017"/>
    <cellStyle name="표준 6 5 2 2 2 2 2" xfId="35893"/>
    <cellStyle name="표준 6 5 2 2 2 3" xfId="27155"/>
    <cellStyle name="표준 6 5 2 2 3" xfId="13198"/>
    <cellStyle name="표준 6 5 2 2 3 2" xfId="34075"/>
    <cellStyle name="표준 6 5 2 2 4" xfId="25325"/>
    <cellStyle name="표준 6 5 2 3" xfId="4897"/>
    <cellStyle name="표준 6 5 2 3 2" xfId="6728"/>
    <cellStyle name="표준 6 5 2 3 2 2" xfId="15737"/>
    <cellStyle name="표준 6 5 2 3 2 2 2" xfId="36613"/>
    <cellStyle name="표준 6 5 2 3 2 3" xfId="27875"/>
    <cellStyle name="표준 6 5 2 3 3" xfId="13919"/>
    <cellStyle name="표준 6 5 2 3 3 2" xfId="34795"/>
    <cellStyle name="표준 6 5 2 3 4" xfId="26057"/>
    <cellStyle name="표준 6 5 2 4" xfId="5571"/>
    <cellStyle name="표준 6 5 2 4 2" xfId="14580"/>
    <cellStyle name="표준 6 5 2 4 2 2" xfId="35456"/>
    <cellStyle name="표준 6 5 2 4 3" xfId="26718"/>
    <cellStyle name="표준 6 5 2 5" xfId="7374"/>
    <cellStyle name="표준 6 5 2 5 2" xfId="16381"/>
    <cellStyle name="표준 6 5 2 5 2 2" xfId="37257"/>
    <cellStyle name="표준 6 5 2 5 3" xfId="28519"/>
    <cellStyle name="표준 6 5 2 6" xfId="8018"/>
    <cellStyle name="표준 6 5 2 6 2" xfId="17024"/>
    <cellStyle name="표준 6 5 2 6 2 2" xfId="37900"/>
    <cellStyle name="표준 6 5 2 6 3" xfId="29162"/>
    <cellStyle name="표준 6 5 2 7" xfId="8866"/>
    <cellStyle name="표준 6 5 2 7 2" xfId="17871"/>
    <cellStyle name="표준 6 5 2 7 2 2" xfId="38747"/>
    <cellStyle name="표준 6 5 2 7 3" xfId="30009"/>
    <cellStyle name="표준 6 5 2 8" xfId="9691"/>
    <cellStyle name="표준 6 5 2 8 2" xfId="18689"/>
    <cellStyle name="표준 6 5 2 8 2 2" xfId="39565"/>
    <cellStyle name="표준 6 5 2 8 3" xfId="30827"/>
    <cellStyle name="표준 6 5 2 9" xfId="10746"/>
    <cellStyle name="표준 6 5 2 9 2" xfId="19517"/>
    <cellStyle name="표준 6 5 2 9 2 2" xfId="40393"/>
    <cellStyle name="표준 6 5 2 9 3" xfId="31657"/>
    <cellStyle name="표준 6 5 3" xfId="3518"/>
    <cellStyle name="표준 6 5 3 10" xfId="12981"/>
    <cellStyle name="표준 6 5 3 10 2" xfId="33858"/>
    <cellStyle name="표준 6 5 3 11" xfId="25108"/>
    <cellStyle name="표준 6 5 3 2" xfId="5120"/>
    <cellStyle name="표준 6 5 3 2 2" xfId="6945"/>
    <cellStyle name="표준 6 5 3 2 2 2" xfId="15954"/>
    <cellStyle name="표준 6 5 3 2 2 2 2" xfId="36830"/>
    <cellStyle name="표준 6 5 3 2 2 3" xfId="28092"/>
    <cellStyle name="표준 6 5 3 2 3" xfId="14136"/>
    <cellStyle name="표준 6 5 3 2 3 2" xfId="35012"/>
    <cellStyle name="표준 6 5 3 2 4" xfId="26274"/>
    <cellStyle name="표준 6 5 3 3" xfId="5791"/>
    <cellStyle name="표준 6 5 3 3 2" xfId="14800"/>
    <cellStyle name="표준 6 5 3 3 2 2" xfId="35676"/>
    <cellStyle name="표준 6 5 3 3 3" xfId="26938"/>
    <cellStyle name="표준 6 5 3 4" xfId="7591"/>
    <cellStyle name="표준 6 5 3 4 2" xfId="16598"/>
    <cellStyle name="표준 6 5 3 4 2 2" xfId="37474"/>
    <cellStyle name="표준 6 5 3 4 3" xfId="28736"/>
    <cellStyle name="표준 6 5 3 5" xfId="8235"/>
    <cellStyle name="표준 6 5 3 5 2" xfId="17241"/>
    <cellStyle name="표준 6 5 3 5 2 2" xfId="38117"/>
    <cellStyle name="표준 6 5 3 5 3" xfId="29379"/>
    <cellStyle name="표준 6 5 3 6" xfId="9083"/>
    <cellStyle name="표준 6 5 3 6 2" xfId="18088"/>
    <cellStyle name="표준 6 5 3 6 2 2" xfId="38964"/>
    <cellStyle name="표준 6 5 3 6 3" xfId="30226"/>
    <cellStyle name="표준 6 5 3 7" xfId="9908"/>
    <cellStyle name="표준 6 5 3 7 2" xfId="18906"/>
    <cellStyle name="표준 6 5 3 7 2 2" xfId="39782"/>
    <cellStyle name="표준 6 5 3 7 3" xfId="31044"/>
    <cellStyle name="표준 6 5 3 8" xfId="10963"/>
    <cellStyle name="표준 6 5 3 8 2" xfId="19734"/>
    <cellStyle name="표준 6 5 3 8 2 2" xfId="40610"/>
    <cellStyle name="표준 6 5 3 8 3" xfId="31874"/>
    <cellStyle name="표준 6 5 3 9" xfId="11829"/>
    <cellStyle name="표준 6 5 3 9 2" xfId="20595"/>
    <cellStyle name="표준 6 5 3 9 2 2" xfId="41471"/>
    <cellStyle name="표준 6 5 3 9 3" xfId="32735"/>
    <cellStyle name="표준 6 5 4" xfId="4677"/>
    <cellStyle name="표준 6 5 4 2" xfId="6511"/>
    <cellStyle name="표준 6 5 4 2 2" xfId="15520"/>
    <cellStyle name="표준 6 5 4 2 2 2" xfId="36396"/>
    <cellStyle name="표준 6 5 4 2 3" xfId="27658"/>
    <cellStyle name="표준 6 5 4 3" xfId="11184"/>
    <cellStyle name="표준 6 5 4 3 2" xfId="19953"/>
    <cellStyle name="표준 6 5 4 3 2 2" xfId="40829"/>
    <cellStyle name="표준 6 5 4 3 3" xfId="32093"/>
    <cellStyle name="표준 6 5 4 4" xfId="12048"/>
    <cellStyle name="표준 6 5 4 4 2" xfId="20814"/>
    <cellStyle name="표준 6 5 4 4 2 2" xfId="41690"/>
    <cellStyle name="표준 6 5 4 4 3" xfId="32954"/>
    <cellStyle name="표준 6 5 4 5" xfId="13702"/>
    <cellStyle name="표준 6 5 4 5 2" xfId="34578"/>
    <cellStyle name="표준 6 5 4 6" xfId="25840"/>
    <cellStyle name="표준 6 5 5" xfId="5354"/>
    <cellStyle name="표준 6 5 5 2" xfId="14363"/>
    <cellStyle name="표준 6 5 5 2 2" xfId="35239"/>
    <cellStyle name="표준 6 5 5 3" xfId="26501"/>
    <cellStyle name="표준 6 5 6" xfId="7156"/>
    <cellStyle name="표준 6 5 6 2" xfId="16164"/>
    <cellStyle name="표준 6 5 6 2 2" xfId="37040"/>
    <cellStyle name="표준 6 5 6 3" xfId="28302"/>
    <cellStyle name="표준 6 5 7" xfId="7801"/>
    <cellStyle name="표준 6 5 7 2" xfId="16807"/>
    <cellStyle name="표준 6 5 7 2 2" xfId="37683"/>
    <cellStyle name="표준 6 5 7 3" xfId="28945"/>
    <cellStyle name="표준 6 5 8" xfId="8649"/>
    <cellStyle name="표준 6 5 8 2" xfId="17654"/>
    <cellStyle name="표준 6 5 8 2 2" xfId="38530"/>
    <cellStyle name="표준 6 5 8 3" xfId="29792"/>
    <cellStyle name="표준 6 5 9" xfId="9473"/>
    <cellStyle name="표준 6 5 9 2" xfId="18472"/>
    <cellStyle name="표준 6 5 9 2 2" xfId="39348"/>
    <cellStyle name="표준 6 5 9 3" xfId="30610"/>
    <cellStyle name="표준 6 6" xfId="3075"/>
    <cellStyle name="표준 6 6 10" xfId="10530"/>
    <cellStyle name="표준 6 6 10 2" xfId="19301"/>
    <cellStyle name="표준 6 6 10 2 2" xfId="40177"/>
    <cellStyle name="표준 6 6 10 3" xfId="31441"/>
    <cellStyle name="표준 6 6 11" xfId="11396"/>
    <cellStyle name="표준 6 6 11 2" xfId="20162"/>
    <cellStyle name="표준 6 6 11 2 2" xfId="41038"/>
    <cellStyle name="표준 6 6 11 3" xfId="32302"/>
    <cellStyle name="표준 6 6 12" xfId="12545"/>
    <cellStyle name="표준 6 6 12 2" xfId="33422"/>
    <cellStyle name="표준 6 6 13" xfId="24672"/>
    <cellStyle name="표준 6 6 2" xfId="3295"/>
    <cellStyle name="표준 6 6 2 10" xfId="11613"/>
    <cellStyle name="표준 6 6 2 10 2" xfId="20379"/>
    <cellStyle name="표준 6 6 2 10 2 2" xfId="41255"/>
    <cellStyle name="표준 6 6 2 10 3" xfId="32519"/>
    <cellStyle name="표준 6 6 2 11" xfId="12762"/>
    <cellStyle name="표준 6 6 2 11 2" xfId="33639"/>
    <cellStyle name="표준 6 6 2 12" xfId="24889"/>
    <cellStyle name="표준 6 6 2 2" xfId="3736"/>
    <cellStyle name="표준 6 6 2 2 2" xfId="6009"/>
    <cellStyle name="표준 6 6 2 2 2 2" xfId="15018"/>
    <cellStyle name="표준 6 6 2 2 2 2 2" xfId="35894"/>
    <cellStyle name="표준 6 6 2 2 2 3" xfId="27156"/>
    <cellStyle name="표준 6 6 2 2 3" xfId="13199"/>
    <cellStyle name="표준 6 6 2 2 3 2" xfId="34076"/>
    <cellStyle name="표준 6 6 2 2 4" xfId="25326"/>
    <cellStyle name="표준 6 6 2 3" xfId="4898"/>
    <cellStyle name="표준 6 6 2 3 2" xfId="6729"/>
    <cellStyle name="표준 6 6 2 3 2 2" xfId="15738"/>
    <cellStyle name="표준 6 6 2 3 2 2 2" xfId="36614"/>
    <cellStyle name="표준 6 6 2 3 2 3" xfId="27876"/>
    <cellStyle name="표준 6 6 2 3 3" xfId="13920"/>
    <cellStyle name="표준 6 6 2 3 3 2" xfId="34796"/>
    <cellStyle name="표준 6 6 2 3 4" xfId="26058"/>
    <cellStyle name="표준 6 6 2 4" xfId="5572"/>
    <cellStyle name="표준 6 6 2 4 2" xfId="14581"/>
    <cellStyle name="표준 6 6 2 4 2 2" xfId="35457"/>
    <cellStyle name="표준 6 6 2 4 3" xfId="26719"/>
    <cellStyle name="표준 6 6 2 5" xfId="7375"/>
    <cellStyle name="표준 6 6 2 5 2" xfId="16382"/>
    <cellStyle name="표준 6 6 2 5 2 2" xfId="37258"/>
    <cellStyle name="표준 6 6 2 5 3" xfId="28520"/>
    <cellStyle name="표준 6 6 2 6" xfId="8019"/>
    <cellStyle name="표준 6 6 2 6 2" xfId="17025"/>
    <cellStyle name="표준 6 6 2 6 2 2" xfId="37901"/>
    <cellStyle name="표준 6 6 2 6 3" xfId="29163"/>
    <cellStyle name="표준 6 6 2 7" xfId="8867"/>
    <cellStyle name="표준 6 6 2 7 2" xfId="17872"/>
    <cellStyle name="표준 6 6 2 7 2 2" xfId="38748"/>
    <cellStyle name="표준 6 6 2 7 3" xfId="30010"/>
    <cellStyle name="표준 6 6 2 8" xfId="9692"/>
    <cellStyle name="표준 6 6 2 8 2" xfId="18690"/>
    <cellStyle name="표준 6 6 2 8 2 2" xfId="39566"/>
    <cellStyle name="표준 6 6 2 8 3" xfId="30828"/>
    <cellStyle name="표준 6 6 2 9" xfId="10747"/>
    <cellStyle name="표준 6 6 2 9 2" xfId="19518"/>
    <cellStyle name="표준 6 6 2 9 2 2" xfId="40394"/>
    <cellStyle name="표준 6 6 2 9 3" xfId="31658"/>
    <cellStyle name="표준 6 6 3" xfId="3519"/>
    <cellStyle name="표준 6 6 3 10" xfId="12982"/>
    <cellStyle name="표준 6 6 3 10 2" xfId="33859"/>
    <cellStyle name="표준 6 6 3 11" xfId="25109"/>
    <cellStyle name="표준 6 6 3 2" xfId="5121"/>
    <cellStyle name="표준 6 6 3 2 2" xfId="6946"/>
    <cellStyle name="표준 6 6 3 2 2 2" xfId="15955"/>
    <cellStyle name="표준 6 6 3 2 2 2 2" xfId="36831"/>
    <cellStyle name="표준 6 6 3 2 2 3" xfId="28093"/>
    <cellStyle name="표준 6 6 3 2 3" xfId="14137"/>
    <cellStyle name="표준 6 6 3 2 3 2" xfId="35013"/>
    <cellStyle name="표준 6 6 3 2 4" xfId="26275"/>
    <cellStyle name="표준 6 6 3 3" xfId="5792"/>
    <cellStyle name="표준 6 6 3 3 2" xfId="14801"/>
    <cellStyle name="표준 6 6 3 3 2 2" xfId="35677"/>
    <cellStyle name="표준 6 6 3 3 3" xfId="26939"/>
    <cellStyle name="표준 6 6 3 4" xfId="7592"/>
    <cellStyle name="표준 6 6 3 4 2" xfId="16599"/>
    <cellStyle name="표준 6 6 3 4 2 2" xfId="37475"/>
    <cellStyle name="표준 6 6 3 4 3" xfId="28737"/>
    <cellStyle name="표준 6 6 3 5" xfId="8236"/>
    <cellStyle name="표준 6 6 3 5 2" xfId="17242"/>
    <cellStyle name="표준 6 6 3 5 2 2" xfId="38118"/>
    <cellStyle name="표준 6 6 3 5 3" xfId="29380"/>
    <cellStyle name="표준 6 6 3 6" xfId="9084"/>
    <cellStyle name="표준 6 6 3 6 2" xfId="18089"/>
    <cellStyle name="표준 6 6 3 6 2 2" xfId="38965"/>
    <cellStyle name="표준 6 6 3 6 3" xfId="30227"/>
    <cellStyle name="표준 6 6 3 7" xfId="9909"/>
    <cellStyle name="표준 6 6 3 7 2" xfId="18907"/>
    <cellStyle name="표준 6 6 3 7 2 2" xfId="39783"/>
    <cellStyle name="표준 6 6 3 7 3" xfId="31045"/>
    <cellStyle name="표준 6 6 3 8" xfId="10964"/>
    <cellStyle name="표준 6 6 3 8 2" xfId="19735"/>
    <cellStyle name="표준 6 6 3 8 2 2" xfId="40611"/>
    <cellStyle name="표준 6 6 3 8 3" xfId="31875"/>
    <cellStyle name="표준 6 6 3 9" xfId="11830"/>
    <cellStyle name="표준 6 6 3 9 2" xfId="20596"/>
    <cellStyle name="표준 6 6 3 9 2 2" xfId="41472"/>
    <cellStyle name="표준 6 6 3 9 3" xfId="32736"/>
    <cellStyle name="표준 6 6 4" xfId="4678"/>
    <cellStyle name="표준 6 6 4 2" xfId="6512"/>
    <cellStyle name="표준 6 6 4 2 2" xfId="15521"/>
    <cellStyle name="표준 6 6 4 2 2 2" xfId="36397"/>
    <cellStyle name="표준 6 6 4 2 3" xfId="27659"/>
    <cellStyle name="표준 6 6 4 3" xfId="11185"/>
    <cellStyle name="표준 6 6 4 3 2" xfId="19954"/>
    <cellStyle name="표준 6 6 4 3 2 2" xfId="40830"/>
    <cellStyle name="표준 6 6 4 3 3" xfId="32094"/>
    <cellStyle name="표준 6 6 4 4" xfId="12049"/>
    <cellStyle name="표준 6 6 4 4 2" xfId="20815"/>
    <cellStyle name="표준 6 6 4 4 2 2" xfId="41691"/>
    <cellStyle name="표준 6 6 4 4 3" xfId="32955"/>
    <cellStyle name="표준 6 6 4 5" xfId="13703"/>
    <cellStyle name="표준 6 6 4 5 2" xfId="34579"/>
    <cellStyle name="표준 6 6 4 6" xfId="25841"/>
    <cellStyle name="표준 6 6 5" xfId="5355"/>
    <cellStyle name="표준 6 6 5 2" xfId="14364"/>
    <cellStyle name="표준 6 6 5 2 2" xfId="35240"/>
    <cellStyle name="표준 6 6 5 3" xfId="26502"/>
    <cellStyle name="표준 6 6 6" xfId="7157"/>
    <cellStyle name="표준 6 6 6 2" xfId="16165"/>
    <cellStyle name="표준 6 6 6 2 2" xfId="37041"/>
    <cellStyle name="표준 6 6 6 3" xfId="28303"/>
    <cellStyle name="표준 6 6 7" xfId="7802"/>
    <cellStyle name="표준 6 6 7 2" xfId="16808"/>
    <cellStyle name="표준 6 6 7 2 2" xfId="37684"/>
    <cellStyle name="표준 6 6 7 3" xfId="28946"/>
    <cellStyle name="표준 6 6 8" xfId="8650"/>
    <cellStyle name="표준 6 6 8 2" xfId="17655"/>
    <cellStyle name="표준 6 6 8 2 2" xfId="38531"/>
    <cellStyle name="표준 6 6 8 3" xfId="29793"/>
    <cellStyle name="표준 6 6 9" xfId="9474"/>
    <cellStyle name="표준 6 6 9 2" xfId="18473"/>
    <cellStyle name="표준 6 6 9 2 2" xfId="39349"/>
    <cellStyle name="표준 6 6 9 3" xfId="30611"/>
    <cellStyle name="표준 6 7" xfId="3076"/>
    <cellStyle name="표준 6 7 10" xfId="10531"/>
    <cellStyle name="표준 6 7 10 2" xfId="19302"/>
    <cellStyle name="표준 6 7 10 2 2" xfId="40178"/>
    <cellStyle name="표준 6 7 10 3" xfId="31442"/>
    <cellStyle name="표준 6 7 11" xfId="11397"/>
    <cellStyle name="표준 6 7 11 2" xfId="20163"/>
    <cellStyle name="표준 6 7 11 2 2" xfId="41039"/>
    <cellStyle name="표준 6 7 11 3" xfId="32303"/>
    <cellStyle name="표준 6 7 12" xfId="12546"/>
    <cellStyle name="표준 6 7 12 2" xfId="33423"/>
    <cellStyle name="표준 6 7 13" xfId="24673"/>
    <cellStyle name="표준 6 7 2" xfId="3296"/>
    <cellStyle name="표준 6 7 2 10" xfId="11614"/>
    <cellStyle name="표준 6 7 2 10 2" xfId="20380"/>
    <cellStyle name="표준 6 7 2 10 2 2" xfId="41256"/>
    <cellStyle name="표준 6 7 2 10 3" xfId="32520"/>
    <cellStyle name="표준 6 7 2 11" xfId="12763"/>
    <cellStyle name="표준 6 7 2 11 2" xfId="33640"/>
    <cellStyle name="표준 6 7 2 12" xfId="24890"/>
    <cellStyle name="표준 6 7 2 2" xfId="3737"/>
    <cellStyle name="표준 6 7 2 2 2" xfId="6010"/>
    <cellStyle name="표준 6 7 2 2 2 2" xfId="15019"/>
    <cellStyle name="표준 6 7 2 2 2 2 2" xfId="35895"/>
    <cellStyle name="표준 6 7 2 2 2 3" xfId="27157"/>
    <cellStyle name="표준 6 7 2 2 3" xfId="13200"/>
    <cellStyle name="표준 6 7 2 2 3 2" xfId="34077"/>
    <cellStyle name="표준 6 7 2 2 4" xfId="25327"/>
    <cellStyle name="표준 6 7 2 3" xfId="4899"/>
    <cellStyle name="표준 6 7 2 3 2" xfId="6730"/>
    <cellStyle name="표준 6 7 2 3 2 2" xfId="15739"/>
    <cellStyle name="표준 6 7 2 3 2 2 2" xfId="36615"/>
    <cellStyle name="표준 6 7 2 3 2 3" xfId="27877"/>
    <cellStyle name="표준 6 7 2 3 3" xfId="13921"/>
    <cellStyle name="표준 6 7 2 3 3 2" xfId="34797"/>
    <cellStyle name="표준 6 7 2 3 4" xfId="26059"/>
    <cellStyle name="표준 6 7 2 4" xfId="5573"/>
    <cellStyle name="표준 6 7 2 4 2" xfId="14582"/>
    <cellStyle name="표준 6 7 2 4 2 2" xfId="35458"/>
    <cellStyle name="표준 6 7 2 4 3" xfId="26720"/>
    <cellStyle name="표준 6 7 2 5" xfId="7376"/>
    <cellStyle name="표준 6 7 2 5 2" xfId="16383"/>
    <cellStyle name="표준 6 7 2 5 2 2" xfId="37259"/>
    <cellStyle name="표준 6 7 2 5 3" xfId="28521"/>
    <cellStyle name="표준 6 7 2 6" xfId="8020"/>
    <cellStyle name="표준 6 7 2 6 2" xfId="17026"/>
    <cellStyle name="표준 6 7 2 6 2 2" xfId="37902"/>
    <cellStyle name="표준 6 7 2 6 3" xfId="29164"/>
    <cellStyle name="표준 6 7 2 7" xfId="8868"/>
    <cellStyle name="표준 6 7 2 7 2" xfId="17873"/>
    <cellStyle name="표준 6 7 2 7 2 2" xfId="38749"/>
    <cellStyle name="표준 6 7 2 7 3" xfId="30011"/>
    <cellStyle name="표준 6 7 2 8" xfId="9693"/>
    <cellStyle name="표준 6 7 2 8 2" xfId="18691"/>
    <cellStyle name="표준 6 7 2 8 2 2" xfId="39567"/>
    <cellStyle name="표준 6 7 2 8 3" xfId="30829"/>
    <cellStyle name="표준 6 7 2 9" xfId="10748"/>
    <cellStyle name="표준 6 7 2 9 2" xfId="19519"/>
    <cellStyle name="표준 6 7 2 9 2 2" xfId="40395"/>
    <cellStyle name="표준 6 7 2 9 3" xfId="31659"/>
    <cellStyle name="표준 6 7 3" xfId="3520"/>
    <cellStyle name="표준 6 7 3 10" xfId="12983"/>
    <cellStyle name="표준 6 7 3 10 2" xfId="33860"/>
    <cellStyle name="표준 6 7 3 11" xfId="25110"/>
    <cellStyle name="표준 6 7 3 2" xfId="5122"/>
    <cellStyle name="표준 6 7 3 2 2" xfId="6947"/>
    <cellStyle name="표준 6 7 3 2 2 2" xfId="15956"/>
    <cellStyle name="표준 6 7 3 2 2 2 2" xfId="36832"/>
    <cellStyle name="표준 6 7 3 2 2 3" xfId="28094"/>
    <cellStyle name="표준 6 7 3 2 3" xfId="14138"/>
    <cellStyle name="표준 6 7 3 2 3 2" xfId="35014"/>
    <cellStyle name="표준 6 7 3 2 4" xfId="26276"/>
    <cellStyle name="표준 6 7 3 3" xfId="5793"/>
    <cellStyle name="표준 6 7 3 3 2" xfId="14802"/>
    <cellStyle name="표준 6 7 3 3 2 2" xfId="35678"/>
    <cellStyle name="표준 6 7 3 3 3" xfId="26940"/>
    <cellStyle name="표준 6 7 3 4" xfId="7593"/>
    <cellStyle name="표준 6 7 3 4 2" xfId="16600"/>
    <cellStyle name="표준 6 7 3 4 2 2" xfId="37476"/>
    <cellStyle name="표준 6 7 3 4 3" xfId="28738"/>
    <cellStyle name="표준 6 7 3 5" xfId="8237"/>
    <cellStyle name="표준 6 7 3 5 2" xfId="17243"/>
    <cellStyle name="표준 6 7 3 5 2 2" xfId="38119"/>
    <cellStyle name="표준 6 7 3 5 3" xfId="29381"/>
    <cellStyle name="표준 6 7 3 6" xfId="9085"/>
    <cellStyle name="표준 6 7 3 6 2" xfId="18090"/>
    <cellStyle name="표준 6 7 3 6 2 2" xfId="38966"/>
    <cellStyle name="표준 6 7 3 6 3" xfId="30228"/>
    <cellStyle name="표준 6 7 3 7" xfId="9910"/>
    <cellStyle name="표준 6 7 3 7 2" xfId="18908"/>
    <cellStyle name="표준 6 7 3 7 2 2" xfId="39784"/>
    <cellStyle name="표준 6 7 3 7 3" xfId="31046"/>
    <cellStyle name="표준 6 7 3 8" xfId="10965"/>
    <cellStyle name="표준 6 7 3 8 2" xfId="19736"/>
    <cellStyle name="표준 6 7 3 8 2 2" xfId="40612"/>
    <cellStyle name="표준 6 7 3 8 3" xfId="31876"/>
    <cellStyle name="표준 6 7 3 9" xfId="11831"/>
    <cellStyle name="표준 6 7 3 9 2" xfId="20597"/>
    <cellStyle name="표준 6 7 3 9 2 2" xfId="41473"/>
    <cellStyle name="표준 6 7 3 9 3" xfId="32737"/>
    <cellStyle name="표준 6 7 4" xfId="4679"/>
    <cellStyle name="표준 6 7 4 2" xfId="6513"/>
    <cellStyle name="표준 6 7 4 2 2" xfId="15522"/>
    <cellStyle name="표준 6 7 4 2 2 2" xfId="36398"/>
    <cellStyle name="표준 6 7 4 2 3" xfId="27660"/>
    <cellStyle name="표준 6 7 4 3" xfId="11186"/>
    <cellStyle name="표준 6 7 4 3 2" xfId="19955"/>
    <cellStyle name="표준 6 7 4 3 2 2" xfId="40831"/>
    <cellStyle name="표준 6 7 4 3 3" xfId="32095"/>
    <cellStyle name="표준 6 7 4 4" xfId="12050"/>
    <cellStyle name="표준 6 7 4 4 2" xfId="20816"/>
    <cellStyle name="표준 6 7 4 4 2 2" xfId="41692"/>
    <cellStyle name="표준 6 7 4 4 3" xfId="32956"/>
    <cellStyle name="표준 6 7 4 5" xfId="13704"/>
    <cellStyle name="표준 6 7 4 5 2" xfId="34580"/>
    <cellStyle name="표준 6 7 4 6" xfId="25842"/>
    <cellStyle name="표준 6 7 5" xfId="5356"/>
    <cellStyle name="표준 6 7 5 2" xfId="14365"/>
    <cellStyle name="표준 6 7 5 2 2" xfId="35241"/>
    <cellStyle name="표준 6 7 5 3" xfId="26503"/>
    <cellStyle name="표준 6 7 6" xfId="7158"/>
    <cellStyle name="표준 6 7 6 2" xfId="16166"/>
    <cellStyle name="표준 6 7 6 2 2" xfId="37042"/>
    <cellStyle name="표준 6 7 6 3" xfId="28304"/>
    <cellStyle name="표준 6 7 7" xfId="7803"/>
    <cellStyle name="표준 6 7 7 2" xfId="16809"/>
    <cellStyle name="표준 6 7 7 2 2" xfId="37685"/>
    <cellStyle name="표준 6 7 7 3" xfId="28947"/>
    <cellStyle name="표준 6 7 8" xfId="8651"/>
    <cellStyle name="표준 6 7 8 2" xfId="17656"/>
    <cellStyle name="표준 6 7 8 2 2" xfId="38532"/>
    <cellStyle name="표준 6 7 8 3" xfId="29794"/>
    <cellStyle name="표준 6 7 9" xfId="9475"/>
    <cellStyle name="표준 6 7 9 2" xfId="18474"/>
    <cellStyle name="표준 6 7 9 2 2" xfId="39350"/>
    <cellStyle name="표준 6 7 9 3" xfId="30612"/>
    <cellStyle name="표준 6 8" xfId="3290"/>
    <cellStyle name="표준 6 8 10" xfId="11608"/>
    <cellStyle name="표준 6 8 10 2" xfId="20374"/>
    <cellStyle name="표준 6 8 10 2 2" xfId="41250"/>
    <cellStyle name="표준 6 8 10 3" xfId="32514"/>
    <cellStyle name="표준 6 8 11" xfId="12757"/>
    <cellStyle name="표준 6 8 11 2" xfId="33634"/>
    <cellStyle name="표준 6 8 12" xfId="24884"/>
    <cellStyle name="표준 6 8 2" xfId="3731"/>
    <cellStyle name="표준 6 8 2 2" xfId="6004"/>
    <cellStyle name="표준 6 8 2 2 2" xfId="15013"/>
    <cellStyle name="표준 6 8 2 2 2 2" xfId="35889"/>
    <cellStyle name="표준 6 8 2 2 3" xfId="27151"/>
    <cellStyle name="표준 6 8 2 3" xfId="13194"/>
    <cellStyle name="표준 6 8 2 3 2" xfId="34071"/>
    <cellStyle name="표준 6 8 2 4" xfId="25321"/>
    <cellStyle name="표준 6 8 3" xfId="4893"/>
    <cellStyle name="표준 6 8 3 2" xfId="6724"/>
    <cellStyle name="표준 6 8 3 2 2" xfId="15733"/>
    <cellStyle name="표준 6 8 3 2 2 2" xfId="36609"/>
    <cellStyle name="표준 6 8 3 2 3" xfId="27871"/>
    <cellStyle name="표준 6 8 3 3" xfId="13915"/>
    <cellStyle name="표준 6 8 3 3 2" xfId="34791"/>
    <cellStyle name="표준 6 8 3 4" xfId="26053"/>
    <cellStyle name="표준 6 8 4" xfId="5567"/>
    <cellStyle name="표준 6 8 4 2" xfId="14576"/>
    <cellStyle name="표준 6 8 4 2 2" xfId="35452"/>
    <cellStyle name="표준 6 8 4 3" xfId="26714"/>
    <cellStyle name="표준 6 8 5" xfId="7370"/>
    <cellStyle name="표준 6 8 5 2" xfId="16377"/>
    <cellStyle name="표준 6 8 5 2 2" xfId="37253"/>
    <cellStyle name="표준 6 8 5 3" xfId="28515"/>
    <cellStyle name="표준 6 8 6" xfId="8014"/>
    <cellStyle name="표준 6 8 6 2" xfId="17020"/>
    <cellStyle name="표준 6 8 6 2 2" xfId="37896"/>
    <cellStyle name="표준 6 8 6 3" xfId="29158"/>
    <cellStyle name="표준 6 8 7" xfId="8862"/>
    <cellStyle name="표준 6 8 7 2" xfId="17867"/>
    <cellStyle name="표준 6 8 7 2 2" xfId="38743"/>
    <cellStyle name="표준 6 8 7 3" xfId="30005"/>
    <cellStyle name="표준 6 8 8" xfId="9687"/>
    <cellStyle name="표준 6 8 8 2" xfId="18685"/>
    <cellStyle name="표준 6 8 8 2 2" xfId="39561"/>
    <cellStyle name="표준 6 8 8 3" xfId="30823"/>
    <cellStyle name="표준 6 8 9" xfId="10742"/>
    <cellStyle name="표준 6 8 9 2" xfId="19513"/>
    <cellStyle name="표준 6 8 9 2 2" xfId="40389"/>
    <cellStyle name="표준 6 8 9 3" xfId="31653"/>
    <cellStyle name="표준 6 9" xfId="3514"/>
    <cellStyle name="표준 6 9 10" xfId="12977"/>
    <cellStyle name="표준 6 9 10 2" xfId="33854"/>
    <cellStyle name="표준 6 9 11" xfId="25104"/>
    <cellStyle name="표준 6 9 2" xfId="5116"/>
    <cellStyle name="표준 6 9 2 2" xfId="6941"/>
    <cellStyle name="표준 6 9 2 2 2" xfId="15950"/>
    <cellStyle name="표준 6 9 2 2 2 2" xfId="36826"/>
    <cellStyle name="표준 6 9 2 2 3" xfId="28088"/>
    <cellStyle name="표준 6 9 2 3" xfId="14132"/>
    <cellStyle name="표준 6 9 2 3 2" xfId="35008"/>
    <cellStyle name="표준 6 9 2 4" xfId="26270"/>
    <cellStyle name="표준 6 9 3" xfId="5787"/>
    <cellStyle name="표준 6 9 3 2" xfId="14796"/>
    <cellStyle name="표준 6 9 3 2 2" xfId="35672"/>
    <cellStyle name="표준 6 9 3 3" xfId="26934"/>
    <cellStyle name="표준 6 9 4" xfId="7587"/>
    <cellStyle name="표준 6 9 4 2" xfId="16594"/>
    <cellStyle name="표준 6 9 4 2 2" xfId="37470"/>
    <cellStyle name="표준 6 9 4 3" xfId="28732"/>
    <cellStyle name="표준 6 9 5" xfId="8231"/>
    <cellStyle name="표준 6 9 5 2" xfId="17237"/>
    <cellStyle name="표준 6 9 5 2 2" xfId="38113"/>
    <cellStyle name="표준 6 9 5 3" xfId="29375"/>
    <cellStyle name="표준 6 9 6" xfId="9079"/>
    <cellStyle name="표준 6 9 6 2" xfId="18084"/>
    <cellStyle name="표준 6 9 6 2 2" xfId="38960"/>
    <cellStyle name="표준 6 9 6 3" xfId="30222"/>
    <cellStyle name="표준 6 9 7" xfId="9904"/>
    <cellStyle name="표준 6 9 7 2" xfId="18902"/>
    <cellStyle name="표준 6 9 7 2 2" xfId="39778"/>
    <cellStyle name="표준 6 9 7 3" xfId="31040"/>
    <cellStyle name="표준 6 9 8" xfId="10959"/>
    <cellStyle name="표준 6 9 8 2" xfId="19730"/>
    <cellStyle name="표준 6 9 8 2 2" xfId="40606"/>
    <cellStyle name="표준 6 9 8 3" xfId="31870"/>
    <cellStyle name="표준 6 9 9" xfId="11825"/>
    <cellStyle name="표준 6 9 9 2" xfId="20591"/>
    <cellStyle name="표준 6 9 9 2 2" xfId="41467"/>
    <cellStyle name="표준 6 9 9 3" xfId="32731"/>
    <cellStyle name="표준 60" xfId="7180"/>
    <cellStyle name="표준 61" xfId="7615"/>
    <cellStyle name="표준 62" xfId="8259"/>
    <cellStyle name="표준 63" xfId="9107"/>
    <cellStyle name="표준 63 2" xfId="18112"/>
    <cellStyle name="표준 63 2 2" xfId="38988"/>
    <cellStyle name="표준 63 3" xfId="30250"/>
    <cellStyle name="표준 64" xfId="9108"/>
    <cellStyle name="표준 65" xfId="9205"/>
    <cellStyle name="표준 66" xfId="9497"/>
    <cellStyle name="표준 67" xfId="9932"/>
    <cellStyle name="표준 68" xfId="9275"/>
    <cellStyle name="표준 69" xfId="9936"/>
    <cellStyle name="표준 7" xfId="3077"/>
    <cellStyle name="표준 7 10" xfId="4680"/>
    <cellStyle name="표준 7 10 2" xfId="6514"/>
    <cellStyle name="표준 7 10 2 2" xfId="15523"/>
    <cellStyle name="표준 7 10 2 2 2" xfId="36399"/>
    <cellStyle name="표준 7 10 2 3" xfId="27661"/>
    <cellStyle name="표준 7 10 3" xfId="11187"/>
    <cellStyle name="표준 7 10 3 2" xfId="19956"/>
    <cellStyle name="표준 7 10 3 2 2" xfId="40832"/>
    <cellStyle name="표준 7 10 3 3" xfId="32096"/>
    <cellStyle name="표준 7 10 4" xfId="12051"/>
    <cellStyle name="표준 7 10 4 2" xfId="20817"/>
    <cellStyle name="표준 7 10 4 2 2" xfId="41693"/>
    <cellStyle name="표준 7 10 4 3" xfId="32957"/>
    <cellStyle name="표준 7 10 5" xfId="13705"/>
    <cellStyle name="표준 7 10 5 2" xfId="34581"/>
    <cellStyle name="표준 7 10 6" xfId="25843"/>
    <cellStyle name="표준 7 11" xfId="3848"/>
    <cellStyle name="표준 7 12" xfId="5357"/>
    <cellStyle name="표준 7 12 2" xfId="14366"/>
    <cellStyle name="표준 7 12 2 2" xfId="35242"/>
    <cellStyle name="표준 7 12 3" xfId="26504"/>
    <cellStyle name="표준 7 13" xfId="7159"/>
    <cellStyle name="표준 7 13 2" xfId="16167"/>
    <cellStyle name="표준 7 13 2 2" xfId="37043"/>
    <cellStyle name="표준 7 13 3" xfId="28305"/>
    <cellStyle name="표준 7 14" xfId="7804"/>
    <cellStyle name="표준 7 14 2" xfId="16810"/>
    <cellStyle name="표준 7 14 2 2" xfId="37686"/>
    <cellStyle name="표준 7 14 3" xfId="28948"/>
    <cellStyle name="표준 7 15" xfId="8652"/>
    <cellStyle name="표준 7 15 2" xfId="17657"/>
    <cellStyle name="표준 7 15 2 2" xfId="38533"/>
    <cellStyle name="표준 7 15 3" xfId="29795"/>
    <cellStyle name="표준 7 16" xfId="9476"/>
    <cellStyle name="표준 7 16 2" xfId="18475"/>
    <cellStyle name="표준 7 16 2 2" xfId="39351"/>
    <cellStyle name="표준 7 16 3" xfId="30613"/>
    <cellStyle name="표준 7 17" xfId="10532"/>
    <cellStyle name="표준 7 17 2" xfId="19303"/>
    <cellStyle name="표준 7 17 2 2" xfId="40179"/>
    <cellStyle name="표준 7 17 3" xfId="31443"/>
    <cellStyle name="표준 7 18" xfId="11398"/>
    <cellStyle name="표준 7 18 2" xfId="20164"/>
    <cellStyle name="표준 7 18 2 2" xfId="41040"/>
    <cellStyle name="표준 7 18 3" xfId="32304"/>
    <cellStyle name="표준 7 19" xfId="12547"/>
    <cellStyle name="표준 7 19 2" xfId="33424"/>
    <cellStyle name="표준 7 2" xfId="3078"/>
    <cellStyle name="표준 7 2 10" xfId="9477"/>
    <cellStyle name="표준 7 2 10 2" xfId="18476"/>
    <cellStyle name="표준 7 2 10 2 2" xfId="39352"/>
    <cellStyle name="표준 7 2 10 3" xfId="30614"/>
    <cellStyle name="표준 7 2 11" xfId="10136"/>
    <cellStyle name="표준 7 2 12" xfId="10533"/>
    <cellStyle name="표준 7 2 12 2" xfId="19304"/>
    <cellStyle name="표준 7 2 12 2 2" xfId="40180"/>
    <cellStyle name="표준 7 2 12 3" xfId="31444"/>
    <cellStyle name="표준 7 2 13" xfId="11399"/>
    <cellStyle name="표준 7 2 13 2" xfId="20165"/>
    <cellStyle name="표준 7 2 13 2 2" xfId="41041"/>
    <cellStyle name="표준 7 2 13 3" xfId="32305"/>
    <cellStyle name="표준 7 2 14" xfId="12548"/>
    <cellStyle name="표준 7 2 14 2" xfId="33425"/>
    <cellStyle name="표준 7 2 15" xfId="24675"/>
    <cellStyle name="표준 7 2 2" xfId="3298"/>
    <cellStyle name="표준 7 2 2 10" xfId="10750"/>
    <cellStyle name="표준 7 2 2 10 2" xfId="19521"/>
    <cellStyle name="표준 7 2 2 10 2 2" xfId="40397"/>
    <cellStyle name="표준 7 2 2 10 3" xfId="31661"/>
    <cellStyle name="표준 7 2 2 11" xfId="11616"/>
    <cellStyle name="표준 7 2 2 11 2" xfId="20382"/>
    <cellStyle name="표준 7 2 2 11 2 2" xfId="41258"/>
    <cellStyle name="표준 7 2 2 11 3" xfId="32522"/>
    <cellStyle name="표준 7 2 2 12" xfId="12765"/>
    <cellStyle name="표준 7 2 2 12 2" xfId="33642"/>
    <cellStyle name="표준 7 2 2 13" xfId="24892"/>
    <cellStyle name="표준 7 2 2 2" xfId="3739"/>
    <cellStyle name="표준 7 2 2 2 2" xfId="6012"/>
    <cellStyle name="표준 7 2 2 2 2 2" xfId="15021"/>
    <cellStyle name="표준 7 2 2 2 2 2 2" xfId="35897"/>
    <cellStyle name="표준 7 2 2 2 2 3" xfId="27159"/>
    <cellStyle name="표준 7 2 2 2 3" xfId="13202"/>
    <cellStyle name="표준 7 2 2 2 3 2" xfId="34079"/>
    <cellStyle name="표준 7 2 2 2 4" xfId="25329"/>
    <cellStyle name="표준 7 2 2 3" xfId="4901"/>
    <cellStyle name="표준 7 2 2 3 2" xfId="6732"/>
    <cellStyle name="표준 7 2 2 3 2 2" xfId="15741"/>
    <cellStyle name="표준 7 2 2 3 2 2 2" xfId="36617"/>
    <cellStyle name="표준 7 2 2 3 2 3" xfId="27879"/>
    <cellStyle name="표준 7 2 2 3 3" xfId="13923"/>
    <cellStyle name="표준 7 2 2 3 3 2" xfId="34799"/>
    <cellStyle name="표준 7 2 2 3 4" xfId="26061"/>
    <cellStyle name="표준 7 2 2 4" xfId="5575"/>
    <cellStyle name="표준 7 2 2 4 2" xfId="14584"/>
    <cellStyle name="표준 7 2 2 4 2 2" xfId="35460"/>
    <cellStyle name="표준 7 2 2 4 3" xfId="26722"/>
    <cellStyle name="표준 7 2 2 5" xfId="7378"/>
    <cellStyle name="표준 7 2 2 5 2" xfId="16385"/>
    <cellStyle name="표준 7 2 2 5 2 2" xfId="37261"/>
    <cellStyle name="표준 7 2 2 5 3" xfId="28523"/>
    <cellStyle name="표준 7 2 2 6" xfId="8022"/>
    <cellStyle name="표준 7 2 2 6 2" xfId="17028"/>
    <cellStyle name="표준 7 2 2 6 2 2" xfId="37904"/>
    <cellStyle name="표준 7 2 2 6 3" xfId="29166"/>
    <cellStyle name="표준 7 2 2 7" xfId="8870"/>
    <cellStyle name="표준 7 2 2 7 2" xfId="17875"/>
    <cellStyle name="표준 7 2 2 7 2 2" xfId="38751"/>
    <cellStyle name="표준 7 2 2 7 3" xfId="30013"/>
    <cellStyle name="표준 7 2 2 8" xfId="9695"/>
    <cellStyle name="표준 7 2 2 8 2" xfId="18693"/>
    <cellStyle name="표준 7 2 2 8 2 2" xfId="39569"/>
    <cellStyle name="표준 7 2 2 8 3" xfId="30831"/>
    <cellStyle name="표준 7 2 2 9" xfId="10137"/>
    <cellStyle name="표준 7 2 3" xfId="3522"/>
    <cellStyle name="표준 7 2 3 10" xfId="12985"/>
    <cellStyle name="표준 7 2 3 10 2" xfId="33862"/>
    <cellStyle name="표준 7 2 3 11" xfId="25112"/>
    <cellStyle name="표준 7 2 3 2" xfId="5124"/>
    <cellStyle name="표준 7 2 3 2 2" xfId="6949"/>
    <cellStyle name="표준 7 2 3 2 2 2" xfId="15958"/>
    <cellStyle name="표준 7 2 3 2 2 2 2" xfId="36834"/>
    <cellStyle name="표준 7 2 3 2 2 3" xfId="28096"/>
    <cellStyle name="표준 7 2 3 2 3" xfId="14140"/>
    <cellStyle name="표준 7 2 3 2 3 2" xfId="35016"/>
    <cellStyle name="표준 7 2 3 2 4" xfId="26278"/>
    <cellStyle name="표준 7 2 3 3" xfId="5795"/>
    <cellStyle name="표준 7 2 3 3 2" xfId="14804"/>
    <cellStyle name="표준 7 2 3 3 2 2" xfId="35680"/>
    <cellStyle name="표준 7 2 3 3 3" xfId="26942"/>
    <cellStyle name="표준 7 2 3 4" xfId="7595"/>
    <cellStyle name="표준 7 2 3 4 2" xfId="16602"/>
    <cellStyle name="표준 7 2 3 4 2 2" xfId="37478"/>
    <cellStyle name="표준 7 2 3 4 3" xfId="28740"/>
    <cellStyle name="표준 7 2 3 5" xfId="8239"/>
    <cellStyle name="표준 7 2 3 5 2" xfId="17245"/>
    <cellStyle name="표준 7 2 3 5 2 2" xfId="38121"/>
    <cellStyle name="표준 7 2 3 5 3" xfId="29383"/>
    <cellStyle name="표준 7 2 3 6" xfId="9087"/>
    <cellStyle name="표준 7 2 3 6 2" xfId="18092"/>
    <cellStyle name="표준 7 2 3 6 2 2" xfId="38968"/>
    <cellStyle name="표준 7 2 3 6 3" xfId="30230"/>
    <cellStyle name="표준 7 2 3 7" xfId="9912"/>
    <cellStyle name="표준 7 2 3 7 2" xfId="18910"/>
    <cellStyle name="표준 7 2 3 7 2 2" xfId="39786"/>
    <cellStyle name="표준 7 2 3 7 3" xfId="31048"/>
    <cellStyle name="표준 7 2 3 8" xfId="10967"/>
    <cellStyle name="표준 7 2 3 8 2" xfId="19738"/>
    <cellStyle name="표준 7 2 3 8 2 2" xfId="40614"/>
    <cellStyle name="표준 7 2 3 8 3" xfId="31878"/>
    <cellStyle name="표준 7 2 3 9" xfId="11833"/>
    <cellStyle name="표준 7 2 3 9 2" xfId="20599"/>
    <cellStyle name="표준 7 2 3 9 2 2" xfId="41475"/>
    <cellStyle name="표준 7 2 3 9 3" xfId="32739"/>
    <cellStyle name="표준 7 2 4" xfId="4681"/>
    <cellStyle name="표준 7 2 4 2" xfId="6515"/>
    <cellStyle name="표준 7 2 4 2 2" xfId="15524"/>
    <cellStyle name="표준 7 2 4 2 2 2" xfId="36400"/>
    <cellStyle name="표준 7 2 4 2 3" xfId="27662"/>
    <cellStyle name="표준 7 2 4 3" xfId="11188"/>
    <cellStyle name="표준 7 2 4 3 2" xfId="19957"/>
    <cellStyle name="표준 7 2 4 3 2 2" xfId="40833"/>
    <cellStyle name="표준 7 2 4 3 3" xfId="32097"/>
    <cellStyle name="표준 7 2 4 4" xfId="12052"/>
    <cellStyle name="표준 7 2 4 4 2" xfId="20818"/>
    <cellStyle name="표준 7 2 4 4 2 2" xfId="41694"/>
    <cellStyle name="표준 7 2 4 4 3" xfId="32958"/>
    <cellStyle name="표준 7 2 4 5" xfId="13706"/>
    <cellStyle name="표준 7 2 4 5 2" xfId="34582"/>
    <cellStyle name="표준 7 2 4 6" xfId="25844"/>
    <cellStyle name="표준 7 2 5" xfId="5358"/>
    <cellStyle name="표준 7 2 5 2" xfId="14367"/>
    <cellStyle name="표준 7 2 5 2 2" xfId="35243"/>
    <cellStyle name="표준 7 2 5 3" xfId="26505"/>
    <cellStyle name="표준 7 2 6" xfId="7160"/>
    <cellStyle name="표준 7 2 6 2" xfId="16168"/>
    <cellStyle name="표준 7 2 6 2 2" xfId="37044"/>
    <cellStyle name="표준 7 2 6 3" xfId="28306"/>
    <cellStyle name="표준 7 2 7" xfId="7805"/>
    <cellStyle name="표준 7 2 7 2" xfId="16811"/>
    <cellStyle name="표준 7 2 7 2 2" xfId="37687"/>
    <cellStyle name="표준 7 2 7 3" xfId="28949"/>
    <cellStyle name="표준 7 2 8" xfId="8653"/>
    <cellStyle name="표준 7 2 8 2" xfId="17658"/>
    <cellStyle name="표준 7 2 8 2 2" xfId="38534"/>
    <cellStyle name="표준 7 2 8 3" xfId="29796"/>
    <cellStyle name="표준 7 2 9" xfId="9193"/>
    <cellStyle name="표준 7 2 9 2" xfId="18197"/>
    <cellStyle name="표준 7 2 9 2 2" xfId="39073"/>
    <cellStyle name="표준 7 2 9 3" xfId="30335"/>
    <cellStyle name="표준 7 20" xfId="24674"/>
    <cellStyle name="표준 7 3" xfId="3079"/>
    <cellStyle name="표준 7 3 10" xfId="9478"/>
    <cellStyle name="표준 7 3 10 2" xfId="18477"/>
    <cellStyle name="표준 7 3 10 2 2" xfId="39353"/>
    <cellStyle name="표준 7 3 10 3" xfId="30615"/>
    <cellStyle name="표준 7 3 11" xfId="10138"/>
    <cellStyle name="표준 7 3 12" xfId="10534"/>
    <cellStyle name="표준 7 3 12 2" xfId="19305"/>
    <cellStyle name="표준 7 3 12 2 2" xfId="40181"/>
    <cellStyle name="표준 7 3 12 3" xfId="31445"/>
    <cellStyle name="표준 7 3 13" xfId="11400"/>
    <cellStyle name="표준 7 3 13 2" xfId="20166"/>
    <cellStyle name="표준 7 3 13 2 2" xfId="41042"/>
    <cellStyle name="표준 7 3 13 3" xfId="32306"/>
    <cellStyle name="표준 7 3 14" xfId="12549"/>
    <cellStyle name="표준 7 3 14 2" xfId="33426"/>
    <cellStyle name="표준 7 3 15" xfId="24676"/>
    <cellStyle name="표준 7 3 2" xfId="3299"/>
    <cellStyle name="표준 7 3 2 10" xfId="10751"/>
    <cellStyle name="표준 7 3 2 10 2" xfId="19522"/>
    <cellStyle name="표준 7 3 2 10 2 2" xfId="40398"/>
    <cellStyle name="표준 7 3 2 10 3" xfId="31662"/>
    <cellStyle name="표준 7 3 2 11" xfId="11617"/>
    <cellStyle name="표준 7 3 2 11 2" xfId="20383"/>
    <cellStyle name="표준 7 3 2 11 2 2" xfId="41259"/>
    <cellStyle name="표준 7 3 2 11 3" xfId="32523"/>
    <cellStyle name="표준 7 3 2 12" xfId="12766"/>
    <cellStyle name="표준 7 3 2 12 2" xfId="33643"/>
    <cellStyle name="표준 7 3 2 13" xfId="24893"/>
    <cellStyle name="표준 7 3 2 2" xfId="3740"/>
    <cellStyle name="표준 7 3 2 2 2" xfId="6013"/>
    <cellStyle name="표준 7 3 2 2 2 2" xfId="15022"/>
    <cellStyle name="표준 7 3 2 2 2 2 2" xfId="35898"/>
    <cellStyle name="표준 7 3 2 2 2 3" xfId="27160"/>
    <cellStyle name="표준 7 3 2 2 3" xfId="13203"/>
    <cellStyle name="표준 7 3 2 2 3 2" xfId="34080"/>
    <cellStyle name="표준 7 3 2 2 4" xfId="25330"/>
    <cellStyle name="표준 7 3 2 3" xfId="4902"/>
    <cellStyle name="표준 7 3 2 3 2" xfId="6733"/>
    <cellStyle name="표준 7 3 2 3 2 2" xfId="15742"/>
    <cellStyle name="표준 7 3 2 3 2 2 2" xfId="36618"/>
    <cellStyle name="표준 7 3 2 3 2 3" xfId="27880"/>
    <cellStyle name="표준 7 3 2 3 3" xfId="13924"/>
    <cellStyle name="표준 7 3 2 3 3 2" xfId="34800"/>
    <cellStyle name="표준 7 3 2 3 4" xfId="26062"/>
    <cellStyle name="표준 7 3 2 4" xfId="5576"/>
    <cellStyle name="표준 7 3 2 4 2" xfId="14585"/>
    <cellStyle name="표준 7 3 2 4 2 2" xfId="35461"/>
    <cellStyle name="표준 7 3 2 4 3" xfId="26723"/>
    <cellStyle name="표준 7 3 2 5" xfId="7379"/>
    <cellStyle name="표준 7 3 2 5 2" xfId="16386"/>
    <cellStyle name="표준 7 3 2 5 2 2" xfId="37262"/>
    <cellStyle name="표준 7 3 2 5 3" xfId="28524"/>
    <cellStyle name="표준 7 3 2 6" xfId="8023"/>
    <cellStyle name="표준 7 3 2 6 2" xfId="17029"/>
    <cellStyle name="표준 7 3 2 6 2 2" xfId="37905"/>
    <cellStyle name="표준 7 3 2 6 3" xfId="29167"/>
    <cellStyle name="표준 7 3 2 7" xfId="8871"/>
    <cellStyle name="표준 7 3 2 7 2" xfId="17876"/>
    <cellStyle name="표준 7 3 2 7 2 2" xfId="38752"/>
    <cellStyle name="표준 7 3 2 7 3" xfId="30014"/>
    <cellStyle name="표준 7 3 2 8" xfId="9696"/>
    <cellStyle name="표준 7 3 2 8 2" xfId="18694"/>
    <cellStyle name="표준 7 3 2 8 2 2" xfId="39570"/>
    <cellStyle name="표준 7 3 2 8 3" xfId="30832"/>
    <cellStyle name="표준 7 3 2 9" xfId="10139"/>
    <cellStyle name="표준 7 3 3" xfId="3523"/>
    <cellStyle name="표준 7 3 3 10" xfId="12986"/>
    <cellStyle name="표준 7 3 3 10 2" xfId="33863"/>
    <cellStyle name="표준 7 3 3 11" xfId="25113"/>
    <cellStyle name="표준 7 3 3 2" xfId="5125"/>
    <cellStyle name="표준 7 3 3 2 2" xfId="6950"/>
    <cellStyle name="표준 7 3 3 2 2 2" xfId="15959"/>
    <cellStyle name="표준 7 3 3 2 2 2 2" xfId="36835"/>
    <cellStyle name="표준 7 3 3 2 2 3" xfId="28097"/>
    <cellStyle name="표준 7 3 3 2 3" xfId="14141"/>
    <cellStyle name="표준 7 3 3 2 3 2" xfId="35017"/>
    <cellStyle name="표준 7 3 3 2 4" xfId="26279"/>
    <cellStyle name="표준 7 3 3 3" xfId="5796"/>
    <cellStyle name="표준 7 3 3 3 2" xfId="14805"/>
    <cellStyle name="표준 7 3 3 3 2 2" xfId="35681"/>
    <cellStyle name="표준 7 3 3 3 3" xfId="26943"/>
    <cellStyle name="표준 7 3 3 4" xfId="7596"/>
    <cellStyle name="표준 7 3 3 4 2" xfId="16603"/>
    <cellStyle name="표준 7 3 3 4 2 2" xfId="37479"/>
    <cellStyle name="표준 7 3 3 4 3" xfId="28741"/>
    <cellStyle name="표준 7 3 3 5" xfId="8240"/>
    <cellStyle name="표준 7 3 3 5 2" xfId="17246"/>
    <cellStyle name="표준 7 3 3 5 2 2" xfId="38122"/>
    <cellStyle name="표준 7 3 3 5 3" xfId="29384"/>
    <cellStyle name="표준 7 3 3 6" xfId="9088"/>
    <cellStyle name="표준 7 3 3 6 2" xfId="18093"/>
    <cellStyle name="표준 7 3 3 6 2 2" xfId="38969"/>
    <cellStyle name="표준 7 3 3 6 3" xfId="30231"/>
    <cellStyle name="표준 7 3 3 7" xfId="9913"/>
    <cellStyle name="표준 7 3 3 7 2" xfId="18911"/>
    <cellStyle name="표준 7 3 3 7 2 2" xfId="39787"/>
    <cellStyle name="표준 7 3 3 7 3" xfId="31049"/>
    <cellStyle name="표준 7 3 3 8" xfId="10968"/>
    <cellStyle name="표준 7 3 3 8 2" xfId="19739"/>
    <cellStyle name="표준 7 3 3 8 2 2" xfId="40615"/>
    <cellStyle name="표준 7 3 3 8 3" xfId="31879"/>
    <cellStyle name="표준 7 3 3 9" xfId="11834"/>
    <cellStyle name="표준 7 3 3 9 2" xfId="20600"/>
    <cellStyle name="표준 7 3 3 9 2 2" xfId="41476"/>
    <cellStyle name="표준 7 3 3 9 3" xfId="32740"/>
    <cellStyle name="표준 7 3 4" xfId="4682"/>
    <cellStyle name="표준 7 3 4 2" xfId="6516"/>
    <cellStyle name="표준 7 3 4 2 2" xfId="15525"/>
    <cellStyle name="표준 7 3 4 2 2 2" xfId="36401"/>
    <cellStyle name="표준 7 3 4 2 3" xfId="27663"/>
    <cellStyle name="표준 7 3 4 3" xfId="11189"/>
    <cellStyle name="표준 7 3 4 3 2" xfId="19958"/>
    <cellStyle name="표준 7 3 4 3 2 2" xfId="40834"/>
    <cellStyle name="표준 7 3 4 3 3" xfId="32098"/>
    <cellStyle name="표준 7 3 4 4" xfId="12053"/>
    <cellStyle name="표준 7 3 4 4 2" xfId="20819"/>
    <cellStyle name="표준 7 3 4 4 2 2" xfId="41695"/>
    <cellStyle name="표준 7 3 4 4 3" xfId="32959"/>
    <cellStyle name="표준 7 3 4 5" xfId="13707"/>
    <cellStyle name="표준 7 3 4 5 2" xfId="34583"/>
    <cellStyle name="표준 7 3 4 6" xfId="25845"/>
    <cellStyle name="표준 7 3 5" xfId="5359"/>
    <cellStyle name="표준 7 3 5 2" xfId="14368"/>
    <cellStyle name="표준 7 3 5 2 2" xfId="35244"/>
    <cellStyle name="표준 7 3 5 3" xfId="26506"/>
    <cellStyle name="표준 7 3 6" xfId="7161"/>
    <cellStyle name="표준 7 3 6 2" xfId="16169"/>
    <cellStyle name="표준 7 3 6 2 2" xfId="37045"/>
    <cellStyle name="표준 7 3 6 3" xfId="28307"/>
    <cellStyle name="표준 7 3 7" xfId="7806"/>
    <cellStyle name="표준 7 3 7 2" xfId="16812"/>
    <cellStyle name="표준 7 3 7 2 2" xfId="37688"/>
    <cellStyle name="표준 7 3 7 3" xfId="28950"/>
    <cellStyle name="표준 7 3 8" xfId="8654"/>
    <cellStyle name="표준 7 3 8 2" xfId="17659"/>
    <cellStyle name="표준 7 3 8 2 2" xfId="38535"/>
    <cellStyle name="표준 7 3 8 3" xfId="29797"/>
    <cellStyle name="표준 7 3 9" xfId="9194"/>
    <cellStyle name="표준 7 3 9 2" xfId="18198"/>
    <cellStyle name="표준 7 3 9 2 2" xfId="39074"/>
    <cellStyle name="표준 7 3 9 3" xfId="30336"/>
    <cellStyle name="표준 7 4" xfId="3080"/>
    <cellStyle name="표준 7 4 10" xfId="9479"/>
    <cellStyle name="표준 7 4 10 2" xfId="18478"/>
    <cellStyle name="표준 7 4 10 2 2" xfId="39354"/>
    <cellStyle name="표준 7 4 10 3" xfId="30616"/>
    <cellStyle name="표준 7 4 11" xfId="10140"/>
    <cellStyle name="표준 7 4 12" xfId="10535"/>
    <cellStyle name="표준 7 4 12 2" xfId="19306"/>
    <cellStyle name="표준 7 4 12 2 2" xfId="40182"/>
    <cellStyle name="표준 7 4 12 3" xfId="31446"/>
    <cellStyle name="표준 7 4 13" xfId="11401"/>
    <cellStyle name="표준 7 4 13 2" xfId="20167"/>
    <cellStyle name="표준 7 4 13 2 2" xfId="41043"/>
    <cellStyle name="표준 7 4 13 3" xfId="32307"/>
    <cellStyle name="표준 7 4 14" xfId="12550"/>
    <cellStyle name="표준 7 4 14 2" xfId="33427"/>
    <cellStyle name="표준 7 4 15" xfId="24677"/>
    <cellStyle name="표준 7 4 2" xfId="3300"/>
    <cellStyle name="표준 7 4 2 10" xfId="10752"/>
    <cellStyle name="표준 7 4 2 10 2" xfId="19523"/>
    <cellStyle name="표준 7 4 2 10 2 2" xfId="40399"/>
    <cellStyle name="표준 7 4 2 10 3" xfId="31663"/>
    <cellStyle name="표준 7 4 2 11" xfId="11618"/>
    <cellStyle name="표준 7 4 2 11 2" xfId="20384"/>
    <cellStyle name="표준 7 4 2 11 2 2" xfId="41260"/>
    <cellStyle name="표준 7 4 2 11 3" xfId="32524"/>
    <cellStyle name="표준 7 4 2 12" xfId="12767"/>
    <cellStyle name="표준 7 4 2 12 2" xfId="33644"/>
    <cellStyle name="표준 7 4 2 13" xfId="24894"/>
    <cellStyle name="표준 7 4 2 2" xfId="3741"/>
    <cellStyle name="표준 7 4 2 2 2" xfId="6014"/>
    <cellStyle name="표준 7 4 2 2 2 2" xfId="15023"/>
    <cellStyle name="표준 7 4 2 2 2 2 2" xfId="35899"/>
    <cellStyle name="표준 7 4 2 2 2 3" xfId="27161"/>
    <cellStyle name="표준 7 4 2 2 3" xfId="13204"/>
    <cellStyle name="표준 7 4 2 2 3 2" xfId="34081"/>
    <cellStyle name="표준 7 4 2 2 4" xfId="25331"/>
    <cellStyle name="표준 7 4 2 3" xfId="4903"/>
    <cellStyle name="표준 7 4 2 3 2" xfId="6734"/>
    <cellStyle name="표준 7 4 2 3 2 2" xfId="15743"/>
    <cellStyle name="표준 7 4 2 3 2 2 2" xfId="36619"/>
    <cellStyle name="표준 7 4 2 3 2 3" xfId="27881"/>
    <cellStyle name="표준 7 4 2 3 3" xfId="13925"/>
    <cellStyle name="표준 7 4 2 3 3 2" xfId="34801"/>
    <cellStyle name="표준 7 4 2 3 4" xfId="26063"/>
    <cellStyle name="표준 7 4 2 4" xfId="5577"/>
    <cellStyle name="표준 7 4 2 4 2" xfId="14586"/>
    <cellStyle name="표준 7 4 2 4 2 2" xfId="35462"/>
    <cellStyle name="표준 7 4 2 4 3" xfId="26724"/>
    <cellStyle name="표준 7 4 2 5" xfId="7380"/>
    <cellStyle name="표준 7 4 2 5 2" xfId="16387"/>
    <cellStyle name="표준 7 4 2 5 2 2" xfId="37263"/>
    <cellStyle name="표준 7 4 2 5 3" xfId="28525"/>
    <cellStyle name="표준 7 4 2 6" xfId="8024"/>
    <cellStyle name="표준 7 4 2 6 2" xfId="17030"/>
    <cellStyle name="표준 7 4 2 6 2 2" xfId="37906"/>
    <cellStyle name="표준 7 4 2 6 3" xfId="29168"/>
    <cellStyle name="표준 7 4 2 7" xfId="8872"/>
    <cellStyle name="표준 7 4 2 7 2" xfId="17877"/>
    <cellStyle name="표준 7 4 2 7 2 2" xfId="38753"/>
    <cellStyle name="표준 7 4 2 7 3" xfId="30015"/>
    <cellStyle name="표준 7 4 2 8" xfId="9697"/>
    <cellStyle name="표준 7 4 2 8 2" xfId="18695"/>
    <cellStyle name="표준 7 4 2 8 2 2" xfId="39571"/>
    <cellStyle name="표준 7 4 2 8 3" xfId="30833"/>
    <cellStyle name="표준 7 4 2 9" xfId="10141"/>
    <cellStyle name="표준 7 4 3" xfId="3524"/>
    <cellStyle name="표준 7 4 3 10" xfId="12987"/>
    <cellStyle name="표준 7 4 3 10 2" xfId="33864"/>
    <cellStyle name="표준 7 4 3 11" xfId="25114"/>
    <cellStyle name="표준 7 4 3 2" xfId="5126"/>
    <cellStyle name="표준 7 4 3 2 2" xfId="6951"/>
    <cellStyle name="표준 7 4 3 2 2 2" xfId="15960"/>
    <cellStyle name="표준 7 4 3 2 2 2 2" xfId="36836"/>
    <cellStyle name="표준 7 4 3 2 2 3" xfId="28098"/>
    <cellStyle name="표준 7 4 3 2 3" xfId="14142"/>
    <cellStyle name="표준 7 4 3 2 3 2" xfId="35018"/>
    <cellStyle name="표준 7 4 3 2 4" xfId="26280"/>
    <cellStyle name="표준 7 4 3 3" xfId="5797"/>
    <cellStyle name="표준 7 4 3 3 2" xfId="14806"/>
    <cellStyle name="표준 7 4 3 3 2 2" xfId="35682"/>
    <cellStyle name="표준 7 4 3 3 3" xfId="26944"/>
    <cellStyle name="표준 7 4 3 4" xfId="7597"/>
    <cellStyle name="표준 7 4 3 4 2" xfId="16604"/>
    <cellStyle name="표준 7 4 3 4 2 2" xfId="37480"/>
    <cellStyle name="표준 7 4 3 4 3" xfId="28742"/>
    <cellStyle name="표준 7 4 3 5" xfId="8241"/>
    <cellStyle name="표준 7 4 3 5 2" xfId="17247"/>
    <cellStyle name="표준 7 4 3 5 2 2" xfId="38123"/>
    <cellStyle name="표준 7 4 3 5 3" xfId="29385"/>
    <cellStyle name="표준 7 4 3 6" xfId="9089"/>
    <cellStyle name="표준 7 4 3 6 2" xfId="18094"/>
    <cellStyle name="표준 7 4 3 6 2 2" xfId="38970"/>
    <cellStyle name="표준 7 4 3 6 3" xfId="30232"/>
    <cellStyle name="표준 7 4 3 7" xfId="9914"/>
    <cellStyle name="표준 7 4 3 7 2" xfId="18912"/>
    <cellStyle name="표준 7 4 3 7 2 2" xfId="39788"/>
    <cellStyle name="표준 7 4 3 7 3" xfId="31050"/>
    <cellStyle name="표준 7 4 3 8" xfId="10969"/>
    <cellStyle name="표준 7 4 3 8 2" xfId="19740"/>
    <cellStyle name="표준 7 4 3 8 2 2" xfId="40616"/>
    <cellStyle name="표준 7 4 3 8 3" xfId="31880"/>
    <cellStyle name="표준 7 4 3 9" xfId="11835"/>
    <cellStyle name="표준 7 4 3 9 2" xfId="20601"/>
    <cellStyle name="표준 7 4 3 9 2 2" xfId="41477"/>
    <cellStyle name="표준 7 4 3 9 3" xfId="32741"/>
    <cellStyle name="표준 7 4 4" xfId="4683"/>
    <cellStyle name="표준 7 4 4 2" xfId="6517"/>
    <cellStyle name="표준 7 4 4 2 2" xfId="15526"/>
    <cellStyle name="표준 7 4 4 2 2 2" xfId="36402"/>
    <cellStyle name="표준 7 4 4 2 3" xfId="27664"/>
    <cellStyle name="표준 7 4 4 3" xfId="11190"/>
    <cellStyle name="표준 7 4 4 3 2" xfId="19959"/>
    <cellStyle name="표준 7 4 4 3 2 2" xfId="40835"/>
    <cellStyle name="표준 7 4 4 3 3" xfId="32099"/>
    <cellStyle name="표준 7 4 4 4" xfId="12054"/>
    <cellStyle name="표준 7 4 4 4 2" xfId="20820"/>
    <cellStyle name="표준 7 4 4 4 2 2" xfId="41696"/>
    <cellStyle name="표준 7 4 4 4 3" xfId="32960"/>
    <cellStyle name="표준 7 4 4 5" xfId="13708"/>
    <cellStyle name="표준 7 4 4 5 2" xfId="34584"/>
    <cellStyle name="표준 7 4 4 6" xfId="25846"/>
    <cellStyle name="표준 7 4 5" xfId="5360"/>
    <cellStyle name="표준 7 4 5 2" xfId="14369"/>
    <cellStyle name="표준 7 4 5 2 2" xfId="35245"/>
    <cellStyle name="표준 7 4 5 3" xfId="26507"/>
    <cellStyle name="표준 7 4 6" xfId="7162"/>
    <cellStyle name="표준 7 4 6 2" xfId="16170"/>
    <cellStyle name="표준 7 4 6 2 2" xfId="37046"/>
    <cellStyle name="표준 7 4 6 3" xfId="28308"/>
    <cellStyle name="표준 7 4 7" xfId="7807"/>
    <cellStyle name="표준 7 4 7 2" xfId="16813"/>
    <cellStyle name="표준 7 4 7 2 2" xfId="37689"/>
    <cellStyle name="표준 7 4 7 3" xfId="28951"/>
    <cellStyle name="표준 7 4 8" xfId="8655"/>
    <cellStyle name="표준 7 4 8 2" xfId="17660"/>
    <cellStyle name="표준 7 4 8 2 2" xfId="38536"/>
    <cellStyle name="표준 7 4 8 3" xfId="29798"/>
    <cellStyle name="표준 7 4 9" xfId="9195"/>
    <cellStyle name="표준 7 4 9 2" xfId="18199"/>
    <cellStyle name="표준 7 4 9 2 2" xfId="39075"/>
    <cellStyle name="표준 7 4 9 3" xfId="30337"/>
    <cellStyle name="표준 7 5" xfId="3081"/>
    <cellStyle name="표준 7 5 10" xfId="10142"/>
    <cellStyle name="표준 7 5 11" xfId="10536"/>
    <cellStyle name="표준 7 5 11 2" xfId="19307"/>
    <cellStyle name="표준 7 5 11 2 2" xfId="40183"/>
    <cellStyle name="표준 7 5 11 3" xfId="31447"/>
    <cellStyle name="표준 7 5 12" xfId="11402"/>
    <cellStyle name="표준 7 5 12 2" xfId="20168"/>
    <cellStyle name="표준 7 5 12 2 2" xfId="41044"/>
    <cellStyle name="표준 7 5 12 3" xfId="32308"/>
    <cellStyle name="표준 7 5 13" xfId="12551"/>
    <cellStyle name="표준 7 5 13 2" xfId="33428"/>
    <cellStyle name="표준 7 5 14" xfId="24678"/>
    <cellStyle name="표준 7 5 2" xfId="3301"/>
    <cellStyle name="표준 7 5 2 10" xfId="11619"/>
    <cellStyle name="표준 7 5 2 10 2" xfId="20385"/>
    <cellStyle name="표준 7 5 2 10 2 2" xfId="41261"/>
    <cellStyle name="표준 7 5 2 10 3" xfId="32525"/>
    <cellStyle name="표준 7 5 2 11" xfId="12768"/>
    <cellStyle name="표준 7 5 2 11 2" xfId="33645"/>
    <cellStyle name="표준 7 5 2 12" xfId="24895"/>
    <cellStyle name="표준 7 5 2 2" xfId="3742"/>
    <cellStyle name="표준 7 5 2 2 2" xfId="6015"/>
    <cellStyle name="표준 7 5 2 2 2 2" xfId="15024"/>
    <cellStyle name="표준 7 5 2 2 2 2 2" xfId="35900"/>
    <cellStyle name="표준 7 5 2 2 2 3" xfId="27162"/>
    <cellStyle name="표준 7 5 2 2 3" xfId="13205"/>
    <cellStyle name="표준 7 5 2 2 3 2" xfId="34082"/>
    <cellStyle name="표준 7 5 2 2 4" xfId="25332"/>
    <cellStyle name="표준 7 5 2 3" xfId="4904"/>
    <cellStyle name="표준 7 5 2 3 2" xfId="6735"/>
    <cellStyle name="표준 7 5 2 3 2 2" xfId="15744"/>
    <cellStyle name="표준 7 5 2 3 2 2 2" xfId="36620"/>
    <cellStyle name="표준 7 5 2 3 2 3" xfId="27882"/>
    <cellStyle name="표준 7 5 2 3 3" xfId="13926"/>
    <cellStyle name="표준 7 5 2 3 3 2" xfId="34802"/>
    <cellStyle name="표준 7 5 2 3 4" xfId="26064"/>
    <cellStyle name="표준 7 5 2 4" xfId="5578"/>
    <cellStyle name="표준 7 5 2 4 2" xfId="14587"/>
    <cellStyle name="표준 7 5 2 4 2 2" xfId="35463"/>
    <cellStyle name="표준 7 5 2 4 3" xfId="26725"/>
    <cellStyle name="표준 7 5 2 5" xfId="7381"/>
    <cellStyle name="표준 7 5 2 5 2" xfId="16388"/>
    <cellStyle name="표준 7 5 2 5 2 2" xfId="37264"/>
    <cellStyle name="표준 7 5 2 5 3" xfId="28526"/>
    <cellStyle name="표준 7 5 2 6" xfId="8025"/>
    <cellStyle name="표준 7 5 2 6 2" xfId="17031"/>
    <cellStyle name="표준 7 5 2 6 2 2" xfId="37907"/>
    <cellStyle name="표준 7 5 2 6 3" xfId="29169"/>
    <cellStyle name="표준 7 5 2 7" xfId="8873"/>
    <cellStyle name="표준 7 5 2 7 2" xfId="17878"/>
    <cellStyle name="표준 7 5 2 7 2 2" xfId="38754"/>
    <cellStyle name="표준 7 5 2 7 3" xfId="30016"/>
    <cellStyle name="표준 7 5 2 8" xfId="9698"/>
    <cellStyle name="표준 7 5 2 8 2" xfId="18696"/>
    <cellStyle name="표준 7 5 2 8 2 2" xfId="39572"/>
    <cellStyle name="표준 7 5 2 8 3" xfId="30834"/>
    <cellStyle name="표준 7 5 2 9" xfId="10753"/>
    <cellStyle name="표준 7 5 2 9 2" xfId="19524"/>
    <cellStyle name="표준 7 5 2 9 2 2" xfId="40400"/>
    <cellStyle name="표준 7 5 2 9 3" xfId="31664"/>
    <cellStyle name="표준 7 5 3" xfId="3525"/>
    <cellStyle name="표준 7 5 3 10" xfId="12988"/>
    <cellStyle name="표준 7 5 3 10 2" xfId="33865"/>
    <cellStyle name="표준 7 5 3 11" xfId="25115"/>
    <cellStyle name="표준 7 5 3 2" xfId="5127"/>
    <cellStyle name="표준 7 5 3 2 2" xfId="6952"/>
    <cellStyle name="표준 7 5 3 2 2 2" xfId="15961"/>
    <cellStyle name="표준 7 5 3 2 2 2 2" xfId="36837"/>
    <cellStyle name="표준 7 5 3 2 2 3" xfId="28099"/>
    <cellStyle name="표준 7 5 3 2 3" xfId="14143"/>
    <cellStyle name="표준 7 5 3 2 3 2" xfId="35019"/>
    <cellStyle name="표준 7 5 3 2 4" xfId="26281"/>
    <cellStyle name="표준 7 5 3 3" xfId="5798"/>
    <cellStyle name="표준 7 5 3 3 2" xfId="14807"/>
    <cellStyle name="표준 7 5 3 3 2 2" xfId="35683"/>
    <cellStyle name="표준 7 5 3 3 3" xfId="26945"/>
    <cellStyle name="표준 7 5 3 4" xfId="7598"/>
    <cellStyle name="표준 7 5 3 4 2" xfId="16605"/>
    <cellStyle name="표준 7 5 3 4 2 2" xfId="37481"/>
    <cellStyle name="표준 7 5 3 4 3" xfId="28743"/>
    <cellStyle name="표준 7 5 3 5" xfId="8242"/>
    <cellStyle name="표준 7 5 3 5 2" xfId="17248"/>
    <cellStyle name="표준 7 5 3 5 2 2" xfId="38124"/>
    <cellStyle name="표준 7 5 3 5 3" xfId="29386"/>
    <cellStyle name="표준 7 5 3 6" xfId="9090"/>
    <cellStyle name="표준 7 5 3 6 2" xfId="18095"/>
    <cellStyle name="표준 7 5 3 6 2 2" xfId="38971"/>
    <cellStyle name="표준 7 5 3 6 3" xfId="30233"/>
    <cellStyle name="표준 7 5 3 7" xfId="9915"/>
    <cellStyle name="표준 7 5 3 7 2" xfId="18913"/>
    <cellStyle name="표준 7 5 3 7 2 2" xfId="39789"/>
    <cellStyle name="표준 7 5 3 7 3" xfId="31051"/>
    <cellStyle name="표준 7 5 3 8" xfId="10970"/>
    <cellStyle name="표준 7 5 3 8 2" xfId="19741"/>
    <cellStyle name="표준 7 5 3 8 2 2" xfId="40617"/>
    <cellStyle name="표준 7 5 3 8 3" xfId="31881"/>
    <cellStyle name="표준 7 5 3 9" xfId="11836"/>
    <cellStyle name="표준 7 5 3 9 2" xfId="20602"/>
    <cellStyle name="표준 7 5 3 9 2 2" xfId="41478"/>
    <cellStyle name="표준 7 5 3 9 3" xfId="32742"/>
    <cellStyle name="표준 7 5 4" xfId="4684"/>
    <cellStyle name="표준 7 5 4 2" xfId="6518"/>
    <cellStyle name="표준 7 5 4 2 2" xfId="15527"/>
    <cellStyle name="표준 7 5 4 2 2 2" xfId="36403"/>
    <cellStyle name="표준 7 5 4 2 3" xfId="27665"/>
    <cellStyle name="표준 7 5 4 3" xfId="11191"/>
    <cellStyle name="표준 7 5 4 3 2" xfId="19960"/>
    <cellStyle name="표준 7 5 4 3 2 2" xfId="40836"/>
    <cellStyle name="표준 7 5 4 3 3" xfId="32100"/>
    <cellStyle name="표준 7 5 4 4" xfId="12055"/>
    <cellStyle name="표준 7 5 4 4 2" xfId="20821"/>
    <cellStyle name="표준 7 5 4 4 2 2" xfId="41697"/>
    <cellStyle name="표준 7 5 4 4 3" xfId="32961"/>
    <cellStyle name="표준 7 5 4 5" xfId="13709"/>
    <cellStyle name="표준 7 5 4 5 2" xfId="34585"/>
    <cellStyle name="표준 7 5 4 6" xfId="25847"/>
    <cellStyle name="표준 7 5 5" xfId="5361"/>
    <cellStyle name="표준 7 5 5 2" xfId="14370"/>
    <cellStyle name="표준 7 5 5 2 2" xfId="35246"/>
    <cellStyle name="표준 7 5 5 3" xfId="26508"/>
    <cellStyle name="표준 7 5 6" xfId="7163"/>
    <cellStyle name="표준 7 5 6 2" xfId="16171"/>
    <cellStyle name="표준 7 5 6 2 2" xfId="37047"/>
    <cellStyle name="표준 7 5 6 3" xfId="28309"/>
    <cellStyle name="표준 7 5 7" xfId="7808"/>
    <cellStyle name="표준 7 5 7 2" xfId="16814"/>
    <cellStyle name="표준 7 5 7 2 2" xfId="37690"/>
    <cellStyle name="표준 7 5 7 3" xfId="28952"/>
    <cellStyle name="표준 7 5 8" xfId="8656"/>
    <cellStyle name="표준 7 5 8 2" xfId="17661"/>
    <cellStyle name="표준 7 5 8 2 2" xfId="38537"/>
    <cellStyle name="표준 7 5 8 3" xfId="29799"/>
    <cellStyle name="표준 7 5 9" xfId="9480"/>
    <cellStyle name="표준 7 5 9 2" xfId="18479"/>
    <cellStyle name="표준 7 5 9 2 2" xfId="39355"/>
    <cellStyle name="표준 7 5 9 3" xfId="30617"/>
    <cellStyle name="표준 7 6" xfId="3082"/>
    <cellStyle name="표준 7 6 10" xfId="10537"/>
    <cellStyle name="표준 7 6 10 2" xfId="19308"/>
    <cellStyle name="표준 7 6 10 2 2" xfId="40184"/>
    <cellStyle name="표준 7 6 10 3" xfId="31448"/>
    <cellStyle name="표준 7 6 11" xfId="11403"/>
    <cellStyle name="표준 7 6 11 2" xfId="20169"/>
    <cellStyle name="표준 7 6 11 2 2" xfId="41045"/>
    <cellStyle name="표준 7 6 11 3" xfId="32309"/>
    <cellStyle name="표준 7 6 12" xfId="12552"/>
    <cellStyle name="표준 7 6 12 2" xfId="33429"/>
    <cellStyle name="표준 7 6 13" xfId="24679"/>
    <cellStyle name="표준 7 6 2" xfId="3302"/>
    <cellStyle name="표준 7 6 2 10" xfId="11620"/>
    <cellStyle name="표준 7 6 2 10 2" xfId="20386"/>
    <cellStyle name="표준 7 6 2 10 2 2" xfId="41262"/>
    <cellStyle name="표준 7 6 2 10 3" xfId="32526"/>
    <cellStyle name="표준 7 6 2 11" xfId="12769"/>
    <cellStyle name="표준 7 6 2 11 2" xfId="33646"/>
    <cellStyle name="표준 7 6 2 12" xfId="24896"/>
    <cellStyle name="표준 7 6 2 2" xfId="3743"/>
    <cellStyle name="표준 7 6 2 2 2" xfId="6016"/>
    <cellStyle name="표준 7 6 2 2 2 2" xfId="15025"/>
    <cellStyle name="표준 7 6 2 2 2 2 2" xfId="35901"/>
    <cellStyle name="표준 7 6 2 2 2 3" xfId="27163"/>
    <cellStyle name="표준 7 6 2 2 3" xfId="13206"/>
    <cellStyle name="표준 7 6 2 2 3 2" xfId="34083"/>
    <cellStyle name="표준 7 6 2 2 4" xfId="25333"/>
    <cellStyle name="표준 7 6 2 3" xfId="4905"/>
    <cellStyle name="표준 7 6 2 3 2" xfId="6736"/>
    <cellStyle name="표준 7 6 2 3 2 2" xfId="15745"/>
    <cellStyle name="표준 7 6 2 3 2 2 2" xfId="36621"/>
    <cellStyle name="표준 7 6 2 3 2 3" xfId="27883"/>
    <cellStyle name="표준 7 6 2 3 3" xfId="13927"/>
    <cellStyle name="표준 7 6 2 3 3 2" xfId="34803"/>
    <cellStyle name="표준 7 6 2 3 4" xfId="26065"/>
    <cellStyle name="표준 7 6 2 4" xfId="5579"/>
    <cellStyle name="표준 7 6 2 4 2" xfId="14588"/>
    <cellStyle name="표준 7 6 2 4 2 2" xfId="35464"/>
    <cellStyle name="표준 7 6 2 4 3" xfId="26726"/>
    <cellStyle name="표준 7 6 2 5" xfId="7382"/>
    <cellStyle name="표준 7 6 2 5 2" xfId="16389"/>
    <cellStyle name="표준 7 6 2 5 2 2" xfId="37265"/>
    <cellStyle name="표준 7 6 2 5 3" xfId="28527"/>
    <cellStyle name="표준 7 6 2 6" xfId="8026"/>
    <cellStyle name="표준 7 6 2 6 2" xfId="17032"/>
    <cellStyle name="표준 7 6 2 6 2 2" xfId="37908"/>
    <cellStyle name="표준 7 6 2 6 3" xfId="29170"/>
    <cellStyle name="표준 7 6 2 7" xfId="8874"/>
    <cellStyle name="표준 7 6 2 7 2" xfId="17879"/>
    <cellStyle name="표준 7 6 2 7 2 2" xfId="38755"/>
    <cellStyle name="표준 7 6 2 7 3" xfId="30017"/>
    <cellStyle name="표준 7 6 2 8" xfId="9699"/>
    <cellStyle name="표준 7 6 2 8 2" xfId="18697"/>
    <cellStyle name="표준 7 6 2 8 2 2" xfId="39573"/>
    <cellStyle name="표준 7 6 2 8 3" xfId="30835"/>
    <cellStyle name="표준 7 6 2 9" xfId="10754"/>
    <cellStyle name="표준 7 6 2 9 2" xfId="19525"/>
    <cellStyle name="표준 7 6 2 9 2 2" xfId="40401"/>
    <cellStyle name="표준 7 6 2 9 3" xfId="31665"/>
    <cellStyle name="표준 7 6 3" xfId="3526"/>
    <cellStyle name="표준 7 6 3 10" xfId="12989"/>
    <cellStyle name="표준 7 6 3 10 2" xfId="33866"/>
    <cellStyle name="표준 7 6 3 11" xfId="25116"/>
    <cellStyle name="표준 7 6 3 2" xfId="5128"/>
    <cellStyle name="표준 7 6 3 2 2" xfId="6953"/>
    <cellStyle name="표준 7 6 3 2 2 2" xfId="15962"/>
    <cellStyle name="표준 7 6 3 2 2 2 2" xfId="36838"/>
    <cellStyle name="표준 7 6 3 2 2 3" xfId="28100"/>
    <cellStyle name="표준 7 6 3 2 3" xfId="14144"/>
    <cellStyle name="표준 7 6 3 2 3 2" xfId="35020"/>
    <cellStyle name="표준 7 6 3 2 4" xfId="26282"/>
    <cellStyle name="표준 7 6 3 3" xfId="5799"/>
    <cellStyle name="표준 7 6 3 3 2" xfId="14808"/>
    <cellStyle name="표준 7 6 3 3 2 2" xfId="35684"/>
    <cellStyle name="표준 7 6 3 3 3" xfId="26946"/>
    <cellStyle name="표준 7 6 3 4" xfId="7599"/>
    <cellStyle name="표준 7 6 3 4 2" xfId="16606"/>
    <cellStyle name="표준 7 6 3 4 2 2" xfId="37482"/>
    <cellStyle name="표준 7 6 3 4 3" xfId="28744"/>
    <cellStyle name="표준 7 6 3 5" xfId="8243"/>
    <cellStyle name="표준 7 6 3 5 2" xfId="17249"/>
    <cellStyle name="표준 7 6 3 5 2 2" xfId="38125"/>
    <cellStyle name="표준 7 6 3 5 3" xfId="29387"/>
    <cellStyle name="표준 7 6 3 6" xfId="9091"/>
    <cellStyle name="표준 7 6 3 6 2" xfId="18096"/>
    <cellStyle name="표준 7 6 3 6 2 2" xfId="38972"/>
    <cellStyle name="표준 7 6 3 6 3" xfId="30234"/>
    <cellStyle name="표준 7 6 3 7" xfId="9916"/>
    <cellStyle name="표준 7 6 3 7 2" xfId="18914"/>
    <cellStyle name="표준 7 6 3 7 2 2" xfId="39790"/>
    <cellStyle name="표준 7 6 3 7 3" xfId="31052"/>
    <cellStyle name="표준 7 6 3 8" xfId="10971"/>
    <cellStyle name="표준 7 6 3 8 2" xfId="19742"/>
    <cellStyle name="표준 7 6 3 8 2 2" xfId="40618"/>
    <cellStyle name="표준 7 6 3 8 3" xfId="31882"/>
    <cellStyle name="표준 7 6 3 9" xfId="11837"/>
    <cellStyle name="표준 7 6 3 9 2" xfId="20603"/>
    <cellStyle name="표준 7 6 3 9 2 2" xfId="41479"/>
    <cellStyle name="표준 7 6 3 9 3" xfId="32743"/>
    <cellStyle name="표준 7 6 4" xfId="4685"/>
    <cellStyle name="표준 7 6 4 2" xfId="6519"/>
    <cellStyle name="표준 7 6 4 2 2" xfId="15528"/>
    <cellStyle name="표준 7 6 4 2 2 2" xfId="36404"/>
    <cellStyle name="표준 7 6 4 2 3" xfId="27666"/>
    <cellStyle name="표준 7 6 4 3" xfId="11192"/>
    <cellStyle name="표준 7 6 4 3 2" xfId="19961"/>
    <cellStyle name="표준 7 6 4 3 2 2" xfId="40837"/>
    <cellStyle name="표준 7 6 4 3 3" xfId="32101"/>
    <cellStyle name="표준 7 6 4 4" xfId="12056"/>
    <cellStyle name="표준 7 6 4 4 2" xfId="20822"/>
    <cellStyle name="표준 7 6 4 4 2 2" xfId="41698"/>
    <cellStyle name="표준 7 6 4 4 3" xfId="32962"/>
    <cellStyle name="표준 7 6 4 5" xfId="13710"/>
    <cellStyle name="표준 7 6 4 5 2" xfId="34586"/>
    <cellStyle name="표준 7 6 4 6" xfId="25848"/>
    <cellStyle name="표준 7 6 5" xfId="5362"/>
    <cellStyle name="표준 7 6 5 2" xfId="14371"/>
    <cellStyle name="표준 7 6 5 2 2" xfId="35247"/>
    <cellStyle name="표준 7 6 5 3" xfId="26509"/>
    <cellStyle name="표준 7 6 6" xfId="7164"/>
    <cellStyle name="표준 7 6 6 2" xfId="16172"/>
    <cellStyle name="표준 7 6 6 2 2" xfId="37048"/>
    <cellStyle name="표준 7 6 6 3" xfId="28310"/>
    <cellStyle name="표준 7 6 7" xfId="7809"/>
    <cellStyle name="표준 7 6 7 2" xfId="16815"/>
    <cellStyle name="표준 7 6 7 2 2" xfId="37691"/>
    <cellStyle name="표준 7 6 7 3" xfId="28953"/>
    <cellStyle name="표준 7 6 8" xfId="8657"/>
    <cellStyle name="표준 7 6 8 2" xfId="17662"/>
    <cellStyle name="표준 7 6 8 2 2" xfId="38538"/>
    <cellStyle name="표준 7 6 8 3" xfId="29800"/>
    <cellStyle name="표준 7 6 9" xfId="9481"/>
    <cellStyle name="표준 7 6 9 2" xfId="18480"/>
    <cellStyle name="표준 7 6 9 2 2" xfId="39356"/>
    <cellStyle name="표준 7 6 9 3" xfId="30618"/>
    <cellStyle name="표준 7 7" xfId="3083"/>
    <cellStyle name="표준 7 7 10" xfId="10538"/>
    <cellStyle name="표준 7 7 10 2" xfId="19309"/>
    <cellStyle name="표준 7 7 10 2 2" xfId="40185"/>
    <cellStyle name="표준 7 7 10 3" xfId="31449"/>
    <cellStyle name="표준 7 7 11" xfId="11404"/>
    <cellStyle name="표준 7 7 11 2" xfId="20170"/>
    <cellStyle name="표준 7 7 11 2 2" xfId="41046"/>
    <cellStyle name="표준 7 7 11 3" xfId="32310"/>
    <cellStyle name="표준 7 7 12" xfId="12553"/>
    <cellStyle name="표준 7 7 12 2" xfId="33430"/>
    <cellStyle name="표준 7 7 13" xfId="24680"/>
    <cellStyle name="표준 7 7 2" xfId="3303"/>
    <cellStyle name="표준 7 7 2 10" xfId="11621"/>
    <cellStyle name="표준 7 7 2 10 2" xfId="20387"/>
    <cellStyle name="표준 7 7 2 10 2 2" xfId="41263"/>
    <cellStyle name="표준 7 7 2 10 3" xfId="32527"/>
    <cellStyle name="표준 7 7 2 11" xfId="12770"/>
    <cellStyle name="표준 7 7 2 11 2" xfId="33647"/>
    <cellStyle name="표준 7 7 2 12" xfId="24897"/>
    <cellStyle name="표준 7 7 2 2" xfId="3744"/>
    <cellStyle name="표준 7 7 2 2 2" xfId="6017"/>
    <cellStyle name="표준 7 7 2 2 2 2" xfId="15026"/>
    <cellStyle name="표준 7 7 2 2 2 2 2" xfId="35902"/>
    <cellStyle name="표준 7 7 2 2 2 3" xfId="27164"/>
    <cellStyle name="표준 7 7 2 2 3" xfId="13207"/>
    <cellStyle name="표준 7 7 2 2 3 2" xfId="34084"/>
    <cellStyle name="표준 7 7 2 2 4" xfId="25334"/>
    <cellStyle name="표준 7 7 2 3" xfId="4906"/>
    <cellStyle name="표준 7 7 2 3 2" xfId="6737"/>
    <cellStyle name="표준 7 7 2 3 2 2" xfId="15746"/>
    <cellStyle name="표준 7 7 2 3 2 2 2" xfId="36622"/>
    <cellStyle name="표준 7 7 2 3 2 3" xfId="27884"/>
    <cellStyle name="표준 7 7 2 3 3" xfId="13928"/>
    <cellStyle name="표준 7 7 2 3 3 2" xfId="34804"/>
    <cellStyle name="표준 7 7 2 3 4" xfId="26066"/>
    <cellStyle name="표준 7 7 2 4" xfId="5580"/>
    <cellStyle name="표준 7 7 2 4 2" xfId="14589"/>
    <cellStyle name="표준 7 7 2 4 2 2" xfId="35465"/>
    <cellStyle name="표준 7 7 2 4 3" xfId="26727"/>
    <cellStyle name="표준 7 7 2 5" xfId="7383"/>
    <cellStyle name="표준 7 7 2 5 2" xfId="16390"/>
    <cellStyle name="표준 7 7 2 5 2 2" xfId="37266"/>
    <cellStyle name="표준 7 7 2 5 3" xfId="28528"/>
    <cellStyle name="표준 7 7 2 6" xfId="8027"/>
    <cellStyle name="표준 7 7 2 6 2" xfId="17033"/>
    <cellStyle name="표준 7 7 2 6 2 2" xfId="37909"/>
    <cellStyle name="표준 7 7 2 6 3" xfId="29171"/>
    <cellStyle name="표준 7 7 2 7" xfId="8875"/>
    <cellStyle name="표준 7 7 2 7 2" xfId="17880"/>
    <cellStyle name="표준 7 7 2 7 2 2" xfId="38756"/>
    <cellStyle name="표준 7 7 2 7 3" xfId="30018"/>
    <cellStyle name="표준 7 7 2 8" xfId="9700"/>
    <cellStyle name="표준 7 7 2 8 2" xfId="18698"/>
    <cellStyle name="표준 7 7 2 8 2 2" xfId="39574"/>
    <cellStyle name="표준 7 7 2 8 3" xfId="30836"/>
    <cellStyle name="표준 7 7 2 9" xfId="10755"/>
    <cellStyle name="표준 7 7 2 9 2" xfId="19526"/>
    <cellStyle name="표준 7 7 2 9 2 2" xfId="40402"/>
    <cellStyle name="표준 7 7 2 9 3" xfId="31666"/>
    <cellStyle name="표준 7 7 3" xfId="3527"/>
    <cellStyle name="표준 7 7 3 10" xfId="12990"/>
    <cellStyle name="표준 7 7 3 10 2" xfId="33867"/>
    <cellStyle name="표준 7 7 3 11" xfId="25117"/>
    <cellStyle name="표준 7 7 3 2" xfId="5129"/>
    <cellStyle name="표준 7 7 3 2 2" xfId="6954"/>
    <cellStyle name="표준 7 7 3 2 2 2" xfId="15963"/>
    <cellStyle name="표준 7 7 3 2 2 2 2" xfId="36839"/>
    <cellStyle name="표준 7 7 3 2 2 3" xfId="28101"/>
    <cellStyle name="표준 7 7 3 2 3" xfId="14145"/>
    <cellStyle name="표준 7 7 3 2 3 2" xfId="35021"/>
    <cellStyle name="표준 7 7 3 2 4" xfId="26283"/>
    <cellStyle name="표준 7 7 3 3" xfId="5800"/>
    <cellStyle name="표준 7 7 3 3 2" xfId="14809"/>
    <cellStyle name="표준 7 7 3 3 2 2" xfId="35685"/>
    <cellStyle name="표준 7 7 3 3 3" xfId="26947"/>
    <cellStyle name="표준 7 7 3 4" xfId="7600"/>
    <cellStyle name="표준 7 7 3 4 2" xfId="16607"/>
    <cellStyle name="표준 7 7 3 4 2 2" xfId="37483"/>
    <cellStyle name="표준 7 7 3 4 3" xfId="28745"/>
    <cellStyle name="표준 7 7 3 5" xfId="8244"/>
    <cellStyle name="표준 7 7 3 5 2" xfId="17250"/>
    <cellStyle name="표준 7 7 3 5 2 2" xfId="38126"/>
    <cellStyle name="표준 7 7 3 5 3" xfId="29388"/>
    <cellStyle name="표준 7 7 3 6" xfId="9092"/>
    <cellStyle name="표준 7 7 3 6 2" xfId="18097"/>
    <cellStyle name="표준 7 7 3 6 2 2" xfId="38973"/>
    <cellStyle name="표준 7 7 3 6 3" xfId="30235"/>
    <cellStyle name="표준 7 7 3 7" xfId="9917"/>
    <cellStyle name="표준 7 7 3 7 2" xfId="18915"/>
    <cellStyle name="표준 7 7 3 7 2 2" xfId="39791"/>
    <cellStyle name="표준 7 7 3 7 3" xfId="31053"/>
    <cellStyle name="표준 7 7 3 8" xfId="10972"/>
    <cellStyle name="표준 7 7 3 8 2" xfId="19743"/>
    <cellStyle name="표준 7 7 3 8 2 2" xfId="40619"/>
    <cellStyle name="표준 7 7 3 8 3" xfId="31883"/>
    <cellStyle name="표준 7 7 3 9" xfId="11838"/>
    <cellStyle name="표준 7 7 3 9 2" xfId="20604"/>
    <cellStyle name="표준 7 7 3 9 2 2" xfId="41480"/>
    <cellStyle name="표준 7 7 3 9 3" xfId="32744"/>
    <cellStyle name="표준 7 7 4" xfId="4686"/>
    <cellStyle name="표준 7 7 4 2" xfId="6520"/>
    <cellStyle name="표준 7 7 4 2 2" xfId="15529"/>
    <cellStyle name="표준 7 7 4 2 2 2" xfId="36405"/>
    <cellStyle name="표준 7 7 4 2 3" xfId="27667"/>
    <cellStyle name="표준 7 7 4 3" xfId="11193"/>
    <cellStyle name="표준 7 7 4 3 2" xfId="19962"/>
    <cellStyle name="표준 7 7 4 3 2 2" xfId="40838"/>
    <cellStyle name="표준 7 7 4 3 3" xfId="32102"/>
    <cellStyle name="표준 7 7 4 4" xfId="12057"/>
    <cellStyle name="표준 7 7 4 4 2" xfId="20823"/>
    <cellStyle name="표준 7 7 4 4 2 2" xfId="41699"/>
    <cellStyle name="표준 7 7 4 4 3" xfId="32963"/>
    <cellStyle name="표준 7 7 4 5" xfId="13711"/>
    <cellStyle name="표준 7 7 4 5 2" xfId="34587"/>
    <cellStyle name="표준 7 7 4 6" xfId="25849"/>
    <cellStyle name="표준 7 7 5" xfId="5363"/>
    <cellStyle name="표준 7 7 5 2" xfId="14372"/>
    <cellStyle name="표준 7 7 5 2 2" xfId="35248"/>
    <cellStyle name="표준 7 7 5 3" xfId="26510"/>
    <cellStyle name="표준 7 7 6" xfId="7165"/>
    <cellStyle name="표준 7 7 6 2" xfId="16173"/>
    <cellStyle name="표준 7 7 6 2 2" xfId="37049"/>
    <cellStyle name="표준 7 7 6 3" xfId="28311"/>
    <cellStyle name="표준 7 7 7" xfId="7810"/>
    <cellStyle name="표준 7 7 7 2" xfId="16816"/>
    <cellStyle name="표준 7 7 7 2 2" xfId="37692"/>
    <cellStyle name="표준 7 7 7 3" xfId="28954"/>
    <cellStyle name="표준 7 7 8" xfId="8658"/>
    <cellStyle name="표준 7 7 8 2" xfId="17663"/>
    <cellStyle name="표준 7 7 8 2 2" xfId="38539"/>
    <cellStyle name="표준 7 7 8 3" xfId="29801"/>
    <cellStyle name="표준 7 7 9" xfId="9482"/>
    <cellStyle name="표준 7 7 9 2" xfId="18481"/>
    <cellStyle name="표준 7 7 9 2 2" xfId="39357"/>
    <cellStyle name="표준 7 7 9 3" xfId="30619"/>
    <cellStyle name="표준 7 8" xfId="3297"/>
    <cellStyle name="표준 7 8 10" xfId="11615"/>
    <cellStyle name="표준 7 8 10 2" xfId="20381"/>
    <cellStyle name="표준 7 8 10 2 2" xfId="41257"/>
    <cellStyle name="표준 7 8 10 3" xfId="32521"/>
    <cellStyle name="표준 7 8 11" xfId="12764"/>
    <cellStyle name="표준 7 8 11 2" xfId="33641"/>
    <cellStyle name="표준 7 8 12" xfId="24891"/>
    <cellStyle name="표준 7 8 2" xfId="3738"/>
    <cellStyle name="표준 7 8 2 2" xfId="6011"/>
    <cellStyle name="표준 7 8 2 2 2" xfId="15020"/>
    <cellStyle name="표준 7 8 2 2 2 2" xfId="35896"/>
    <cellStyle name="표준 7 8 2 2 3" xfId="27158"/>
    <cellStyle name="표준 7 8 2 3" xfId="13201"/>
    <cellStyle name="표준 7 8 2 3 2" xfId="34078"/>
    <cellStyle name="표준 7 8 2 4" xfId="25328"/>
    <cellStyle name="표준 7 8 3" xfId="4900"/>
    <cellStyle name="표준 7 8 3 2" xfId="6731"/>
    <cellStyle name="표준 7 8 3 2 2" xfId="15740"/>
    <cellStyle name="표준 7 8 3 2 2 2" xfId="36616"/>
    <cellStyle name="표준 7 8 3 2 3" xfId="27878"/>
    <cellStyle name="표준 7 8 3 3" xfId="13922"/>
    <cellStyle name="표준 7 8 3 3 2" xfId="34798"/>
    <cellStyle name="표준 7 8 3 4" xfId="26060"/>
    <cellStyle name="표준 7 8 4" xfId="5574"/>
    <cellStyle name="표준 7 8 4 2" xfId="14583"/>
    <cellStyle name="표준 7 8 4 2 2" xfId="35459"/>
    <cellStyle name="표준 7 8 4 3" xfId="26721"/>
    <cellStyle name="표준 7 8 5" xfId="7377"/>
    <cellStyle name="표준 7 8 5 2" xfId="16384"/>
    <cellStyle name="표준 7 8 5 2 2" xfId="37260"/>
    <cellStyle name="표준 7 8 5 3" xfId="28522"/>
    <cellStyle name="표준 7 8 6" xfId="8021"/>
    <cellStyle name="표준 7 8 6 2" xfId="17027"/>
    <cellStyle name="표준 7 8 6 2 2" xfId="37903"/>
    <cellStyle name="표준 7 8 6 3" xfId="29165"/>
    <cellStyle name="표준 7 8 7" xfId="8869"/>
    <cellStyle name="표준 7 8 7 2" xfId="17874"/>
    <cellStyle name="표준 7 8 7 2 2" xfId="38750"/>
    <cellStyle name="표준 7 8 7 3" xfId="30012"/>
    <cellStyle name="표준 7 8 8" xfId="9694"/>
    <cellStyle name="표준 7 8 8 2" xfId="18692"/>
    <cellStyle name="표준 7 8 8 2 2" xfId="39568"/>
    <cellStyle name="표준 7 8 8 3" xfId="30830"/>
    <cellStyle name="표준 7 8 9" xfId="10749"/>
    <cellStyle name="표준 7 8 9 2" xfId="19520"/>
    <cellStyle name="표준 7 8 9 2 2" xfId="40396"/>
    <cellStyle name="표준 7 8 9 3" xfId="31660"/>
    <cellStyle name="표준 7 9" xfId="3521"/>
    <cellStyle name="표준 7 9 10" xfId="12984"/>
    <cellStyle name="표준 7 9 10 2" xfId="33861"/>
    <cellStyle name="표준 7 9 11" xfId="25111"/>
    <cellStyle name="표준 7 9 2" xfId="5123"/>
    <cellStyle name="표준 7 9 2 2" xfId="6948"/>
    <cellStyle name="표준 7 9 2 2 2" xfId="15957"/>
    <cellStyle name="표준 7 9 2 2 2 2" xfId="36833"/>
    <cellStyle name="표준 7 9 2 2 3" xfId="28095"/>
    <cellStyle name="표준 7 9 2 3" xfId="14139"/>
    <cellStyle name="표준 7 9 2 3 2" xfId="35015"/>
    <cellStyle name="표준 7 9 2 4" xfId="26277"/>
    <cellStyle name="표준 7 9 3" xfId="5794"/>
    <cellStyle name="표준 7 9 3 2" xfId="14803"/>
    <cellStyle name="표준 7 9 3 2 2" xfId="35679"/>
    <cellStyle name="표준 7 9 3 3" xfId="26941"/>
    <cellStyle name="표준 7 9 4" xfId="7594"/>
    <cellStyle name="표준 7 9 4 2" xfId="16601"/>
    <cellStyle name="표준 7 9 4 2 2" xfId="37477"/>
    <cellStyle name="표준 7 9 4 3" xfId="28739"/>
    <cellStyle name="표준 7 9 5" xfId="8238"/>
    <cellStyle name="표준 7 9 5 2" xfId="17244"/>
    <cellStyle name="표준 7 9 5 2 2" xfId="38120"/>
    <cellStyle name="표준 7 9 5 3" xfId="29382"/>
    <cellStyle name="표준 7 9 6" xfId="9086"/>
    <cellStyle name="표준 7 9 6 2" xfId="18091"/>
    <cellStyle name="표준 7 9 6 2 2" xfId="38967"/>
    <cellStyle name="표준 7 9 6 3" xfId="30229"/>
    <cellStyle name="표준 7 9 7" xfId="9911"/>
    <cellStyle name="표준 7 9 7 2" xfId="18909"/>
    <cellStyle name="표준 7 9 7 2 2" xfId="39785"/>
    <cellStyle name="표준 7 9 7 3" xfId="31047"/>
    <cellStyle name="표준 7 9 8" xfId="10966"/>
    <cellStyle name="표준 7 9 8 2" xfId="19737"/>
    <cellStyle name="표준 7 9 8 2 2" xfId="40613"/>
    <cellStyle name="표준 7 9 8 3" xfId="31877"/>
    <cellStyle name="표준 7 9 9" xfId="11832"/>
    <cellStyle name="표준 7 9 9 2" xfId="20598"/>
    <cellStyle name="표준 7 9 9 2 2" xfId="41474"/>
    <cellStyle name="표준 7 9 9 3" xfId="32738"/>
    <cellStyle name="표준 70" xfId="9227"/>
    <cellStyle name="표준 71" xfId="10159"/>
    <cellStyle name="표준 72" xfId="10161"/>
    <cellStyle name="표준 73" xfId="11210"/>
    <cellStyle name="표준 74" xfId="12072"/>
    <cellStyle name="표준 74 2" xfId="20838"/>
    <cellStyle name="표준 74 2 2" xfId="41714"/>
    <cellStyle name="표준 74 3" xfId="32978"/>
    <cellStyle name="표준 75" xfId="24091"/>
    <cellStyle name="표준 76" xfId="24128"/>
    <cellStyle name="표준 77" xfId="24129"/>
    <cellStyle name="표준 77 2" xfId="44999"/>
    <cellStyle name="표준 78" xfId="24130"/>
    <cellStyle name="표준 78 2" xfId="45000"/>
    <cellStyle name="표준 79" xfId="12088"/>
    <cellStyle name="표준 8" xfId="3084"/>
    <cellStyle name="표준 8 10" xfId="4687"/>
    <cellStyle name="표준 8 10 2" xfId="6521"/>
    <cellStyle name="표준 8 10 2 2" xfId="15530"/>
    <cellStyle name="표준 8 10 2 2 2" xfId="36406"/>
    <cellStyle name="표준 8 10 2 3" xfId="27668"/>
    <cellStyle name="표준 8 10 3" xfId="11194"/>
    <cellStyle name="표준 8 10 3 2" xfId="19963"/>
    <cellStyle name="표준 8 10 3 2 2" xfId="40839"/>
    <cellStyle name="표준 8 10 3 3" xfId="32103"/>
    <cellStyle name="표준 8 10 4" xfId="12058"/>
    <cellStyle name="표준 8 10 4 2" xfId="20824"/>
    <cellStyle name="표준 8 10 4 2 2" xfId="41700"/>
    <cellStyle name="표준 8 10 4 3" xfId="32964"/>
    <cellStyle name="표준 8 10 5" xfId="13712"/>
    <cellStyle name="표준 8 10 5 2" xfId="34588"/>
    <cellStyle name="표준 8 10 6" xfId="25850"/>
    <cellStyle name="표준 8 11" xfId="5364"/>
    <cellStyle name="표준 8 11 2" xfId="14373"/>
    <cellStyle name="표준 8 11 2 2" xfId="35249"/>
    <cellStyle name="표준 8 11 3" xfId="26511"/>
    <cellStyle name="표준 8 12" xfId="7166"/>
    <cellStyle name="표준 8 12 2" xfId="16174"/>
    <cellStyle name="표준 8 12 2 2" xfId="37050"/>
    <cellStyle name="표준 8 12 3" xfId="28312"/>
    <cellStyle name="표준 8 13" xfId="7811"/>
    <cellStyle name="표준 8 13 2" xfId="16817"/>
    <cellStyle name="표준 8 13 2 2" xfId="37693"/>
    <cellStyle name="표준 8 13 3" xfId="28955"/>
    <cellStyle name="표준 8 14" xfId="8659"/>
    <cellStyle name="표준 8 14 2" xfId="17664"/>
    <cellStyle name="표준 8 14 2 2" xfId="38540"/>
    <cellStyle name="표준 8 14 3" xfId="29802"/>
    <cellStyle name="표준 8 15" xfId="9202"/>
    <cellStyle name="표준 8 15 2" xfId="18206"/>
    <cellStyle name="표준 8 15 2 2" xfId="39082"/>
    <cellStyle name="표준 8 15 3" xfId="30344"/>
    <cellStyle name="표준 8 16" xfId="9483"/>
    <cellStyle name="표준 8 16 2" xfId="18482"/>
    <cellStyle name="표준 8 16 2 2" xfId="39358"/>
    <cellStyle name="표준 8 16 3" xfId="30620"/>
    <cellStyle name="표준 8 17" xfId="10143"/>
    <cellStyle name="표준 8 18" xfId="10539"/>
    <cellStyle name="표준 8 18 2" xfId="19310"/>
    <cellStyle name="표준 8 18 2 2" xfId="40186"/>
    <cellStyle name="표준 8 18 3" xfId="31450"/>
    <cellStyle name="표준 8 19" xfId="11405"/>
    <cellStyle name="표준 8 19 2" xfId="20171"/>
    <cellStyle name="표준 8 19 2 2" xfId="41047"/>
    <cellStyle name="표준 8 19 3" xfId="32311"/>
    <cellStyle name="표준 8 2" xfId="3085"/>
    <cellStyle name="표준 8 2 10" xfId="9484"/>
    <cellStyle name="표준 8 2 10 2" xfId="18483"/>
    <cellStyle name="표준 8 2 10 2 2" xfId="39359"/>
    <cellStyle name="표준 8 2 10 3" xfId="30621"/>
    <cellStyle name="표준 8 2 11" xfId="10144"/>
    <cellStyle name="표준 8 2 12" xfId="10540"/>
    <cellStyle name="표준 8 2 12 2" xfId="19311"/>
    <cellStyle name="표준 8 2 12 2 2" xfId="40187"/>
    <cellStyle name="표준 8 2 12 3" xfId="31451"/>
    <cellStyle name="표준 8 2 13" xfId="11406"/>
    <cellStyle name="표준 8 2 13 2" xfId="20172"/>
    <cellStyle name="표준 8 2 13 2 2" xfId="41048"/>
    <cellStyle name="표준 8 2 13 3" xfId="32312"/>
    <cellStyle name="표준 8 2 14" xfId="12555"/>
    <cellStyle name="표준 8 2 14 2" xfId="33432"/>
    <cellStyle name="표준 8 2 15" xfId="24682"/>
    <cellStyle name="표준 8 2 2" xfId="3305"/>
    <cellStyle name="표준 8 2 2 10" xfId="10757"/>
    <cellStyle name="표준 8 2 2 10 2" xfId="19528"/>
    <cellStyle name="표준 8 2 2 10 2 2" xfId="40404"/>
    <cellStyle name="표준 8 2 2 10 3" xfId="31668"/>
    <cellStyle name="표준 8 2 2 11" xfId="11623"/>
    <cellStyle name="표준 8 2 2 11 2" xfId="20389"/>
    <cellStyle name="표준 8 2 2 11 2 2" xfId="41265"/>
    <cellStyle name="표준 8 2 2 11 3" xfId="32529"/>
    <cellStyle name="표준 8 2 2 12" xfId="12772"/>
    <cellStyle name="표준 8 2 2 12 2" xfId="33649"/>
    <cellStyle name="표준 8 2 2 13" xfId="24899"/>
    <cellStyle name="표준 8 2 2 2" xfId="3746"/>
    <cellStyle name="표준 8 2 2 2 2" xfId="6019"/>
    <cellStyle name="표준 8 2 2 2 2 2" xfId="15028"/>
    <cellStyle name="표준 8 2 2 2 2 2 2" xfId="35904"/>
    <cellStyle name="표준 8 2 2 2 2 3" xfId="27166"/>
    <cellStyle name="표준 8 2 2 2 3" xfId="13209"/>
    <cellStyle name="표준 8 2 2 2 3 2" xfId="34086"/>
    <cellStyle name="표준 8 2 2 2 4" xfId="25336"/>
    <cellStyle name="표준 8 2 2 3" xfId="4908"/>
    <cellStyle name="표준 8 2 2 3 2" xfId="6739"/>
    <cellStyle name="표준 8 2 2 3 2 2" xfId="15748"/>
    <cellStyle name="표준 8 2 2 3 2 2 2" xfId="36624"/>
    <cellStyle name="표준 8 2 2 3 2 3" xfId="27886"/>
    <cellStyle name="표준 8 2 2 3 3" xfId="13930"/>
    <cellStyle name="표준 8 2 2 3 3 2" xfId="34806"/>
    <cellStyle name="표준 8 2 2 3 4" xfId="26068"/>
    <cellStyle name="표준 8 2 2 4" xfId="5582"/>
    <cellStyle name="표준 8 2 2 4 2" xfId="14591"/>
    <cellStyle name="표준 8 2 2 4 2 2" xfId="35467"/>
    <cellStyle name="표준 8 2 2 4 3" xfId="26729"/>
    <cellStyle name="표준 8 2 2 5" xfId="7385"/>
    <cellStyle name="표준 8 2 2 5 2" xfId="16392"/>
    <cellStyle name="표준 8 2 2 5 2 2" xfId="37268"/>
    <cellStyle name="표준 8 2 2 5 3" xfId="28530"/>
    <cellStyle name="표준 8 2 2 6" xfId="8029"/>
    <cellStyle name="표준 8 2 2 6 2" xfId="17035"/>
    <cellStyle name="표준 8 2 2 6 2 2" xfId="37911"/>
    <cellStyle name="표준 8 2 2 6 3" xfId="29173"/>
    <cellStyle name="표준 8 2 2 7" xfId="8877"/>
    <cellStyle name="표준 8 2 2 7 2" xfId="17882"/>
    <cellStyle name="표준 8 2 2 7 2 2" xfId="38758"/>
    <cellStyle name="표준 8 2 2 7 3" xfId="30020"/>
    <cellStyle name="표준 8 2 2 8" xfId="9702"/>
    <cellStyle name="표준 8 2 2 8 2" xfId="18700"/>
    <cellStyle name="표준 8 2 2 8 2 2" xfId="39576"/>
    <cellStyle name="표준 8 2 2 8 3" xfId="30838"/>
    <cellStyle name="표준 8 2 2 9" xfId="10145"/>
    <cellStyle name="표준 8 2 3" xfId="3529"/>
    <cellStyle name="표준 8 2 3 10" xfId="12992"/>
    <cellStyle name="표준 8 2 3 10 2" xfId="33869"/>
    <cellStyle name="표준 8 2 3 11" xfId="25119"/>
    <cellStyle name="표준 8 2 3 2" xfId="5131"/>
    <cellStyle name="표준 8 2 3 2 2" xfId="6956"/>
    <cellStyle name="표준 8 2 3 2 2 2" xfId="15965"/>
    <cellStyle name="표준 8 2 3 2 2 2 2" xfId="36841"/>
    <cellStyle name="표준 8 2 3 2 2 3" xfId="28103"/>
    <cellStyle name="표준 8 2 3 2 3" xfId="14147"/>
    <cellStyle name="표준 8 2 3 2 3 2" xfId="35023"/>
    <cellStyle name="표준 8 2 3 2 4" xfId="26285"/>
    <cellStyle name="표준 8 2 3 3" xfId="5802"/>
    <cellStyle name="표준 8 2 3 3 2" xfId="14811"/>
    <cellStyle name="표준 8 2 3 3 2 2" xfId="35687"/>
    <cellStyle name="표준 8 2 3 3 3" xfId="26949"/>
    <cellStyle name="표준 8 2 3 4" xfId="7602"/>
    <cellStyle name="표준 8 2 3 4 2" xfId="16609"/>
    <cellStyle name="표준 8 2 3 4 2 2" xfId="37485"/>
    <cellStyle name="표준 8 2 3 4 3" xfId="28747"/>
    <cellStyle name="표준 8 2 3 5" xfId="8246"/>
    <cellStyle name="표준 8 2 3 5 2" xfId="17252"/>
    <cellStyle name="표준 8 2 3 5 2 2" xfId="38128"/>
    <cellStyle name="표준 8 2 3 5 3" xfId="29390"/>
    <cellStyle name="표준 8 2 3 6" xfId="9094"/>
    <cellStyle name="표준 8 2 3 6 2" xfId="18099"/>
    <cellStyle name="표준 8 2 3 6 2 2" xfId="38975"/>
    <cellStyle name="표준 8 2 3 6 3" xfId="30237"/>
    <cellStyle name="표준 8 2 3 7" xfId="9919"/>
    <cellStyle name="표준 8 2 3 7 2" xfId="18917"/>
    <cellStyle name="표준 8 2 3 7 2 2" xfId="39793"/>
    <cellStyle name="표준 8 2 3 7 3" xfId="31055"/>
    <cellStyle name="표준 8 2 3 8" xfId="10974"/>
    <cellStyle name="표준 8 2 3 8 2" xfId="19745"/>
    <cellStyle name="표준 8 2 3 8 2 2" xfId="40621"/>
    <cellStyle name="표준 8 2 3 8 3" xfId="31885"/>
    <cellStyle name="표준 8 2 3 9" xfId="11840"/>
    <cellStyle name="표준 8 2 3 9 2" xfId="20606"/>
    <cellStyle name="표준 8 2 3 9 2 2" xfId="41482"/>
    <cellStyle name="표준 8 2 3 9 3" xfId="32746"/>
    <cellStyle name="표준 8 2 4" xfId="4688"/>
    <cellStyle name="표준 8 2 4 2" xfId="6522"/>
    <cellStyle name="표준 8 2 4 2 2" xfId="15531"/>
    <cellStyle name="표준 8 2 4 2 2 2" xfId="36407"/>
    <cellStyle name="표준 8 2 4 2 3" xfId="27669"/>
    <cellStyle name="표준 8 2 4 3" xfId="11195"/>
    <cellStyle name="표준 8 2 4 3 2" xfId="19964"/>
    <cellStyle name="표준 8 2 4 3 2 2" xfId="40840"/>
    <cellStyle name="표준 8 2 4 3 3" xfId="32104"/>
    <cellStyle name="표준 8 2 4 4" xfId="12059"/>
    <cellStyle name="표준 8 2 4 4 2" xfId="20825"/>
    <cellStyle name="표준 8 2 4 4 2 2" xfId="41701"/>
    <cellStyle name="표준 8 2 4 4 3" xfId="32965"/>
    <cellStyle name="표준 8 2 4 5" xfId="13713"/>
    <cellStyle name="표준 8 2 4 5 2" xfId="34589"/>
    <cellStyle name="표준 8 2 4 6" xfId="25851"/>
    <cellStyle name="표준 8 2 5" xfId="5365"/>
    <cellStyle name="표준 8 2 5 2" xfId="14374"/>
    <cellStyle name="표준 8 2 5 2 2" xfId="35250"/>
    <cellStyle name="표준 8 2 5 3" xfId="26512"/>
    <cellStyle name="표준 8 2 6" xfId="7167"/>
    <cellStyle name="표준 8 2 6 2" xfId="16175"/>
    <cellStyle name="표준 8 2 6 2 2" xfId="37051"/>
    <cellStyle name="표준 8 2 6 3" xfId="28313"/>
    <cellStyle name="표준 8 2 7" xfId="7812"/>
    <cellStyle name="표준 8 2 7 2" xfId="16818"/>
    <cellStyle name="표준 8 2 7 2 2" xfId="37694"/>
    <cellStyle name="표준 8 2 7 3" xfId="28956"/>
    <cellStyle name="표준 8 2 8" xfId="8660"/>
    <cellStyle name="표준 8 2 8 2" xfId="17665"/>
    <cellStyle name="표준 8 2 8 2 2" xfId="38541"/>
    <cellStyle name="표준 8 2 8 3" xfId="29803"/>
    <cellStyle name="표준 8 2 9" xfId="9196"/>
    <cellStyle name="표준 8 2 9 2" xfId="18200"/>
    <cellStyle name="표준 8 2 9 2 2" xfId="39076"/>
    <cellStyle name="표준 8 2 9 3" xfId="30338"/>
    <cellStyle name="표준 8 20" xfId="12554"/>
    <cellStyle name="표준 8 20 2" xfId="33431"/>
    <cellStyle name="표준 8 21" xfId="24681"/>
    <cellStyle name="표준 8 3" xfId="3086"/>
    <cellStyle name="표준 8 3 10" xfId="9485"/>
    <cellStyle name="표준 8 3 10 2" xfId="18484"/>
    <cellStyle name="표준 8 3 10 2 2" xfId="39360"/>
    <cellStyle name="표준 8 3 10 3" xfId="30622"/>
    <cellStyle name="표준 8 3 11" xfId="10146"/>
    <cellStyle name="표준 8 3 12" xfId="10541"/>
    <cellStyle name="표준 8 3 12 2" xfId="19312"/>
    <cellStyle name="표준 8 3 12 2 2" xfId="40188"/>
    <cellStyle name="표준 8 3 12 3" xfId="31452"/>
    <cellStyle name="표준 8 3 13" xfId="11407"/>
    <cellStyle name="표준 8 3 13 2" xfId="20173"/>
    <cellStyle name="표준 8 3 13 2 2" xfId="41049"/>
    <cellStyle name="표준 8 3 13 3" xfId="32313"/>
    <cellStyle name="표준 8 3 14" xfId="12556"/>
    <cellStyle name="표준 8 3 14 2" xfId="33433"/>
    <cellStyle name="표준 8 3 15" xfId="24683"/>
    <cellStyle name="표준 8 3 2" xfId="3306"/>
    <cellStyle name="표준 8 3 2 10" xfId="10758"/>
    <cellStyle name="표준 8 3 2 10 2" xfId="19529"/>
    <cellStyle name="표준 8 3 2 10 2 2" xfId="40405"/>
    <cellStyle name="표준 8 3 2 10 3" xfId="31669"/>
    <cellStyle name="표준 8 3 2 11" xfId="11624"/>
    <cellStyle name="표준 8 3 2 11 2" xfId="20390"/>
    <cellStyle name="표준 8 3 2 11 2 2" xfId="41266"/>
    <cellStyle name="표준 8 3 2 11 3" xfId="32530"/>
    <cellStyle name="표준 8 3 2 12" xfId="12773"/>
    <cellStyle name="표준 8 3 2 12 2" xfId="33650"/>
    <cellStyle name="표준 8 3 2 13" xfId="24900"/>
    <cellStyle name="표준 8 3 2 2" xfId="3747"/>
    <cellStyle name="표준 8 3 2 2 2" xfId="6020"/>
    <cellStyle name="표준 8 3 2 2 2 2" xfId="15029"/>
    <cellStyle name="표준 8 3 2 2 2 2 2" xfId="35905"/>
    <cellStyle name="표준 8 3 2 2 2 3" xfId="27167"/>
    <cellStyle name="표준 8 3 2 2 3" xfId="13210"/>
    <cellStyle name="표준 8 3 2 2 3 2" xfId="34087"/>
    <cellStyle name="표준 8 3 2 2 4" xfId="25337"/>
    <cellStyle name="표준 8 3 2 3" xfId="4909"/>
    <cellStyle name="표준 8 3 2 3 2" xfId="6740"/>
    <cellStyle name="표준 8 3 2 3 2 2" xfId="15749"/>
    <cellStyle name="표준 8 3 2 3 2 2 2" xfId="36625"/>
    <cellStyle name="표준 8 3 2 3 2 3" xfId="27887"/>
    <cellStyle name="표준 8 3 2 3 3" xfId="13931"/>
    <cellStyle name="표준 8 3 2 3 3 2" xfId="34807"/>
    <cellStyle name="표준 8 3 2 3 4" xfId="26069"/>
    <cellStyle name="표준 8 3 2 4" xfId="5583"/>
    <cellStyle name="표준 8 3 2 4 2" xfId="14592"/>
    <cellStyle name="표준 8 3 2 4 2 2" xfId="35468"/>
    <cellStyle name="표준 8 3 2 4 3" xfId="26730"/>
    <cellStyle name="표준 8 3 2 5" xfId="7386"/>
    <cellStyle name="표준 8 3 2 5 2" xfId="16393"/>
    <cellStyle name="표준 8 3 2 5 2 2" xfId="37269"/>
    <cellStyle name="표준 8 3 2 5 3" xfId="28531"/>
    <cellStyle name="표준 8 3 2 6" xfId="8030"/>
    <cellStyle name="표준 8 3 2 6 2" xfId="17036"/>
    <cellStyle name="표준 8 3 2 6 2 2" xfId="37912"/>
    <cellStyle name="표준 8 3 2 6 3" xfId="29174"/>
    <cellStyle name="표준 8 3 2 7" xfId="8878"/>
    <cellStyle name="표준 8 3 2 7 2" xfId="17883"/>
    <cellStyle name="표준 8 3 2 7 2 2" xfId="38759"/>
    <cellStyle name="표준 8 3 2 7 3" xfId="30021"/>
    <cellStyle name="표준 8 3 2 8" xfId="9703"/>
    <cellStyle name="표준 8 3 2 8 2" xfId="18701"/>
    <cellStyle name="표준 8 3 2 8 2 2" xfId="39577"/>
    <cellStyle name="표준 8 3 2 8 3" xfId="30839"/>
    <cellStyle name="표준 8 3 2 9" xfId="10147"/>
    <cellStyle name="표준 8 3 3" xfId="3530"/>
    <cellStyle name="표준 8 3 3 10" xfId="12993"/>
    <cellStyle name="표준 8 3 3 10 2" xfId="33870"/>
    <cellStyle name="표준 8 3 3 11" xfId="25120"/>
    <cellStyle name="표준 8 3 3 2" xfId="5132"/>
    <cellStyle name="표준 8 3 3 2 2" xfId="6957"/>
    <cellStyle name="표준 8 3 3 2 2 2" xfId="15966"/>
    <cellStyle name="표준 8 3 3 2 2 2 2" xfId="36842"/>
    <cellStyle name="표준 8 3 3 2 2 3" xfId="28104"/>
    <cellStyle name="표준 8 3 3 2 3" xfId="14148"/>
    <cellStyle name="표준 8 3 3 2 3 2" xfId="35024"/>
    <cellStyle name="표준 8 3 3 2 4" xfId="26286"/>
    <cellStyle name="표준 8 3 3 3" xfId="5803"/>
    <cellStyle name="표준 8 3 3 3 2" xfId="14812"/>
    <cellStyle name="표준 8 3 3 3 2 2" xfId="35688"/>
    <cellStyle name="표준 8 3 3 3 3" xfId="26950"/>
    <cellStyle name="표준 8 3 3 4" xfId="7603"/>
    <cellStyle name="표준 8 3 3 4 2" xfId="16610"/>
    <cellStyle name="표준 8 3 3 4 2 2" xfId="37486"/>
    <cellStyle name="표준 8 3 3 4 3" xfId="28748"/>
    <cellStyle name="표준 8 3 3 5" xfId="8247"/>
    <cellStyle name="표준 8 3 3 5 2" xfId="17253"/>
    <cellStyle name="표준 8 3 3 5 2 2" xfId="38129"/>
    <cellStyle name="표준 8 3 3 5 3" xfId="29391"/>
    <cellStyle name="표준 8 3 3 6" xfId="9095"/>
    <cellStyle name="표준 8 3 3 6 2" xfId="18100"/>
    <cellStyle name="표준 8 3 3 6 2 2" xfId="38976"/>
    <cellStyle name="표준 8 3 3 6 3" xfId="30238"/>
    <cellStyle name="표준 8 3 3 7" xfId="9920"/>
    <cellStyle name="표준 8 3 3 7 2" xfId="18918"/>
    <cellStyle name="표준 8 3 3 7 2 2" xfId="39794"/>
    <cellStyle name="표준 8 3 3 7 3" xfId="31056"/>
    <cellStyle name="표준 8 3 3 8" xfId="10975"/>
    <cellStyle name="표준 8 3 3 8 2" xfId="19746"/>
    <cellStyle name="표준 8 3 3 8 2 2" xfId="40622"/>
    <cellStyle name="표준 8 3 3 8 3" xfId="31886"/>
    <cellStyle name="표준 8 3 3 9" xfId="11841"/>
    <cellStyle name="표준 8 3 3 9 2" xfId="20607"/>
    <cellStyle name="표준 8 3 3 9 2 2" xfId="41483"/>
    <cellStyle name="표준 8 3 3 9 3" xfId="32747"/>
    <cellStyle name="표준 8 3 4" xfId="4689"/>
    <cellStyle name="표준 8 3 4 2" xfId="6523"/>
    <cellStyle name="표준 8 3 4 2 2" xfId="15532"/>
    <cellStyle name="표준 8 3 4 2 2 2" xfId="36408"/>
    <cellStyle name="표준 8 3 4 2 3" xfId="27670"/>
    <cellStyle name="표준 8 3 4 3" xfId="11196"/>
    <cellStyle name="표준 8 3 4 3 2" xfId="19965"/>
    <cellStyle name="표준 8 3 4 3 2 2" xfId="40841"/>
    <cellStyle name="표준 8 3 4 3 3" xfId="32105"/>
    <cellStyle name="표준 8 3 4 4" xfId="12060"/>
    <cellStyle name="표준 8 3 4 4 2" xfId="20826"/>
    <cellStyle name="표준 8 3 4 4 2 2" xfId="41702"/>
    <cellStyle name="표준 8 3 4 4 3" xfId="32966"/>
    <cellStyle name="표준 8 3 4 5" xfId="13714"/>
    <cellStyle name="표준 8 3 4 5 2" xfId="34590"/>
    <cellStyle name="표준 8 3 4 6" xfId="25852"/>
    <cellStyle name="표준 8 3 5" xfId="5366"/>
    <cellStyle name="표준 8 3 5 2" xfId="14375"/>
    <cellStyle name="표준 8 3 5 2 2" xfId="35251"/>
    <cellStyle name="표준 8 3 5 3" xfId="26513"/>
    <cellStyle name="표준 8 3 6" xfId="7168"/>
    <cellStyle name="표준 8 3 6 2" xfId="16176"/>
    <cellStyle name="표준 8 3 6 2 2" xfId="37052"/>
    <cellStyle name="표준 8 3 6 3" xfId="28314"/>
    <cellStyle name="표준 8 3 7" xfId="7813"/>
    <cellStyle name="표준 8 3 7 2" xfId="16819"/>
    <cellStyle name="표준 8 3 7 2 2" xfId="37695"/>
    <cellStyle name="표준 8 3 7 3" xfId="28957"/>
    <cellStyle name="표준 8 3 8" xfId="8661"/>
    <cellStyle name="표준 8 3 8 2" xfId="17666"/>
    <cellStyle name="표준 8 3 8 2 2" xfId="38542"/>
    <cellStyle name="표준 8 3 8 3" xfId="29804"/>
    <cellStyle name="표준 8 3 9" xfId="9197"/>
    <cellStyle name="표준 8 3 9 2" xfId="18201"/>
    <cellStyle name="표준 8 3 9 2 2" xfId="39077"/>
    <cellStyle name="표준 8 3 9 3" xfId="30339"/>
    <cellStyle name="표준 8 4" xfId="3087"/>
    <cellStyle name="표준 8 4 10" xfId="9486"/>
    <cellStyle name="표준 8 4 10 2" xfId="18485"/>
    <cellStyle name="표준 8 4 10 2 2" xfId="39361"/>
    <cellStyle name="표준 8 4 10 3" xfId="30623"/>
    <cellStyle name="표준 8 4 11" xfId="10148"/>
    <cellStyle name="표준 8 4 12" xfId="10542"/>
    <cellStyle name="표준 8 4 12 2" xfId="19313"/>
    <cellStyle name="표준 8 4 12 2 2" xfId="40189"/>
    <cellStyle name="표준 8 4 12 3" xfId="31453"/>
    <cellStyle name="표준 8 4 13" xfId="11408"/>
    <cellStyle name="표준 8 4 13 2" xfId="20174"/>
    <cellStyle name="표준 8 4 13 2 2" xfId="41050"/>
    <cellStyle name="표준 8 4 13 3" xfId="32314"/>
    <cellStyle name="표준 8 4 14" xfId="12557"/>
    <cellStyle name="표준 8 4 14 2" xfId="33434"/>
    <cellStyle name="표준 8 4 15" xfId="24684"/>
    <cellStyle name="표준 8 4 2" xfId="3307"/>
    <cellStyle name="표준 8 4 2 10" xfId="10759"/>
    <cellStyle name="표준 8 4 2 10 2" xfId="19530"/>
    <cellStyle name="표준 8 4 2 10 2 2" xfId="40406"/>
    <cellStyle name="표준 8 4 2 10 3" xfId="31670"/>
    <cellStyle name="표준 8 4 2 11" xfId="11625"/>
    <cellStyle name="표준 8 4 2 11 2" xfId="20391"/>
    <cellStyle name="표준 8 4 2 11 2 2" xfId="41267"/>
    <cellStyle name="표준 8 4 2 11 3" xfId="32531"/>
    <cellStyle name="표준 8 4 2 12" xfId="12774"/>
    <cellStyle name="표준 8 4 2 12 2" xfId="33651"/>
    <cellStyle name="표준 8 4 2 13" xfId="24901"/>
    <cellStyle name="표준 8 4 2 2" xfId="3748"/>
    <cellStyle name="표준 8 4 2 2 2" xfId="6021"/>
    <cellStyle name="표준 8 4 2 2 2 2" xfId="15030"/>
    <cellStyle name="표준 8 4 2 2 2 2 2" xfId="35906"/>
    <cellStyle name="표준 8 4 2 2 2 3" xfId="27168"/>
    <cellStyle name="표준 8 4 2 2 3" xfId="13211"/>
    <cellStyle name="표준 8 4 2 2 3 2" xfId="34088"/>
    <cellStyle name="표준 8 4 2 2 4" xfId="25338"/>
    <cellStyle name="표준 8 4 2 3" xfId="4910"/>
    <cellStyle name="표준 8 4 2 3 2" xfId="6741"/>
    <cellStyle name="표준 8 4 2 3 2 2" xfId="15750"/>
    <cellStyle name="표준 8 4 2 3 2 2 2" xfId="36626"/>
    <cellStyle name="표준 8 4 2 3 2 3" xfId="27888"/>
    <cellStyle name="표준 8 4 2 3 3" xfId="13932"/>
    <cellStyle name="표준 8 4 2 3 3 2" xfId="34808"/>
    <cellStyle name="표준 8 4 2 3 4" xfId="26070"/>
    <cellStyle name="표준 8 4 2 4" xfId="5584"/>
    <cellStyle name="표준 8 4 2 4 2" xfId="14593"/>
    <cellStyle name="표준 8 4 2 4 2 2" xfId="35469"/>
    <cellStyle name="표준 8 4 2 4 3" xfId="26731"/>
    <cellStyle name="표준 8 4 2 5" xfId="7387"/>
    <cellStyle name="표준 8 4 2 5 2" xfId="16394"/>
    <cellStyle name="표준 8 4 2 5 2 2" xfId="37270"/>
    <cellStyle name="표준 8 4 2 5 3" xfId="28532"/>
    <cellStyle name="표준 8 4 2 6" xfId="8031"/>
    <cellStyle name="표준 8 4 2 6 2" xfId="17037"/>
    <cellStyle name="표준 8 4 2 6 2 2" xfId="37913"/>
    <cellStyle name="표준 8 4 2 6 3" xfId="29175"/>
    <cellStyle name="표준 8 4 2 7" xfId="8879"/>
    <cellStyle name="표준 8 4 2 7 2" xfId="17884"/>
    <cellStyle name="표준 8 4 2 7 2 2" xfId="38760"/>
    <cellStyle name="표준 8 4 2 7 3" xfId="30022"/>
    <cellStyle name="표준 8 4 2 8" xfId="9704"/>
    <cellStyle name="표준 8 4 2 8 2" xfId="18702"/>
    <cellStyle name="표준 8 4 2 8 2 2" xfId="39578"/>
    <cellStyle name="표준 8 4 2 8 3" xfId="30840"/>
    <cellStyle name="표준 8 4 2 9" xfId="10149"/>
    <cellStyle name="표준 8 4 3" xfId="3531"/>
    <cellStyle name="표준 8 4 3 10" xfId="12994"/>
    <cellStyle name="표준 8 4 3 10 2" xfId="33871"/>
    <cellStyle name="표준 8 4 3 11" xfId="25121"/>
    <cellStyle name="표준 8 4 3 2" xfId="5133"/>
    <cellStyle name="표준 8 4 3 2 2" xfId="6958"/>
    <cellStyle name="표준 8 4 3 2 2 2" xfId="15967"/>
    <cellStyle name="표준 8 4 3 2 2 2 2" xfId="36843"/>
    <cellStyle name="표준 8 4 3 2 2 3" xfId="28105"/>
    <cellStyle name="표준 8 4 3 2 3" xfId="14149"/>
    <cellStyle name="표준 8 4 3 2 3 2" xfId="35025"/>
    <cellStyle name="표준 8 4 3 2 4" xfId="26287"/>
    <cellStyle name="표준 8 4 3 3" xfId="5804"/>
    <cellStyle name="표준 8 4 3 3 2" xfId="14813"/>
    <cellStyle name="표준 8 4 3 3 2 2" xfId="35689"/>
    <cellStyle name="표준 8 4 3 3 3" xfId="26951"/>
    <cellStyle name="표준 8 4 3 4" xfId="7604"/>
    <cellStyle name="표준 8 4 3 4 2" xfId="16611"/>
    <cellStyle name="표준 8 4 3 4 2 2" xfId="37487"/>
    <cellStyle name="표준 8 4 3 4 3" xfId="28749"/>
    <cellStyle name="표준 8 4 3 5" xfId="8248"/>
    <cellStyle name="표준 8 4 3 5 2" xfId="17254"/>
    <cellStyle name="표준 8 4 3 5 2 2" xfId="38130"/>
    <cellStyle name="표준 8 4 3 5 3" xfId="29392"/>
    <cellStyle name="표준 8 4 3 6" xfId="9096"/>
    <cellStyle name="표준 8 4 3 6 2" xfId="18101"/>
    <cellStyle name="표준 8 4 3 6 2 2" xfId="38977"/>
    <cellStyle name="표준 8 4 3 6 3" xfId="30239"/>
    <cellStyle name="표준 8 4 3 7" xfId="9921"/>
    <cellStyle name="표준 8 4 3 7 2" xfId="18919"/>
    <cellStyle name="표준 8 4 3 7 2 2" xfId="39795"/>
    <cellStyle name="표준 8 4 3 7 3" xfId="31057"/>
    <cellStyle name="표준 8 4 3 8" xfId="10976"/>
    <cellStyle name="표준 8 4 3 8 2" xfId="19747"/>
    <cellStyle name="표준 8 4 3 8 2 2" xfId="40623"/>
    <cellStyle name="표준 8 4 3 8 3" xfId="31887"/>
    <cellStyle name="표준 8 4 3 9" xfId="11842"/>
    <cellStyle name="표준 8 4 3 9 2" xfId="20608"/>
    <cellStyle name="표준 8 4 3 9 2 2" xfId="41484"/>
    <cellStyle name="표준 8 4 3 9 3" xfId="32748"/>
    <cellStyle name="표준 8 4 4" xfId="4690"/>
    <cellStyle name="표준 8 4 4 2" xfId="6524"/>
    <cellStyle name="표준 8 4 4 2 2" xfId="15533"/>
    <cellStyle name="표준 8 4 4 2 2 2" xfId="36409"/>
    <cellStyle name="표준 8 4 4 2 3" xfId="27671"/>
    <cellStyle name="표준 8 4 4 3" xfId="11197"/>
    <cellStyle name="표준 8 4 4 3 2" xfId="19966"/>
    <cellStyle name="표준 8 4 4 3 2 2" xfId="40842"/>
    <cellStyle name="표준 8 4 4 3 3" xfId="32106"/>
    <cellStyle name="표준 8 4 4 4" xfId="12061"/>
    <cellStyle name="표준 8 4 4 4 2" xfId="20827"/>
    <cellStyle name="표준 8 4 4 4 2 2" xfId="41703"/>
    <cellStyle name="표준 8 4 4 4 3" xfId="32967"/>
    <cellStyle name="표준 8 4 4 5" xfId="13715"/>
    <cellStyle name="표준 8 4 4 5 2" xfId="34591"/>
    <cellStyle name="표준 8 4 4 6" xfId="25853"/>
    <cellStyle name="표준 8 4 5" xfId="5367"/>
    <cellStyle name="표준 8 4 5 2" xfId="14376"/>
    <cellStyle name="표준 8 4 5 2 2" xfId="35252"/>
    <cellStyle name="표준 8 4 5 3" xfId="26514"/>
    <cellStyle name="표준 8 4 6" xfId="7169"/>
    <cellStyle name="표준 8 4 6 2" xfId="16177"/>
    <cellStyle name="표준 8 4 6 2 2" xfId="37053"/>
    <cellStyle name="표준 8 4 6 3" xfId="28315"/>
    <cellStyle name="표준 8 4 7" xfId="7814"/>
    <cellStyle name="표준 8 4 7 2" xfId="16820"/>
    <cellStyle name="표준 8 4 7 2 2" xfId="37696"/>
    <cellStyle name="표준 8 4 7 3" xfId="28958"/>
    <cellStyle name="표준 8 4 8" xfId="8662"/>
    <cellStyle name="표준 8 4 8 2" xfId="17667"/>
    <cellStyle name="표준 8 4 8 2 2" xfId="38543"/>
    <cellStyle name="표준 8 4 8 3" xfId="29805"/>
    <cellStyle name="표준 8 4 9" xfId="9198"/>
    <cellStyle name="표준 8 4 9 2" xfId="18202"/>
    <cellStyle name="표준 8 4 9 2 2" xfId="39078"/>
    <cellStyle name="표준 8 4 9 3" xfId="30340"/>
    <cellStyle name="표준 8 5" xfId="3088"/>
    <cellStyle name="표준 8 5 10" xfId="10150"/>
    <cellStyle name="표준 8 5 11" xfId="10543"/>
    <cellStyle name="표준 8 5 11 2" xfId="19314"/>
    <cellStyle name="표준 8 5 11 2 2" xfId="40190"/>
    <cellStyle name="표준 8 5 11 3" xfId="31454"/>
    <cellStyle name="표준 8 5 12" xfId="11409"/>
    <cellStyle name="표준 8 5 12 2" xfId="20175"/>
    <cellStyle name="표준 8 5 12 2 2" xfId="41051"/>
    <cellStyle name="표준 8 5 12 3" xfId="32315"/>
    <cellStyle name="표준 8 5 13" xfId="12558"/>
    <cellStyle name="표준 8 5 13 2" xfId="33435"/>
    <cellStyle name="표준 8 5 14" xfId="24685"/>
    <cellStyle name="표준 8 5 2" xfId="3308"/>
    <cellStyle name="표준 8 5 2 10" xfId="11626"/>
    <cellStyle name="표준 8 5 2 10 2" xfId="20392"/>
    <cellStyle name="표준 8 5 2 10 2 2" xfId="41268"/>
    <cellStyle name="표준 8 5 2 10 3" xfId="32532"/>
    <cellStyle name="표준 8 5 2 11" xfId="12775"/>
    <cellStyle name="표준 8 5 2 11 2" xfId="33652"/>
    <cellStyle name="표준 8 5 2 12" xfId="24902"/>
    <cellStyle name="표준 8 5 2 2" xfId="3749"/>
    <cellStyle name="표준 8 5 2 2 2" xfId="6022"/>
    <cellStyle name="표준 8 5 2 2 2 2" xfId="15031"/>
    <cellStyle name="표준 8 5 2 2 2 2 2" xfId="35907"/>
    <cellStyle name="표준 8 5 2 2 2 3" xfId="27169"/>
    <cellStyle name="표준 8 5 2 2 3" xfId="13212"/>
    <cellStyle name="표준 8 5 2 2 3 2" xfId="34089"/>
    <cellStyle name="표준 8 5 2 2 4" xfId="25339"/>
    <cellStyle name="표준 8 5 2 3" xfId="4911"/>
    <cellStyle name="표준 8 5 2 3 2" xfId="6742"/>
    <cellStyle name="표준 8 5 2 3 2 2" xfId="15751"/>
    <cellStyle name="표준 8 5 2 3 2 2 2" xfId="36627"/>
    <cellStyle name="표준 8 5 2 3 2 3" xfId="27889"/>
    <cellStyle name="표준 8 5 2 3 3" xfId="13933"/>
    <cellStyle name="표준 8 5 2 3 3 2" xfId="34809"/>
    <cellStyle name="표준 8 5 2 3 4" xfId="26071"/>
    <cellStyle name="표준 8 5 2 4" xfId="5585"/>
    <cellStyle name="표준 8 5 2 4 2" xfId="14594"/>
    <cellStyle name="표준 8 5 2 4 2 2" xfId="35470"/>
    <cellStyle name="표준 8 5 2 4 3" xfId="26732"/>
    <cellStyle name="표준 8 5 2 5" xfId="7388"/>
    <cellStyle name="표준 8 5 2 5 2" xfId="16395"/>
    <cellStyle name="표준 8 5 2 5 2 2" xfId="37271"/>
    <cellStyle name="표준 8 5 2 5 3" xfId="28533"/>
    <cellStyle name="표준 8 5 2 6" xfId="8032"/>
    <cellStyle name="표준 8 5 2 6 2" xfId="17038"/>
    <cellStyle name="표준 8 5 2 6 2 2" xfId="37914"/>
    <cellStyle name="표준 8 5 2 6 3" xfId="29176"/>
    <cellStyle name="표준 8 5 2 7" xfId="8880"/>
    <cellStyle name="표준 8 5 2 7 2" xfId="17885"/>
    <cellStyle name="표준 8 5 2 7 2 2" xfId="38761"/>
    <cellStyle name="표준 8 5 2 7 3" xfId="30023"/>
    <cellStyle name="표준 8 5 2 8" xfId="9705"/>
    <cellStyle name="표준 8 5 2 8 2" xfId="18703"/>
    <cellStyle name="표준 8 5 2 8 2 2" xfId="39579"/>
    <cellStyle name="표준 8 5 2 8 3" xfId="30841"/>
    <cellStyle name="표준 8 5 2 9" xfId="10760"/>
    <cellStyle name="표준 8 5 2 9 2" xfId="19531"/>
    <cellStyle name="표준 8 5 2 9 2 2" xfId="40407"/>
    <cellStyle name="표준 8 5 2 9 3" xfId="31671"/>
    <cellStyle name="표준 8 5 3" xfId="3532"/>
    <cellStyle name="표준 8 5 3 10" xfId="12995"/>
    <cellStyle name="표준 8 5 3 10 2" xfId="33872"/>
    <cellStyle name="표준 8 5 3 11" xfId="25122"/>
    <cellStyle name="표준 8 5 3 2" xfId="5134"/>
    <cellStyle name="표준 8 5 3 2 2" xfId="6959"/>
    <cellStyle name="표준 8 5 3 2 2 2" xfId="15968"/>
    <cellStyle name="표준 8 5 3 2 2 2 2" xfId="36844"/>
    <cellStyle name="표준 8 5 3 2 2 3" xfId="28106"/>
    <cellStyle name="표준 8 5 3 2 3" xfId="14150"/>
    <cellStyle name="표준 8 5 3 2 3 2" xfId="35026"/>
    <cellStyle name="표준 8 5 3 2 4" xfId="26288"/>
    <cellStyle name="표준 8 5 3 3" xfId="5805"/>
    <cellStyle name="표준 8 5 3 3 2" xfId="14814"/>
    <cellStyle name="표준 8 5 3 3 2 2" xfId="35690"/>
    <cellStyle name="표준 8 5 3 3 3" xfId="26952"/>
    <cellStyle name="표준 8 5 3 4" xfId="7605"/>
    <cellStyle name="표준 8 5 3 4 2" xfId="16612"/>
    <cellStyle name="표준 8 5 3 4 2 2" xfId="37488"/>
    <cellStyle name="표준 8 5 3 4 3" xfId="28750"/>
    <cellStyle name="표준 8 5 3 5" xfId="8249"/>
    <cellStyle name="표준 8 5 3 5 2" xfId="17255"/>
    <cellStyle name="표준 8 5 3 5 2 2" xfId="38131"/>
    <cellStyle name="표준 8 5 3 5 3" xfId="29393"/>
    <cellStyle name="표준 8 5 3 6" xfId="9097"/>
    <cellStyle name="표준 8 5 3 6 2" xfId="18102"/>
    <cellStyle name="표준 8 5 3 6 2 2" xfId="38978"/>
    <cellStyle name="표준 8 5 3 6 3" xfId="30240"/>
    <cellStyle name="표준 8 5 3 7" xfId="9922"/>
    <cellStyle name="표준 8 5 3 7 2" xfId="18920"/>
    <cellStyle name="표준 8 5 3 7 2 2" xfId="39796"/>
    <cellStyle name="표준 8 5 3 7 3" xfId="31058"/>
    <cellStyle name="표준 8 5 3 8" xfId="10977"/>
    <cellStyle name="표준 8 5 3 8 2" xfId="19748"/>
    <cellStyle name="표준 8 5 3 8 2 2" xfId="40624"/>
    <cellStyle name="표준 8 5 3 8 3" xfId="31888"/>
    <cellStyle name="표준 8 5 3 9" xfId="11843"/>
    <cellStyle name="표준 8 5 3 9 2" xfId="20609"/>
    <cellStyle name="표준 8 5 3 9 2 2" xfId="41485"/>
    <cellStyle name="표준 8 5 3 9 3" xfId="32749"/>
    <cellStyle name="표준 8 5 4" xfId="4691"/>
    <cellStyle name="표준 8 5 4 2" xfId="6525"/>
    <cellStyle name="표준 8 5 4 2 2" xfId="15534"/>
    <cellStyle name="표준 8 5 4 2 2 2" xfId="36410"/>
    <cellStyle name="표준 8 5 4 2 3" xfId="27672"/>
    <cellStyle name="표준 8 5 4 3" xfId="11198"/>
    <cellStyle name="표준 8 5 4 3 2" xfId="19967"/>
    <cellStyle name="표준 8 5 4 3 2 2" xfId="40843"/>
    <cellStyle name="표준 8 5 4 3 3" xfId="32107"/>
    <cellStyle name="표준 8 5 4 4" xfId="12062"/>
    <cellStyle name="표준 8 5 4 4 2" xfId="20828"/>
    <cellStyle name="표준 8 5 4 4 2 2" xfId="41704"/>
    <cellStyle name="표준 8 5 4 4 3" xfId="32968"/>
    <cellStyle name="표준 8 5 4 5" xfId="13716"/>
    <cellStyle name="표준 8 5 4 5 2" xfId="34592"/>
    <cellStyle name="표준 8 5 4 6" xfId="25854"/>
    <cellStyle name="표준 8 5 5" xfId="5368"/>
    <cellStyle name="표준 8 5 5 2" xfId="14377"/>
    <cellStyle name="표준 8 5 5 2 2" xfId="35253"/>
    <cellStyle name="표준 8 5 5 3" xfId="26515"/>
    <cellStyle name="표준 8 5 6" xfId="7170"/>
    <cellStyle name="표준 8 5 6 2" xfId="16178"/>
    <cellStyle name="표준 8 5 6 2 2" xfId="37054"/>
    <cellStyle name="표준 8 5 6 3" xfId="28316"/>
    <cellStyle name="표준 8 5 7" xfId="7815"/>
    <cellStyle name="표준 8 5 7 2" xfId="16821"/>
    <cellStyle name="표준 8 5 7 2 2" xfId="37697"/>
    <cellStyle name="표준 8 5 7 3" xfId="28959"/>
    <cellStyle name="표준 8 5 8" xfId="8663"/>
    <cellStyle name="표준 8 5 8 2" xfId="17668"/>
    <cellStyle name="표준 8 5 8 2 2" xfId="38544"/>
    <cellStyle name="표준 8 5 8 3" xfId="29806"/>
    <cellStyle name="표준 8 5 9" xfId="9487"/>
    <cellStyle name="표준 8 5 9 2" xfId="18486"/>
    <cellStyle name="표준 8 5 9 2 2" xfId="39362"/>
    <cellStyle name="표준 8 5 9 3" xfId="30624"/>
    <cellStyle name="표준 8 6" xfId="3089"/>
    <cellStyle name="표준 8 6 10" xfId="10544"/>
    <cellStyle name="표준 8 6 10 2" xfId="19315"/>
    <cellStyle name="표준 8 6 10 2 2" xfId="40191"/>
    <cellStyle name="표준 8 6 10 3" xfId="31455"/>
    <cellStyle name="표준 8 6 11" xfId="11410"/>
    <cellStyle name="표준 8 6 11 2" xfId="20176"/>
    <cellStyle name="표준 8 6 11 2 2" xfId="41052"/>
    <cellStyle name="표준 8 6 11 3" xfId="32316"/>
    <cellStyle name="표준 8 6 12" xfId="12559"/>
    <cellStyle name="표준 8 6 12 2" xfId="33436"/>
    <cellStyle name="표준 8 6 13" xfId="24686"/>
    <cellStyle name="표준 8 6 2" xfId="3309"/>
    <cellStyle name="표준 8 6 2 10" xfId="11627"/>
    <cellStyle name="표준 8 6 2 10 2" xfId="20393"/>
    <cellStyle name="표준 8 6 2 10 2 2" xfId="41269"/>
    <cellStyle name="표준 8 6 2 10 3" xfId="32533"/>
    <cellStyle name="표준 8 6 2 11" xfId="12776"/>
    <cellStyle name="표준 8 6 2 11 2" xfId="33653"/>
    <cellStyle name="표준 8 6 2 12" xfId="24903"/>
    <cellStyle name="표준 8 6 2 2" xfId="3750"/>
    <cellStyle name="표준 8 6 2 2 2" xfId="6023"/>
    <cellStyle name="표준 8 6 2 2 2 2" xfId="15032"/>
    <cellStyle name="표준 8 6 2 2 2 2 2" xfId="35908"/>
    <cellStyle name="표준 8 6 2 2 2 3" xfId="27170"/>
    <cellStyle name="표준 8 6 2 2 3" xfId="13213"/>
    <cellStyle name="표준 8 6 2 2 3 2" xfId="34090"/>
    <cellStyle name="표준 8 6 2 2 4" xfId="25340"/>
    <cellStyle name="표준 8 6 2 3" xfId="4912"/>
    <cellStyle name="표준 8 6 2 3 2" xfId="6743"/>
    <cellStyle name="표준 8 6 2 3 2 2" xfId="15752"/>
    <cellStyle name="표준 8 6 2 3 2 2 2" xfId="36628"/>
    <cellStyle name="표준 8 6 2 3 2 3" xfId="27890"/>
    <cellStyle name="표준 8 6 2 3 3" xfId="13934"/>
    <cellStyle name="표준 8 6 2 3 3 2" xfId="34810"/>
    <cellStyle name="표준 8 6 2 3 4" xfId="26072"/>
    <cellStyle name="표준 8 6 2 4" xfId="5586"/>
    <cellStyle name="표준 8 6 2 4 2" xfId="14595"/>
    <cellStyle name="표준 8 6 2 4 2 2" xfId="35471"/>
    <cellStyle name="표준 8 6 2 4 3" xfId="26733"/>
    <cellStyle name="표준 8 6 2 5" xfId="7389"/>
    <cellStyle name="표준 8 6 2 5 2" xfId="16396"/>
    <cellStyle name="표준 8 6 2 5 2 2" xfId="37272"/>
    <cellStyle name="표준 8 6 2 5 3" xfId="28534"/>
    <cellStyle name="표준 8 6 2 6" xfId="8033"/>
    <cellStyle name="표준 8 6 2 6 2" xfId="17039"/>
    <cellStyle name="표준 8 6 2 6 2 2" xfId="37915"/>
    <cellStyle name="표준 8 6 2 6 3" xfId="29177"/>
    <cellStyle name="표준 8 6 2 7" xfId="8881"/>
    <cellStyle name="표준 8 6 2 7 2" xfId="17886"/>
    <cellStyle name="표준 8 6 2 7 2 2" xfId="38762"/>
    <cellStyle name="표준 8 6 2 7 3" xfId="30024"/>
    <cellStyle name="표준 8 6 2 8" xfId="9706"/>
    <cellStyle name="표준 8 6 2 8 2" xfId="18704"/>
    <cellStyle name="표준 8 6 2 8 2 2" xfId="39580"/>
    <cellStyle name="표준 8 6 2 8 3" xfId="30842"/>
    <cellStyle name="표준 8 6 2 9" xfId="10761"/>
    <cellStyle name="표준 8 6 2 9 2" xfId="19532"/>
    <cellStyle name="표준 8 6 2 9 2 2" xfId="40408"/>
    <cellStyle name="표준 8 6 2 9 3" xfId="31672"/>
    <cellStyle name="표준 8 6 3" xfId="3533"/>
    <cellStyle name="표준 8 6 3 10" xfId="12996"/>
    <cellStyle name="표준 8 6 3 10 2" xfId="33873"/>
    <cellStyle name="표준 8 6 3 11" xfId="25123"/>
    <cellStyle name="표준 8 6 3 2" xfId="5135"/>
    <cellStyle name="표준 8 6 3 2 2" xfId="6960"/>
    <cellStyle name="표준 8 6 3 2 2 2" xfId="15969"/>
    <cellStyle name="표준 8 6 3 2 2 2 2" xfId="36845"/>
    <cellStyle name="표준 8 6 3 2 2 3" xfId="28107"/>
    <cellStyle name="표준 8 6 3 2 3" xfId="14151"/>
    <cellStyle name="표준 8 6 3 2 3 2" xfId="35027"/>
    <cellStyle name="표준 8 6 3 2 4" xfId="26289"/>
    <cellStyle name="표준 8 6 3 3" xfId="5806"/>
    <cellStyle name="표준 8 6 3 3 2" xfId="14815"/>
    <cellStyle name="표준 8 6 3 3 2 2" xfId="35691"/>
    <cellStyle name="표준 8 6 3 3 3" xfId="26953"/>
    <cellStyle name="표준 8 6 3 4" xfId="7606"/>
    <cellStyle name="표준 8 6 3 4 2" xfId="16613"/>
    <cellStyle name="표준 8 6 3 4 2 2" xfId="37489"/>
    <cellStyle name="표준 8 6 3 4 3" xfId="28751"/>
    <cellStyle name="표준 8 6 3 5" xfId="8250"/>
    <cellStyle name="표준 8 6 3 5 2" xfId="17256"/>
    <cellStyle name="표준 8 6 3 5 2 2" xfId="38132"/>
    <cellStyle name="표준 8 6 3 5 3" xfId="29394"/>
    <cellStyle name="표준 8 6 3 6" xfId="9098"/>
    <cellStyle name="표준 8 6 3 6 2" xfId="18103"/>
    <cellStyle name="표준 8 6 3 6 2 2" xfId="38979"/>
    <cellStyle name="표준 8 6 3 6 3" xfId="30241"/>
    <cellStyle name="표준 8 6 3 7" xfId="9923"/>
    <cellStyle name="표준 8 6 3 7 2" xfId="18921"/>
    <cellStyle name="표준 8 6 3 7 2 2" xfId="39797"/>
    <cellStyle name="표준 8 6 3 7 3" xfId="31059"/>
    <cellStyle name="표준 8 6 3 8" xfId="10978"/>
    <cellStyle name="표준 8 6 3 8 2" xfId="19749"/>
    <cellStyle name="표준 8 6 3 8 2 2" xfId="40625"/>
    <cellStyle name="표준 8 6 3 8 3" xfId="31889"/>
    <cellStyle name="표준 8 6 3 9" xfId="11844"/>
    <cellStyle name="표준 8 6 3 9 2" xfId="20610"/>
    <cellStyle name="표준 8 6 3 9 2 2" xfId="41486"/>
    <cellStyle name="표준 8 6 3 9 3" xfId="32750"/>
    <cellStyle name="표준 8 6 4" xfId="4692"/>
    <cellStyle name="표준 8 6 4 2" xfId="6526"/>
    <cellStyle name="표준 8 6 4 2 2" xfId="15535"/>
    <cellStyle name="표준 8 6 4 2 2 2" xfId="36411"/>
    <cellStyle name="표준 8 6 4 2 3" xfId="27673"/>
    <cellStyle name="표준 8 6 4 3" xfId="11199"/>
    <cellStyle name="표준 8 6 4 3 2" xfId="19968"/>
    <cellStyle name="표준 8 6 4 3 2 2" xfId="40844"/>
    <cellStyle name="표준 8 6 4 3 3" xfId="32108"/>
    <cellStyle name="표준 8 6 4 4" xfId="12063"/>
    <cellStyle name="표준 8 6 4 4 2" xfId="20829"/>
    <cellStyle name="표준 8 6 4 4 2 2" xfId="41705"/>
    <cellStyle name="표준 8 6 4 4 3" xfId="32969"/>
    <cellStyle name="표준 8 6 4 5" xfId="13717"/>
    <cellStyle name="표준 8 6 4 5 2" xfId="34593"/>
    <cellStyle name="표준 8 6 4 6" xfId="25855"/>
    <cellStyle name="표준 8 6 5" xfId="5369"/>
    <cellStyle name="표준 8 6 5 2" xfId="14378"/>
    <cellStyle name="표준 8 6 5 2 2" xfId="35254"/>
    <cellStyle name="표준 8 6 5 3" xfId="26516"/>
    <cellStyle name="표준 8 6 6" xfId="7171"/>
    <cellStyle name="표준 8 6 6 2" xfId="16179"/>
    <cellStyle name="표준 8 6 6 2 2" xfId="37055"/>
    <cellStyle name="표준 8 6 6 3" xfId="28317"/>
    <cellStyle name="표준 8 6 7" xfId="7816"/>
    <cellStyle name="표준 8 6 7 2" xfId="16822"/>
    <cellStyle name="표준 8 6 7 2 2" xfId="37698"/>
    <cellStyle name="표준 8 6 7 3" xfId="28960"/>
    <cellStyle name="표준 8 6 8" xfId="8664"/>
    <cellStyle name="표준 8 6 8 2" xfId="17669"/>
    <cellStyle name="표준 8 6 8 2 2" xfId="38545"/>
    <cellStyle name="표준 8 6 8 3" xfId="29807"/>
    <cellStyle name="표준 8 6 9" xfId="9488"/>
    <cellStyle name="표준 8 6 9 2" xfId="18487"/>
    <cellStyle name="표준 8 6 9 2 2" xfId="39363"/>
    <cellStyle name="표준 8 6 9 3" xfId="30625"/>
    <cellStyle name="표준 8 7" xfId="3090"/>
    <cellStyle name="표준 8 7 10" xfId="10545"/>
    <cellStyle name="표준 8 7 10 2" xfId="19316"/>
    <cellStyle name="표준 8 7 10 2 2" xfId="40192"/>
    <cellStyle name="표준 8 7 10 3" xfId="31456"/>
    <cellStyle name="표준 8 7 11" xfId="11411"/>
    <cellStyle name="표준 8 7 11 2" xfId="20177"/>
    <cellStyle name="표준 8 7 11 2 2" xfId="41053"/>
    <cellStyle name="표준 8 7 11 3" xfId="32317"/>
    <cellStyle name="표준 8 7 12" xfId="12560"/>
    <cellStyle name="표준 8 7 12 2" xfId="33437"/>
    <cellStyle name="표준 8 7 13" xfId="24687"/>
    <cellStyle name="표준 8 7 2" xfId="3310"/>
    <cellStyle name="표준 8 7 2 10" xfId="11628"/>
    <cellStyle name="표준 8 7 2 10 2" xfId="20394"/>
    <cellStyle name="표준 8 7 2 10 2 2" xfId="41270"/>
    <cellStyle name="표준 8 7 2 10 3" xfId="32534"/>
    <cellStyle name="표준 8 7 2 11" xfId="12777"/>
    <cellStyle name="표준 8 7 2 11 2" xfId="33654"/>
    <cellStyle name="표준 8 7 2 12" xfId="24904"/>
    <cellStyle name="표준 8 7 2 2" xfId="3751"/>
    <cellStyle name="표준 8 7 2 2 2" xfId="6024"/>
    <cellStyle name="표준 8 7 2 2 2 2" xfId="15033"/>
    <cellStyle name="표준 8 7 2 2 2 2 2" xfId="35909"/>
    <cellStyle name="표준 8 7 2 2 2 3" xfId="27171"/>
    <cellStyle name="표준 8 7 2 2 3" xfId="13214"/>
    <cellStyle name="표준 8 7 2 2 3 2" xfId="34091"/>
    <cellStyle name="표준 8 7 2 2 4" xfId="25341"/>
    <cellStyle name="표준 8 7 2 3" xfId="4913"/>
    <cellStyle name="표준 8 7 2 3 2" xfId="6744"/>
    <cellStyle name="표준 8 7 2 3 2 2" xfId="15753"/>
    <cellStyle name="표준 8 7 2 3 2 2 2" xfId="36629"/>
    <cellStyle name="표준 8 7 2 3 2 3" xfId="27891"/>
    <cellStyle name="표준 8 7 2 3 3" xfId="13935"/>
    <cellStyle name="표준 8 7 2 3 3 2" xfId="34811"/>
    <cellStyle name="표준 8 7 2 3 4" xfId="26073"/>
    <cellStyle name="표준 8 7 2 4" xfId="5587"/>
    <cellStyle name="표준 8 7 2 4 2" xfId="14596"/>
    <cellStyle name="표준 8 7 2 4 2 2" xfId="35472"/>
    <cellStyle name="표준 8 7 2 4 3" xfId="26734"/>
    <cellStyle name="표준 8 7 2 5" xfId="7390"/>
    <cellStyle name="표준 8 7 2 5 2" xfId="16397"/>
    <cellStyle name="표준 8 7 2 5 2 2" xfId="37273"/>
    <cellStyle name="표준 8 7 2 5 3" xfId="28535"/>
    <cellStyle name="표준 8 7 2 6" xfId="8034"/>
    <cellStyle name="표준 8 7 2 6 2" xfId="17040"/>
    <cellStyle name="표준 8 7 2 6 2 2" xfId="37916"/>
    <cellStyle name="표준 8 7 2 6 3" xfId="29178"/>
    <cellStyle name="표준 8 7 2 7" xfId="8882"/>
    <cellStyle name="표준 8 7 2 7 2" xfId="17887"/>
    <cellStyle name="표준 8 7 2 7 2 2" xfId="38763"/>
    <cellStyle name="표준 8 7 2 7 3" xfId="30025"/>
    <cellStyle name="표준 8 7 2 8" xfId="9707"/>
    <cellStyle name="표준 8 7 2 8 2" xfId="18705"/>
    <cellStyle name="표준 8 7 2 8 2 2" xfId="39581"/>
    <cellStyle name="표준 8 7 2 8 3" xfId="30843"/>
    <cellStyle name="표준 8 7 2 9" xfId="10762"/>
    <cellStyle name="표준 8 7 2 9 2" xfId="19533"/>
    <cellStyle name="표준 8 7 2 9 2 2" xfId="40409"/>
    <cellStyle name="표준 8 7 2 9 3" xfId="31673"/>
    <cellStyle name="표준 8 7 3" xfId="3534"/>
    <cellStyle name="표준 8 7 3 10" xfId="12997"/>
    <cellStyle name="표준 8 7 3 10 2" xfId="33874"/>
    <cellStyle name="표준 8 7 3 11" xfId="25124"/>
    <cellStyle name="표준 8 7 3 2" xfId="5136"/>
    <cellStyle name="표준 8 7 3 2 2" xfId="6961"/>
    <cellStyle name="표준 8 7 3 2 2 2" xfId="15970"/>
    <cellStyle name="표준 8 7 3 2 2 2 2" xfId="36846"/>
    <cellStyle name="표준 8 7 3 2 2 3" xfId="28108"/>
    <cellStyle name="표준 8 7 3 2 3" xfId="14152"/>
    <cellStyle name="표준 8 7 3 2 3 2" xfId="35028"/>
    <cellStyle name="표준 8 7 3 2 4" xfId="26290"/>
    <cellStyle name="표준 8 7 3 3" xfId="5807"/>
    <cellStyle name="표준 8 7 3 3 2" xfId="14816"/>
    <cellStyle name="표준 8 7 3 3 2 2" xfId="35692"/>
    <cellStyle name="표준 8 7 3 3 3" xfId="26954"/>
    <cellStyle name="표준 8 7 3 4" xfId="7607"/>
    <cellStyle name="표준 8 7 3 4 2" xfId="16614"/>
    <cellStyle name="표준 8 7 3 4 2 2" xfId="37490"/>
    <cellStyle name="표준 8 7 3 4 3" xfId="28752"/>
    <cellStyle name="표준 8 7 3 5" xfId="8251"/>
    <cellStyle name="표준 8 7 3 5 2" xfId="17257"/>
    <cellStyle name="표준 8 7 3 5 2 2" xfId="38133"/>
    <cellStyle name="표준 8 7 3 5 3" xfId="29395"/>
    <cellStyle name="표준 8 7 3 6" xfId="9099"/>
    <cellStyle name="표준 8 7 3 6 2" xfId="18104"/>
    <cellStyle name="표준 8 7 3 6 2 2" xfId="38980"/>
    <cellStyle name="표준 8 7 3 6 3" xfId="30242"/>
    <cellStyle name="표준 8 7 3 7" xfId="9924"/>
    <cellStyle name="표준 8 7 3 7 2" xfId="18922"/>
    <cellStyle name="표준 8 7 3 7 2 2" xfId="39798"/>
    <cellStyle name="표준 8 7 3 7 3" xfId="31060"/>
    <cellStyle name="표준 8 7 3 8" xfId="10979"/>
    <cellStyle name="표준 8 7 3 8 2" xfId="19750"/>
    <cellStyle name="표준 8 7 3 8 2 2" xfId="40626"/>
    <cellStyle name="표준 8 7 3 8 3" xfId="31890"/>
    <cellStyle name="표준 8 7 3 9" xfId="11845"/>
    <cellStyle name="표준 8 7 3 9 2" xfId="20611"/>
    <cellStyle name="표준 8 7 3 9 2 2" xfId="41487"/>
    <cellStyle name="표준 8 7 3 9 3" xfId="32751"/>
    <cellStyle name="표준 8 7 4" xfId="4693"/>
    <cellStyle name="표준 8 7 4 2" xfId="6527"/>
    <cellStyle name="표준 8 7 4 2 2" xfId="15536"/>
    <cellStyle name="표준 8 7 4 2 2 2" xfId="36412"/>
    <cellStyle name="표준 8 7 4 2 3" xfId="27674"/>
    <cellStyle name="표준 8 7 4 3" xfId="11200"/>
    <cellStyle name="표준 8 7 4 3 2" xfId="19969"/>
    <cellStyle name="표준 8 7 4 3 2 2" xfId="40845"/>
    <cellStyle name="표준 8 7 4 3 3" xfId="32109"/>
    <cellStyle name="표준 8 7 4 4" xfId="12064"/>
    <cellStyle name="표준 8 7 4 4 2" xfId="20830"/>
    <cellStyle name="표준 8 7 4 4 2 2" xfId="41706"/>
    <cellStyle name="표준 8 7 4 4 3" xfId="32970"/>
    <cellStyle name="표준 8 7 4 5" xfId="13718"/>
    <cellStyle name="표준 8 7 4 5 2" xfId="34594"/>
    <cellStyle name="표준 8 7 4 6" xfId="25856"/>
    <cellStyle name="표준 8 7 5" xfId="5370"/>
    <cellStyle name="표준 8 7 5 2" xfId="14379"/>
    <cellStyle name="표준 8 7 5 2 2" xfId="35255"/>
    <cellStyle name="표준 8 7 5 3" xfId="26517"/>
    <cellStyle name="표준 8 7 6" xfId="7172"/>
    <cellStyle name="표준 8 7 6 2" xfId="16180"/>
    <cellStyle name="표준 8 7 6 2 2" xfId="37056"/>
    <cellStyle name="표준 8 7 6 3" xfId="28318"/>
    <cellStyle name="표준 8 7 7" xfId="7817"/>
    <cellStyle name="표준 8 7 7 2" xfId="16823"/>
    <cellStyle name="표준 8 7 7 2 2" xfId="37699"/>
    <cellStyle name="표준 8 7 7 3" xfId="28961"/>
    <cellStyle name="표준 8 7 8" xfId="8665"/>
    <cellStyle name="표준 8 7 8 2" xfId="17670"/>
    <cellStyle name="표준 8 7 8 2 2" xfId="38546"/>
    <cellStyle name="표준 8 7 8 3" xfId="29808"/>
    <cellStyle name="표준 8 7 9" xfId="9489"/>
    <cellStyle name="표준 8 7 9 2" xfId="18488"/>
    <cellStyle name="표준 8 7 9 2 2" xfId="39364"/>
    <cellStyle name="표준 8 7 9 3" xfId="30626"/>
    <cellStyle name="표준 8 8" xfId="3304"/>
    <cellStyle name="표준 8 8 10" xfId="11622"/>
    <cellStyle name="표준 8 8 10 2" xfId="20388"/>
    <cellStyle name="표준 8 8 10 2 2" xfId="41264"/>
    <cellStyle name="표준 8 8 10 3" xfId="32528"/>
    <cellStyle name="표준 8 8 11" xfId="12771"/>
    <cellStyle name="표준 8 8 11 2" xfId="33648"/>
    <cellStyle name="표준 8 8 12" xfId="24898"/>
    <cellStyle name="표준 8 8 2" xfId="3745"/>
    <cellStyle name="표준 8 8 2 2" xfId="6018"/>
    <cellStyle name="표준 8 8 2 2 2" xfId="15027"/>
    <cellStyle name="표준 8 8 2 2 2 2" xfId="35903"/>
    <cellStyle name="표준 8 8 2 2 3" xfId="27165"/>
    <cellStyle name="표준 8 8 2 3" xfId="13208"/>
    <cellStyle name="표준 8 8 2 3 2" xfId="34085"/>
    <cellStyle name="표준 8 8 2 4" xfId="25335"/>
    <cellStyle name="표준 8 8 3" xfId="4907"/>
    <cellStyle name="표준 8 8 3 2" xfId="6738"/>
    <cellStyle name="표준 8 8 3 2 2" xfId="15747"/>
    <cellStyle name="표준 8 8 3 2 2 2" xfId="36623"/>
    <cellStyle name="표준 8 8 3 2 3" xfId="27885"/>
    <cellStyle name="표준 8 8 3 3" xfId="13929"/>
    <cellStyle name="표준 8 8 3 3 2" xfId="34805"/>
    <cellStyle name="표준 8 8 3 4" xfId="26067"/>
    <cellStyle name="표준 8 8 4" xfId="5581"/>
    <cellStyle name="표준 8 8 4 2" xfId="14590"/>
    <cellStyle name="표준 8 8 4 2 2" xfId="35466"/>
    <cellStyle name="표준 8 8 4 3" xfId="26728"/>
    <cellStyle name="표준 8 8 5" xfId="7384"/>
    <cellStyle name="표준 8 8 5 2" xfId="16391"/>
    <cellStyle name="표준 8 8 5 2 2" xfId="37267"/>
    <cellStyle name="표준 8 8 5 3" xfId="28529"/>
    <cellStyle name="표준 8 8 6" xfId="8028"/>
    <cellStyle name="표준 8 8 6 2" xfId="17034"/>
    <cellStyle name="표준 8 8 6 2 2" xfId="37910"/>
    <cellStyle name="표준 8 8 6 3" xfId="29172"/>
    <cellStyle name="표준 8 8 7" xfId="8876"/>
    <cellStyle name="표준 8 8 7 2" xfId="17881"/>
    <cellStyle name="표준 8 8 7 2 2" xfId="38757"/>
    <cellStyle name="표준 8 8 7 3" xfId="30019"/>
    <cellStyle name="표준 8 8 8" xfId="9701"/>
    <cellStyle name="표준 8 8 8 2" xfId="18699"/>
    <cellStyle name="표준 8 8 8 2 2" xfId="39575"/>
    <cellStyle name="표준 8 8 8 3" xfId="30837"/>
    <cellStyle name="표준 8 8 9" xfId="10756"/>
    <cellStyle name="표준 8 8 9 2" xfId="19527"/>
    <cellStyle name="표준 8 8 9 2 2" xfId="40403"/>
    <cellStyle name="표준 8 8 9 3" xfId="31667"/>
    <cellStyle name="표준 8 9" xfId="3528"/>
    <cellStyle name="표준 8 9 10" xfId="12991"/>
    <cellStyle name="표준 8 9 10 2" xfId="33868"/>
    <cellStyle name="표준 8 9 11" xfId="25118"/>
    <cellStyle name="표준 8 9 2" xfId="5130"/>
    <cellStyle name="표준 8 9 2 2" xfId="6955"/>
    <cellStyle name="표준 8 9 2 2 2" xfId="15964"/>
    <cellStyle name="표준 8 9 2 2 2 2" xfId="36840"/>
    <cellStyle name="표준 8 9 2 2 3" xfId="28102"/>
    <cellStyle name="표준 8 9 2 3" xfId="14146"/>
    <cellStyle name="표준 8 9 2 3 2" xfId="35022"/>
    <cellStyle name="표준 8 9 2 4" xfId="26284"/>
    <cellStyle name="표준 8 9 3" xfId="5801"/>
    <cellStyle name="표준 8 9 3 2" xfId="14810"/>
    <cellStyle name="표준 8 9 3 2 2" xfId="35686"/>
    <cellStyle name="표준 8 9 3 3" xfId="26948"/>
    <cellStyle name="표준 8 9 4" xfId="7601"/>
    <cellStyle name="표준 8 9 4 2" xfId="16608"/>
    <cellStyle name="표준 8 9 4 2 2" xfId="37484"/>
    <cellStyle name="표준 8 9 4 3" xfId="28746"/>
    <cellStyle name="표준 8 9 5" xfId="8245"/>
    <cellStyle name="표준 8 9 5 2" xfId="17251"/>
    <cellStyle name="표준 8 9 5 2 2" xfId="38127"/>
    <cellStyle name="표준 8 9 5 3" xfId="29389"/>
    <cellStyle name="표준 8 9 6" xfId="9093"/>
    <cellStyle name="표준 8 9 6 2" xfId="18098"/>
    <cellStyle name="표준 8 9 6 2 2" xfId="38974"/>
    <cellStyle name="표준 8 9 6 3" xfId="30236"/>
    <cellStyle name="표준 8 9 7" xfId="9918"/>
    <cellStyle name="표준 8 9 7 2" xfId="18916"/>
    <cellStyle name="표준 8 9 7 2 2" xfId="39792"/>
    <cellStyle name="표준 8 9 7 3" xfId="31054"/>
    <cellStyle name="표준 8 9 8" xfId="10973"/>
    <cellStyle name="표준 8 9 8 2" xfId="19744"/>
    <cellStyle name="표준 8 9 8 2 2" xfId="40620"/>
    <cellStyle name="표준 8 9 8 3" xfId="31884"/>
    <cellStyle name="표준 8 9 9" xfId="11839"/>
    <cellStyle name="표준 8 9 9 2" xfId="20605"/>
    <cellStyle name="표준 8 9 9 2 2" xfId="41481"/>
    <cellStyle name="표준 8 9 9 3" xfId="32745"/>
    <cellStyle name="표준 80" xfId="12075"/>
    <cellStyle name="표준 80 2" xfId="32981"/>
    <cellStyle name="표준 81" xfId="24234"/>
    <cellStyle name="표준 81 2" xfId="45097"/>
    <cellStyle name="표준 82" xfId="24237"/>
    <cellStyle name="표준 82 2" xfId="45100"/>
    <cellStyle name="표준 83" xfId="24239"/>
    <cellStyle name="표준 83 2" xfId="45102"/>
    <cellStyle name="표준 84" xfId="24243"/>
    <cellStyle name="표준 84 2" xfId="45105"/>
    <cellStyle name="표준 9" xfId="3091"/>
    <cellStyle name="표준 9 10" xfId="4694"/>
    <cellStyle name="표준 9 10 2" xfId="6528"/>
    <cellStyle name="표준 9 10 2 2" xfId="15537"/>
    <cellStyle name="표준 9 10 2 2 2" xfId="36413"/>
    <cellStyle name="표준 9 10 2 3" xfId="27675"/>
    <cellStyle name="표준 9 10 3" xfId="11201"/>
    <cellStyle name="표준 9 10 3 2" xfId="19970"/>
    <cellStyle name="표준 9 10 3 2 2" xfId="40846"/>
    <cellStyle name="표준 9 10 3 3" xfId="32110"/>
    <cellStyle name="표준 9 10 4" xfId="12065"/>
    <cellStyle name="표준 9 10 4 2" xfId="20831"/>
    <cellStyle name="표준 9 10 4 2 2" xfId="41707"/>
    <cellStyle name="표준 9 10 4 3" xfId="32971"/>
    <cellStyle name="표준 9 10 5" xfId="13719"/>
    <cellStyle name="표준 9 10 5 2" xfId="34595"/>
    <cellStyle name="표준 9 10 6" xfId="25857"/>
    <cellStyle name="표준 9 11" xfId="5371"/>
    <cellStyle name="표준 9 11 2" xfId="14380"/>
    <cellStyle name="표준 9 11 2 2" xfId="35256"/>
    <cellStyle name="표준 9 11 3" xfId="26518"/>
    <cellStyle name="표준 9 12" xfId="7173"/>
    <cellStyle name="표준 9 12 2" xfId="16181"/>
    <cellStyle name="표준 9 12 2 2" xfId="37057"/>
    <cellStyle name="표준 9 12 3" xfId="28319"/>
    <cellStyle name="표준 9 13" xfId="7818"/>
    <cellStyle name="표준 9 13 2" xfId="16824"/>
    <cellStyle name="표준 9 13 2 2" xfId="37700"/>
    <cellStyle name="표준 9 13 3" xfId="28962"/>
    <cellStyle name="표준 9 14" xfId="8666"/>
    <cellStyle name="표준 9 14 2" xfId="17671"/>
    <cellStyle name="표준 9 14 2 2" xfId="38547"/>
    <cellStyle name="표준 9 14 3" xfId="29809"/>
    <cellStyle name="표준 9 15" xfId="9204"/>
    <cellStyle name="표준 9 15 2" xfId="18208"/>
    <cellStyle name="표준 9 15 2 2" xfId="39084"/>
    <cellStyle name="표준 9 15 3" xfId="30346"/>
    <cellStyle name="표준 9 16" xfId="9490"/>
    <cellStyle name="표준 9 16 2" xfId="18489"/>
    <cellStyle name="표준 9 16 2 2" xfId="39365"/>
    <cellStyle name="표준 9 16 3" xfId="30627"/>
    <cellStyle name="표준 9 17" xfId="10151"/>
    <cellStyle name="표준 9 18" xfId="10546"/>
    <cellStyle name="표준 9 18 2" xfId="19317"/>
    <cellStyle name="표준 9 18 2 2" xfId="40193"/>
    <cellStyle name="표준 9 18 3" xfId="31457"/>
    <cellStyle name="표준 9 19" xfId="11412"/>
    <cellStyle name="표준 9 19 2" xfId="20178"/>
    <cellStyle name="표준 9 19 2 2" xfId="41054"/>
    <cellStyle name="표준 9 19 3" xfId="32318"/>
    <cellStyle name="표준 9 2" xfId="3092"/>
    <cellStyle name="표준 9 2 10" xfId="9491"/>
    <cellStyle name="표준 9 2 10 2" xfId="18490"/>
    <cellStyle name="표준 9 2 10 2 2" xfId="39366"/>
    <cellStyle name="표준 9 2 10 3" xfId="30628"/>
    <cellStyle name="표준 9 2 11" xfId="10152"/>
    <cellStyle name="표준 9 2 12" xfId="10547"/>
    <cellStyle name="표준 9 2 12 2" xfId="19318"/>
    <cellStyle name="표준 9 2 12 2 2" xfId="40194"/>
    <cellStyle name="표준 9 2 12 3" xfId="31458"/>
    <cellStyle name="표준 9 2 13" xfId="11413"/>
    <cellStyle name="표준 9 2 13 2" xfId="20179"/>
    <cellStyle name="표준 9 2 13 2 2" xfId="41055"/>
    <cellStyle name="표준 9 2 13 3" xfId="32319"/>
    <cellStyle name="표준 9 2 14" xfId="12562"/>
    <cellStyle name="표준 9 2 14 2" xfId="33439"/>
    <cellStyle name="표준 9 2 15" xfId="24689"/>
    <cellStyle name="표준 9 2 2" xfId="3312"/>
    <cellStyle name="표준 9 2 2 10" xfId="10764"/>
    <cellStyle name="표준 9 2 2 10 2" xfId="19535"/>
    <cellStyle name="표준 9 2 2 10 2 2" xfId="40411"/>
    <cellStyle name="표준 9 2 2 10 3" xfId="31675"/>
    <cellStyle name="표준 9 2 2 11" xfId="11630"/>
    <cellStyle name="표준 9 2 2 11 2" xfId="20396"/>
    <cellStyle name="표준 9 2 2 11 2 2" xfId="41272"/>
    <cellStyle name="표준 9 2 2 11 3" xfId="32536"/>
    <cellStyle name="표준 9 2 2 12" xfId="12779"/>
    <cellStyle name="표준 9 2 2 12 2" xfId="33656"/>
    <cellStyle name="표준 9 2 2 13" xfId="24906"/>
    <cellStyle name="표준 9 2 2 2" xfId="3753"/>
    <cellStyle name="표준 9 2 2 2 2" xfId="6026"/>
    <cellStyle name="표준 9 2 2 2 2 2" xfId="15035"/>
    <cellStyle name="표준 9 2 2 2 2 2 2" xfId="35911"/>
    <cellStyle name="표준 9 2 2 2 2 3" xfId="27173"/>
    <cellStyle name="표준 9 2 2 2 3" xfId="13216"/>
    <cellStyle name="표준 9 2 2 2 3 2" xfId="34093"/>
    <cellStyle name="표준 9 2 2 2 4" xfId="25343"/>
    <cellStyle name="표준 9 2 2 3" xfId="4915"/>
    <cellStyle name="표준 9 2 2 3 2" xfId="6746"/>
    <cellStyle name="표준 9 2 2 3 2 2" xfId="15755"/>
    <cellStyle name="표준 9 2 2 3 2 2 2" xfId="36631"/>
    <cellStyle name="표준 9 2 2 3 2 3" xfId="27893"/>
    <cellStyle name="표준 9 2 2 3 3" xfId="13937"/>
    <cellStyle name="표준 9 2 2 3 3 2" xfId="34813"/>
    <cellStyle name="표준 9 2 2 3 4" xfId="26075"/>
    <cellStyle name="표준 9 2 2 4" xfId="5589"/>
    <cellStyle name="표준 9 2 2 4 2" xfId="14598"/>
    <cellStyle name="표준 9 2 2 4 2 2" xfId="35474"/>
    <cellStyle name="표준 9 2 2 4 3" xfId="26736"/>
    <cellStyle name="표준 9 2 2 5" xfId="7392"/>
    <cellStyle name="표준 9 2 2 5 2" xfId="16399"/>
    <cellStyle name="표준 9 2 2 5 2 2" xfId="37275"/>
    <cellStyle name="표준 9 2 2 5 3" xfId="28537"/>
    <cellStyle name="표준 9 2 2 6" xfId="8036"/>
    <cellStyle name="표준 9 2 2 6 2" xfId="17042"/>
    <cellStyle name="표준 9 2 2 6 2 2" xfId="37918"/>
    <cellStyle name="표준 9 2 2 6 3" xfId="29180"/>
    <cellStyle name="표준 9 2 2 7" xfId="8884"/>
    <cellStyle name="표준 9 2 2 7 2" xfId="17889"/>
    <cellStyle name="표준 9 2 2 7 2 2" xfId="38765"/>
    <cellStyle name="표준 9 2 2 7 3" xfId="30027"/>
    <cellStyle name="표준 9 2 2 8" xfId="9709"/>
    <cellStyle name="표준 9 2 2 8 2" xfId="18707"/>
    <cellStyle name="표준 9 2 2 8 2 2" xfId="39583"/>
    <cellStyle name="표준 9 2 2 8 3" xfId="30845"/>
    <cellStyle name="표준 9 2 2 9" xfId="10153"/>
    <cellStyle name="표준 9 2 3" xfId="3536"/>
    <cellStyle name="표준 9 2 3 10" xfId="12999"/>
    <cellStyle name="표준 9 2 3 10 2" xfId="33876"/>
    <cellStyle name="표준 9 2 3 11" xfId="25126"/>
    <cellStyle name="표준 9 2 3 2" xfId="5138"/>
    <cellStyle name="표준 9 2 3 2 2" xfId="6963"/>
    <cellStyle name="표준 9 2 3 2 2 2" xfId="15972"/>
    <cellStyle name="표준 9 2 3 2 2 2 2" xfId="36848"/>
    <cellStyle name="표준 9 2 3 2 2 3" xfId="28110"/>
    <cellStyle name="표준 9 2 3 2 3" xfId="14154"/>
    <cellStyle name="표준 9 2 3 2 3 2" xfId="35030"/>
    <cellStyle name="표준 9 2 3 2 4" xfId="26292"/>
    <cellStyle name="표준 9 2 3 3" xfId="5809"/>
    <cellStyle name="표준 9 2 3 3 2" xfId="14818"/>
    <cellStyle name="표준 9 2 3 3 2 2" xfId="35694"/>
    <cellStyle name="표준 9 2 3 3 3" xfId="26956"/>
    <cellStyle name="표준 9 2 3 4" xfId="7609"/>
    <cellStyle name="표준 9 2 3 4 2" xfId="16616"/>
    <cellStyle name="표준 9 2 3 4 2 2" xfId="37492"/>
    <cellStyle name="표준 9 2 3 4 3" xfId="28754"/>
    <cellStyle name="표준 9 2 3 5" xfId="8253"/>
    <cellStyle name="표준 9 2 3 5 2" xfId="17259"/>
    <cellStyle name="표준 9 2 3 5 2 2" xfId="38135"/>
    <cellStyle name="표준 9 2 3 5 3" xfId="29397"/>
    <cellStyle name="표준 9 2 3 6" xfId="9101"/>
    <cellStyle name="표준 9 2 3 6 2" xfId="18106"/>
    <cellStyle name="표준 9 2 3 6 2 2" xfId="38982"/>
    <cellStyle name="표준 9 2 3 6 3" xfId="30244"/>
    <cellStyle name="표준 9 2 3 7" xfId="9926"/>
    <cellStyle name="표준 9 2 3 7 2" xfId="18924"/>
    <cellStyle name="표준 9 2 3 7 2 2" xfId="39800"/>
    <cellStyle name="표준 9 2 3 7 3" xfId="31062"/>
    <cellStyle name="표준 9 2 3 8" xfId="10981"/>
    <cellStyle name="표준 9 2 3 8 2" xfId="19752"/>
    <cellStyle name="표준 9 2 3 8 2 2" xfId="40628"/>
    <cellStyle name="표준 9 2 3 8 3" xfId="31892"/>
    <cellStyle name="표준 9 2 3 9" xfId="11847"/>
    <cellStyle name="표준 9 2 3 9 2" xfId="20613"/>
    <cellStyle name="표준 9 2 3 9 2 2" xfId="41489"/>
    <cellStyle name="표준 9 2 3 9 3" xfId="32753"/>
    <cellStyle name="표준 9 2 4" xfId="4695"/>
    <cellStyle name="표준 9 2 4 2" xfId="6529"/>
    <cellStyle name="표준 9 2 4 2 2" xfId="15538"/>
    <cellStyle name="표준 9 2 4 2 2 2" xfId="36414"/>
    <cellStyle name="표준 9 2 4 2 3" xfId="27676"/>
    <cellStyle name="표준 9 2 4 3" xfId="11202"/>
    <cellStyle name="표준 9 2 4 3 2" xfId="19971"/>
    <cellStyle name="표준 9 2 4 3 2 2" xfId="40847"/>
    <cellStyle name="표준 9 2 4 3 3" xfId="32111"/>
    <cellStyle name="표준 9 2 4 4" xfId="12066"/>
    <cellStyle name="표준 9 2 4 4 2" xfId="20832"/>
    <cellStyle name="표준 9 2 4 4 2 2" xfId="41708"/>
    <cellStyle name="표준 9 2 4 4 3" xfId="32972"/>
    <cellStyle name="표준 9 2 4 5" xfId="13720"/>
    <cellStyle name="표준 9 2 4 5 2" xfId="34596"/>
    <cellStyle name="표준 9 2 4 6" xfId="25858"/>
    <cellStyle name="표준 9 2 5" xfId="5372"/>
    <cellStyle name="표준 9 2 5 2" xfId="14381"/>
    <cellStyle name="표준 9 2 5 2 2" xfId="35257"/>
    <cellStyle name="표준 9 2 5 3" xfId="26519"/>
    <cellStyle name="표준 9 2 6" xfId="7174"/>
    <cellStyle name="표준 9 2 6 2" xfId="16182"/>
    <cellStyle name="표준 9 2 6 2 2" xfId="37058"/>
    <cellStyle name="표준 9 2 6 3" xfId="28320"/>
    <cellStyle name="표준 9 2 7" xfId="7819"/>
    <cellStyle name="표준 9 2 7 2" xfId="16825"/>
    <cellStyle name="표준 9 2 7 2 2" xfId="37701"/>
    <cellStyle name="표준 9 2 7 3" xfId="28963"/>
    <cellStyle name="표준 9 2 8" xfId="8667"/>
    <cellStyle name="표준 9 2 8 2" xfId="17672"/>
    <cellStyle name="표준 9 2 8 2 2" xfId="38548"/>
    <cellStyle name="표준 9 2 8 3" xfId="29810"/>
    <cellStyle name="표준 9 2 9" xfId="9199"/>
    <cellStyle name="표준 9 2 9 2" xfId="18203"/>
    <cellStyle name="표준 9 2 9 2 2" xfId="39079"/>
    <cellStyle name="표준 9 2 9 3" xfId="30341"/>
    <cellStyle name="표준 9 20" xfId="12561"/>
    <cellStyle name="표준 9 20 2" xfId="33438"/>
    <cellStyle name="표준 9 21" xfId="24688"/>
    <cellStyle name="표준 9 3" xfId="3093"/>
    <cellStyle name="표준 9 3 10" xfId="9492"/>
    <cellStyle name="표준 9 3 10 2" xfId="18491"/>
    <cellStyle name="표준 9 3 10 2 2" xfId="39367"/>
    <cellStyle name="표준 9 3 10 3" xfId="30629"/>
    <cellStyle name="표준 9 3 11" xfId="10154"/>
    <cellStyle name="표준 9 3 12" xfId="10548"/>
    <cellStyle name="표준 9 3 12 2" xfId="19319"/>
    <cellStyle name="표준 9 3 12 2 2" xfId="40195"/>
    <cellStyle name="표준 9 3 12 3" xfId="31459"/>
    <cellStyle name="표준 9 3 13" xfId="11414"/>
    <cellStyle name="표준 9 3 13 2" xfId="20180"/>
    <cellStyle name="표준 9 3 13 2 2" xfId="41056"/>
    <cellStyle name="표준 9 3 13 3" xfId="32320"/>
    <cellStyle name="표준 9 3 14" xfId="12563"/>
    <cellStyle name="표준 9 3 14 2" xfId="33440"/>
    <cellStyle name="표준 9 3 15" xfId="24690"/>
    <cellStyle name="표준 9 3 2" xfId="3313"/>
    <cellStyle name="표준 9 3 2 10" xfId="10765"/>
    <cellStyle name="표준 9 3 2 10 2" xfId="19536"/>
    <cellStyle name="표준 9 3 2 10 2 2" xfId="40412"/>
    <cellStyle name="표준 9 3 2 10 3" xfId="31676"/>
    <cellStyle name="표준 9 3 2 11" xfId="11631"/>
    <cellStyle name="표준 9 3 2 11 2" xfId="20397"/>
    <cellStyle name="표준 9 3 2 11 2 2" xfId="41273"/>
    <cellStyle name="표준 9 3 2 11 3" xfId="32537"/>
    <cellStyle name="표준 9 3 2 12" xfId="12780"/>
    <cellStyle name="표준 9 3 2 12 2" xfId="33657"/>
    <cellStyle name="표준 9 3 2 13" xfId="24907"/>
    <cellStyle name="표준 9 3 2 2" xfId="3754"/>
    <cellStyle name="표준 9 3 2 2 2" xfId="6027"/>
    <cellStyle name="표준 9 3 2 2 2 2" xfId="15036"/>
    <cellStyle name="표준 9 3 2 2 2 2 2" xfId="35912"/>
    <cellStyle name="표준 9 3 2 2 2 3" xfId="27174"/>
    <cellStyle name="표준 9 3 2 2 3" xfId="13217"/>
    <cellStyle name="표준 9 3 2 2 3 2" xfId="34094"/>
    <cellStyle name="표준 9 3 2 2 4" xfId="25344"/>
    <cellStyle name="표준 9 3 2 3" xfId="4916"/>
    <cellStyle name="표준 9 3 2 3 2" xfId="6747"/>
    <cellStyle name="표준 9 3 2 3 2 2" xfId="15756"/>
    <cellStyle name="표준 9 3 2 3 2 2 2" xfId="36632"/>
    <cellStyle name="표준 9 3 2 3 2 3" xfId="27894"/>
    <cellStyle name="표준 9 3 2 3 3" xfId="13938"/>
    <cellStyle name="표준 9 3 2 3 3 2" xfId="34814"/>
    <cellStyle name="표준 9 3 2 3 4" xfId="26076"/>
    <cellStyle name="표준 9 3 2 4" xfId="5590"/>
    <cellStyle name="표준 9 3 2 4 2" xfId="14599"/>
    <cellStyle name="표준 9 3 2 4 2 2" xfId="35475"/>
    <cellStyle name="표준 9 3 2 4 3" xfId="26737"/>
    <cellStyle name="표준 9 3 2 5" xfId="7393"/>
    <cellStyle name="표준 9 3 2 5 2" xfId="16400"/>
    <cellStyle name="표준 9 3 2 5 2 2" xfId="37276"/>
    <cellStyle name="표준 9 3 2 5 3" xfId="28538"/>
    <cellStyle name="표준 9 3 2 6" xfId="8037"/>
    <cellStyle name="표준 9 3 2 6 2" xfId="17043"/>
    <cellStyle name="표준 9 3 2 6 2 2" xfId="37919"/>
    <cellStyle name="표준 9 3 2 6 3" xfId="29181"/>
    <cellStyle name="표준 9 3 2 7" xfId="8885"/>
    <cellStyle name="표준 9 3 2 7 2" xfId="17890"/>
    <cellStyle name="표준 9 3 2 7 2 2" xfId="38766"/>
    <cellStyle name="표준 9 3 2 7 3" xfId="30028"/>
    <cellStyle name="표준 9 3 2 8" xfId="9710"/>
    <cellStyle name="표준 9 3 2 8 2" xfId="18708"/>
    <cellStyle name="표준 9 3 2 8 2 2" xfId="39584"/>
    <cellStyle name="표준 9 3 2 8 3" xfId="30846"/>
    <cellStyle name="표준 9 3 2 9" xfId="10155"/>
    <cellStyle name="표준 9 3 3" xfId="3537"/>
    <cellStyle name="표준 9 3 3 10" xfId="13000"/>
    <cellStyle name="표준 9 3 3 10 2" xfId="33877"/>
    <cellStyle name="표준 9 3 3 11" xfId="25127"/>
    <cellStyle name="표준 9 3 3 2" xfId="5139"/>
    <cellStyle name="표준 9 3 3 2 2" xfId="6964"/>
    <cellStyle name="표준 9 3 3 2 2 2" xfId="15973"/>
    <cellStyle name="표준 9 3 3 2 2 2 2" xfId="36849"/>
    <cellStyle name="표준 9 3 3 2 2 3" xfId="28111"/>
    <cellStyle name="표준 9 3 3 2 3" xfId="14155"/>
    <cellStyle name="표준 9 3 3 2 3 2" xfId="35031"/>
    <cellStyle name="표준 9 3 3 2 4" xfId="26293"/>
    <cellStyle name="표준 9 3 3 3" xfId="5810"/>
    <cellStyle name="표준 9 3 3 3 2" xfId="14819"/>
    <cellStyle name="표준 9 3 3 3 2 2" xfId="35695"/>
    <cellStyle name="표준 9 3 3 3 3" xfId="26957"/>
    <cellStyle name="표준 9 3 3 4" xfId="7610"/>
    <cellStyle name="표준 9 3 3 4 2" xfId="16617"/>
    <cellStyle name="표준 9 3 3 4 2 2" xfId="37493"/>
    <cellStyle name="표준 9 3 3 4 3" xfId="28755"/>
    <cellStyle name="표준 9 3 3 5" xfId="8254"/>
    <cellStyle name="표준 9 3 3 5 2" xfId="17260"/>
    <cellStyle name="표준 9 3 3 5 2 2" xfId="38136"/>
    <cellStyle name="표준 9 3 3 5 3" xfId="29398"/>
    <cellStyle name="표준 9 3 3 6" xfId="9102"/>
    <cellStyle name="표준 9 3 3 6 2" xfId="18107"/>
    <cellStyle name="표준 9 3 3 6 2 2" xfId="38983"/>
    <cellStyle name="표준 9 3 3 6 3" xfId="30245"/>
    <cellStyle name="표준 9 3 3 7" xfId="9927"/>
    <cellStyle name="표준 9 3 3 7 2" xfId="18925"/>
    <cellStyle name="표준 9 3 3 7 2 2" xfId="39801"/>
    <cellStyle name="표준 9 3 3 7 3" xfId="31063"/>
    <cellStyle name="표준 9 3 3 8" xfId="10982"/>
    <cellStyle name="표준 9 3 3 8 2" xfId="19753"/>
    <cellStyle name="표준 9 3 3 8 2 2" xfId="40629"/>
    <cellStyle name="표준 9 3 3 8 3" xfId="31893"/>
    <cellStyle name="표준 9 3 3 9" xfId="11848"/>
    <cellStyle name="표준 9 3 3 9 2" xfId="20614"/>
    <cellStyle name="표준 9 3 3 9 2 2" xfId="41490"/>
    <cellStyle name="표준 9 3 3 9 3" xfId="32754"/>
    <cellStyle name="표준 9 3 4" xfId="4696"/>
    <cellStyle name="표준 9 3 4 2" xfId="6530"/>
    <cellStyle name="표준 9 3 4 2 2" xfId="15539"/>
    <cellStyle name="표준 9 3 4 2 2 2" xfId="36415"/>
    <cellStyle name="표준 9 3 4 2 3" xfId="27677"/>
    <cellStyle name="표준 9 3 4 3" xfId="11203"/>
    <cellStyle name="표준 9 3 4 3 2" xfId="19972"/>
    <cellStyle name="표준 9 3 4 3 2 2" xfId="40848"/>
    <cellStyle name="표준 9 3 4 3 3" xfId="32112"/>
    <cellStyle name="표준 9 3 4 4" xfId="12067"/>
    <cellStyle name="표준 9 3 4 4 2" xfId="20833"/>
    <cellStyle name="표준 9 3 4 4 2 2" xfId="41709"/>
    <cellStyle name="표준 9 3 4 4 3" xfId="32973"/>
    <cellStyle name="표준 9 3 4 5" xfId="13721"/>
    <cellStyle name="표준 9 3 4 5 2" xfId="34597"/>
    <cellStyle name="표준 9 3 4 6" xfId="25859"/>
    <cellStyle name="표준 9 3 5" xfId="5373"/>
    <cellStyle name="표준 9 3 5 2" xfId="14382"/>
    <cellStyle name="표준 9 3 5 2 2" xfId="35258"/>
    <cellStyle name="표준 9 3 5 3" xfId="26520"/>
    <cellStyle name="표준 9 3 6" xfId="7175"/>
    <cellStyle name="표준 9 3 6 2" xfId="16183"/>
    <cellStyle name="표준 9 3 6 2 2" xfId="37059"/>
    <cellStyle name="표준 9 3 6 3" xfId="28321"/>
    <cellStyle name="표준 9 3 7" xfId="7820"/>
    <cellStyle name="표준 9 3 7 2" xfId="16826"/>
    <cellStyle name="표준 9 3 7 2 2" xfId="37702"/>
    <cellStyle name="표준 9 3 7 3" xfId="28964"/>
    <cellStyle name="표준 9 3 8" xfId="8668"/>
    <cellStyle name="표준 9 3 8 2" xfId="17673"/>
    <cellStyle name="표준 9 3 8 2 2" xfId="38549"/>
    <cellStyle name="표준 9 3 8 3" xfId="29811"/>
    <cellStyle name="표준 9 3 9" xfId="9200"/>
    <cellStyle name="표준 9 3 9 2" xfId="18204"/>
    <cellStyle name="표준 9 3 9 2 2" xfId="39080"/>
    <cellStyle name="표준 9 3 9 3" xfId="30342"/>
    <cellStyle name="표준 9 4" xfId="3094"/>
    <cellStyle name="표준 9 4 10" xfId="9493"/>
    <cellStyle name="표준 9 4 10 2" xfId="18492"/>
    <cellStyle name="표준 9 4 10 2 2" xfId="39368"/>
    <cellStyle name="표준 9 4 10 3" xfId="30630"/>
    <cellStyle name="표준 9 4 11" xfId="10156"/>
    <cellStyle name="표준 9 4 12" xfId="10549"/>
    <cellStyle name="표준 9 4 12 2" xfId="19320"/>
    <cellStyle name="표준 9 4 12 2 2" xfId="40196"/>
    <cellStyle name="표준 9 4 12 3" xfId="31460"/>
    <cellStyle name="표준 9 4 13" xfId="11415"/>
    <cellStyle name="표준 9 4 13 2" xfId="20181"/>
    <cellStyle name="표준 9 4 13 2 2" xfId="41057"/>
    <cellStyle name="표준 9 4 13 3" xfId="32321"/>
    <cellStyle name="표준 9 4 14" xfId="12564"/>
    <cellStyle name="표준 9 4 14 2" xfId="33441"/>
    <cellStyle name="표준 9 4 15" xfId="24691"/>
    <cellStyle name="표준 9 4 2" xfId="3314"/>
    <cellStyle name="표준 9 4 2 10" xfId="10766"/>
    <cellStyle name="표준 9 4 2 10 2" xfId="19537"/>
    <cellStyle name="표준 9 4 2 10 2 2" xfId="40413"/>
    <cellStyle name="표준 9 4 2 10 3" xfId="31677"/>
    <cellStyle name="표준 9 4 2 11" xfId="11632"/>
    <cellStyle name="표준 9 4 2 11 2" xfId="20398"/>
    <cellStyle name="표준 9 4 2 11 2 2" xfId="41274"/>
    <cellStyle name="표준 9 4 2 11 3" xfId="32538"/>
    <cellStyle name="표준 9 4 2 12" xfId="12781"/>
    <cellStyle name="표준 9 4 2 12 2" xfId="33658"/>
    <cellStyle name="표준 9 4 2 13" xfId="24908"/>
    <cellStyle name="표준 9 4 2 2" xfId="3755"/>
    <cellStyle name="표준 9 4 2 2 2" xfId="6028"/>
    <cellStyle name="표준 9 4 2 2 2 2" xfId="15037"/>
    <cellStyle name="표준 9 4 2 2 2 2 2" xfId="35913"/>
    <cellStyle name="표준 9 4 2 2 2 3" xfId="27175"/>
    <cellStyle name="표준 9 4 2 2 3" xfId="13218"/>
    <cellStyle name="표준 9 4 2 2 3 2" xfId="34095"/>
    <cellStyle name="표준 9 4 2 2 4" xfId="25345"/>
    <cellStyle name="표준 9 4 2 3" xfId="4917"/>
    <cellStyle name="표준 9 4 2 3 2" xfId="6748"/>
    <cellStyle name="표준 9 4 2 3 2 2" xfId="15757"/>
    <cellStyle name="표준 9 4 2 3 2 2 2" xfId="36633"/>
    <cellStyle name="표준 9 4 2 3 2 3" xfId="27895"/>
    <cellStyle name="표준 9 4 2 3 3" xfId="13939"/>
    <cellStyle name="표준 9 4 2 3 3 2" xfId="34815"/>
    <cellStyle name="표준 9 4 2 3 4" xfId="26077"/>
    <cellStyle name="표준 9 4 2 4" xfId="5591"/>
    <cellStyle name="표준 9 4 2 4 2" xfId="14600"/>
    <cellStyle name="표준 9 4 2 4 2 2" xfId="35476"/>
    <cellStyle name="표준 9 4 2 4 3" xfId="26738"/>
    <cellStyle name="표준 9 4 2 5" xfId="7394"/>
    <cellStyle name="표준 9 4 2 5 2" xfId="16401"/>
    <cellStyle name="표준 9 4 2 5 2 2" xfId="37277"/>
    <cellStyle name="표준 9 4 2 5 3" xfId="28539"/>
    <cellStyle name="표준 9 4 2 6" xfId="8038"/>
    <cellStyle name="표준 9 4 2 6 2" xfId="17044"/>
    <cellStyle name="표준 9 4 2 6 2 2" xfId="37920"/>
    <cellStyle name="표준 9 4 2 6 3" xfId="29182"/>
    <cellStyle name="표준 9 4 2 7" xfId="8886"/>
    <cellStyle name="표준 9 4 2 7 2" xfId="17891"/>
    <cellStyle name="표준 9 4 2 7 2 2" xfId="38767"/>
    <cellStyle name="표준 9 4 2 7 3" xfId="30029"/>
    <cellStyle name="표준 9 4 2 8" xfId="9711"/>
    <cellStyle name="표준 9 4 2 8 2" xfId="18709"/>
    <cellStyle name="표준 9 4 2 8 2 2" xfId="39585"/>
    <cellStyle name="표준 9 4 2 8 3" xfId="30847"/>
    <cellStyle name="표준 9 4 2 9" xfId="10157"/>
    <cellStyle name="표준 9 4 3" xfId="3538"/>
    <cellStyle name="표준 9 4 3 10" xfId="13001"/>
    <cellStyle name="표준 9 4 3 10 2" xfId="33878"/>
    <cellStyle name="표준 9 4 3 11" xfId="25128"/>
    <cellStyle name="표준 9 4 3 2" xfId="5140"/>
    <cellStyle name="표준 9 4 3 2 2" xfId="6965"/>
    <cellStyle name="표준 9 4 3 2 2 2" xfId="15974"/>
    <cellStyle name="표준 9 4 3 2 2 2 2" xfId="36850"/>
    <cellStyle name="표준 9 4 3 2 2 3" xfId="28112"/>
    <cellStyle name="표준 9 4 3 2 3" xfId="14156"/>
    <cellStyle name="표준 9 4 3 2 3 2" xfId="35032"/>
    <cellStyle name="표준 9 4 3 2 4" xfId="26294"/>
    <cellStyle name="표준 9 4 3 3" xfId="5811"/>
    <cellStyle name="표준 9 4 3 3 2" xfId="14820"/>
    <cellStyle name="표준 9 4 3 3 2 2" xfId="35696"/>
    <cellStyle name="표준 9 4 3 3 3" xfId="26958"/>
    <cellStyle name="표준 9 4 3 4" xfId="7611"/>
    <cellStyle name="표준 9 4 3 4 2" xfId="16618"/>
    <cellStyle name="표준 9 4 3 4 2 2" xfId="37494"/>
    <cellStyle name="표준 9 4 3 4 3" xfId="28756"/>
    <cellStyle name="표준 9 4 3 5" xfId="8255"/>
    <cellStyle name="표준 9 4 3 5 2" xfId="17261"/>
    <cellStyle name="표준 9 4 3 5 2 2" xfId="38137"/>
    <cellStyle name="표준 9 4 3 5 3" xfId="29399"/>
    <cellStyle name="표준 9 4 3 6" xfId="9103"/>
    <cellStyle name="표준 9 4 3 6 2" xfId="18108"/>
    <cellStyle name="표준 9 4 3 6 2 2" xfId="38984"/>
    <cellStyle name="표준 9 4 3 6 3" xfId="30246"/>
    <cellStyle name="표준 9 4 3 7" xfId="9928"/>
    <cellStyle name="표준 9 4 3 7 2" xfId="18926"/>
    <cellStyle name="표준 9 4 3 7 2 2" xfId="39802"/>
    <cellStyle name="표준 9 4 3 7 3" xfId="31064"/>
    <cellStyle name="표준 9 4 3 8" xfId="10983"/>
    <cellStyle name="표준 9 4 3 8 2" xfId="19754"/>
    <cellStyle name="표준 9 4 3 8 2 2" xfId="40630"/>
    <cellStyle name="표준 9 4 3 8 3" xfId="31894"/>
    <cellStyle name="표준 9 4 3 9" xfId="11849"/>
    <cellStyle name="표준 9 4 3 9 2" xfId="20615"/>
    <cellStyle name="표준 9 4 3 9 2 2" xfId="41491"/>
    <cellStyle name="표준 9 4 3 9 3" xfId="32755"/>
    <cellStyle name="표준 9 4 4" xfId="4697"/>
    <cellStyle name="표준 9 4 4 2" xfId="6531"/>
    <cellStyle name="표준 9 4 4 2 2" xfId="15540"/>
    <cellStyle name="표준 9 4 4 2 2 2" xfId="36416"/>
    <cellStyle name="표준 9 4 4 2 3" xfId="27678"/>
    <cellStyle name="표준 9 4 4 3" xfId="11204"/>
    <cellStyle name="표준 9 4 4 3 2" xfId="19973"/>
    <cellStyle name="표준 9 4 4 3 2 2" xfId="40849"/>
    <cellStyle name="표준 9 4 4 3 3" xfId="32113"/>
    <cellStyle name="표준 9 4 4 4" xfId="12068"/>
    <cellStyle name="표준 9 4 4 4 2" xfId="20834"/>
    <cellStyle name="표준 9 4 4 4 2 2" xfId="41710"/>
    <cellStyle name="표준 9 4 4 4 3" xfId="32974"/>
    <cellStyle name="표준 9 4 4 5" xfId="13722"/>
    <cellStyle name="표준 9 4 4 5 2" xfId="34598"/>
    <cellStyle name="표준 9 4 4 6" xfId="25860"/>
    <cellStyle name="표준 9 4 5" xfId="5374"/>
    <cellStyle name="표준 9 4 5 2" xfId="14383"/>
    <cellStyle name="표준 9 4 5 2 2" xfId="35259"/>
    <cellStyle name="표준 9 4 5 3" xfId="26521"/>
    <cellStyle name="표준 9 4 6" xfId="7176"/>
    <cellStyle name="표준 9 4 6 2" xfId="16184"/>
    <cellStyle name="표준 9 4 6 2 2" xfId="37060"/>
    <cellStyle name="표준 9 4 6 3" xfId="28322"/>
    <cellStyle name="표준 9 4 7" xfId="7821"/>
    <cellStyle name="표준 9 4 7 2" xfId="16827"/>
    <cellStyle name="표준 9 4 7 2 2" xfId="37703"/>
    <cellStyle name="표준 9 4 7 3" xfId="28965"/>
    <cellStyle name="표준 9 4 8" xfId="8669"/>
    <cellStyle name="표준 9 4 8 2" xfId="17674"/>
    <cellStyle name="표준 9 4 8 2 2" xfId="38550"/>
    <cellStyle name="표준 9 4 8 3" xfId="29812"/>
    <cellStyle name="표준 9 4 9" xfId="9201"/>
    <cellStyle name="표준 9 4 9 2" xfId="18205"/>
    <cellStyle name="표준 9 4 9 2 2" xfId="39081"/>
    <cellStyle name="표준 9 4 9 3" xfId="30343"/>
    <cellStyle name="표준 9 5" xfId="3095"/>
    <cellStyle name="표준 9 5 10" xfId="10158"/>
    <cellStyle name="표준 9 5 11" xfId="10550"/>
    <cellStyle name="표준 9 5 11 2" xfId="19321"/>
    <cellStyle name="표준 9 5 11 2 2" xfId="40197"/>
    <cellStyle name="표준 9 5 11 3" xfId="31461"/>
    <cellStyle name="표준 9 5 12" xfId="11416"/>
    <cellStyle name="표준 9 5 12 2" xfId="20182"/>
    <cellStyle name="표준 9 5 12 2 2" xfId="41058"/>
    <cellStyle name="표준 9 5 12 3" xfId="32322"/>
    <cellStyle name="표준 9 5 13" xfId="12565"/>
    <cellStyle name="표준 9 5 13 2" xfId="33442"/>
    <cellStyle name="표준 9 5 14" xfId="24692"/>
    <cellStyle name="표준 9 5 2" xfId="3315"/>
    <cellStyle name="표준 9 5 2 10" xfId="11633"/>
    <cellStyle name="표준 9 5 2 10 2" xfId="20399"/>
    <cellStyle name="표준 9 5 2 10 2 2" xfId="41275"/>
    <cellStyle name="표준 9 5 2 10 3" xfId="32539"/>
    <cellStyle name="표준 9 5 2 11" xfId="12782"/>
    <cellStyle name="표준 9 5 2 11 2" xfId="33659"/>
    <cellStyle name="표준 9 5 2 12" xfId="24909"/>
    <cellStyle name="표준 9 5 2 2" xfId="3756"/>
    <cellStyle name="표준 9 5 2 2 2" xfId="6029"/>
    <cellStyle name="표준 9 5 2 2 2 2" xfId="15038"/>
    <cellStyle name="표준 9 5 2 2 2 2 2" xfId="35914"/>
    <cellStyle name="표준 9 5 2 2 2 3" xfId="27176"/>
    <cellStyle name="표준 9 5 2 2 3" xfId="13219"/>
    <cellStyle name="표준 9 5 2 2 3 2" xfId="34096"/>
    <cellStyle name="표준 9 5 2 2 4" xfId="25346"/>
    <cellStyle name="표준 9 5 2 3" xfId="4918"/>
    <cellStyle name="표준 9 5 2 3 2" xfId="6749"/>
    <cellStyle name="표준 9 5 2 3 2 2" xfId="15758"/>
    <cellStyle name="표준 9 5 2 3 2 2 2" xfId="36634"/>
    <cellStyle name="표준 9 5 2 3 2 3" xfId="27896"/>
    <cellStyle name="표준 9 5 2 3 3" xfId="13940"/>
    <cellStyle name="표준 9 5 2 3 3 2" xfId="34816"/>
    <cellStyle name="표준 9 5 2 3 4" xfId="26078"/>
    <cellStyle name="표준 9 5 2 4" xfId="5592"/>
    <cellStyle name="표준 9 5 2 4 2" xfId="14601"/>
    <cellStyle name="표준 9 5 2 4 2 2" xfId="35477"/>
    <cellStyle name="표준 9 5 2 4 3" xfId="26739"/>
    <cellStyle name="표준 9 5 2 5" xfId="7395"/>
    <cellStyle name="표준 9 5 2 5 2" xfId="16402"/>
    <cellStyle name="표준 9 5 2 5 2 2" xfId="37278"/>
    <cellStyle name="표준 9 5 2 5 3" xfId="28540"/>
    <cellStyle name="표준 9 5 2 6" xfId="8039"/>
    <cellStyle name="표준 9 5 2 6 2" xfId="17045"/>
    <cellStyle name="표준 9 5 2 6 2 2" xfId="37921"/>
    <cellStyle name="표준 9 5 2 6 3" xfId="29183"/>
    <cellStyle name="표준 9 5 2 7" xfId="8887"/>
    <cellStyle name="표준 9 5 2 7 2" xfId="17892"/>
    <cellStyle name="표준 9 5 2 7 2 2" xfId="38768"/>
    <cellStyle name="표준 9 5 2 7 3" xfId="30030"/>
    <cellStyle name="표준 9 5 2 8" xfId="9712"/>
    <cellStyle name="표준 9 5 2 8 2" xfId="18710"/>
    <cellStyle name="표준 9 5 2 8 2 2" xfId="39586"/>
    <cellStyle name="표준 9 5 2 8 3" xfId="30848"/>
    <cellStyle name="표준 9 5 2 9" xfId="10767"/>
    <cellStyle name="표준 9 5 2 9 2" xfId="19538"/>
    <cellStyle name="표준 9 5 2 9 2 2" xfId="40414"/>
    <cellStyle name="표준 9 5 2 9 3" xfId="31678"/>
    <cellStyle name="표준 9 5 3" xfId="3539"/>
    <cellStyle name="표준 9 5 3 10" xfId="13002"/>
    <cellStyle name="표준 9 5 3 10 2" xfId="33879"/>
    <cellStyle name="표준 9 5 3 11" xfId="25129"/>
    <cellStyle name="표준 9 5 3 2" xfId="5141"/>
    <cellStyle name="표준 9 5 3 2 2" xfId="6966"/>
    <cellStyle name="표준 9 5 3 2 2 2" xfId="15975"/>
    <cellStyle name="표준 9 5 3 2 2 2 2" xfId="36851"/>
    <cellStyle name="표준 9 5 3 2 2 3" xfId="28113"/>
    <cellStyle name="표준 9 5 3 2 3" xfId="14157"/>
    <cellStyle name="표준 9 5 3 2 3 2" xfId="35033"/>
    <cellStyle name="표준 9 5 3 2 4" xfId="26295"/>
    <cellStyle name="표준 9 5 3 3" xfId="5812"/>
    <cellStyle name="표준 9 5 3 3 2" xfId="14821"/>
    <cellStyle name="표준 9 5 3 3 2 2" xfId="35697"/>
    <cellStyle name="표준 9 5 3 3 3" xfId="26959"/>
    <cellStyle name="표준 9 5 3 4" xfId="7612"/>
    <cellStyle name="표준 9 5 3 4 2" xfId="16619"/>
    <cellStyle name="표준 9 5 3 4 2 2" xfId="37495"/>
    <cellStyle name="표준 9 5 3 4 3" xfId="28757"/>
    <cellStyle name="표준 9 5 3 5" xfId="8256"/>
    <cellStyle name="표준 9 5 3 5 2" xfId="17262"/>
    <cellStyle name="표준 9 5 3 5 2 2" xfId="38138"/>
    <cellStyle name="표준 9 5 3 5 3" xfId="29400"/>
    <cellStyle name="표준 9 5 3 6" xfId="9104"/>
    <cellStyle name="표준 9 5 3 6 2" xfId="18109"/>
    <cellStyle name="표준 9 5 3 6 2 2" xfId="38985"/>
    <cellStyle name="표준 9 5 3 6 3" xfId="30247"/>
    <cellStyle name="표준 9 5 3 7" xfId="9929"/>
    <cellStyle name="표준 9 5 3 7 2" xfId="18927"/>
    <cellStyle name="표준 9 5 3 7 2 2" xfId="39803"/>
    <cellStyle name="표준 9 5 3 7 3" xfId="31065"/>
    <cellStyle name="표준 9 5 3 8" xfId="10984"/>
    <cellStyle name="표준 9 5 3 8 2" xfId="19755"/>
    <cellStyle name="표준 9 5 3 8 2 2" xfId="40631"/>
    <cellStyle name="표준 9 5 3 8 3" xfId="31895"/>
    <cellStyle name="표준 9 5 3 9" xfId="11850"/>
    <cellStyle name="표준 9 5 3 9 2" xfId="20616"/>
    <cellStyle name="표준 9 5 3 9 2 2" xfId="41492"/>
    <cellStyle name="표준 9 5 3 9 3" xfId="32756"/>
    <cellStyle name="표준 9 5 4" xfId="4698"/>
    <cellStyle name="표준 9 5 4 2" xfId="6532"/>
    <cellStyle name="표준 9 5 4 2 2" xfId="15541"/>
    <cellStyle name="표준 9 5 4 2 2 2" xfId="36417"/>
    <cellStyle name="표준 9 5 4 2 3" xfId="27679"/>
    <cellStyle name="표준 9 5 4 3" xfId="11205"/>
    <cellStyle name="표준 9 5 4 3 2" xfId="19974"/>
    <cellStyle name="표준 9 5 4 3 2 2" xfId="40850"/>
    <cellStyle name="표준 9 5 4 3 3" xfId="32114"/>
    <cellStyle name="표준 9 5 4 4" xfId="12069"/>
    <cellStyle name="표준 9 5 4 4 2" xfId="20835"/>
    <cellStyle name="표준 9 5 4 4 2 2" xfId="41711"/>
    <cellStyle name="표준 9 5 4 4 3" xfId="32975"/>
    <cellStyle name="표준 9 5 4 5" xfId="13723"/>
    <cellStyle name="표준 9 5 4 5 2" xfId="34599"/>
    <cellStyle name="표준 9 5 4 6" xfId="25861"/>
    <cellStyle name="표준 9 5 5" xfId="5375"/>
    <cellStyle name="표준 9 5 5 2" xfId="14384"/>
    <cellStyle name="표준 9 5 5 2 2" xfId="35260"/>
    <cellStyle name="표준 9 5 5 3" xfId="26522"/>
    <cellStyle name="표준 9 5 6" xfId="7177"/>
    <cellStyle name="표준 9 5 6 2" xfId="16185"/>
    <cellStyle name="표준 9 5 6 2 2" xfId="37061"/>
    <cellStyle name="표준 9 5 6 3" xfId="28323"/>
    <cellStyle name="표준 9 5 7" xfId="7822"/>
    <cellStyle name="표준 9 5 7 2" xfId="16828"/>
    <cellStyle name="표준 9 5 7 2 2" xfId="37704"/>
    <cellStyle name="표준 9 5 7 3" xfId="28966"/>
    <cellStyle name="표준 9 5 8" xfId="8670"/>
    <cellStyle name="표준 9 5 8 2" xfId="17675"/>
    <cellStyle name="표준 9 5 8 2 2" xfId="38551"/>
    <cellStyle name="표준 9 5 8 3" xfId="29813"/>
    <cellStyle name="표준 9 5 9" xfId="9494"/>
    <cellStyle name="표준 9 5 9 2" xfId="18493"/>
    <cellStyle name="표준 9 5 9 2 2" xfId="39369"/>
    <cellStyle name="표준 9 5 9 3" xfId="30631"/>
    <cellStyle name="표준 9 6" xfId="3096"/>
    <cellStyle name="표준 9 6 10" xfId="10551"/>
    <cellStyle name="표준 9 6 10 2" xfId="19322"/>
    <cellStyle name="표준 9 6 10 2 2" xfId="40198"/>
    <cellStyle name="표준 9 6 10 3" xfId="31462"/>
    <cellStyle name="표준 9 6 11" xfId="11417"/>
    <cellStyle name="표준 9 6 11 2" xfId="20183"/>
    <cellStyle name="표준 9 6 11 2 2" xfId="41059"/>
    <cellStyle name="표준 9 6 11 3" xfId="32323"/>
    <cellStyle name="표준 9 6 12" xfId="12566"/>
    <cellStyle name="표준 9 6 12 2" xfId="33443"/>
    <cellStyle name="표준 9 6 13" xfId="24693"/>
    <cellStyle name="표준 9 6 2" xfId="3316"/>
    <cellStyle name="표준 9 6 2 10" xfId="11634"/>
    <cellStyle name="표준 9 6 2 10 2" xfId="20400"/>
    <cellStyle name="표준 9 6 2 10 2 2" xfId="41276"/>
    <cellStyle name="표준 9 6 2 10 3" xfId="32540"/>
    <cellStyle name="표준 9 6 2 11" xfId="12783"/>
    <cellStyle name="표준 9 6 2 11 2" xfId="33660"/>
    <cellStyle name="표준 9 6 2 12" xfId="24910"/>
    <cellStyle name="표준 9 6 2 2" xfId="3757"/>
    <cellStyle name="표준 9 6 2 2 2" xfId="6030"/>
    <cellStyle name="표준 9 6 2 2 2 2" xfId="15039"/>
    <cellStyle name="표준 9 6 2 2 2 2 2" xfId="35915"/>
    <cellStyle name="표준 9 6 2 2 2 3" xfId="27177"/>
    <cellStyle name="표준 9 6 2 2 3" xfId="13220"/>
    <cellStyle name="표준 9 6 2 2 3 2" xfId="34097"/>
    <cellStyle name="표준 9 6 2 2 4" xfId="25347"/>
    <cellStyle name="표준 9 6 2 3" xfId="4919"/>
    <cellStyle name="표준 9 6 2 3 2" xfId="6750"/>
    <cellStyle name="표준 9 6 2 3 2 2" xfId="15759"/>
    <cellStyle name="표준 9 6 2 3 2 2 2" xfId="36635"/>
    <cellStyle name="표준 9 6 2 3 2 3" xfId="27897"/>
    <cellStyle name="표준 9 6 2 3 3" xfId="13941"/>
    <cellStyle name="표준 9 6 2 3 3 2" xfId="34817"/>
    <cellStyle name="표준 9 6 2 3 4" xfId="26079"/>
    <cellStyle name="표준 9 6 2 4" xfId="5593"/>
    <cellStyle name="표준 9 6 2 4 2" xfId="14602"/>
    <cellStyle name="표준 9 6 2 4 2 2" xfId="35478"/>
    <cellStyle name="표준 9 6 2 4 3" xfId="26740"/>
    <cellStyle name="표준 9 6 2 5" xfId="7396"/>
    <cellStyle name="표준 9 6 2 5 2" xfId="16403"/>
    <cellStyle name="표준 9 6 2 5 2 2" xfId="37279"/>
    <cellStyle name="표준 9 6 2 5 3" xfId="28541"/>
    <cellStyle name="표준 9 6 2 6" xfId="8040"/>
    <cellStyle name="표준 9 6 2 6 2" xfId="17046"/>
    <cellStyle name="표준 9 6 2 6 2 2" xfId="37922"/>
    <cellStyle name="표준 9 6 2 6 3" xfId="29184"/>
    <cellStyle name="표준 9 6 2 7" xfId="8888"/>
    <cellStyle name="표준 9 6 2 7 2" xfId="17893"/>
    <cellStyle name="표준 9 6 2 7 2 2" xfId="38769"/>
    <cellStyle name="표준 9 6 2 7 3" xfId="30031"/>
    <cellStyle name="표준 9 6 2 8" xfId="9713"/>
    <cellStyle name="표준 9 6 2 8 2" xfId="18711"/>
    <cellStyle name="표준 9 6 2 8 2 2" xfId="39587"/>
    <cellStyle name="표준 9 6 2 8 3" xfId="30849"/>
    <cellStyle name="표준 9 6 2 9" xfId="10768"/>
    <cellStyle name="표준 9 6 2 9 2" xfId="19539"/>
    <cellStyle name="표준 9 6 2 9 2 2" xfId="40415"/>
    <cellStyle name="표준 9 6 2 9 3" xfId="31679"/>
    <cellStyle name="표준 9 6 3" xfId="3540"/>
    <cellStyle name="표준 9 6 3 10" xfId="13003"/>
    <cellStyle name="표준 9 6 3 10 2" xfId="33880"/>
    <cellStyle name="표준 9 6 3 11" xfId="25130"/>
    <cellStyle name="표준 9 6 3 2" xfId="5142"/>
    <cellStyle name="표준 9 6 3 2 2" xfId="6967"/>
    <cellStyle name="표준 9 6 3 2 2 2" xfId="15976"/>
    <cellStyle name="표준 9 6 3 2 2 2 2" xfId="36852"/>
    <cellStyle name="표준 9 6 3 2 2 3" xfId="28114"/>
    <cellStyle name="표준 9 6 3 2 3" xfId="14158"/>
    <cellStyle name="표준 9 6 3 2 3 2" xfId="35034"/>
    <cellStyle name="표준 9 6 3 2 4" xfId="26296"/>
    <cellStyle name="표준 9 6 3 3" xfId="5813"/>
    <cellStyle name="표준 9 6 3 3 2" xfId="14822"/>
    <cellStyle name="표준 9 6 3 3 2 2" xfId="35698"/>
    <cellStyle name="표준 9 6 3 3 3" xfId="26960"/>
    <cellStyle name="표준 9 6 3 4" xfId="7613"/>
    <cellStyle name="표준 9 6 3 4 2" xfId="16620"/>
    <cellStyle name="표준 9 6 3 4 2 2" xfId="37496"/>
    <cellStyle name="표준 9 6 3 4 3" xfId="28758"/>
    <cellStyle name="표준 9 6 3 5" xfId="8257"/>
    <cellStyle name="표준 9 6 3 5 2" xfId="17263"/>
    <cellStyle name="표준 9 6 3 5 2 2" xfId="38139"/>
    <cellStyle name="표준 9 6 3 5 3" xfId="29401"/>
    <cellStyle name="표준 9 6 3 6" xfId="9105"/>
    <cellStyle name="표준 9 6 3 6 2" xfId="18110"/>
    <cellStyle name="표준 9 6 3 6 2 2" xfId="38986"/>
    <cellStyle name="표준 9 6 3 6 3" xfId="30248"/>
    <cellStyle name="표준 9 6 3 7" xfId="9930"/>
    <cellStyle name="표준 9 6 3 7 2" xfId="18928"/>
    <cellStyle name="표준 9 6 3 7 2 2" xfId="39804"/>
    <cellStyle name="표준 9 6 3 7 3" xfId="31066"/>
    <cellStyle name="표준 9 6 3 8" xfId="10985"/>
    <cellStyle name="표준 9 6 3 8 2" xfId="19756"/>
    <cellStyle name="표준 9 6 3 8 2 2" xfId="40632"/>
    <cellStyle name="표준 9 6 3 8 3" xfId="31896"/>
    <cellStyle name="표준 9 6 3 9" xfId="11851"/>
    <cellStyle name="표준 9 6 3 9 2" xfId="20617"/>
    <cellStyle name="표준 9 6 3 9 2 2" xfId="41493"/>
    <cellStyle name="표준 9 6 3 9 3" xfId="32757"/>
    <cellStyle name="표준 9 6 4" xfId="4699"/>
    <cellStyle name="표준 9 6 4 2" xfId="6533"/>
    <cellStyle name="표준 9 6 4 2 2" xfId="15542"/>
    <cellStyle name="표준 9 6 4 2 2 2" xfId="36418"/>
    <cellStyle name="표준 9 6 4 2 3" xfId="27680"/>
    <cellStyle name="표준 9 6 4 3" xfId="11206"/>
    <cellStyle name="표준 9 6 4 3 2" xfId="19975"/>
    <cellStyle name="표준 9 6 4 3 2 2" xfId="40851"/>
    <cellStyle name="표준 9 6 4 3 3" xfId="32115"/>
    <cellStyle name="표준 9 6 4 4" xfId="12070"/>
    <cellStyle name="표준 9 6 4 4 2" xfId="20836"/>
    <cellStyle name="표준 9 6 4 4 2 2" xfId="41712"/>
    <cellStyle name="표준 9 6 4 4 3" xfId="32976"/>
    <cellStyle name="표준 9 6 4 5" xfId="13724"/>
    <cellStyle name="표준 9 6 4 5 2" xfId="34600"/>
    <cellStyle name="표준 9 6 4 6" xfId="25862"/>
    <cellStyle name="표준 9 6 5" xfId="5376"/>
    <cellStyle name="표준 9 6 5 2" xfId="14385"/>
    <cellStyle name="표준 9 6 5 2 2" xfId="35261"/>
    <cellStyle name="표준 9 6 5 3" xfId="26523"/>
    <cellStyle name="표준 9 6 6" xfId="7178"/>
    <cellStyle name="표준 9 6 6 2" xfId="16186"/>
    <cellStyle name="표준 9 6 6 2 2" xfId="37062"/>
    <cellStyle name="표준 9 6 6 3" xfId="28324"/>
    <cellStyle name="표준 9 6 7" xfId="7823"/>
    <cellStyle name="표준 9 6 7 2" xfId="16829"/>
    <cellStyle name="표준 9 6 7 2 2" xfId="37705"/>
    <cellStyle name="표준 9 6 7 3" xfId="28967"/>
    <cellStyle name="표준 9 6 8" xfId="8671"/>
    <cellStyle name="표준 9 6 8 2" xfId="17676"/>
    <cellStyle name="표준 9 6 8 2 2" xfId="38552"/>
    <cellStyle name="표준 9 6 8 3" xfId="29814"/>
    <cellStyle name="표준 9 6 9" xfId="9495"/>
    <cellStyle name="표준 9 6 9 2" xfId="18494"/>
    <cellStyle name="표준 9 6 9 2 2" xfId="39370"/>
    <cellStyle name="표준 9 6 9 3" xfId="30632"/>
    <cellStyle name="표준 9 7" xfId="3097"/>
    <cellStyle name="표준 9 7 10" xfId="10552"/>
    <cellStyle name="표준 9 7 10 2" xfId="19323"/>
    <cellStyle name="표준 9 7 10 2 2" xfId="40199"/>
    <cellStyle name="표준 9 7 10 3" xfId="31463"/>
    <cellStyle name="표준 9 7 11" xfId="11418"/>
    <cellStyle name="표준 9 7 11 2" xfId="20184"/>
    <cellStyle name="표준 9 7 11 2 2" xfId="41060"/>
    <cellStyle name="표준 9 7 11 3" xfId="32324"/>
    <cellStyle name="표준 9 7 12" xfId="12567"/>
    <cellStyle name="표준 9 7 12 2" xfId="33444"/>
    <cellStyle name="표준 9 7 13" xfId="24694"/>
    <cellStyle name="표준 9 7 2" xfId="3317"/>
    <cellStyle name="표준 9 7 2 10" xfId="11635"/>
    <cellStyle name="표준 9 7 2 10 2" xfId="20401"/>
    <cellStyle name="표준 9 7 2 10 2 2" xfId="41277"/>
    <cellStyle name="표준 9 7 2 10 3" xfId="32541"/>
    <cellStyle name="표준 9 7 2 11" xfId="12784"/>
    <cellStyle name="표준 9 7 2 11 2" xfId="33661"/>
    <cellStyle name="표준 9 7 2 12" xfId="24911"/>
    <cellStyle name="표준 9 7 2 2" xfId="3758"/>
    <cellStyle name="표준 9 7 2 2 2" xfId="6031"/>
    <cellStyle name="표준 9 7 2 2 2 2" xfId="15040"/>
    <cellStyle name="표준 9 7 2 2 2 2 2" xfId="35916"/>
    <cellStyle name="표준 9 7 2 2 2 3" xfId="27178"/>
    <cellStyle name="표준 9 7 2 2 3" xfId="13221"/>
    <cellStyle name="표준 9 7 2 2 3 2" xfId="34098"/>
    <cellStyle name="표준 9 7 2 2 4" xfId="25348"/>
    <cellStyle name="표준 9 7 2 3" xfId="4920"/>
    <cellStyle name="표준 9 7 2 3 2" xfId="6751"/>
    <cellStyle name="표준 9 7 2 3 2 2" xfId="15760"/>
    <cellStyle name="표준 9 7 2 3 2 2 2" xfId="36636"/>
    <cellStyle name="표준 9 7 2 3 2 3" xfId="27898"/>
    <cellStyle name="표준 9 7 2 3 3" xfId="13942"/>
    <cellStyle name="표준 9 7 2 3 3 2" xfId="34818"/>
    <cellStyle name="표준 9 7 2 3 4" xfId="26080"/>
    <cellStyle name="표준 9 7 2 4" xfId="5594"/>
    <cellStyle name="표준 9 7 2 4 2" xfId="14603"/>
    <cellStyle name="표준 9 7 2 4 2 2" xfId="35479"/>
    <cellStyle name="표준 9 7 2 4 3" xfId="26741"/>
    <cellStyle name="표준 9 7 2 5" xfId="7397"/>
    <cellStyle name="표준 9 7 2 5 2" xfId="16404"/>
    <cellStyle name="표준 9 7 2 5 2 2" xfId="37280"/>
    <cellStyle name="표준 9 7 2 5 3" xfId="28542"/>
    <cellStyle name="표준 9 7 2 6" xfId="8041"/>
    <cellStyle name="표준 9 7 2 6 2" xfId="17047"/>
    <cellStyle name="표준 9 7 2 6 2 2" xfId="37923"/>
    <cellStyle name="표준 9 7 2 6 3" xfId="29185"/>
    <cellStyle name="표준 9 7 2 7" xfId="8889"/>
    <cellStyle name="표준 9 7 2 7 2" xfId="17894"/>
    <cellStyle name="표준 9 7 2 7 2 2" xfId="38770"/>
    <cellStyle name="표준 9 7 2 7 3" xfId="30032"/>
    <cellStyle name="표준 9 7 2 8" xfId="9714"/>
    <cellStyle name="표준 9 7 2 8 2" xfId="18712"/>
    <cellStyle name="표준 9 7 2 8 2 2" xfId="39588"/>
    <cellStyle name="표준 9 7 2 8 3" xfId="30850"/>
    <cellStyle name="표준 9 7 2 9" xfId="10769"/>
    <cellStyle name="표준 9 7 2 9 2" xfId="19540"/>
    <cellStyle name="표준 9 7 2 9 2 2" xfId="40416"/>
    <cellStyle name="표준 9 7 2 9 3" xfId="31680"/>
    <cellStyle name="표준 9 7 3" xfId="3541"/>
    <cellStyle name="표준 9 7 3 10" xfId="13004"/>
    <cellStyle name="표준 9 7 3 10 2" xfId="33881"/>
    <cellStyle name="표준 9 7 3 11" xfId="25131"/>
    <cellStyle name="표준 9 7 3 2" xfId="5143"/>
    <cellStyle name="표준 9 7 3 2 2" xfId="6968"/>
    <cellStyle name="표준 9 7 3 2 2 2" xfId="15977"/>
    <cellStyle name="표준 9 7 3 2 2 2 2" xfId="36853"/>
    <cellStyle name="표준 9 7 3 2 2 3" xfId="28115"/>
    <cellStyle name="표준 9 7 3 2 3" xfId="14159"/>
    <cellStyle name="표준 9 7 3 2 3 2" xfId="35035"/>
    <cellStyle name="표준 9 7 3 2 4" xfId="26297"/>
    <cellStyle name="표준 9 7 3 3" xfId="5814"/>
    <cellStyle name="표준 9 7 3 3 2" xfId="14823"/>
    <cellStyle name="표준 9 7 3 3 2 2" xfId="35699"/>
    <cellStyle name="표준 9 7 3 3 3" xfId="26961"/>
    <cellStyle name="표준 9 7 3 4" xfId="7614"/>
    <cellStyle name="표준 9 7 3 4 2" xfId="16621"/>
    <cellStyle name="표준 9 7 3 4 2 2" xfId="37497"/>
    <cellStyle name="표준 9 7 3 4 3" xfId="28759"/>
    <cellStyle name="표준 9 7 3 5" xfId="8258"/>
    <cellStyle name="표준 9 7 3 5 2" xfId="17264"/>
    <cellStyle name="표준 9 7 3 5 2 2" xfId="38140"/>
    <cellStyle name="표준 9 7 3 5 3" xfId="29402"/>
    <cellStyle name="표준 9 7 3 6" xfId="9106"/>
    <cellStyle name="표준 9 7 3 6 2" xfId="18111"/>
    <cellStyle name="표준 9 7 3 6 2 2" xfId="38987"/>
    <cellStyle name="표준 9 7 3 6 3" xfId="30249"/>
    <cellStyle name="표준 9 7 3 7" xfId="9931"/>
    <cellStyle name="표준 9 7 3 7 2" xfId="18929"/>
    <cellStyle name="표준 9 7 3 7 2 2" xfId="39805"/>
    <cellStyle name="표준 9 7 3 7 3" xfId="31067"/>
    <cellStyle name="표준 9 7 3 8" xfId="10986"/>
    <cellStyle name="표준 9 7 3 8 2" xfId="19757"/>
    <cellStyle name="표준 9 7 3 8 2 2" xfId="40633"/>
    <cellStyle name="표준 9 7 3 8 3" xfId="31897"/>
    <cellStyle name="표준 9 7 3 9" xfId="11852"/>
    <cellStyle name="표준 9 7 3 9 2" xfId="20618"/>
    <cellStyle name="표준 9 7 3 9 2 2" xfId="41494"/>
    <cellStyle name="표준 9 7 3 9 3" xfId="32758"/>
    <cellStyle name="표준 9 7 4" xfId="4700"/>
    <cellStyle name="표준 9 7 4 2" xfId="6534"/>
    <cellStyle name="표준 9 7 4 2 2" xfId="15543"/>
    <cellStyle name="표준 9 7 4 2 2 2" xfId="36419"/>
    <cellStyle name="표준 9 7 4 2 3" xfId="27681"/>
    <cellStyle name="표준 9 7 4 3" xfId="11207"/>
    <cellStyle name="표준 9 7 4 3 2" xfId="19976"/>
    <cellStyle name="표준 9 7 4 3 2 2" xfId="40852"/>
    <cellStyle name="표준 9 7 4 3 3" xfId="32116"/>
    <cellStyle name="표준 9 7 4 4" xfId="12071"/>
    <cellStyle name="표준 9 7 4 4 2" xfId="20837"/>
    <cellStyle name="표준 9 7 4 4 2 2" xfId="41713"/>
    <cellStyle name="표준 9 7 4 4 3" xfId="32977"/>
    <cellStyle name="표준 9 7 4 5" xfId="13725"/>
    <cellStyle name="표준 9 7 4 5 2" xfId="34601"/>
    <cellStyle name="표준 9 7 4 6" xfId="25863"/>
    <cellStyle name="표준 9 7 5" xfId="5377"/>
    <cellStyle name="표준 9 7 5 2" xfId="14386"/>
    <cellStyle name="표준 9 7 5 2 2" xfId="35262"/>
    <cellStyle name="표준 9 7 5 3" xfId="26524"/>
    <cellStyle name="표준 9 7 6" xfId="7179"/>
    <cellStyle name="표준 9 7 6 2" xfId="16187"/>
    <cellStyle name="표준 9 7 6 2 2" xfId="37063"/>
    <cellStyle name="표준 9 7 6 3" xfId="28325"/>
    <cellStyle name="표준 9 7 7" xfId="7824"/>
    <cellStyle name="표준 9 7 7 2" xfId="16830"/>
    <cellStyle name="표준 9 7 7 2 2" xfId="37706"/>
    <cellStyle name="표준 9 7 7 3" xfId="28968"/>
    <cellStyle name="표준 9 7 8" xfId="8672"/>
    <cellStyle name="표준 9 7 8 2" xfId="17677"/>
    <cellStyle name="표준 9 7 8 2 2" xfId="38553"/>
    <cellStyle name="표준 9 7 8 3" xfId="29815"/>
    <cellStyle name="표준 9 7 9" xfId="9496"/>
    <cellStyle name="표준 9 7 9 2" xfId="18495"/>
    <cellStyle name="표준 9 7 9 2 2" xfId="39371"/>
    <cellStyle name="표준 9 7 9 3" xfId="30633"/>
    <cellStyle name="표준 9 8" xfId="3311"/>
    <cellStyle name="표준 9 8 10" xfId="11629"/>
    <cellStyle name="표준 9 8 10 2" xfId="20395"/>
    <cellStyle name="표준 9 8 10 2 2" xfId="41271"/>
    <cellStyle name="표준 9 8 10 3" xfId="32535"/>
    <cellStyle name="표준 9 8 11" xfId="12778"/>
    <cellStyle name="표준 9 8 11 2" xfId="33655"/>
    <cellStyle name="표준 9 8 12" xfId="24905"/>
    <cellStyle name="표준 9 8 2" xfId="3752"/>
    <cellStyle name="표준 9 8 2 2" xfId="6025"/>
    <cellStyle name="표준 9 8 2 2 2" xfId="15034"/>
    <cellStyle name="표준 9 8 2 2 2 2" xfId="35910"/>
    <cellStyle name="표준 9 8 2 2 3" xfId="27172"/>
    <cellStyle name="표준 9 8 2 3" xfId="13215"/>
    <cellStyle name="표준 9 8 2 3 2" xfId="34092"/>
    <cellStyle name="표준 9 8 2 4" xfId="25342"/>
    <cellStyle name="표준 9 8 3" xfId="4914"/>
    <cellStyle name="표준 9 8 3 2" xfId="6745"/>
    <cellStyle name="표준 9 8 3 2 2" xfId="15754"/>
    <cellStyle name="표준 9 8 3 2 2 2" xfId="36630"/>
    <cellStyle name="표준 9 8 3 2 3" xfId="27892"/>
    <cellStyle name="표준 9 8 3 3" xfId="13936"/>
    <cellStyle name="표준 9 8 3 3 2" xfId="34812"/>
    <cellStyle name="표준 9 8 3 4" xfId="26074"/>
    <cellStyle name="표준 9 8 4" xfId="5588"/>
    <cellStyle name="표준 9 8 4 2" xfId="14597"/>
    <cellStyle name="표준 9 8 4 2 2" xfId="35473"/>
    <cellStyle name="표준 9 8 4 3" xfId="26735"/>
    <cellStyle name="표준 9 8 5" xfId="7391"/>
    <cellStyle name="표준 9 8 5 2" xfId="16398"/>
    <cellStyle name="표준 9 8 5 2 2" xfId="37274"/>
    <cellStyle name="표준 9 8 5 3" xfId="28536"/>
    <cellStyle name="표준 9 8 6" xfId="8035"/>
    <cellStyle name="표준 9 8 6 2" xfId="17041"/>
    <cellStyle name="표준 9 8 6 2 2" xfId="37917"/>
    <cellStyle name="표준 9 8 6 3" xfId="29179"/>
    <cellStyle name="표준 9 8 7" xfId="8883"/>
    <cellStyle name="표준 9 8 7 2" xfId="17888"/>
    <cellStyle name="표준 9 8 7 2 2" xfId="38764"/>
    <cellStyle name="표준 9 8 7 3" xfId="30026"/>
    <cellStyle name="표준 9 8 8" xfId="9708"/>
    <cellStyle name="표준 9 8 8 2" xfId="18706"/>
    <cellStyle name="표준 9 8 8 2 2" xfId="39582"/>
    <cellStyle name="표준 9 8 8 3" xfId="30844"/>
    <cellStyle name="표준 9 8 9" xfId="10763"/>
    <cellStyle name="표준 9 8 9 2" xfId="19534"/>
    <cellStyle name="표준 9 8 9 2 2" xfId="40410"/>
    <cellStyle name="표준 9 8 9 3" xfId="31674"/>
    <cellStyle name="표준 9 9" xfId="3535"/>
    <cellStyle name="표준 9 9 10" xfId="12998"/>
    <cellStyle name="표준 9 9 10 2" xfId="33875"/>
    <cellStyle name="표준 9 9 11" xfId="25125"/>
    <cellStyle name="표준 9 9 2" xfId="5137"/>
    <cellStyle name="표준 9 9 2 2" xfId="6962"/>
    <cellStyle name="표준 9 9 2 2 2" xfId="15971"/>
    <cellStyle name="표준 9 9 2 2 2 2" xfId="36847"/>
    <cellStyle name="표준 9 9 2 2 3" xfId="28109"/>
    <cellStyle name="표준 9 9 2 3" xfId="14153"/>
    <cellStyle name="표준 9 9 2 3 2" xfId="35029"/>
    <cellStyle name="표준 9 9 2 4" xfId="26291"/>
    <cellStyle name="표준 9 9 3" xfId="5808"/>
    <cellStyle name="표준 9 9 3 2" xfId="14817"/>
    <cellStyle name="표준 9 9 3 2 2" xfId="35693"/>
    <cellStyle name="표준 9 9 3 3" xfId="26955"/>
    <cellStyle name="표준 9 9 4" xfId="7608"/>
    <cellStyle name="표준 9 9 4 2" xfId="16615"/>
    <cellStyle name="표준 9 9 4 2 2" xfId="37491"/>
    <cellStyle name="표준 9 9 4 3" xfId="28753"/>
    <cellStyle name="표준 9 9 5" xfId="8252"/>
    <cellStyle name="표준 9 9 5 2" xfId="17258"/>
    <cellStyle name="표준 9 9 5 2 2" xfId="38134"/>
    <cellStyle name="표준 9 9 5 3" xfId="29396"/>
    <cellStyle name="표준 9 9 6" xfId="9100"/>
    <cellStyle name="표준 9 9 6 2" xfId="18105"/>
    <cellStyle name="표준 9 9 6 2 2" xfId="38981"/>
    <cellStyle name="표준 9 9 6 3" xfId="30243"/>
    <cellStyle name="표준 9 9 7" xfId="9925"/>
    <cellStyle name="표준 9 9 7 2" xfId="18923"/>
    <cellStyle name="표준 9 9 7 2 2" xfId="39799"/>
    <cellStyle name="표준 9 9 7 3" xfId="31061"/>
    <cellStyle name="표준 9 9 8" xfId="10980"/>
    <cellStyle name="표준 9 9 8 2" xfId="19751"/>
    <cellStyle name="표준 9 9 8 2 2" xfId="40627"/>
    <cellStyle name="표준 9 9 8 3" xfId="31891"/>
    <cellStyle name="표준 9 9 9" xfId="11846"/>
    <cellStyle name="표준 9 9 9 2" xfId="20612"/>
    <cellStyle name="표준 9 9 9 2 2" xfId="41488"/>
    <cellStyle name="표준 9 9 9 3" xfId="32752"/>
    <cellStyle name="표준_2007유틸리티사용량_2007년 원단위_1" xfId="24242"/>
    <cellStyle name="標準_Akia(F）-8" xfId="1029"/>
    <cellStyle name="표준_기초자료" xfId="4"/>
    <cellStyle name="합산" xfId="1030"/>
    <cellStyle name="화폐기호" xfId="1031"/>
    <cellStyle name="화폐기호0" xfId="1032"/>
  </cellStyles>
  <dxfs count="0"/>
  <tableStyles count="0" defaultTableStyle="TableStyleMedium9" defaultPivotStyle="PivotStyleLight16"/>
  <colors>
    <mruColors>
      <color rgb="FF0000FF"/>
      <color rgb="FFFFFF99"/>
      <color rgb="FF00FF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비가동</a:t>
            </a:r>
            <a:r>
              <a:rPr lang="en-US" altLang="ko-KR" sz="1400"/>
              <a:t>(</a:t>
            </a:r>
            <a:r>
              <a:rPr lang="ko-KR" altLang="en-US" sz="1400"/>
              <a:t>조업</a:t>
            </a:r>
            <a:r>
              <a:rPr lang="en-US" altLang="ko-KR" sz="1400"/>
              <a:t>)</a:t>
            </a:r>
            <a:endParaRPr lang="ko-KR" altLang="en-US" sz="1400"/>
          </a:p>
        </c:rich>
      </c:tx>
      <c:layout>
        <c:manualLayout>
          <c:xMode val="edge"/>
          <c:yMode val="edge"/>
          <c:x val="0.3872082239720035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8.9377296587926522E-2"/>
          <c:y val="0.14862277631962673"/>
          <c:w val="0.82680096237970269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요약'!$S$27:$V$27</c:f>
              <c:numCache>
                <c:formatCode>0.0_);[Red]\(0.0\)</c:formatCode>
                <c:ptCount val="4"/>
                <c:pt idx="0">
                  <c:v>2.9166666666666665</c:v>
                </c:pt>
                <c:pt idx="1">
                  <c:v>1.4166666666666667</c:v>
                </c:pt>
                <c:pt idx="2">
                  <c:v>1.1666666666666667</c:v>
                </c:pt>
                <c:pt idx="3">
                  <c:v>0.83333333333333337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요약'!$S$33:$V$33</c:f>
              <c:numCache>
                <c:formatCode>0.0_);[Red]\(0.0\)</c:formatCode>
                <c:ptCount val="4"/>
                <c:pt idx="0">
                  <c:v>20.833333333333332</c:v>
                </c:pt>
                <c:pt idx="1">
                  <c:v>16.083333333333332</c:v>
                </c:pt>
                <c:pt idx="2">
                  <c:v>10.666666666666666</c:v>
                </c:pt>
                <c:pt idx="3">
                  <c:v>2.8333333333333335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요약'!$S$39:$V$39</c:f>
              <c:numCache>
                <c:formatCode>0.0_);[Red]\(0.0\)</c:formatCode>
                <c:ptCount val="4"/>
                <c:pt idx="0">
                  <c:v>4.416666666666667</c:v>
                </c:pt>
                <c:pt idx="1">
                  <c:v>1.8333333333333333</c:v>
                </c:pt>
                <c:pt idx="2">
                  <c:v>1.25</c:v>
                </c:pt>
                <c:pt idx="3">
                  <c:v>0.33333333333333331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요약'!$S$45:$V$45</c:f>
              <c:numCache>
                <c:formatCode>0.0_);[Red]\(0.0\)</c:formatCode>
                <c:ptCount val="4"/>
                <c:pt idx="0">
                  <c:v>11.583333333333334</c:v>
                </c:pt>
                <c:pt idx="1">
                  <c:v>9.3333333333333339</c:v>
                </c:pt>
                <c:pt idx="2">
                  <c:v>3.8333333333333335</c:v>
                </c:pt>
                <c:pt idx="3">
                  <c:v>3.4166666666666665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요약'!$S$51:$V$51</c:f>
              <c:numCache>
                <c:formatCode>0.0_);[Red]\(0.0\)</c:formatCode>
                <c:ptCount val="4"/>
                <c:pt idx="0">
                  <c:v>21.583333333333332</c:v>
                </c:pt>
                <c:pt idx="1">
                  <c:v>15.25</c:v>
                </c:pt>
                <c:pt idx="2">
                  <c:v>16.583333333333332</c:v>
                </c:pt>
                <c:pt idx="3">
                  <c:v>5.083333333333333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310830208"/>
        <c:axId val="310831744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요약'!$S$57:$V$57</c:f>
              <c:numCache>
                <c:formatCode>0.0_);[Red]\(0.0\)</c:formatCode>
                <c:ptCount val="4"/>
                <c:pt idx="0">
                  <c:v>61.333333333333329</c:v>
                </c:pt>
                <c:pt idx="1">
                  <c:v>43.916666666666664</c:v>
                </c:pt>
                <c:pt idx="2">
                  <c:v>33.5</c:v>
                </c:pt>
                <c:pt idx="3">
                  <c:v>12.5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865152"/>
        <c:axId val="314831616"/>
      </c:lineChart>
      <c:catAx>
        <c:axId val="310830208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310831744"/>
        <c:crosses val="autoZero"/>
        <c:auto val="1"/>
        <c:lblAlgn val="ctr"/>
        <c:lblOffset val="100"/>
        <c:noMultiLvlLbl val="0"/>
      </c:catAx>
      <c:valAx>
        <c:axId val="310831744"/>
        <c:scaling>
          <c:orientation val="minMax"/>
          <c:max val="30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310830208"/>
        <c:crosses val="autoZero"/>
        <c:crossBetween val="between"/>
      </c:valAx>
      <c:valAx>
        <c:axId val="314831616"/>
        <c:scaling>
          <c:orientation val="minMax"/>
          <c:max val="62"/>
          <c:min val="0"/>
        </c:scaling>
        <c:delete val="0"/>
        <c:axPos val="r"/>
        <c:numFmt formatCode="#,##0_);[Red]\(#,##0\)" sourceLinked="0"/>
        <c:majorTickMark val="out"/>
        <c:minorTickMark val="none"/>
        <c:tickLblPos val="nextTo"/>
        <c:crossAx val="314865152"/>
        <c:crosses val="max"/>
        <c:crossBetween val="between"/>
        <c:majorUnit val="10"/>
      </c:valAx>
      <c:catAx>
        <c:axId val="314865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1483161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비가동</a:t>
            </a:r>
            <a:r>
              <a:rPr lang="en-US" altLang="ko-KR" sz="1400"/>
              <a:t>(</a:t>
            </a:r>
            <a:r>
              <a:rPr lang="ko-KR" altLang="en-US" sz="1400"/>
              <a:t>기계</a:t>
            </a:r>
            <a:r>
              <a:rPr lang="en-US" altLang="ko-KR" sz="1400"/>
              <a:t>)</a:t>
            </a:r>
            <a:endParaRPr lang="ko-KR" altLang="en-US" sz="1400"/>
          </a:p>
        </c:rich>
      </c:tx>
      <c:layout>
        <c:manualLayout>
          <c:xMode val="edge"/>
          <c:yMode val="edge"/>
          <c:x val="0.39276377952755903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8.9182852143482053E-2"/>
          <c:y val="0.14862277631962673"/>
          <c:w val="0.82534251968503924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요약'!$S$29:$V$29</c:f>
              <c:numCache>
                <c:formatCode>0.0_);[Red]\(0.0\)</c:formatCode>
                <c:ptCount val="4"/>
                <c:pt idx="0">
                  <c:v>4.25</c:v>
                </c:pt>
                <c:pt idx="1">
                  <c:v>1.9166666666666667</c:v>
                </c:pt>
                <c:pt idx="2">
                  <c:v>0.83333333333333337</c:v>
                </c:pt>
                <c:pt idx="3">
                  <c:v>0.58333333333333337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요약'!$S$35:$V$35</c:f>
              <c:numCache>
                <c:formatCode>0.0_);[Red]\(0.0\)</c:formatCode>
                <c:ptCount val="4"/>
                <c:pt idx="0">
                  <c:v>6.083333333333333</c:v>
                </c:pt>
                <c:pt idx="1">
                  <c:v>2.5</c:v>
                </c:pt>
                <c:pt idx="2">
                  <c:v>1.8333333333333333</c:v>
                </c:pt>
                <c:pt idx="3">
                  <c:v>0.58333333333333337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요약'!$S$41:$V$41</c:f>
              <c:numCache>
                <c:formatCode>0.0_);[Red]\(0.0\)</c:formatCode>
                <c:ptCount val="4"/>
                <c:pt idx="0">
                  <c:v>2.25</c:v>
                </c:pt>
                <c:pt idx="1">
                  <c:v>1.5</c:v>
                </c:pt>
                <c:pt idx="2">
                  <c:v>1.0833333333333333</c:v>
                </c:pt>
                <c:pt idx="3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요약'!$S$47:$V$47</c:f>
              <c:numCache>
                <c:formatCode>0.0_);[Red]\(0.0\)</c:formatCode>
                <c:ptCount val="4"/>
                <c:pt idx="0">
                  <c:v>2.5</c:v>
                </c:pt>
                <c:pt idx="1">
                  <c:v>1.25</c:v>
                </c:pt>
                <c:pt idx="2">
                  <c:v>0.33333333333333331</c:v>
                </c:pt>
                <c:pt idx="3">
                  <c:v>0.75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요약'!$S$53:$V$53</c:f>
              <c:numCache>
                <c:formatCode>0.0_);[Red]\(0.0\)</c:formatCode>
                <c:ptCount val="4"/>
                <c:pt idx="0">
                  <c:v>0.41666666666666669</c:v>
                </c:pt>
                <c:pt idx="1">
                  <c:v>1.25</c:v>
                </c:pt>
                <c:pt idx="2">
                  <c:v>0.25</c:v>
                </c:pt>
                <c:pt idx="3">
                  <c:v>0.33333333333333331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59635456"/>
        <c:axId val="259653632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요약'!$S$59:$V$59</c:f>
              <c:numCache>
                <c:formatCode>0.0_);[Red]\(0.0\)</c:formatCode>
                <c:ptCount val="4"/>
                <c:pt idx="0">
                  <c:v>15.499999999999998</c:v>
                </c:pt>
                <c:pt idx="1">
                  <c:v>8.4166666666666679</c:v>
                </c:pt>
                <c:pt idx="2">
                  <c:v>4.333333333333333</c:v>
                </c:pt>
                <c:pt idx="3">
                  <c:v>2.5000000000000004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56704"/>
        <c:axId val="259655168"/>
      </c:lineChart>
      <c:catAx>
        <c:axId val="259635456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59653632"/>
        <c:crosses val="autoZero"/>
        <c:auto val="1"/>
        <c:lblAlgn val="ctr"/>
        <c:lblOffset val="100"/>
        <c:noMultiLvlLbl val="0"/>
      </c:catAx>
      <c:valAx>
        <c:axId val="259653632"/>
        <c:scaling>
          <c:orientation val="minMax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59635456"/>
        <c:crosses val="autoZero"/>
        <c:crossBetween val="between"/>
      </c:valAx>
      <c:valAx>
        <c:axId val="259655168"/>
        <c:scaling>
          <c:orientation val="minMax"/>
          <c:max val="16"/>
          <c:min val="-4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59656704"/>
        <c:crosses val="max"/>
        <c:crossBetween val="between"/>
        <c:majorUnit val="4"/>
      </c:valAx>
      <c:catAx>
        <c:axId val="259656704"/>
        <c:scaling>
          <c:orientation val="minMax"/>
        </c:scaling>
        <c:delete val="1"/>
        <c:axPos val="b"/>
        <c:majorTickMark val="out"/>
        <c:minorTickMark val="none"/>
        <c:tickLblPos val="nextTo"/>
        <c:crossAx val="2596551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불량</a:t>
            </a:r>
          </a:p>
        </c:rich>
      </c:tx>
      <c:layout>
        <c:manualLayout>
          <c:xMode val="edge"/>
          <c:yMode val="edge"/>
          <c:x val="0.45833333333333331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0.10068285214348205"/>
          <c:y val="0.13010425780110821"/>
          <c:w val="0.80974540682414686"/>
          <c:h val="0.618879410906970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요약'!$S$18:$V$18</c:f>
              <c:numCache>
                <c:formatCode>0.0_);[Red]\(0.0\)</c:formatCode>
                <c:ptCount val="4"/>
                <c:pt idx="0">
                  <c:v>4.9383333333333335</c:v>
                </c:pt>
                <c:pt idx="1">
                  <c:v>2.6666666666666665</c:v>
                </c:pt>
                <c:pt idx="2">
                  <c:v>2.0741666666666663</c:v>
                </c:pt>
                <c:pt idx="3">
                  <c:v>0.85899999999999999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요약'!$S$19:$V$19</c:f>
              <c:numCache>
                <c:formatCode>0.0_);[Red]\(0.0\)</c:formatCode>
                <c:ptCount val="4"/>
                <c:pt idx="0">
                  <c:v>6.6741666666666672</c:v>
                </c:pt>
                <c:pt idx="1">
                  <c:v>2.6666666666666665</c:v>
                </c:pt>
                <c:pt idx="2">
                  <c:v>2.6125000000000003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요약'!$S$20:$V$20</c:f>
              <c:numCache>
                <c:formatCode>0.0_);[Red]\(0.0\)</c:formatCode>
                <c:ptCount val="4"/>
                <c:pt idx="0">
                  <c:v>68.384999999999977</c:v>
                </c:pt>
                <c:pt idx="1">
                  <c:v>26.666666666666668</c:v>
                </c:pt>
                <c:pt idx="2">
                  <c:v>30.270000000000007</c:v>
                </c:pt>
                <c:pt idx="3">
                  <c:v>20.553000000000001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요약'!$S$21:$V$21</c:f>
              <c:numCache>
                <c:formatCode>0.0_);[Red]\(0.0\)</c:formatCode>
                <c:ptCount val="4"/>
                <c:pt idx="0">
                  <c:v>11.648333333333333</c:v>
                </c:pt>
                <c:pt idx="1">
                  <c:v>10.4925</c:v>
                </c:pt>
                <c:pt idx="2">
                  <c:v>6.9916666666666671</c:v>
                </c:pt>
                <c:pt idx="3">
                  <c:v>5.0170000000000003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요약'!$S$22:$V$22</c:f>
              <c:numCache>
                <c:formatCode>0.0_);[Red]\(0.0\)</c:formatCode>
                <c:ptCount val="4"/>
                <c:pt idx="0">
                  <c:v>4.4183333333333339</c:v>
                </c:pt>
                <c:pt idx="1">
                  <c:v>7.916666666666667</c:v>
                </c:pt>
                <c:pt idx="2">
                  <c:v>6.125</c:v>
                </c:pt>
                <c:pt idx="3">
                  <c:v>3.717000000000001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59714432"/>
        <c:axId val="259720320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요약'!$S$24:$V$24</c:f>
              <c:numCache>
                <c:formatCode>#,##0_ </c:formatCode>
                <c:ptCount val="4"/>
                <c:pt idx="0">
                  <c:v>96.083333333333329</c:v>
                </c:pt>
                <c:pt idx="1">
                  <c:v>50.416666666666664</c:v>
                </c:pt>
                <c:pt idx="2">
                  <c:v>41</c:v>
                </c:pt>
                <c:pt idx="3">
                  <c:v>52.262000000000015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752320"/>
        <c:axId val="259721856"/>
      </c:lineChart>
      <c:catAx>
        <c:axId val="259714432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59720320"/>
        <c:crosses val="autoZero"/>
        <c:auto val="1"/>
        <c:lblAlgn val="ctr"/>
        <c:lblOffset val="100"/>
        <c:noMultiLvlLbl val="0"/>
      </c:catAx>
      <c:valAx>
        <c:axId val="259720320"/>
        <c:scaling>
          <c:orientation val="minMax"/>
          <c:max val="100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59714432"/>
        <c:crosses val="autoZero"/>
        <c:crossBetween val="between"/>
        <c:majorUnit val="20"/>
      </c:valAx>
      <c:valAx>
        <c:axId val="259721856"/>
        <c:scaling>
          <c:orientation val="minMax"/>
          <c:max val="100"/>
        </c:scaling>
        <c:delete val="0"/>
        <c:axPos val="r"/>
        <c:numFmt formatCode="#,##0_ " sourceLinked="1"/>
        <c:majorTickMark val="out"/>
        <c:minorTickMark val="none"/>
        <c:tickLblPos val="nextTo"/>
        <c:crossAx val="259752320"/>
        <c:crosses val="max"/>
        <c:crossBetween val="between"/>
        <c:majorUnit val="20"/>
      </c:valAx>
      <c:catAx>
        <c:axId val="259752320"/>
        <c:scaling>
          <c:orientation val="minMax"/>
        </c:scaling>
        <c:delete val="1"/>
        <c:axPos val="b"/>
        <c:majorTickMark val="out"/>
        <c:minorTickMark val="none"/>
        <c:tickLblPos val="nextTo"/>
        <c:crossAx val="2597218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비가동</a:t>
            </a:r>
            <a:r>
              <a:rPr lang="en-US" altLang="ko-KR" sz="1400"/>
              <a:t>(</a:t>
            </a:r>
            <a:r>
              <a:rPr lang="ko-KR" altLang="en-US" sz="1400"/>
              <a:t>전기</a:t>
            </a:r>
            <a:r>
              <a:rPr lang="en-US" altLang="ko-KR" sz="1400"/>
              <a:t>)</a:t>
            </a:r>
            <a:endParaRPr lang="ko-KR" altLang="en-US" sz="1400"/>
          </a:p>
        </c:rich>
      </c:tx>
      <c:layout>
        <c:manualLayout>
          <c:xMode val="edge"/>
          <c:yMode val="edge"/>
          <c:x val="0.3872082239720035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8.6405074365704285E-2"/>
          <c:y val="0.14862277631962673"/>
          <c:w val="0.83923140857392819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요약'!$S$31:$V$31</c:f>
              <c:numCache>
                <c:formatCode>0.0_);[Red]\(0.0\)</c:formatCode>
                <c:ptCount val="4"/>
                <c:pt idx="0">
                  <c:v>1.5833333333333333</c:v>
                </c:pt>
                <c:pt idx="1">
                  <c:v>0.5</c:v>
                </c:pt>
                <c:pt idx="2">
                  <c:v>0.33333333333333331</c:v>
                </c:pt>
                <c:pt idx="3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요약'!$S$37:$V$37</c:f>
              <c:numCache>
                <c:formatCode>0.0_);[Red]\(0.0\)</c:formatCode>
                <c:ptCount val="4"/>
                <c:pt idx="0">
                  <c:v>2</c:v>
                </c:pt>
                <c:pt idx="1">
                  <c:v>1.5833333333333333</c:v>
                </c:pt>
                <c:pt idx="2">
                  <c:v>2.0833333333333335</c:v>
                </c:pt>
                <c:pt idx="3">
                  <c:v>2.0833333333333335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요약'!$S$43:$V$43</c:f>
              <c:numCache>
                <c:formatCode>0.0_);[Red]\(0.0\)</c:formatCode>
                <c:ptCount val="4"/>
                <c:pt idx="0">
                  <c:v>1.75</c:v>
                </c:pt>
                <c:pt idx="1">
                  <c:v>1.3333333333333333</c:v>
                </c:pt>
                <c:pt idx="2">
                  <c:v>1.75</c:v>
                </c:pt>
                <c:pt idx="3">
                  <c:v>0.58333333333333337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요약'!$S$49:$V$49</c:f>
              <c:numCache>
                <c:formatCode>0.0_);[Red]\(0.0\)</c:formatCode>
                <c:ptCount val="4"/>
                <c:pt idx="0">
                  <c:v>1.1666666666666667</c:v>
                </c:pt>
                <c:pt idx="1">
                  <c:v>1.5</c:v>
                </c:pt>
                <c:pt idx="2">
                  <c:v>0.5</c:v>
                </c:pt>
                <c:pt idx="3">
                  <c:v>0.16666666666666666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요약'!$S$55:$V$55</c:f>
              <c:numCache>
                <c:formatCode>0.0_);[Red]\(0.0\)</c:formatCode>
                <c:ptCount val="4"/>
                <c:pt idx="0">
                  <c:v>0.91666666666666663</c:v>
                </c:pt>
                <c:pt idx="1">
                  <c:v>1.25</c:v>
                </c:pt>
                <c:pt idx="2">
                  <c:v>0.16666666666666666</c:v>
                </c:pt>
                <c:pt idx="3">
                  <c:v>0.41666666666666669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60870912"/>
        <c:axId val="260872448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요약'!$S$61:$V$61</c:f>
              <c:numCache>
                <c:formatCode>0.0_);[Red]\(0.0\)</c:formatCode>
                <c:ptCount val="4"/>
                <c:pt idx="0">
                  <c:v>7.416666666666667</c:v>
                </c:pt>
                <c:pt idx="1">
                  <c:v>6.1666666666666661</c:v>
                </c:pt>
                <c:pt idx="2">
                  <c:v>4.8333333333333339</c:v>
                </c:pt>
                <c:pt idx="3">
                  <c:v>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883968"/>
        <c:axId val="260882432"/>
      </c:lineChart>
      <c:catAx>
        <c:axId val="260870912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60872448"/>
        <c:crosses val="autoZero"/>
        <c:auto val="1"/>
        <c:lblAlgn val="ctr"/>
        <c:lblOffset val="100"/>
        <c:noMultiLvlLbl val="0"/>
      </c:catAx>
      <c:valAx>
        <c:axId val="260872448"/>
        <c:scaling>
          <c:orientation val="minMax"/>
          <c:max val="4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60870912"/>
        <c:crosses val="autoZero"/>
        <c:crossBetween val="between"/>
        <c:majorUnit val="1"/>
      </c:valAx>
      <c:valAx>
        <c:axId val="260882432"/>
        <c:scaling>
          <c:orientation val="minMax"/>
          <c:max val="8"/>
          <c:min val="-4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60883968"/>
        <c:crosses val="max"/>
        <c:crossBetween val="between"/>
        <c:majorUnit val="4"/>
      </c:valAx>
      <c:catAx>
        <c:axId val="260883968"/>
        <c:scaling>
          <c:orientation val="minMax"/>
        </c:scaling>
        <c:delete val="1"/>
        <c:axPos val="b"/>
        <c:majorTickMark val="out"/>
        <c:minorTickMark val="none"/>
        <c:tickLblPos val="nextTo"/>
        <c:crossAx val="2608824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스크랩</a:t>
            </a:r>
            <a:r>
              <a:rPr lang="en-US" altLang="ko-KR" sz="1400"/>
              <a:t>(COIL)</a:t>
            </a:r>
            <a:endParaRPr lang="ko-KR" altLang="en-US" sz="1400"/>
          </a:p>
        </c:rich>
      </c:tx>
      <c:layout>
        <c:manualLayout>
          <c:xMode val="edge"/>
          <c:yMode val="edge"/>
          <c:x val="0.37887489063867019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8.3627296587926503E-2"/>
          <c:y val="0.14862277631962673"/>
          <c:w val="0.84200918635170596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요약'!$K$71:$N$71</c:f>
              <c:numCache>
                <c:formatCode>0.0_);[Red]\(0.0\)</c:formatCode>
                <c:ptCount val="4"/>
                <c:pt idx="0">
                  <c:v>37.181666666666665</c:v>
                </c:pt>
                <c:pt idx="1">
                  <c:v>13.728333333333337</c:v>
                </c:pt>
                <c:pt idx="2">
                  <c:v>8.0133333333333336</c:v>
                </c:pt>
                <c:pt idx="3">
                  <c:v>6.9239999999999995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요약'!$K$72:$N$72</c:f>
              <c:numCache>
                <c:formatCode>0.0_);[Red]\(0.0\)</c:formatCode>
                <c:ptCount val="4"/>
                <c:pt idx="0">
                  <c:v>26.090833333333336</c:v>
                </c:pt>
                <c:pt idx="1">
                  <c:v>13.745833333333335</c:v>
                </c:pt>
                <c:pt idx="2">
                  <c:v>14.199166666666665</c:v>
                </c:pt>
                <c:pt idx="3">
                  <c:v>4.716499999999999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요약'!$K$73:$N$73</c:f>
              <c:numCache>
                <c:formatCode>0.0_);[Red]\(0.0\)</c:formatCode>
                <c:ptCount val="4"/>
                <c:pt idx="0">
                  <c:v>154.16666666666666</c:v>
                </c:pt>
                <c:pt idx="1">
                  <c:v>66.992499999999993</c:v>
                </c:pt>
                <c:pt idx="2">
                  <c:v>68.932666666666663</c:v>
                </c:pt>
                <c:pt idx="3">
                  <c:v>54.066299999999998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요약'!$K$74:$N$74</c:f>
              <c:numCache>
                <c:formatCode>0.0_);[Red]\(0.0\)</c:formatCode>
                <c:ptCount val="4"/>
                <c:pt idx="0">
                  <c:v>48.916666666666664</c:v>
                </c:pt>
                <c:pt idx="1">
                  <c:v>16.965833333333332</c:v>
                </c:pt>
                <c:pt idx="2">
                  <c:v>4.8433333333333337</c:v>
                </c:pt>
                <c:pt idx="3">
                  <c:v>16.299700000000001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요약'!$K$75:$N$75</c:f>
              <c:numCache>
                <c:formatCode>0.0_);[Red]\(0.0\)</c:formatCode>
                <c:ptCount val="4"/>
                <c:pt idx="0">
                  <c:v>39.637250000000002</c:v>
                </c:pt>
                <c:pt idx="1">
                  <c:v>15.643333333333333</c:v>
                </c:pt>
                <c:pt idx="2">
                  <c:v>10.91925</c:v>
                </c:pt>
                <c:pt idx="3">
                  <c:v>10.705499999999997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69649792"/>
        <c:axId val="269651328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요약'!$K$76:$N$76</c:f>
              <c:numCache>
                <c:formatCode>#,##0</c:formatCode>
                <c:ptCount val="4"/>
                <c:pt idx="0">
                  <c:v>305.99308333333335</c:v>
                </c:pt>
                <c:pt idx="1">
                  <c:v>127.07583333333334</c:v>
                </c:pt>
                <c:pt idx="2">
                  <c:v>106.90774999999999</c:v>
                </c:pt>
                <c:pt idx="3">
                  <c:v>92.712000000000003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666944"/>
        <c:axId val="269665408"/>
      </c:lineChart>
      <c:catAx>
        <c:axId val="269649792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69651328"/>
        <c:crosses val="autoZero"/>
        <c:auto val="1"/>
        <c:lblAlgn val="ctr"/>
        <c:lblOffset val="100"/>
        <c:noMultiLvlLbl val="0"/>
      </c:catAx>
      <c:valAx>
        <c:axId val="269651328"/>
        <c:scaling>
          <c:orientation val="minMax"/>
          <c:max val="200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69649792"/>
        <c:crosses val="autoZero"/>
        <c:crossBetween val="between"/>
        <c:majorUnit val="40"/>
      </c:valAx>
      <c:valAx>
        <c:axId val="269665408"/>
        <c:scaling>
          <c:orientation val="minMax"/>
          <c:max val="310"/>
          <c:min val="-50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69666944"/>
        <c:crosses val="max"/>
        <c:crossBetween val="between"/>
        <c:majorUnit val="50"/>
      </c:valAx>
      <c:catAx>
        <c:axId val="269666944"/>
        <c:scaling>
          <c:orientation val="minMax"/>
        </c:scaling>
        <c:delete val="1"/>
        <c:axPos val="b"/>
        <c:majorTickMark val="out"/>
        <c:minorTickMark val="none"/>
        <c:tickLblPos val="nextTo"/>
        <c:crossAx val="2696654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스크랩</a:t>
            </a:r>
            <a:r>
              <a:rPr lang="en-US" altLang="ko-KR" sz="1400"/>
              <a:t>(SHEET)</a:t>
            </a:r>
            <a:endParaRPr lang="ko-KR" altLang="en-US" sz="1400"/>
          </a:p>
        </c:rich>
      </c:tx>
      <c:layout>
        <c:manualLayout>
          <c:xMode val="edge"/>
          <c:yMode val="edge"/>
          <c:x val="0.3733193350831146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8.3627296587926503E-2"/>
          <c:y val="0.14862277631962673"/>
          <c:w val="0.84200918635170596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요약'!$Q$18</c:f>
              <c:strCache>
                <c:ptCount val="1"/>
                <c:pt idx="0">
                  <c:v>CPL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요약'!$K$71:$N$71</c:f>
              <c:numCache>
                <c:formatCode>0.0_);[Red]\(0.0\)</c:formatCode>
                <c:ptCount val="4"/>
                <c:pt idx="0">
                  <c:v>37.181666666666665</c:v>
                </c:pt>
                <c:pt idx="1">
                  <c:v>13.728333333333337</c:v>
                </c:pt>
                <c:pt idx="2">
                  <c:v>8.0133333333333336</c:v>
                </c:pt>
                <c:pt idx="3">
                  <c:v>6.9239999999999995</c:v>
                </c:pt>
              </c:numCache>
            </c:numRef>
          </c:val>
        </c:ser>
        <c:ser>
          <c:idx val="1"/>
          <c:order val="1"/>
          <c:tx>
            <c:strRef>
              <c:f>'성과개선 요약'!$Q$19</c:f>
              <c:strCache>
                <c:ptCount val="1"/>
                <c:pt idx="0">
                  <c:v>CRM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요약'!$K$72:$N$72</c:f>
              <c:numCache>
                <c:formatCode>0.0_);[Red]\(0.0\)</c:formatCode>
                <c:ptCount val="4"/>
                <c:pt idx="0">
                  <c:v>26.090833333333336</c:v>
                </c:pt>
                <c:pt idx="1">
                  <c:v>13.745833333333335</c:v>
                </c:pt>
                <c:pt idx="2">
                  <c:v>14.199166666666665</c:v>
                </c:pt>
                <c:pt idx="3">
                  <c:v>4.716499999999999</c:v>
                </c:pt>
              </c:numCache>
            </c:numRef>
          </c:val>
        </c:ser>
        <c:ser>
          <c:idx val="2"/>
          <c:order val="2"/>
          <c:tx>
            <c:strRef>
              <c:f>'성과개선 요약'!$Q$20</c:f>
              <c:strCache>
                <c:ptCount val="1"/>
                <c:pt idx="0">
                  <c:v>CGL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요약'!$K$73:$N$73</c:f>
              <c:numCache>
                <c:formatCode>0.0_);[Red]\(0.0\)</c:formatCode>
                <c:ptCount val="4"/>
                <c:pt idx="0">
                  <c:v>154.16666666666666</c:v>
                </c:pt>
                <c:pt idx="1">
                  <c:v>66.992499999999993</c:v>
                </c:pt>
                <c:pt idx="2">
                  <c:v>68.932666666666663</c:v>
                </c:pt>
                <c:pt idx="3">
                  <c:v>54.066299999999998</c:v>
                </c:pt>
              </c:numCache>
            </c:numRef>
          </c:val>
        </c:ser>
        <c:ser>
          <c:idx val="3"/>
          <c:order val="3"/>
          <c:tx>
            <c:strRef>
              <c:f>'성과개선 요약'!$Q$21</c:f>
              <c:strCache>
                <c:ptCount val="1"/>
                <c:pt idx="0">
                  <c:v>1CCL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요약'!$K$74:$N$74</c:f>
              <c:numCache>
                <c:formatCode>0.0_);[Red]\(0.0\)</c:formatCode>
                <c:ptCount val="4"/>
                <c:pt idx="0">
                  <c:v>48.916666666666664</c:v>
                </c:pt>
                <c:pt idx="1">
                  <c:v>16.965833333333332</c:v>
                </c:pt>
                <c:pt idx="2">
                  <c:v>4.8433333333333337</c:v>
                </c:pt>
                <c:pt idx="3">
                  <c:v>16.299700000000001</c:v>
                </c:pt>
              </c:numCache>
            </c:numRef>
          </c:val>
        </c:ser>
        <c:ser>
          <c:idx val="4"/>
          <c:order val="4"/>
          <c:tx>
            <c:strRef>
              <c:f>'성과개선 요약'!$Q$22</c:f>
              <c:strCache>
                <c:ptCount val="1"/>
                <c:pt idx="0">
                  <c:v>2CCL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요약'!$K$75:$N$75</c:f>
              <c:numCache>
                <c:formatCode>0.0_);[Red]\(0.0\)</c:formatCode>
                <c:ptCount val="4"/>
                <c:pt idx="0">
                  <c:v>39.637250000000002</c:v>
                </c:pt>
                <c:pt idx="1">
                  <c:v>15.643333333333333</c:v>
                </c:pt>
                <c:pt idx="2">
                  <c:v>10.91925</c:v>
                </c:pt>
                <c:pt idx="3">
                  <c:v>10.705499999999997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70207616"/>
        <c:axId val="270213504"/>
      </c:barChart>
      <c:lineChart>
        <c:grouping val="standard"/>
        <c:varyColors val="0"/>
        <c:ser>
          <c:idx val="5"/>
          <c:order val="5"/>
          <c:tx>
            <c:strRef>
              <c:f>'성과개선 요약'!$Q$23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요약'!$K$76:$N$76</c:f>
              <c:numCache>
                <c:formatCode>#,##0</c:formatCode>
                <c:ptCount val="4"/>
                <c:pt idx="0">
                  <c:v>305.99308333333335</c:v>
                </c:pt>
                <c:pt idx="1">
                  <c:v>127.07583333333334</c:v>
                </c:pt>
                <c:pt idx="2">
                  <c:v>106.90774999999999</c:v>
                </c:pt>
                <c:pt idx="3">
                  <c:v>92.712000000000003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16576"/>
        <c:axId val="270215040"/>
      </c:lineChart>
      <c:catAx>
        <c:axId val="270207616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70213504"/>
        <c:crosses val="autoZero"/>
        <c:auto val="1"/>
        <c:lblAlgn val="ctr"/>
        <c:lblOffset val="100"/>
        <c:noMultiLvlLbl val="0"/>
      </c:catAx>
      <c:valAx>
        <c:axId val="270213504"/>
        <c:scaling>
          <c:orientation val="minMax"/>
          <c:max val="200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70207616"/>
        <c:crosses val="autoZero"/>
        <c:crossBetween val="between"/>
        <c:majorUnit val="40"/>
      </c:valAx>
      <c:valAx>
        <c:axId val="270215040"/>
        <c:scaling>
          <c:orientation val="minMax"/>
          <c:max val="310"/>
          <c:min val="-50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70216576"/>
        <c:crosses val="max"/>
        <c:crossBetween val="between"/>
        <c:majorUnit val="50"/>
      </c:valAx>
      <c:catAx>
        <c:axId val="270216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702150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고객불만</a:t>
            </a:r>
          </a:p>
        </c:rich>
      </c:tx>
      <c:layout>
        <c:manualLayout>
          <c:xMode val="edge"/>
          <c:yMode val="edge"/>
          <c:x val="0.41498600174978129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9.1960629921259834E-2"/>
          <c:y val="0.14862277631962673"/>
          <c:w val="0.82534251968503924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요약'!$Q$87</c:f>
              <c:strCache>
                <c:ptCount val="1"/>
                <c:pt idx="0">
                  <c:v>PO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요약'!$S$87:$V$87</c:f>
              <c:numCache>
                <c:formatCode>0.0_ </c:formatCode>
                <c:ptCount val="4"/>
                <c:pt idx="0">
                  <c:v>0.41666666666666669</c:v>
                </c:pt>
                <c:pt idx="1">
                  <c:v>0.25</c:v>
                </c:pt>
                <c:pt idx="2">
                  <c:v>0</c:v>
                </c:pt>
                <c:pt idx="3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'성과개선 요약'!$Q$88</c:f>
              <c:strCache>
                <c:ptCount val="1"/>
                <c:pt idx="0">
                  <c:v>GI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요약'!$S$88:$V$88</c:f>
              <c:numCache>
                <c:formatCode>0.0_ </c:formatCode>
                <c:ptCount val="4"/>
                <c:pt idx="0">
                  <c:v>1.3333333333333333</c:v>
                </c:pt>
                <c:pt idx="1">
                  <c:v>0.66666666666666663</c:v>
                </c:pt>
                <c:pt idx="2">
                  <c:v>0.41666666666666669</c:v>
                </c:pt>
                <c:pt idx="3">
                  <c:v>0.6</c:v>
                </c:pt>
              </c:numCache>
            </c:numRef>
          </c:val>
        </c:ser>
        <c:ser>
          <c:idx val="2"/>
          <c:order val="2"/>
          <c:tx>
            <c:strRef>
              <c:f>'성과개선 요약'!$Q$89</c:f>
              <c:strCache>
                <c:ptCount val="1"/>
                <c:pt idx="0">
                  <c:v>PPGI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요약'!$S$89:$V$89</c:f>
              <c:numCache>
                <c:formatCode>0.0_ </c:formatCode>
                <c:ptCount val="4"/>
                <c:pt idx="0">
                  <c:v>3.6666666666666665</c:v>
                </c:pt>
                <c:pt idx="1">
                  <c:v>1.75</c:v>
                </c:pt>
                <c:pt idx="2">
                  <c:v>1.5</c:v>
                </c:pt>
                <c:pt idx="3">
                  <c:v>2.6</c:v>
                </c:pt>
              </c:numCache>
            </c:numRef>
          </c:val>
        </c:ser>
        <c:ser>
          <c:idx val="3"/>
          <c:order val="3"/>
          <c:tx>
            <c:strRef>
              <c:f>'성과개선 요약'!$Q$90</c:f>
              <c:strCache>
                <c:ptCount val="1"/>
                <c:pt idx="0">
                  <c:v>PPAL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요약'!$S$90:$V$90</c:f>
              <c:numCache>
                <c:formatCode>0.0_ </c:formatCode>
                <c:ptCount val="4"/>
                <c:pt idx="0">
                  <c:v>1.6666666666666667</c:v>
                </c:pt>
                <c:pt idx="1">
                  <c:v>0.25</c:v>
                </c:pt>
                <c:pt idx="2">
                  <c:v>0.58333333333333337</c:v>
                </c:pt>
                <c:pt idx="3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70273152"/>
        <c:axId val="270287232"/>
      </c:barChart>
      <c:lineChart>
        <c:grouping val="standard"/>
        <c:varyColors val="0"/>
        <c:ser>
          <c:idx val="5"/>
          <c:order val="4"/>
          <c:tx>
            <c:strRef>
              <c:f>'성과개선 요약'!$Q$91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요약'!$S$91:$V$91</c:f>
              <c:numCache>
                <c:formatCode>0.0_ </c:formatCode>
                <c:ptCount val="4"/>
                <c:pt idx="0">
                  <c:v>7.083333333333333</c:v>
                </c:pt>
                <c:pt idx="1">
                  <c:v>2.9166666666666665</c:v>
                </c:pt>
                <c:pt idx="2">
                  <c:v>2.5</c:v>
                </c:pt>
                <c:pt idx="3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90304"/>
        <c:axId val="270288768"/>
      </c:lineChart>
      <c:catAx>
        <c:axId val="270273152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70287232"/>
        <c:crosses val="autoZero"/>
        <c:auto val="1"/>
        <c:lblAlgn val="ctr"/>
        <c:lblOffset val="100"/>
        <c:noMultiLvlLbl val="0"/>
      </c:catAx>
      <c:valAx>
        <c:axId val="270287232"/>
        <c:scaling>
          <c:orientation val="minMax"/>
          <c:max val="5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70273152"/>
        <c:crosses val="autoZero"/>
        <c:crossBetween val="between"/>
        <c:majorUnit val="1"/>
      </c:valAx>
      <c:valAx>
        <c:axId val="270288768"/>
        <c:scaling>
          <c:orientation val="minMax"/>
          <c:max val="10"/>
          <c:min val="-10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70290304"/>
        <c:crosses val="max"/>
        <c:crossBetween val="between"/>
        <c:majorUnit val="4"/>
      </c:valAx>
      <c:catAx>
        <c:axId val="270290304"/>
        <c:scaling>
          <c:orientation val="minMax"/>
        </c:scaling>
        <c:delete val="1"/>
        <c:axPos val="b"/>
        <c:majorTickMark val="out"/>
        <c:minorTickMark val="none"/>
        <c:tickLblPos val="nextTo"/>
        <c:crossAx val="27028876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반품</a:t>
            </a:r>
          </a:p>
        </c:rich>
      </c:tx>
      <c:layout>
        <c:manualLayout>
          <c:xMode val="edge"/>
          <c:yMode val="edge"/>
          <c:x val="0.45665266841644797"/>
          <c:y val="0"/>
        </c:manualLayout>
      </c:layout>
      <c:overlay val="1"/>
      <c:spPr>
        <a:solidFill>
          <a:schemeClr val="accent6">
            <a:lumMod val="20000"/>
            <a:lumOff val="80000"/>
          </a:schemeClr>
        </a:solidFill>
      </c:spPr>
    </c:title>
    <c:autoTitleDeleted val="0"/>
    <c:plotArea>
      <c:layout>
        <c:manualLayout>
          <c:layoutTarget val="inner"/>
          <c:xMode val="edge"/>
          <c:yMode val="edge"/>
          <c:x val="9.1960629921259834E-2"/>
          <c:y val="0.14862277631962673"/>
          <c:w val="0.82534251968503924"/>
          <c:h val="0.60036089238845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'성과개선 요약'!$Q$87</c:f>
              <c:strCache>
                <c:ptCount val="1"/>
                <c:pt idx="0">
                  <c:v>PO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요약'!$S$92:$V$92</c:f>
              <c:numCache>
                <c:formatCode>0.0_);[Red]\(0.0\)</c:formatCode>
                <c:ptCount val="4"/>
                <c:pt idx="0">
                  <c:v>17</c:v>
                </c:pt>
                <c:pt idx="1">
                  <c:v>4.333333333333333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'성과개선 요약'!$Q$88</c:f>
              <c:strCache>
                <c:ptCount val="1"/>
                <c:pt idx="0">
                  <c:v>GI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요약'!$S$93:$V$93</c:f>
              <c:numCache>
                <c:formatCode>0.0_);[Red]\(0.0\)</c:formatCode>
                <c:ptCount val="4"/>
                <c:pt idx="0">
                  <c:v>35.916666666666664</c:v>
                </c:pt>
                <c:pt idx="1">
                  <c:v>8.6666666666666661</c:v>
                </c:pt>
                <c:pt idx="2">
                  <c:v>10.166666666666666</c:v>
                </c:pt>
                <c:pt idx="3">
                  <c:v>4.5</c:v>
                </c:pt>
              </c:numCache>
            </c:numRef>
          </c:val>
        </c:ser>
        <c:ser>
          <c:idx val="2"/>
          <c:order val="2"/>
          <c:tx>
            <c:strRef>
              <c:f>'성과개선 요약'!$Q$89</c:f>
              <c:strCache>
                <c:ptCount val="1"/>
                <c:pt idx="0">
                  <c:v>PPGI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요약'!$S$94:$V$94</c:f>
              <c:numCache>
                <c:formatCode>0.0_);[Red]\(0.0\)</c:formatCode>
                <c:ptCount val="4"/>
                <c:pt idx="0">
                  <c:v>27.666666666666668</c:v>
                </c:pt>
                <c:pt idx="1">
                  <c:v>4.333333333333333</c:v>
                </c:pt>
                <c:pt idx="2">
                  <c:v>6.5</c:v>
                </c:pt>
                <c:pt idx="3">
                  <c:v>29.8</c:v>
                </c:pt>
              </c:numCache>
            </c:numRef>
          </c:val>
        </c:ser>
        <c:ser>
          <c:idx val="3"/>
          <c:order val="3"/>
          <c:tx>
            <c:strRef>
              <c:f>'성과개선 요약'!$Q$90</c:f>
              <c:strCache>
                <c:ptCount val="1"/>
                <c:pt idx="0">
                  <c:v>PPAL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prstMaterial="dkEdge">
              <a:bevelT/>
            </a:sp3d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'성과개선 요약'!$S$16:$V$17</c:f>
              <c:strCache>
                <c:ptCount val="4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</c:strCache>
            </c:strRef>
          </c:cat>
          <c:val>
            <c:numRef>
              <c:f>'성과개선 요약'!$S$95:$V$95</c:f>
              <c:numCache>
                <c:formatCode>0.0_);[Red]\(0.0\)</c:formatCode>
                <c:ptCount val="4"/>
                <c:pt idx="0">
                  <c:v>0</c:v>
                </c:pt>
                <c:pt idx="1">
                  <c:v>2.8333333333333335</c:v>
                </c:pt>
                <c:pt idx="2">
                  <c:v>1.9166666666666667</c:v>
                </c:pt>
                <c:pt idx="3">
                  <c:v>7.6400000000000006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272525952"/>
        <c:axId val="272535936"/>
      </c:barChart>
      <c:lineChart>
        <c:grouping val="standard"/>
        <c:varyColors val="0"/>
        <c:ser>
          <c:idx val="5"/>
          <c:order val="4"/>
          <c:tx>
            <c:strRef>
              <c:f>'성과개선 요약'!$Q$91</c:f>
              <c:strCache>
                <c:ptCount val="1"/>
                <c:pt idx="0">
                  <c:v>합계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'성과개선 요약'!$S$96:$V$96</c:f>
              <c:numCache>
                <c:formatCode>0.0_);[Red]\(0.0\)</c:formatCode>
                <c:ptCount val="4"/>
                <c:pt idx="0">
                  <c:v>80.583333333333329</c:v>
                </c:pt>
                <c:pt idx="1">
                  <c:v>20.166666666666664</c:v>
                </c:pt>
                <c:pt idx="2">
                  <c:v>18.583333333333332</c:v>
                </c:pt>
                <c:pt idx="3">
                  <c:v>41.94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539008"/>
        <c:axId val="272537472"/>
      </c:lineChart>
      <c:catAx>
        <c:axId val="272525952"/>
        <c:scaling>
          <c:orientation val="minMax"/>
        </c:scaling>
        <c:delete val="0"/>
        <c:axPos val="b"/>
        <c:majorGridlines>
          <c:spPr>
            <a:ln w="19050">
              <a:solidFill>
                <a:sysClr val="windowText" lastClr="000000"/>
              </a:solidFill>
            </a:ln>
          </c:spPr>
        </c:majorGridlines>
        <c:minorGridlines>
          <c:spPr>
            <a:ln>
              <a:noFill/>
            </a:ln>
          </c:spPr>
        </c:minorGridlines>
        <c:majorTickMark val="out"/>
        <c:minorTickMark val="none"/>
        <c:tickLblPos val="nextTo"/>
        <c:crossAx val="272535936"/>
        <c:crosses val="autoZero"/>
        <c:auto val="1"/>
        <c:lblAlgn val="ctr"/>
        <c:lblOffset val="100"/>
        <c:noMultiLvlLbl val="0"/>
      </c:catAx>
      <c:valAx>
        <c:axId val="272535936"/>
        <c:scaling>
          <c:orientation val="minMax"/>
          <c:max val="60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272525952"/>
        <c:crosses val="autoZero"/>
        <c:crossBetween val="between"/>
        <c:majorUnit val="10"/>
      </c:valAx>
      <c:valAx>
        <c:axId val="272537472"/>
        <c:scaling>
          <c:orientation val="minMax"/>
          <c:max val="90"/>
          <c:min val="-30"/>
        </c:scaling>
        <c:delete val="0"/>
        <c:axPos val="r"/>
        <c:numFmt formatCode="#,##0_ ;[Red]\-#,##0\ " sourceLinked="0"/>
        <c:majorTickMark val="out"/>
        <c:minorTickMark val="none"/>
        <c:tickLblPos val="nextTo"/>
        <c:crossAx val="272539008"/>
        <c:crosses val="max"/>
        <c:crossBetween val="between"/>
        <c:majorUnit val="30"/>
      </c:valAx>
      <c:catAx>
        <c:axId val="272539008"/>
        <c:scaling>
          <c:orientation val="minMax"/>
        </c:scaling>
        <c:delete val="1"/>
        <c:axPos val="b"/>
        <c:majorTickMark val="out"/>
        <c:minorTickMark val="none"/>
        <c:tickLblPos val="nextTo"/>
        <c:crossAx val="27253747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불량 발생현황</a:t>
            </a:r>
            <a:r>
              <a:rPr lang="en-US" altLang="ko-KR"/>
              <a:t>(</a:t>
            </a:r>
            <a:r>
              <a:rPr lang="ko-KR" altLang="en-US"/>
              <a:t>월평균</a:t>
            </a:r>
            <a:r>
              <a:rPr lang="en-US" altLang="ko-KR"/>
              <a:t>)</a:t>
            </a:r>
            <a:endParaRPr lang="ko-KR" alt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752799310938842E-2"/>
          <c:y val="0.19214161681110398"/>
          <c:w val="0.89714319552110244"/>
          <c:h val="0.61873650194273677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게시판!$A$3</c:f>
              <c:strCache>
                <c:ptCount val="1"/>
                <c:pt idx="0">
                  <c:v>불량 발생현황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게시판!$G$3:$U$3</c:f>
              <c:numCache>
                <c:formatCode>0</c:formatCode>
                <c:ptCount val="15"/>
                <c:pt idx="0">
                  <c:v>48.073333333333345</c:v>
                </c:pt>
                <c:pt idx="1">
                  <c:v>46.855222222222231</c:v>
                </c:pt>
                <c:pt idx="2">
                  <c:v>28.49666666666667</c:v>
                </c:pt>
                <c:pt idx="3">
                  <c:v>21.746666666666666</c:v>
                </c:pt>
                <c:pt idx="4" formatCode="0_);[Red]\(0\)">
                  <c:v>8.9499999999999993</c:v>
                </c:pt>
                <c:pt idx="5" formatCode="0_);[Red]\(0\)">
                  <c:v>43.05</c:v>
                </c:pt>
                <c:pt idx="6" formatCode="0_);[Red]\(0\)">
                  <c:v>33.94</c:v>
                </c:pt>
                <c:pt idx="7" formatCode="0_);[Red]\(0\)">
                  <c:v>4.93</c:v>
                </c:pt>
                <c:pt idx="8" formatCode="0_);[Red]\(0\)">
                  <c:v>36.08</c:v>
                </c:pt>
                <c:pt idx="9" formatCode="0_);[Red]\(0\)">
                  <c:v>44.03</c:v>
                </c:pt>
                <c:pt idx="10" formatCode="0_);[Red]\(0\)">
                  <c:v>28.49666666666667</c:v>
                </c:pt>
                <c:pt idx="11" formatCode="0_);[Red]\(0\)">
                  <c:v>48.01</c:v>
                </c:pt>
                <c:pt idx="12" formatCode="0_);[Red]\(0\)">
                  <c:v>25.689999999999998</c:v>
                </c:pt>
                <c:pt idx="13" formatCode="0_);[Red]\(0\)">
                  <c:v>6.67</c:v>
                </c:pt>
                <c:pt idx="14" formatCode="0_);[Red]\(0\)">
                  <c:v>28.730000000000004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333504"/>
        <c:axId val="302723840"/>
      </c:lineChart>
      <c:catAx>
        <c:axId val="3013335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000" b="1"/>
            </a:pPr>
            <a:endParaRPr lang="ko-KR"/>
          </a:p>
        </c:txPr>
        <c:crossAx val="302723840"/>
        <c:crosses val="autoZero"/>
        <c:auto val="1"/>
        <c:lblAlgn val="ctr"/>
        <c:lblOffset val="100"/>
        <c:noMultiLvlLbl val="0"/>
      </c:catAx>
      <c:valAx>
        <c:axId val="302723840"/>
        <c:scaling>
          <c:orientation val="minMax"/>
          <c:max val="120"/>
        </c:scaling>
        <c:delete val="0"/>
        <c:axPos val="l"/>
        <c:numFmt formatCode="0" sourceLinked="1"/>
        <c:majorTickMark val="out"/>
        <c:minorTickMark val="none"/>
        <c:tickLblPos val="nextTo"/>
        <c:crossAx val="301333504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1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96482939632546E-2"/>
          <c:y val="0.22785315717224916"/>
          <c:w val="0.86979615048118986"/>
          <c:h val="0.60818573818470578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게시판!$A$13</c:f>
              <c:strCache>
                <c:ptCount val="1"/>
                <c:pt idx="0">
                  <c:v>생산량기준 스크랩율(kg/ton)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게시판!$G$13:$U$13</c:f>
              <c:numCache>
                <c:formatCode>0</c:formatCode>
                <c:ptCount val="15"/>
                <c:pt idx="0" formatCode="0.00_ ">
                  <c:v>12.385736463675421</c:v>
                </c:pt>
                <c:pt idx="1">
                  <c:v>12.971205845435003</c:v>
                </c:pt>
                <c:pt idx="2" formatCode="0.00">
                  <c:v>11.153294880542903</c:v>
                </c:pt>
                <c:pt idx="3" formatCode="0.00">
                  <c:v>10.405929742899234</c:v>
                </c:pt>
                <c:pt idx="4" formatCode="0.00">
                  <c:v>10.951006451775244</c:v>
                </c:pt>
                <c:pt idx="5" formatCode="0.00">
                  <c:v>11.218704049800884</c:v>
                </c:pt>
                <c:pt idx="6" formatCode="0.00">
                  <c:v>11.276656661054007</c:v>
                </c:pt>
                <c:pt idx="7" formatCode="0.00">
                  <c:v>10.700503615115984</c:v>
                </c:pt>
                <c:pt idx="8" formatCode="0.00">
                  <c:v>11.133374788210933</c:v>
                </c:pt>
                <c:pt idx="9" formatCode="0.00">
                  <c:v>11.5671145018137</c:v>
                </c:pt>
                <c:pt idx="10" formatCode="0.00_);[Red]\(0.00\)">
                  <c:v>11.153294880542903</c:v>
                </c:pt>
                <c:pt idx="11" formatCode="0.00">
                  <c:v>10.334665196842943</c:v>
                </c:pt>
                <c:pt idx="12" formatCode="0.00">
                  <c:v>12.166273392486781</c:v>
                </c:pt>
                <c:pt idx="13" formatCode="0.00">
                  <c:v>10.5802640186151</c:v>
                </c:pt>
                <c:pt idx="14" formatCode="0.00">
                  <c:v>11.659979025442649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748416"/>
        <c:axId val="302749952"/>
      </c:lineChart>
      <c:catAx>
        <c:axId val="3027484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02749952"/>
        <c:crosses val="autoZero"/>
        <c:auto val="1"/>
        <c:lblAlgn val="ctr"/>
        <c:lblOffset val="100"/>
        <c:noMultiLvlLbl val="0"/>
      </c:catAx>
      <c:valAx>
        <c:axId val="302749952"/>
        <c:scaling>
          <c:orientation val="minMax"/>
          <c:max val="18"/>
          <c:min val="8"/>
        </c:scaling>
        <c:delete val="0"/>
        <c:axPos val="l"/>
        <c:numFmt formatCode="#,##0_);[Red]\(#,##0\)" sourceLinked="0"/>
        <c:majorTickMark val="out"/>
        <c:minorTickMark val="none"/>
        <c:tickLblPos val="nextTo"/>
        <c:crossAx val="302748416"/>
        <c:crosses val="autoZero"/>
        <c:crossBetween val="between"/>
        <c:majorUnit val="2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2787044444444445"/>
          <c:y val="0.20189669594312004"/>
          <c:w val="0.86979615048118986"/>
          <c:h val="0.62750139875956812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게시판!$A$7</c:f>
              <c:strCache>
                <c:ptCount val="1"/>
                <c:pt idx="0">
                  <c:v>Coil형 Scrap 총 발생량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게시판!$G$7:$U$7</c:f>
              <c:numCache>
                <c:formatCode>0</c:formatCode>
                <c:ptCount val="15"/>
                <c:pt idx="0" formatCode="0_);[Red]\(0\)">
                  <c:v>230.67258333333334</c:v>
                </c:pt>
                <c:pt idx="1">
                  <c:v>190.04844444444447</c:v>
                </c:pt>
                <c:pt idx="2">
                  <c:v>129.56816666666666</c:v>
                </c:pt>
                <c:pt idx="3">
                  <c:v>181.73383333333334</c:v>
                </c:pt>
                <c:pt idx="4" formatCode="0_);[Red]\(0\)">
                  <c:v>134.202</c:v>
                </c:pt>
                <c:pt idx="5" formatCode="0_);[Red]\(0\)">
                  <c:v>115.56900000000002</c:v>
                </c:pt>
                <c:pt idx="6" formatCode="0_);[Red]\(0\)">
                  <c:v>210.29</c:v>
                </c:pt>
                <c:pt idx="7" formatCode="0_);[Red]\(0\)">
                  <c:v>136.68799999999999</c:v>
                </c:pt>
                <c:pt idx="8" formatCode="0_);[Red]\(0\)">
                  <c:v>94.961999999999989</c:v>
                </c:pt>
                <c:pt idx="9" formatCode="0_);[Red]\(0\)">
                  <c:v>89.957999999999998</c:v>
                </c:pt>
                <c:pt idx="10" formatCode="0_);[Red]\(0\)">
                  <c:v>130.27816666666666</c:v>
                </c:pt>
                <c:pt idx="11" formatCode="0_);[Red]\(0\)">
                  <c:v>134.096</c:v>
                </c:pt>
                <c:pt idx="12" formatCode="0_);[Red]\(0\)">
                  <c:v>218.887</c:v>
                </c:pt>
                <c:pt idx="13" formatCode="0_);[Red]\(0\)">
                  <c:v>289.96500000000003</c:v>
                </c:pt>
                <c:pt idx="14" formatCode="0_);[Red]\(0\)">
                  <c:v>171.22800000000001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748800"/>
        <c:axId val="306647040"/>
      </c:lineChart>
      <c:catAx>
        <c:axId val="3047488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06647040"/>
        <c:crosses val="autoZero"/>
        <c:auto val="1"/>
        <c:lblAlgn val="ctr"/>
        <c:lblOffset val="100"/>
        <c:noMultiLvlLbl val="0"/>
      </c:catAx>
      <c:valAx>
        <c:axId val="306647040"/>
        <c:scaling>
          <c:orientation val="minMax"/>
          <c:max val="350"/>
          <c:min val="50"/>
        </c:scaling>
        <c:delete val="0"/>
        <c:axPos val="l"/>
        <c:numFmt formatCode="0_);[Red]\(0\)" sourceLinked="1"/>
        <c:majorTickMark val="out"/>
        <c:minorTickMark val="none"/>
        <c:tickLblPos val="nextTo"/>
        <c:crossAx val="304748800"/>
        <c:crosses val="autoZero"/>
        <c:crossBetween val="between"/>
        <c:majorUnit val="5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96482939632546E-2"/>
          <c:y val="0.19304422145837016"/>
          <c:w val="0.86979615048118986"/>
          <c:h val="0.61869078905445241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게시판!$A$8</c:f>
              <c:strCache>
                <c:ptCount val="1"/>
                <c:pt idx="0">
                  <c:v>Scrap(Sheet 형) 발생현황</c:v>
                </c:pt>
              </c:strCache>
            </c:strRef>
          </c:tx>
          <c:dLbls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게시판!$G$8:$U$8</c:f>
              <c:numCache>
                <c:formatCode>0</c:formatCode>
                <c:ptCount val="15"/>
                <c:pt idx="0" formatCode="0_);[Red]\(0\)">
                  <c:v>581.51374999999996</c:v>
                </c:pt>
                <c:pt idx="1">
                  <c:v>611.81652777777765</c:v>
                </c:pt>
                <c:pt idx="2" formatCode="0_);[Red]\(0\)">
                  <c:v>566.81666666666672</c:v>
                </c:pt>
                <c:pt idx="3" formatCode="0_);[Red]\(0\)">
                  <c:v>451.13166666666672</c:v>
                </c:pt>
                <c:pt idx="4" formatCode="0_);[Red]\(0\)">
                  <c:v>566.36</c:v>
                </c:pt>
                <c:pt idx="5" formatCode="0_);[Red]\(0\)">
                  <c:v>584.7299999999999</c:v>
                </c:pt>
                <c:pt idx="6" formatCode="0_);[Red]\(0\)">
                  <c:v>611.78000000000009</c:v>
                </c:pt>
                <c:pt idx="7" formatCode="0_);[Red]\(0\)">
                  <c:v>549.29</c:v>
                </c:pt>
                <c:pt idx="8" formatCode="0_);[Red]\(0\)">
                  <c:v>491.36000000000007</c:v>
                </c:pt>
                <c:pt idx="9" formatCode="0_);[Red]\(0\)">
                  <c:v>597.38</c:v>
                </c:pt>
                <c:pt idx="10" formatCode="0_);[Red]\(0\)">
                  <c:v>566.81666666666672</c:v>
                </c:pt>
                <c:pt idx="11" formatCode="0_);[Red]\(0\)">
                  <c:v>678.85</c:v>
                </c:pt>
                <c:pt idx="12" formatCode="0_);[Red]\(0\)">
                  <c:v>619.64</c:v>
                </c:pt>
                <c:pt idx="13" formatCode="0_);[Red]\(0\)">
                  <c:v>606.07000000000016</c:v>
                </c:pt>
                <c:pt idx="14" formatCode="0_);[Red]\(0\)">
                  <c:v>636.62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19072"/>
        <c:axId val="306820608"/>
      </c:lineChart>
      <c:catAx>
        <c:axId val="3068190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06820608"/>
        <c:crosses val="autoZero"/>
        <c:auto val="1"/>
        <c:lblAlgn val="ctr"/>
        <c:lblOffset val="100"/>
        <c:noMultiLvlLbl val="0"/>
      </c:catAx>
      <c:valAx>
        <c:axId val="306820608"/>
        <c:scaling>
          <c:orientation val="minMax"/>
          <c:max val="700"/>
          <c:min val="400"/>
        </c:scaling>
        <c:delete val="0"/>
        <c:axPos val="l"/>
        <c:numFmt formatCode="0_);[Red]\(0\)" sourceLinked="1"/>
        <c:majorTickMark val="out"/>
        <c:minorTickMark val="none"/>
        <c:tickLblPos val="nextTo"/>
        <c:crossAx val="306819072"/>
        <c:crosses val="autoZero"/>
        <c:crossBetween val="between"/>
        <c:majorUnit val="6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9648237573871826E-2"/>
          <c:y val="0.18531308275841196"/>
          <c:w val="0.86979615048118986"/>
          <c:h val="0.6493445927122885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게시판!$A$12</c:f>
              <c:strCache>
                <c:ptCount val="1"/>
                <c:pt idx="0">
                  <c:v>반품 현황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게시판!$G$12:$U$12</c:f>
              <c:numCache>
                <c:formatCode>0</c:formatCode>
                <c:ptCount val="15"/>
                <c:pt idx="0">
                  <c:v>50.498333333333335</c:v>
                </c:pt>
                <c:pt idx="1">
                  <c:v>29.746583333333334</c:v>
                </c:pt>
                <c:pt idx="2">
                  <c:v>18.976333333333333</c:v>
                </c:pt>
                <c:pt idx="3">
                  <c:v>11.558833333333334</c:v>
                </c:pt>
                <c:pt idx="4" formatCode="0_);[Red]\(0\)">
                  <c:v>31.07</c:v>
                </c:pt>
                <c:pt idx="5" formatCode="0_);[Red]\(0\)">
                  <c:v>15.41</c:v>
                </c:pt>
                <c:pt idx="6" formatCode="0_);[Red]\(0\)">
                  <c:v>21.61</c:v>
                </c:pt>
                <c:pt idx="7" formatCode="0_);[Red]\(0\)">
                  <c:v>4.32</c:v>
                </c:pt>
                <c:pt idx="8" formatCode="0_);[Red]\(0\)">
                  <c:v>23.19</c:v>
                </c:pt>
                <c:pt idx="9" formatCode="0_);[Red]\(0\)">
                  <c:v>18.257999999999999</c:v>
                </c:pt>
                <c:pt idx="10" formatCode="0_);[Red]\(0\)">
                  <c:v>18.976333333333333</c:v>
                </c:pt>
                <c:pt idx="11" formatCode="0_);[Red]\(0\)">
                  <c:v>2.12</c:v>
                </c:pt>
                <c:pt idx="12" formatCode="0_);[Red]\(0\)">
                  <c:v>0</c:v>
                </c:pt>
                <c:pt idx="13" formatCode="0_);[Red]\(0\)">
                  <c:v>4.83</c:v>
                </c:pt>
                <c:pt idx="14" formatCode="0_);[Red]\(0\)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996736"/>
        <c:axId val="306998272"/>
      </c:lineChart>
      <c:catAx>
        <c:axId val="306996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 b="1"/>
            </a:pPr>
            <a:endParaRPr lang="ko-KR"/>
          </a:p>
        </c:txPr>
        <c:crossAx val="306998272"/>
        <c:crosses val="autoZero"/>
        <c:auto val="1"/>
        <c:lblAlgn val="ctr"/>
        <c:lblOffset val="100"/>
        <c:noMultiLvlLbl val="0"/>
      </c:catAx>
      <c:valAx>
        <c:axId val="306998272"/>
        <c:scaling>
          <c:orientation val="minMax"/>
          <c:max val="80"/>
        </c:scaling>
        <c:delete val="0"/>
        <c:axPos val="l"/>
        <c:numFmt formatCode="0" sourceLinked="1"/>
        <c:majorTickMark val="out"/>
        <c:minorTickMark val="none"/>
        <c:tickLblPos val="nextTo"/>
        <c:crossAx val="306996736"/>
        <c:crosses val="autoZero"/>
        <c:crossBetween val="between"/>
        <c:majorUnit val="2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고장건수</a:t>
            </a:r>
            <a:r>
              <a:rPr lang="en-US" altLang="ko-KR" sz="1440" b="1" i="0" u="none" strike="noStrike" baseline="0">
                <a:effectLst/>
              </a:rPr>
              <a:t>(</a:t>
            </a:r>
            <a:r>
              <a:rPr lang="ko-KR" altLang="ko-KR" sz="1440" b="1" i="0" u="none" strike="noStrike" baseline="0">
                <a:effectLst/>
              </a:rPr>
              <a:t>건</a:t>
            </a:r>
            <a:r>
              <a:rPr lang="en-US" altLang="ko-KR" sz="1440" b="1" i="0" u="none" strike="noStrike" baseline="0">
                <a:effectLst/>
              </a:rPr>
              <a:t>)</a:t>
            </a:r>
            <a:endParaRPr lang="ko-KR" alt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9648319053810483E-2"/>
          <c:y val="0.20705675335426568"/>
          <c:w val="0.86979615048118986"/>
          <c:h val="0.60951921890745187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게시판!$A$10</c:f>
              <c:strCache>
                <c:ptCount val="1"/>
                <c:pt idx="0">
                  <c:v>고장건수</c:v>
                </c:pt>
              </c:strCache>
            </c:strRef>
          </c:tx>
          <c:dLbls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게시판!$G$10:$U$10</c:f>
              <c:numCache>
                <c:formatCode>0</c:formatCode>
                <c:ptCount val="15"/>
                <c:pt idx="0">
                  <c:v>5.916666666666667</c:v>
                </c:pt>
                <c:pt idx="1">
                  <c:v>9.4444444444444446</c:v>
                </c:pt>
                <c:pt idx="2">
                  <c:v>5.666666666666667</c:v>
                </c:pt>
                <c:pt idx="3">
                  <c:v>6.333333333333333</c:v>
                </c:pt>
                <c:pt idx="4" formatCode="0_);[Red]\(0\)">
                  <c:v>5</c:v>
                </c:pt>
                <c:pt idx="5" formatCode="0_);[Red]\(0\)">
                  <c:v>9</c:v>
                </c:pt>
                <c:pt idx="6" formatCode="0_);[Red]\(0\)">
                  <c:v>3</c:v>
                </c:pt>
                <c:pt idx="7" formatCode="0_);[Red]\(0\)">
                  <c:v>6</c:v>
                </c:pt>
                <c:pt idx="8" formatCode="0_);[Red]\(0\)">
                  <c:v>4</c:v>
                </c:pt>
                <c:pt idx="9" formatCode="0_);[Red]\(0\)">
                  <c:v>7</c:v>
                </c:pt>
                <c:pt idx="10" formatCode="0_);[Red]\(0\)">
                  <c:v>5.666666666666667</c:v>
                </c:pt>
                <c:pt idx="11" formatCode="0_);[Red]\(0\)">
                  <c:v>6</c:v>
                </c:pt>
                <c:pt idx="12" formatCode="0_);[Red]\(0\)">
                  <c:v>11</c:v>
                </c:pt>
                <c:pt idx="13" formatCode="0_);[Red]\(0\)">
                  <c:v>12</c:v>
                </c:pt>
                <c:pt idx="14" formatCode="0_);[Red]\(0\)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010560"/>
        <c:axId val="307028736"/>
      </c:lineChart>
      <c:catAx>
        <c:axId val="307010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07028736"/>
        <c:crosses val="autoZero"/>
        <c:auto val="1"/>
        <c:lblAlgn val="ctr"/>
        <c:lblOffset val="100"/>
        <c:noMultiLvlLbl val="0"/>
      </c:catAx>
      <c:valAx>
        <c:axId val="307028736"/>
        <c:scaling>
          <c:orientation val="minMax"/>
          <c:max val="15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crossAx val="307010560"/>
        <c:crosses val="autoZero"/>
        <c:crossBetween val="between"/>
        <c:majorUnit val="3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solidFill>
          <a:srgbClr val="00B0F0"/>
        </a:solidFill>
      </c:spPr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게시판!$A$3</c:f>
              <c:strCache>
                <c:ptCount val="1"/>
                <c:pt idx="0">
                  <c:v>불량 발생현황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(게시판!$H$3:$J$3,게시판!$K$3:$P$3,게시판!$R$3:$W$3)</c:f>
              <c:numCache>
                <c:formatCode>0</c:formatCode>
                <c:ptCount val="15"/>
                <c:pt idx="0">
                  <c:v>46.855222222222231</c:v>
                </c:pt>
                <c:pt idx="1">
                  <c:v>28.49666666666667</c:v>
                </c:pt>
                <c:pt idx="2">
                  <c:v>21.746666666666666</c:v>
                </c:pt>
                <c:pt idx="3" formatCode="0_);[Red]\(0\)">
                  <c:v>8.9499999999999993</c:v>
                </c:pt>
                <c:pt idx="4" formatCode="0_);[Red]\(0\)">
                  <c:v>43.05</c:v>
                </c:pt>
                <c:pt idx="5" formatCode="0_);[Red]\(0\)">
                  <c:v>33.94</c:v>
                </c:pt>
                <c:pt idx="6" formatCode="0_);[Red]\(0\)">
                  <c:v>4.93</c:v>
                </c:pt>
                <c:pt idx="7" formatCode="0_);[Red]\(0\)">
                  <c:v>36.08</c:v>
                </c:pt>
                <c:pt idx="8" formatCode="0_);[Red]\(0\)">
                  <c:v>44.03</c:v>
                </c:pt>
                <c:pt idx="9" formatCode="0_);[Red]\(0\)">
                  <c:v>48.01</c:v>
                </c:pt>
                <c:pt idx="10" formatCode="0_);[Red]\(0\)">
                  <c:v>25.689999999999998</c:v>
                </c:pt>
                <c:pt idx="11" formatCode="0_);[Red]\(0\)">
                  <c:v>6.67</c:v>
                </c:pt>
                <c:pt idx="12" formatCode="0_);[Red]\(0\)">
                  <c:v>28.730000000000004</c:v>
                </c:pt>
                <c:pt idx="13" formatCode="0_);[Red]\(0\)">
                  <c:v>6.62</c:v>
                </c:pt>
                <c:pt idx="14" formatCode="0_);[Red]\(0\)">
                  <c:v>14.76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7071616"/>
        <c:axId val="307077504"/>
      </c:barChart>
      <c:catAx>
        <c:axId val="307071616"/>
        <c:scaling>
          <c:orientation val="minMax"/>
        </c:scaling>
        <c:delete val="0"/>
        <c:axPos val="b"/>
        <c:majorTickMark val="out"/>
        <c:minorTickMark val="none"/>
        <c:tickLblPos val="nextTo"/>
        <c:crossAx val="307077504"/>
        <c:crosses val="autoZero"/>
        <c:auto val="1"/>
        <c:lblAlgn val="ctr"/>
        <c:lblOffset val="100"/>
        <c:noMultiLvlLbl val="0"/>
      </c:catAx>
      <c:valAx>
        <c:axId val="307077504"/>
        <c:scaling>
          <c:orientation val="minMax"/>
          <c:max val="12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707161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코일형 스크랩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>
        <c:manualLayout>
          <c:layoutTarget val="inner"/>
          <c:xMode val="edge"/>
          <c:yMode val="edge"/>
          <c:x val="7.477937456055618E-2"/>
          <c:y val="0.23204971438820574"/>
          <c:w val="0.87917744953887711"/>
          <c:h val="0.544198429708137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게시판!$A$4</c:f>
              <c:strCache>
                <c:ptCount val="1"/>
                <c:pt idx="0">
                  <c:v>Coil형 Scrap 발생량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(게시판!$H$4:$J$4,게시판!$K$4:$P$4,게시판!$R$4:$W$4)</c:f>
              <c:numCache>
                <c:formatCode>0</c:formatCode>
                <c:ptCount val="15"/>
                <c:pt idx="0">
                  <c:v>149.91391666666667</c:v>
                </c:pt>
                <c:pt idx="1">
                  <c:v>79.964833333333331</c:v>
                </c:pt>
                <c:pt idx="2">
                  <c:v>77.182000000000002</c:v>
                </c:pt>
                <c:pt idx="3" formatCode="0_);[Red]\(0\)">
                  <c:v>70.322000000000003</c:v>
                </c:pt>
                <c:pt idx="4" formatCode="0_);[Red]\(0\)">
                  <c:v>64.539000000000001</c:v>
                </c:pt>
                <c:pt idx="5" formatCode="0_);[Red]\(0\)">
                  <c:v>111.50999999999999</c:v>
                </c:pt>
                <c:pt idx="6" formatCode="0_);[Red]\(0\)">
                  <c:v>73.018000000000001</c:v>
                </c:pt>
                <c:pt idx="7" formatCode="0_);[Red]\(0\)">
                  <c:v>85.221999999999994</c:v>
                </c:pt>
                <c:pt idx="8" formatCode="0_);[Red]\(0\)">
                  <c:v>75.177999999999997</c:v>
                </c:pt>
                <c:pt idx="9" formatCode="0_);[Red]\(0\)">
                  <c:v>62.766000000000005</c:v>
                </c:pt>
                <c:pt idx="10" formatCode="0_);[Red]\(0\)">
                  <c:v>129.31299999999999</c:v>
                </c:pt>
                <c:pt idx="11" formatCode="0_);[Red]\(0\)">
                  <c:v>77.111999999999995</c:v>
                </c:pt>
                <c:pt idx="12" formatCode="0_);[Red]\(0\)">
                  <c:v>96.396000000000001</c:v>
                </c:pt>
                <c:pt idx="13" formatCode="0_);[Red]\(0\)">
                  <c:v>47.2</c:v>
                </c:pt>
                <c:pt idx="14" formatCode="0_);[Red]\(0\)">
                  <c:v>50.305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7308800"/>
        <c:axId val="307322880"/>
      </c:barChart>
      <c:catAx>
        <c:axId val="307308800"/>
        <c:scaling>
          <c:orientation val="minMax"/>
        </c:scaling>
        <c:delete val="0"/>
        <c:axPos val="b"/>
        <c:majorTickMark val="out"/>
        <c:minorTickMark val="none"/>
        <c:tickLblPos val="nextTo"/>
        <c:crossAx val="307322880"/>
        <c:crosses val="autoZero"/>
        <c:auto val="1"/>
        <c:lblAlgn val="ctr"/>
        <c:lblOffset val="100"/>
        <c:noMultiLvlLbl val="0"/>
      </c:catAx>
      <c:valAx>
        <c:axId val="307322880"/>
        <c:scaling>
          <c:orientation val="minMax"/>
          <c:max val="2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7308800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쉬트형 스크랩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게시판!$A$8</c:f>
              <c:strCache>
                <c:ptCount val="1"/>
                <c:pt idx="0">
                  <c:v>Scrap(Sheet 형) 발생현황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(게시판!$H$8:$J$8,게시판!$K$8:$P$8,게시판!$R$8:$W$8)</c:f>
              <c:numCache>
                <c:formatCode>0_);[Red]\(0\)</c:formatCode>
                <c:ptCount val="15"/>
                <c:pt idx="0" formatCode="0">
                  <c:v>611.81652777777765</c:v>
                </c:pt>
                <c:pt idx="1">
                  <c:v>566.81666666666672</c:v>
                </c:pt>
                <c:pt idx="2">
                  <c:v>451.13166666666672</c:v>
                </c:pt>
                <c:pt idx="3">
                  <c:v>566.36</c:v>
                </c:pt>
                <c:pt idx="4">
                  <c:v>584.7299999999999</c:v>
                </c:pt>
                <c:pt idx="5">
                  <c:v>611.78000000000009</c:v>
                </c:pt>
                <c:pt idx="6">
                  <c:v>549.29</c:v>
                </c:pt>
                <c:pt idx="7">
                  <c:v>491.36000000000007</c:v>
                </c:pt>
                <c:pt idx="8">
                  <c:v>597.38</c:v>
                </c:pt>
                <c:pt idx="9">
                  <c:v>678.85</c:v>
                </c:pt>
                <c:pt idx="10">
                  <c:v>619.64</c:v>
                </c:pt>
                <c:pt idx="11">
                  <c:v>606.07000000000016</c:v>
                </c:pt>
                <c:pt idx="12">
                  <c:v>636.62</c:v>
                </c:pt>
                <c:pt idx="13">
                  <c:v>109.02000000000001</c:v>
                </c:pt>
                <c:pt idx="14">
                  <c:v>56.589999999999996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7361664"/>
        <c:axId val="307363200"/>
      </c:barChart>
      <c:catAx>
        <c:axId val="307361664"/>
        <c:scaling>
          <c:orientation val="minMax"/>
        </c:scaling>
        <c:delete val="0"/>
        <c:axPos val="b"/>
        <c:majorTickMark val="out"/>
        <c:minorTickMark val="none"/>
        <c:tickLblPos val="nextTo"/>
        <c:crossAx val="307363200"/>
        <c:crosses val="autoZero"/>
        <c:auto val="1"/>
        <c:lblAlgn val="ctr"/>
        <c:lblOffset val="100"/>
        <c:noMultiLvlLbl val="0"/>
      </c:catAx>
      <c:valAx>
        <c:axId val="307363200"/>
        <c:scaling>
          <c:orientation val="minMax"/>
          <c:max val="8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7361664"/>
        <c:crosses val="autoZero"/>
        <c:crossBetween val="between"/>
        <c:majorUnit val="2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solidFill>
          <a:srgbClr val="00B0F0"/>
        </a:solidFill>
      </c:spPr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게시판!$A$12</c:f>
              <c:strCache>
                <c:ptCount val="1"/>
                <c:pt idx="0">
                  <c:v>반품 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(게시판!$H$12:$J$12,게시판!$K$12:$P$12,게시판!$R$12:$W$12)</c:f>
              <c:numCache>
                <c:formatCode>0</c:formatCode>
                <c:ptCount val="15"/>
                <c:pt idx="0">
                  <c:v>29.746583333333334</c:v>
                </c:pt>
                <c:pt idx="1">
                  <c:v>18.976333333333333</c:v>
                </c:pt>
                <c:pt idx="2">
                  <c:v>11.558833333333334</c:v>
                </c:pt>
                <c:pt idx="3" formatCode="0_);[Red]\(0\)">
                  <c:v>31.07</c:v>
                </c:pt>
                <c:pt idx="4" formatCode="0_);[Red]\(0\)">
                  <c:v>15.41</c:v>
                </c:pt>
                <c:pt idx="5" formatCode="0_);[Red]\(0\)">
                  <c:v>21.61</c:v>
                </c:pt>
                <c:pt idx="6" formatCode="0_);[Red]\(0\)">
                  <c:v>4.32</c:v>
                </c:pt>
                <c:pt idx="7" formatCode="0_);[Red]\(0\)">
                  <c:v>23.19</c:v>
                </c:pt>
                <c:pt idx="8" formatCode="0_);[Red]\(0\)">
                  <c:v>18.257999999999999</c:v>
                </c:pt>
                <c:pt idx="9" formatCode="0_);[Red]\(0\)">
                  <c:v>2.12</c:v>
                </c:pt>
                <c:pt idx="10" formatCode="0_);[Red]\(0\)">
                  <c:v>0</c:v>
                </c:pt>
                <c:pt idx="11" formatCode="0_);[Red]\(0\)">
                  <c:v>4.83</c:v>
                </c:pt>
                <c:pt idx="12" formatCode="0_);[Red]\(0\)">
                  <c:v>0</c:v>
                </c:pt>
                <c:pt idx="13" formatCode="0_);[Red]\(0\)">
                  <c:v>19.873000000000001</c:v>
                </c:pt>
                <c:pt idx="14" formatCode="0_);[Red]\(0\)">
                  <c:v>42.53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7418624"/>
        <c:axId val="307420160"/>
      </c:barChart>
      <c:catAx>
        <c:axId val="307418624"/>
        <c:scaling>
          <c:orientation val="minMax"/>
        </c:scaling>
        <c:delete val="0"/>
        <c:axPos val="b"/>
        <c:majorTickMark val="out"/>
        <c:minorTickMark val="none"/>
        <c:tickLblPos val="nextTo"/>
        <c:crossAx val="307420160"/>
        <c:crosses val="autoZero"/>
        <c:auto val="1"/>
        <c:lblAlgn val="ctr"/>
        <c:lblOffset val="100"/>
        <c:noMultiLvlLbl val="0"/>
      </c:catAx>
      <c:valAx>
        <c:axId val="307420160"/>
        <c:scaling>
          <c:orientation val="minMax"/>
          <c:max val="8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7418624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고장시간 및 건수현황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게시판!$A$9</c:f>
              <c:strCache>
                <c:ptCount val="1"/>
                <c:pt idx="0">
                  <c:v>고장시간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(게시판!$H$9:$J$9,게시판!$K$9:$P$9,게시판!$R$9:$W$9)</c:f>
              <c:numCache>
                <c:formatCode>0</c:formatCode>
                <c:ptCount val="15"/>
                <c:pt idx="0">
                  <c:v>17.526388888888892</c:v>
                </c:pt>
                <c:pt idx="1">
                  <c:v>9.0111111111111111</c:v>
                </c:pt>
                <c:pt idx="2">
                  <c:v>15.208333333333336</c:v>
                </c:pt>
                <c:pt idx="3" formatCode="0_);[Red]\(0\)">
                  <c:v>7.3333333333333339</c:v>
                </c:pt>
                <c:pt idx="4" formatCode="0_);[Red]\(0\)">
                  <c:v>15.416666666666668</c:v>
                </c:pt>
                <c:pt idx="5" formatCode="0_);[Red]\(0\)">
                  <c:v>2.083333333333333</c:v>
                </c:pt>
                <c:pt idx="6" formatCode="0_);[Red]\(0\)">
                  <c:v>9.1833333333333336</c:v>
                </c:pt>
                <c:pt idx="7" formatCode="0_);[Red]\(0\)">
                  <c:v>10.3</c:v>
                </c:pt>
                <c:pt idx="8" formatCode="0_);[Red]\(0\)">
                  <c:v>9.75</c:v>
                </c:pt>
                <c:pt idx="9" formatCode="0_);[Red]\(0\)">
                  <c:v>15.333333333333334</c:v>
                </c:pt>
                <c:pt idx="10" formatCode="0_);[Red]\(0\)">
                  <c:v>27.583333333333336</c:v>
                </c:pt>
                <c:pt idx="11" formatCode="0_);[Red]\(0\)">
                  <c:v>23.35</c:v>
                </c:pt>
                <c:pt idx="12" formatCode="0_);[Red]\(0\)">
                  <c:v>10</c:v>
                </c:pt>
                <c:pt idx="13" formatCode="0_);[Red]\(0\)">
                  <c:v>3.15</c:v>
                </c:pt>
                <c:pt idx="14" formatCode="0_);[Red]\(0\)">
                  <c:v>11.833333333333334</c:v>
                </c:pt>
              </c:numCache>
            </c:numRef>
          </c:val>
        </c:ser>
        <c:ser>
          <c:idx val="2"/>
          <c:order val="1"/>
          <c:tx>
            <c:strRef>
              <c:f>게시판!$A$10</c:f>
              <c:strCache>
                <c:ptCount val="1"/>
                <c:pt idx="0">
                  <c:v>고장건수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(게시판!$H$10:$J$10,게시판!$K$10:$P$10,게시판!$R$10:$W$10)</c:f>
              <c:numCache>
                <c:formatCode>0</c:formatCode>
                <c:ptCount val="15"/>
                <c:pt idx="0">
                  <c:v>9.4444444444444446</c:v>
                </c:pt>
                <c:pt idx="1">
                  <c:v>5.666666666666667</c:v>
                </c:pt>
                <c:pt idx="2">
                  <c:v>6.333333333333333</c:v>
                </c:pt>
                <c:pt idx="3" formatCode="0_);[Red]\(0\)">
                  <c:v>5</c:v>
                </c:pt>
                <c:pt idx="4" formatCode="0_);[Red]\(0\)">
                  <c:v>9</c:v>
                </c:pt>
                <c:pt idx="5" formatCode="0_);[Red]\(0\)">
                  <c:v>3</c:v>
                </c:pt>
                <c:pt idx="6" formatCode="0_);[Red]\(0\)">
                  <c:v>6</c:v>
                </c:pt>
                <c:pt idx="7" formatCode="0_);[Red]\(0\)">
                  <c:v>4</c:v>
                </c:pt>
                <c:pt idx="8" formatCode="0_);[Red]\(0\)">
                  <c:v>7</c:v>
                </c:pt>
                <c:pt idx="9" formatCode="0_);[Red]\(0\)">
                  <c:v>6</c:v>
                </c:pt>
                <c:pt idx="10" formatCode="0_);[Red]\(0\)">
                  <c:v>11</c:v>
                </c:pt>
                <c:pt idx="11" formatCode="0_);[Red]\(0\)">
                  <c:v>12</c:v>
                </c:pt>
                <c:pt idx="12" formatCode="0_);[Red]\(0\)">
                  <c:v>4</c:v>
                </c:pt>
                <c:pt idx="13" formatCode="0_);[Red]\(0\)">
                  <c:v>1</c:v>
                </c:pt>
                <c:pt idx="14" formatCode="0_);[Red]\(0\)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678272"/>
        <c:axId val="310679808"/>
      </c:barChart>
      <c:catAx>
        <c:axId val="310678272"/>
        <c:scaling>
          <c:orientation val="minMax"/>
        </c:scaling>
        <c:delete val="0"/>
        <c:axPos val="b"/>
        <c:majorTickMark val="out"/>
        <c:minorTickMark val="none"/>
        <c:tickLblPos val="nextTo"/>
        <c:crossAx val="310679808"/>
        <c:crosses val="autoZero"/>
        <c:auto val="1"/>
        <c:lblAlgn val="ctr"/>
        <c:lblOffset val="100"/>
        <c:noMultiLvlLbl val="0"/>
      </c:catAx>
      <c:valAx>
        <c:axId val="310679808"/>
        <c:scaling>
          <c:orientation val="minMax"/>
          <c:max val="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0678272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게시판!$A$15</c:f>
              <c:strCache>
                <c:ptCount val="1"/>
                <c:pt idx="0">
                  <c:v>CPL 스크랩 발생율(kg/ton)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numFmt formatCode="#,##0.00_);[Red]\(#,##0.00\)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게시판!$H$15:$W$15</c:f>
              <c:numCache>
                <c:formatCode>0.00</c:formatCode>
                <c:ptCount val="16"/>
                <c:pt idx="0" formatCode="0">
                  <c:v>19.060872349442796</c:v>
                </c:pt>
                <c:pt idx="1">
                  <c:v>16.708993046535877</c:v>
                </c:pt>
                <c:pt idx="2">
                  <c:v>0</c:v>
                </c:pt>
                <c:pt idx="3">
                  <c:v>16.117583452177431</c:v>
                </c:pt>
                <c:pt idx="4">
                  <c:v>15.810144154059294</c:v>
                </c:pt>
                <c:pt idx="5">
                  <c:v>16.691915436366799</c:v>
                </c:pt>
                <c:pt idx="6">
                  <c:v>15.989759151119998</c:v>
                </c:pt>
                <c:pt idx="7">
                  <c:v>17.495595460002217</c:v>
                </c:pt>
                <c:pt idx="8">
                  <c:v>18.148960625489512</c:v>
                </c:pt>
                <c:pt idx="9" formatCode="0_);[Red]\(0\)">
                  <c:v>16.708993046535877</c:v>
                </c:pt>
                <c:pt idx="10">
                  <c:v>15.613293267466792</c:v>
                </c:pt>
                <c:pt idx="11">
                  <c:v>19.668914268918403</c:v>
                </c:pt>
                <c:pt idx="12">
                  <c:v>15.874494733258715</c:v>
                </c:pt>
                <c:pt idx="13">
                  <c:v>17.37671232563617</c:v>
                </c:pt>
                <c:pt idx="14">
                  <c:v>16.09244727807749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726656"/>
        <c:axId val="310728192"/>
      </c:barChart>
      <c:catAx>
        <c:axId val="31072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0728192"/>
        <c:crosses val="autoZero"/>
        <c:auto val="1"/>
        <c:lblAlgn val="ctr"/>
        <c:lblOffset val="100"/>
        <c:noMultiLvlLbl val="0"/>
      </c:catAx>
      <c:valAx>
        <c:axId val="310728192"/>
        <c:scaling>
          <c:orientation val="minMax"/>
          <c:max val="25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0726656"/>
        <c:crosses val="autoZero"/>
        <c:crossBetween val="between"/>
        <c:majorUnit val="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게시판!$A$16</c:f>
              <c:strCache>
                <c:ptCount val="1"/>
                <c:pt idx="0">
                  <c:v>CRM 스크랩 발생율(kg/ton)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게시판!$H$16:$W$16</c:f>
              <c:numCache>
                <c:formatCode>0.00</c:formatCode>
                <c:ptCount val="16"/>
                <c:pt idx="0" formatCode="0">
                  <c:v>19.961439139456015</c:v>
                </c:pt>
                <c:pt idx="1">
                  <c:v>17.7176952699396</c:v>
                </c:pt>
                <c:pt idx="2">
                  <c:v>0</c:v>
                </c:pt>
                <c:pt idx="3">
                  <c:v>17.213096861768914</c:v>
                </c:pt>
                <c:pt idx="4">
                  <c:v>18.388073523050586</c:v>
                </c:pt>
                <c:pt idx="5">
                  <c:v>18.569670429571246</c:v>
                </c:pt>
                <c:pt idx="6">
                  <c:v>17.50057908709956</c:v>
                </c:pt>
                <c:pt idx="7">
                  <c:v>16.821347487603838</c:v>
                </c:pt>
                <c:pt idx="8">
                  <c:v>17.813404230543448</c:v>
                </c:pt>
                <c:pt idx="9" formatCode="0_);[Red]\(0\)">
                  <c:v>17.7176952699396</c:v>
                </c:pt>
                <c:pt idx="10">
                  <c:v>16.945487880937161</c:v>
                </c:pt>
                <c:pt idx="11">
                  <c:v>17.706311287922194</c:v>
                </c:pt>
                <c:pt idx="12">
                  <c:v>15.912798234697972</c:v>
                </c:pt>
                <c:pt idx="13">
                  <c:v>18.353951421459108</c:v>
                </c:pt>
                <c:pt idx="14">
                  <c:v>34.556354304620861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753920"/>
        <c:axId val="310755712"/>
      </c:barChart>
      <c:catAx>
        <c:axId val="310753920"/>
        <c:scaling>
          <c:orientation val="minMax"/>
        </c:scaling>
        <c:delete val="0"/>
        <c:axPos val="b"/>
        <c:majorTickMark val="out"/>
        <c:minorTickMark val="none"/>
        <c:tickLblPos val="nextTo"/>
        <c:crossAx val="310755712"/>
        <c:crosses val="autoZero"/>
        <c:auto val="1"/>
        <c:lblAlgn val="ctr"/>
        <c:lblOffset val="100"/>
        <c:noMultiLvlLbl val="0"/>
      </c:catAx>
      <c:valAx>
        <c:axId val="310755712"/>
        <c:scaling>
          <c:orientation val="minMax"/>
          <c:max val="3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0753920"/>
        <c:crosses val="autoZero"/>
        <c:crossBetween val="between"/>
        <c:majorUnit val="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ko-KR" sz="1800" b="1" baseline="0">
                <a:effectLst/>
              </a:rPr>
              <a:t>CGL </a:t>
            </a:r>
            <a:r>
              <a:rPr lang="ko-KR" altLang="ko-KR" sz="1800" b="1" baseline="0">
                <a:effectLst/>
              </a:rPr>
              <a:t>불량 및 코일형 </a:t>
            </a:r>
            <a:r>
              <a:rPr lang="en-US" altLang="ko-KR" sz="1800" b="1">
                <a:effectLst/>
              </a:rPr>
              <a:t>Scrap </a:t>
            </a:r>
            <a:r>
              <a:rPr lang="ko-KR" altLang="ko-KR" sz="1800" b="1">
                <a:effectLst/>
              </a:rPr>
              <a:t>현황</a:t>
            </a:r>
            <a:endParaRPr lang="ko-KR" altLang="ko-KR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게시판!$B$17</c:f>
              <c:strCache>
                <c:ptCount val="1"/>
                <c:pt idx="0">
                  <c:v>불량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게시판!$H$17:$W$17</c:f>
              <c:numCache>
                <c:formatCode>0</c:formatCode>
                <c:ptCount val="16"/>
                <c:pt idx="0">
                  <c:v>28.468333333333337</c:v>
                </c:pt>
                <c:pt idx="1">
                  <c:v>22.666666666666668</c:v>
                </c:pt>
                <c:pt idx="2">
                  <c:v>11.588333333333333</c:v>
                </c:pt>
                <c:pt idx="3" formatCode="0_);[Red]\(0\)">
                  <c:v>4.84</c:v>
                </c:pt>
                <c:pt idx="4" formatCode="0_);[Red]\(0\)">
                  <c:v>41.36</c:v>
                </c:pt>
                <c:pt idx="5" formatCode="0_);[Red]\(0\)">
                  <c:v>22.59</c:v>
                </c:pt>
                <c:pt idx="6" formatCode="0_);[Red]\(0\)">
                  <c:v>0</c:v>
                </c:pt>
                <c:pt idx="7" formatCode="0_);[Red]\(0\)">
                  <c:v>26.65</c:v>
                </c:pt>
                <c:pt idx="8" formatCode="0_);[Red]\(0\)">
                  <c:v>40.56</c:v>
                </c:pt>
                <c:pt idx="9" formatCode="0_);[Red]\(0\)">
                  <c:v>22.666666666666668</c:v>
                </c:pt>
                <c:pt idx="10" formatCode="0_);[Red]\(0\)">
                  <c:v>37.85</c:v>
                </c:pt>
                <c:pt idx="11" formatCode="0_);[Red]\(0\)">
                  <c:v>7.47</c:v>
                </c:pt>
                <c:pt idx="12" formatCode="0_);[Red]\(0\)">
                  <c:v>0</c:v>
                </c:pt>
                <c:pt idx="13" formatCode="0_);[Red]\(0\)">
                  <c:v>24.21</c:v>
                </c:pt>
                <c:pt idx="14" formatCode="0_);[Red]\(0\)">
                  <c:v>0</c:v>
                </c:pt>
                <c:pt idx="15" formatCode="0_);[Red]\(0\)">
                  <c:v>0</c:v>
                </c:pt>
              </c:numCache>
            </c:numRef>
          </c:val>
        </c:ser>
        <c:ser>
          <c:idx val="2"/>
          <c:order val="1"/>
          <c:tx>
            <c:strRef>
              <c:f>게시판!$B$18</c:f>
              <c:strCache>
                <c:ptCount val="1"/>
                <c:pt idx="0">
                  <c:v>코일형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게시판!$H$18:$W$18</c:f>
              <c:numCache>
                <c:formatCode>0</c:formatCode>
                <c:ptCount val="16"/>
                <c:pt idx="0">
                  <c:v>0</c:v>
                </c:pt>
                <c:pt idx="1">
                  <c:v>63.126666666666672</c:v>
                </c:pt>
                <c:pt idx="2">
                  <c:v>0</c:v>
                </c:pt>
                <c:pt idx="3" formatCode="0_);[Red]\(0\)">
                  <c:v>0</c:v>
                </c:pt>
                <c:pt idx="4" formatCode="0_);[Red]\(0\)">
                  <c:v>0</c:v>
                </c:pt>
                <c:pt idx="5" formatCode="0_);[Red]\(0\)">
                  <c:v>0</c:v>
                </c:pt>
                <c:pt idx="6" formatCode="0_);[Red]\(0\)">
                  <c:v>0</c:v>
                </c:pt>
                <c:pt idx="7" formatCode="0_);[Red]\(0\)">
                  <c:v>0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_);[Red]\(0\)">
                  <c:v>0</c:v>
                </c:pt>
                <c:pt idx="11" formatCode="0_);[Red]\(0\)">
                  <c:v>0</c:v>
                </c:pt>
                <c:pt idx="12" formatCode="0_);[Red]\(0\)">
                  <c:v>0</c:v>
                </c:pt>
                <c:pt idx="13" formatCode="0_);[Red]\(0\)">
                  <c:v>0</c:v>
                </c:pt>
                <c:pt idx="14" formatCode="0_);[Red]\(0\)">
                  <c:v>0</c:v>
                </c:pt>
                <c:pt idx="15" formatCode="0_);[Red]\(0\)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773632"/>
        <c:axId val="310775168"/>
      </c:barChart>
      <c:catAx>
        <c:axId val="31077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310775168"/>
        <c:crosses val="autoZero"/>
        <c:auto val="1"/>
        <c:lblAlgn val="ctr"/>
        <c:lblOffset val="100"/>
        <c:noMultiLvlLbl val="0"/>
      </c:catAx>
      <c:valAx>
        <c:axId val="310775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0773632"/>
        <c:crosses val="autoZero"/>
        <c:crossBetween val="between"/>
        <c:majorUnit val="3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ko-KR" sz="1800" b="1" baseline="0">
                <a:effectLst/>
              </a:rPr>
              <a:t>1CCL </a:t>
            </a:r>
            <a:r>
              <a:rPr lang="ko-KR" altLang="en-US" sz="1800" b="1" baseline="0">
                <a:effectLst/>
              </a:rPr>
              <a:t>인출</a:t>
            </a:r>
            <a:r>
              <a:rPr lang="ko-KR" altLang="ko-KR" sz="1800" b="1" baseline="0">
                <a:effectLst/>
              </a:rPr>
              <a:t> 및 </a:t>
            </a:r>
            <a:r>
              <a:rPr lang="en-US" altLang="ko-KR" sz="1800" b="1" baseline="0">
                <a:effectLst/>
              </a:rPr>
              <a:t>SHEET</a:t>
            </a:r>
            <a:r>
              <a:rPr lang="ko-KR" altLang="ko-KR" sz="1800" b="1" baseline="0">
                <a:effectLst/>
              </a:rPr>
              <a:t>형 </a:t>
            </a:r>
            <a:r>
              <a:rPr lang="en-US" altLang="ko-KR" sz="1800" b="1">
                <a:effectLst/>
              </a:rPr>
              <a:t>Scrap </a:t>
            </a:r>
            <a:r>
              <a:rPr lang="ko-KR" altLang="ko-KR" sz="1800" b="1">
                <a:effectLst/>
              </a:rPr>
              <a:t>현황</a:t>
            </a:r>
            <a:endParaRPr lang="ko-KR" altLang="ko-KR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게시판!$B$19</c:f>
              <c:strCache>
                <c:ptCount val="1"/>
                <c:pt idx="0">
                  <c:v>인출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게시판!$H$19:$W$19</c:f>
              <c:numCache>
                <c:formatCode>0</c:formatCode>
                <c:ptCount val="16"/>
                <c:pt idx="0">
                  <c:v>0</c:v>
                </c:pt>
                <c:pt idx="1">
                  <c:v>6.6749999999999998</c:v>
                </c:pt>
                <c:pt idx="2">
                  <c:v>0</c:v>
                </c:pt>
                <c:pt idx="3" formatCode="0_);[Red]\(0\)">
                  <c:v>0</c:v>
                </c:pt>
                <c:pt idx="4" formatCode="0_);[Red]\(0\)">
                  <c:v>0</c:v>
                </c:pt>
                <c:pt idx="5" formatCode="0_);[Red]\(0\)">
                  <c:v>0</c:v>
                </c:pt>
                <c:pt idx="6" formatCode="0_);[Red]\(0\)">
                  <c:v>0</c:v>
                </c:pt>
                <c:pt idx="7" formatCode="0_);[Red]\(0\)">
                  <c:v>0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_);[Red]\(0\)">
                  <c:v>0</c:v>
                </c:pt>
                <c:pt idx="11" formatCode="0_);[Red]\(0\)">
                  <c:v>0</c:v>
                </c:pt>
                <c:pt idx="12" formatCode="0_);[Red]\(0\)">
                  <c:v>0</c:v>
                </c:pt>
                <c:pt idx="13" formatCode="0_);[Red]\(0\)">
                  <c:v>0</c:v>
                </c:pt>
                <c:pt idx="14" formatCode="0_);[Red]\(0\)">
                  <c:v>0</c:v>
                </c:pt>
                <c:pt idx="15" formatCode="0_);[Red]\(0\)">
                  <c:v>0</c:v>
                </c:pt>
              </c:numCache>
            </c:numRef>
          </c:val>
        </c:ser>
        <c:ser>
          <c:idx val="2"/>
          <c:order val="1"/>
          <c:tx>
            <c:strRef>
              <c:f>게시판!$B$20</c:f>
              <c:strCache>
                <c:ptCount val="1"/>
                <c:pt idx="0">
                  <c:v>Sheet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게시판!$H$20:$W$20</c:f>
              <c:numCache>
                <c:formatCode>0</c:formatCode>
                <c:ptCount val="16"/>
                <c:pt idx="0">
                  <c:v>40.833958333333335</c:v>
                </c:pt>
                <c:pt idx="1">
                  <c:v>39.173333333333339</c:v>
                </c:pt>
                <c:pt idx="2">
                  <c:v>40.046666666666674</c:v>
                </c:pt>
                <c:pt idx="3" formatCode="0_);[Red]\(0\)">
                  <c:v>50.5</c:v>
                </c:pt>
                <c:pt idx="4" formatCode="0_);[Red]\(0\)">
                  <c:v>29.68</c:v>
                </c:pt>
                <c:pt idx="5" formatCode="0_);[Red]\(0\)">
                  <c:v>34.93</c:v>
                </c:pt>
                <c:pt idx="6" formatCode="0_);[Red]\(0\)">
                  <c:v>39.979999999999997</c:v>
                </c:pt>
                <c:pt idx="7" formatCode="0_);[Red]\(0\)">
                  <c:v>32.44</c:v>
                </c:pt>
                <c:pt idx="8" formatCode="0_);[Red]\(0\)">
                  <c:v>37.299999999999997</c:v>
                </c:pt>
                <c:pt idx="9" formatCode="0_);[Red]\(0\)">
                  <c:v>37.471666666666664</c:v>
                </c:pt>
                <c:pt idx="10" formatCode="0_);[Red]\(0\)">
                  <c:v>50.38</c:v>
                </c:pt>
                <c:pt idx="11" formatCode="0_);[Red]\(0\)">
                  <c:v>25.17</c:v>
                </c:pt>
                <c:pt idx="12" formatCode="0_);[Red]\(0\)">
                  <c:v>40.65</c:v>
                </c:pt>
                <c:pt idx="13" formatCode="0_);[Red]\(0\)">
                  <c:v>23.59</c:v>
                </c:pt>
                <c:pt idx="14" formatCode="0_);[Red]\(0\)">
                  <c:v>36.479999999999997</c:v>
                </c:pt>
                <c:pt idx="15" formatCode="0_);[Red]\(0\)">
                  <c:v>64.010000000000005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1010432"/>
        <c:axId val="311011968"/>
      </c:barChart>
      <c:catAx>
        <c:axId val="31101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311011968"/>
        <c:crosses val="autoZero"/>
        <c:auto val="1"/>
        <c:lblAlgn val="ctr"/>
        <c:lblOffset val="100"/>
        <c:noMultiLvlLbl val="0"/>
      </c:catAx>
      <c:valAx>
        <c:axId val="311011968"/>
        <c:scaling>
          <c:orientation val="minMax"/>
          <c:max val="8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1010432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ko-KR" sz="1800" b="1" baseline="0">
                <a:effectLst/>
              </a:rPr>
              <a:t>2CCL </a:t>
            </a:r>
            <a:r>
              <a:rPr lang="ko-KR" altLang="en-US" sz="1800" b="1" baseline="0">
                <a:effectLst/>
              </a:rPr>
              <a:t>인출</a:t>
            </a:r>
            <a:r>
              <a:rPr lang="ko-KR" altLang="ko-KR" sz="1800" b="1" baseline="0">
                <a:effectLst/>
              </a:rPr>
              <a:t> 및 </a:t>
            </a:r>
            <a:r>
              <a:rPr lang="en-US" altLang="ko-KR" sz="1800" b="1" baseline="0">
                <a:effectLst/>
              </a:rPr>
              <a:t>SHEET</a:t>
            </a:r>
            <a:r>
              <a:rPr lang="ko-KR" altLang="ko-KR" sz="1800" b="1" baseline="0">
                <a:effectLst/>
              </a:rPr>
              <a:t>형 </a:t>
            </a:r>
            <a:r>
              <a:rPr lang="en-US" altLang="ko-KR" sz="1800" b="1">
                <a:effectLst/>
              </a:rPr>
              <a:t>Scrap </a:t>
            </a:r>
            <a:r>
              <a:rPr lang="ko-KR" altLang="ko-KR" sz="1800" b="1">
                <a:effectLst/>
              </a:rPr>
              <a:t>현황</a:t>
            </a:r>
            <a:endParaRPr lang="ko-KR" altLang="ko-KR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게시판!$B$21</c:f>
              <c:strCache>
                <c:ptCount val="1"/>
                <c:pt idx="0">
                  <c:v>인출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게시판!$H$21:$W$21</c:f>
              <c:numCache>
                <c:formatCode>0</c:formatCode>
                <c:ptCount val="16"/>
                <c:pt idx="0">
                  <c:v>0</c:v>
                </c:pt>
                <c:pt idx="1">
                  <c:v>11.7735</c:v>
                </c:pt>
                <c:pt idx="2">
                  <c:v>0</c:v>
                </c:pt>
                <c:pt idx="3" formatCode="0_);[Red]\(0\)">
                  <c:v>0</c:v>
                </c:pt>
                <c:pt idx="4" formatCode="0_);[Red]\(0\)">
                  <c:v>0</c:v>
                </c:pt>
                <c:pt idx="5" formatCode="0_);[Red]\(0\)">
                  <c:v>0</c:v>
                </c:pt>
                <c:pt idx="6" formatCode="0_);[Red]\(0\)">
                  <c:v>0</c:v>
                </c:pt>
                <c:pt idx="7" formatCode="0_);[Red]\(0\)">
                  <c:v>0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_);[Red]\(0\)">
                  <c:v>0</c:v>
                </c:pt>
                <c:pt idx="11" formatCode="0_);[Red]\(0\)">
                  <c:v>0</c:v>
                </c:pt>
                <c:pt idx="12" formatCode="0_);[Red]\(0\)">
                  <c:v>0</c:v>
                </c:pt>
                <c:pt idx="13" formatCode="0_);[Red]\(0\)">
                  <c:v>0</c:v>
                </c:pt>
                <c:pt idx="14" formatCode="0_);[Red]\(0\)">
                  <c:v>0</c:v>
                </c:pt>
                <c:pt idx="15" formatCode="0_);[Red]\(0\)">
                  <c:v>0</c:v>
                </c:pt>
              </c:numCache>
            </c:numRef>
          </c:val>
        </c:ser>
        <c:ser>
          <c:idx val="2"/>
          <c:order val="1"/>
          <c:tx>
            <c:strRef>
              <c:f>게시판!$B$22</c:f>
              <c:strCache>
                <c:ptCount val="1"/>
                <c:pt idx="0">
                  <c:v>Sheet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게시판!$H$2:$W$2</c:f>
              <c:strCache>
                <c:ptCount val="16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20년
상반기</c:v>
                </c:pt>
                <c:pt idx="10">
                  <c:v>7월</c:v>
                </c:pt>
                <c:pt idx="11">
                  <c:v>8월</c:v>
                </c:pt>
                <c:pt idx="12">
                  <c:v>9월</c:v>
                </c:pt>
                <c:pt idx="13">
                  <c:v>10월</c:v>
                </c:pt>
                <c:pt idx="14">
                  <c:v>11월</c:v>
                </c:pt>
                <c:pt idx="15">
                  <c:v>12월</c:v>
                </c:pt>
              </c:strCache>
            </c:strRef>
          </c:cat>
          <c:val>
            <c:numRef>
              <c:f>게시판!$H$22:$W$22</c:f>
              <c:numCache>
                <c:formatCode>0</c:formatCode>
                <c:ptCount val="16"/>
                <c:pt idx="0">
                  <c:v>21.139791666666664</c:v>
                </c:pt>
                <c:pt idx="1">
                  <c:v>29.266666666666666</c:v>
                </c:pt>
                <c:pt idx="2">
                  <c:v>29.306666666666668</c:v>
                </c:pt>
                <c:pt idx="3" formatCode="0_);[Red]\(0\)">
                  <c:v>28.58</c:v>
                </c:pt>
                <c:pt idx="4" formatCode="0_);[Red]\(0\)">
                  <c:v>17.829999999999998</c:v>
                </c:pt>
                <c:pt idx="5" formatCode="0_);[Red]\(0\)">
                  <c:v>7.32</c:v>
                </c:pt>
                <c:pt idx="6" formatCode="0_);[Red]\(0\)">
                  <c:v>27.1</c:v>
                </c:pt>
                <c:pt idx="7" formatCode="0_);[Red]\(0\)">
                  <c:v>27.73</c:v>
                </c:pt>
                <c:pt idx="8" formatCode="0_);[Red]\(0\)">
                  <c:v>22.67</c:v>
                </c:pt>
                <c:pt idx="9" formatCode="0_);[Red]\(0\)">
                  <c:v>21.87166666666667</c:v>
                </c:pt>
                <c:pt idx="10" formatCode="0_);[Red]\(0\)">
                  <c:v>24.31</c:v>
                </c:pt>
                <c:pt idx="11" formatCode="0_);[Red]\(0\)">
                  <c:v>20.59</c:v>
                </c:pt>
                <c:pt idx="12" formatCode="0_);[Red]\(0\)">
                  <c:v>10.119999999999999</c:v>
                </c:pt>
                <c:pt idx="13" formatCode="0_);[Red]\(0\)">
                  <c:v>44.02</c:v>
                </c:pt>
                <c:pt idx="14" formatCode="0_);[Red]\(0\)">
                  <c:v>38.43</c:v>
                </c:pt>
                <c:pt idx="15" formatCode="0_);[Red]\(0\)">
                  <c:v>38.369999999999997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1832960"/>
        <c:axId val="311834496"/>
      </c:barChart>
      <c:catAx>
        <c:axId val="31183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311834496"/>
        <c:crosses val="autoZero"/>
        <c:auto val="1"/>
        <c:lblAlgn val="ctr"/>
        <c:lblOffset val="100"/>
        <c:noMultiLvlLbl val="0"/>
      </c:catAx>
      <c:valAx>
        <c:axId val="311834496"/>
        <c:scaling>
          <c:orientation val="minMax"/>
          <c:max val="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1832960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en-US" altLang="ko-KR" sz="1400" b="1"/>
              <a:t>10</a:t>
            </a:r>
            <a:r>
              <a:rPr lang="ko-KR" altLang="en-US" sz="1400" b="1"/>
              <a:t>월 불량 발생량</a:t>
            </a:r>
            <a:r>
              <a:rPr lang="en-US" altLang="ko-KR" sz="1400" b="1"/>
              <a:t>(ton)</a:t>
            </a:r>
            <a:endParaRPr lang="ko-KR" altLang="en-US" sz="1400" b="1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불량 발생량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종합!$B$17:$B$21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종합!$U$17:$U$21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24.21</c:v>
                </c:pt>
                <c:pt idx="3" formatCode="0.00_);[Red]\(0.00\)">
                  <c:v>2.2799999999999998</c:v>
                </c:pt>
                <c:pt idx="4" formatCode="0.00_);[Red]\(0.00\)">
                  <c:v>2.2400000000000002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1876992"/>
        <c:axId val="311891072"/>
      </c:barChart>
      <c:catAx>
        <c:axId val="311876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1891072"/>
        <c:crosses val="autoZero"/>
        <c:auto val="1"/>
        <c:lblAlgn val="ctr"/>
        <c:lblOffset val="100"/>
        <c:noMultiLvlLbl val="0"/>
      </c:catAx>
      <c:valAx>
        <c:axId val="311891072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31187699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en-US" sz="1400"/>
              <a:t>Scrap(Coil</a:t>
            </a:r>
            <a:r>
              <a:rPr lang="ko-KR" altLang="en-US" sz="1400"/>
              <a:t>형</a:t>
            </a:r>
            <a:r>
              <a:rPr lang="en-US" altLang="ko-KR" sz="1400"/>
              <a:t>) </a:t>
            </a:r>
            <a:r>
              <a:rPr lang="ko-KR" altLang="en-US" sz="1400"/>
              <a:t>발생량</a:t>
            </a:r>
            <a:r>
              <a:rPr lang="en-US" altLang="ko-KR" sz="1400"/>
              <a:t>(96.40ton)</a:t>
            </a:r>
            <a:endParaRPr lang="ko-KR" altLang="en-US" sz="14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7"/>
          <c:order val="0"/>
          <c:tx>
            <c:strRef>
              <c:f>게시판!$A$4</c:f>
              <c:strCache>
                <c:ptCount val="1"/>
                <c:pt idx="0">
                  <c:v>Coil형 Scrap 발생량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0"/>
                  <c:y val="-3.485292067475254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5.6550835416140678E-3"/>
                  <c:y val="8.85264185138714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"/>
                  <c:y val="-4.86895301826293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5.5270649181326471E-3"/>
                  <c:y val="-3.54105674055485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"/>
                  <c:y val="-9.2952739439565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종합!$B$52:$B$57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종합!$U$52:$U$56</c:f>
              <c:numCache>
                <c:formatCode>0.00_);[Red]\(0.00\)</c:formatCode>
                <c:ptCount val="5"/>
                <c:pt idx="0">
                  <c:v>0</c:v>
                </c:pt>
                <c:pt idx="1">
                  <c:v>52.4</c:v>
                </c:pt>
                <c:pt idx="2">
                  <c:v>18.400000000000002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0"/>
          <c:order val="1"/>
          <c:tx>
            <c:v>인출 스크랩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2.8275417708070079E-3"/>
                  <c:y val="-4.42632092569357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2.8275417708070339E-3"/>
                  <c:y val="-7.082113481109716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593475533249686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5.3433860235723471E-6"/>
                  <c:y val="-8.852641851387146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2.827096488638403E-3"/>
                  <c:y val="-0.1682012407639760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종합!$U$46:$U$50</c:f>
              <c:numCache>
                <c:formatCode>#,##0.00</c:formatCode>
                <c:ptCount val="5"/>
                <c:pt idx="0" formatCode="#,##0.0">
                  <c:v>2.2999999999999998</c:v>
                </c:pt>
                <c:pt idx="1">
                  <c:v>3.5</c:v>
                </c:pt>
                <c:pt idx="2">
                  <c:v>4.96</c:v>
                </c:pt>
                <c:pt idx="3" formatCode="#,##0.0">
                  <c:v>3.26</c:v>
                </c:pt>
                <c:pt idx="4" formatCode="#,##0.0">
                  <c:v>11.576000000000001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927168"/>
        <c:axId val="311928704"/>
      </c:barChart>
      <c:catAx>
        <c:axId val="3119271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1928704"/>
        <c:crosses val="autoZero"/>
        <c:auto val="1"/>
        <c:lblAlgn val="ctr"/>
        <c:lblOffset val="100"/>
        <c:noMultiLvlLbl val="0"/>
      </c:catAx>
      <c:valAx>
        <c:axId val="311928704"/>
        <c:scaling>
          <c:orientation val="minMax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1927168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en-US" sz="1400"/>
              <a:t>Scrap(</a:t>
            </a:r>
            <a:r>
              <a:rPr lang="ko-KR" altLang="en-US" sz="1400"/>
              <a:t>통판</a:t>
            </a:r>
            <a:r>
              <a:rPr lang="en-US" altLang="ko-KR" sz="1400"/>
              <a:t>) </a:t>
            </a:r>
            <a:r>
              <a:rPr lang="ko-KR" altLang="en-US" sz="1400"/>
              <a:t>발생량</a:t>
            </a:r>
            <a:r>
              <a:rPr lang="en-US" altLang="ko-KR" sz="1400"/>
              <a:t>(ton)</a:t>
            </a:r>
            <a:endParaRPr lang="ko-KR" alt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strRef>
              <c:f>게시판!$A$4</c:f>
              <c:strCache>
                <c:ptCount val="1"/>
                <c:pt idx="0">
                  <c:v>Coil형 Scrap 발생량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종합!$B$64:$B$68</c:f>
              <c:strCache>
                <c:ptCount val="4"/>
                <c:pt idx="0">
                  <c:v>CPL</c:v>
                </c:pt>
                <c:pt idx="1">
                  <c:v>CGL</c:v>
                </c:pt>
                <c:pt idx="2">
                  <c:v>1CCL</c:v>
                </c:pt>
                <c:pt idx="3">
                  <c:v>2CCL</c:v>
                </c:pt>
              </c:strCache>
            </c:strRef>
          </c:cat>
          <c:val>
            <c:numRef>
              <c:f>종합!$U$64:$U$68</c:f>
              <c:numCache>
                <c:formatCode>0.00_);[Red]\(0.00\)</c:formatCode>
                <c:ptCount val="4"/>
                <c:pt idx="0">
                  <c:v>13.260000000000002</c:v>
                </c:pt>
                <c:pt idx="1">
                  <c:v>3.88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049664"/>
        <c:axId val="312051200"/>
      </c:barChart>
      <c:catAx>
        <c:axId val="312049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051200"/>
        <c:crosses val="autoZero"/>
        <c:auto val="1"/>
        <c:lblAlgn val="ctr"/>
        <c:lblOffset val="100"/>
        <c:noMultiLvlLbl val="0"/>
      </c:catAx>
      <c:valAx>
        <c:axId val="312051200"/>
        <c:scaling>
          <c:orientation val="minMax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2049664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40">
                <a:latin typeface="+mj-ea"/>
                <a:ea typeface="+mj-ea"/>
              </a:defRPr>
            </a:pPr>
            <a:r>
              <a:rPr lang="ko-KR" altLang="en-US" sz="1440">
                <a:latin typeface="+mj-ea"/>
                <a:ea typeface="+mj-ea"/>
              </a:rPr>
              <a:t>고장시간</a:t>
            </a:r>
            <a:r>
              <a:rPr lang="en-US" altLang="ko-KR" sz="1440">
                <a:latin typeface="+mj-ea"/>
                <a:ea typeface="+mj-ea"/>
              </a:rPr>
              <a:t>(Hr)</a:t>
            </a:r>
            <a:endParaRPr lang="ko-KR" altLang="en-US" sz="1440">
              <a:latin typeface="+mj-ea"/>
              <a:ea typeface="+mj-ea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라인별 고장시간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(고장!$A$6,고장!$A$8,고장!$A$10,고장!$A$12,고장!$A$14)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#1CCL</c:v>
                </c:pt>
                <c:pt idx="4">
                  <c:v>#2CCL</c:v>
                </c:pt>
              </c:strCache>
            </c:strRef>
          </c:cat>
          <c:val>
            <c:numRef>
              <c:f>(고장!$W$7,고장!$W$9,고장!$W$11,고장!$W$13,고장!$W$15)</c:f>
              <c:numCache>
                <c:formatCode>0.00_);[Red]\(0.00\)</c:formatCode>
                <c:ptCount val="5"/>
                <c:pt idx="0">
                  <c:v>2.1666666666666665</c:v>
                </c:pt>
                <c:pt idx="1">
                  <c:v>7.833333333333333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089984"/>
        <c:axId val="312091776"/>
      </c:barChart>
      <c:catAx>
        <c:axId val="3120899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091776"/>
        <c:crosses val="autoZero"/>
        <c:auto val="1"/>
        <c:lblAlgn val="ctr"/>
        <c:lblOffset val="100"/>
        <c:noMultiLvlLbl val="0"/>
      </c:catAx>
      <c:valAx>
        <c:axId val="312091776"/>
        <c:scaling>
          <c:orientation val="minMax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2089984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40">
                <a:latin typeface="+mn-ea"/>
                <a:ea typeface="+mn-ea"/>
              </a:defRPr>
            </a:pPr>
            <a:r>
              <a:rPr lang="ko-KR" altLang="en-US" sz="1440">
                <a:latin typeface="+mn-ea"/>
                <a:ea typeface="+mn-ea"/>
              </a:rPr>
              <a:t>반품량</a:t>
            </a:r>
            <a:r>
              <a:rPr lang="en-US" altLang="ko-KR" sz="1440">
                <a:latin typeface="+mn-ea"/>
                <a:ea typeface="+mn-ea"/>
              </a:rPr>
              <a:t>(ton)</a:t>
            </a:r>
            <a:endParaRPr lang="ko-KR" altLang="en-US" sz="1440">
              <a:latin typeface="+mn-ea"/>
              <a:ea typeface="+mn-ea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라인별 반품량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종합!$AR$226:$AR$230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종합!$BB$226:$BB$230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121984"/>
        <c:axId val="312123776"/>
      </c:barChart>
      <c:catAx>
        <c:axId val="3121219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123776"/>
        <c:crosses val="autoZero"/>
        <c:auto val="1"/>
        <c:lblAlgn val="ctr"/>
        <c:lblOffset val="100"/>
        <c:noMultiLvlLbl val="0"/>
      </c:catAx>
      <c:valAx>
        <c:axId val="312123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2121984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en-US" altLang="ko-KR"/>
              <a:t>Scrap(Sheet</a:t>
            </a:r>
            <a:r>
              <a:rPr lang="ko-KR" altLang="en-US"/>
              <a:t>형</a:t>
            </a:r>
            <a:r>
              <a:rPr lang="en-US" altLang="ko-KR"/>
              <a:t>)</a:t>
            </a:r>
            <a:r>
              <a:rPr lang="ko-KR" altLang="en-US"/>
              <a:t>발생량</a:t>
            </a:r>
            <a:r>
              <a:rPr lang="en-US" altLang="ko-KR"/>
              <a:t>(ton)</a:t>
            </a:r>
            <a:endParaRPr lang="en-US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strRef>
              <c:f>종합!$A$70</c:f>
              <c:strCache>
                <c:ptCount val="1"/>
                <c:pt idx="0">
                  <c:v>Sheet형
Scrap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종합!$B$70:$B$74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종합!$T$70:$T$74</c:f>
              <c:numCache>
                <c:formatCode>#,##0</c:formatCode>
                <c:ptCount val="5"/>
                <c:pt idx="0">
                  <c:v>63.1</c:v>
                </c:pt>
                <c:pt idx="1">
                  <c:v>432.72</c:v>
                </c:pt>
                <c:pt idx="2">
                  <c:v>43.22</c:v>
                </c:pt>
                <c:pt idx="3">
                  <c:v>47.07</c:v>
                </c:pt>
                <c:pt idx="4">
                  <c:v>19.96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289536"/>
        <c:axId val="312307712"/>
      </c:barChart>
      <c:catAx>
        <c:axId val="312289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307712"/>
        <c:crosses val="autoZero"/>
        <c:auto val="1"/>
        <c:lblAlgn val="ctr"/>
        <c:lblOffset val="100"/>
        <c:noMultiLvlLbl val="0"/>
      </c:catAx>
      <c:valAx>
        <c:axId val="312307712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crossAx val="312289536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en-US" altLang="ko-KR"/>
              <a:t>Scrap(</a:t>
            </a:r>
            <a:r>
              <a:rPr lang="ko-KR" altLang="en-US"/>
              <a:t>포장재</a:t>
            </a:r>
            <a:r>
              <a:rPr lang="en-US" altLang="ko-KR"/>
              <a:t>)</a:t>
            </a:r>
            <a:r>
              <a:rPr lang="ko-KR" altLang="en-US"/>
              <a:t>발생량</a:t>
            </a:r>
            <a:r>
              <a:rPr lang="en-US" altLang="ko-KR"/>
              <a:t>(ton)</a:t>
            </a:r>
            <a:endParaRPr lang="en-US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2월 Scrap(포장재) 발생량(ton)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종합!$B$60:$B$62</c:f>
              <c:strCache>
                <c:ptCount val="3"/>
                <c:pt idx="0">
                  <c:v>CGL</c:v>
                </c:pt>
                <c:pt idx="1">
                  <c:v>1CCL</c:v>
                </c:pt>
                <c:pt idx="2">
                  <c:v>2CCL</c:v>
                </c:pt>
              </c:strCache>
            </c:strRef>
          </c:cat>
          <c:val>
            <c:numRef>
              <c:f>종합!$U$60:$U$62</c:f>
              <c:numCache>
                <c:formatCode>0.00_);[Red]\(0.00\)</c:formatCode>
                <c:ptCount val="3"/>
                <c:pt idx="0">
                  <c:v>47.28</c:v>
                </c:pt>
                <c:pt idx="1">
                  <c:v>10.412000000000001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334208"/>
        <c:axId val="312335744"/>
      </c:barChart>
      <c:catAx>
        <c:axId val="3123342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335744"/>
        <c:crosses val="autoZero"/>
        <c:auto val="1"/>
        <c:lblAlgn val="ctr"/>
        <c:lblOffset val="100"/>
        <c:noMultiLvlLbl val="0"/>
      </c:catAx>
      <c:valAx>
        <c:axId val="312335744"/>
        <c:scaling>
          <c:orientation val="minMax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2334208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ko-KR" altLang="en-US"/>
              <a:t>고장건수</a:t>
            </a:r>
            <a:r>
              <a:rPr lang="en-US" altLang="ko-KR"/>
              <a:t>(</a:t>
            </a:r>
            <a:r>
              <a:rPr lang="ko-KR" altLang="en-US"/>
              <a:t>건</a:t>
            </a:r>
            <a:r>
              <a:rPr lang="en-US" altLang="ko-KR"/>
              <a:t>)</a:t>
            </a:r>
            <a:endParaRPr lang="en-US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고장건수(건)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고장!$A$21:$B$25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#1CCL</c:v>
                </c:pt>
                <c:pt idx="4">
                  <c:v>#2CCL</c:v>
                </c:pt>
              </c:strCache>
            </c:strRef>
          </c:cat>
          <c:val>
            <c:numRef>
              <c:f>고장!$W$21:$W$25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456704"/>
        <c:axId val="312458240"/>
      </c:barChart>
      <c:catAx>
        <c:axId val="3124567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458240"/>
        <c:crosses val="autoZero"/>
        <c:auto val="1"/>
        <c:lblAlgn val="ctr"/>
        <c:lblOffset val="100"/>
        <c:noMultiLvlLbl val="0"/>
      </c:catAx>
      <c:valAx>
        <c:axId val="312458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2456704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9648237573871826E-2"/>
          <c:y val="0.18531308275841196"/>
          <c:w val="0.86979615048118986"/>
          <c:h val="0.6493445927122885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게시판!$A$11</c:f>
              <c:strCache>
                <c:ptCount val="1"/>
                <c:pt idx="0">
                  <c:v>고객불만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게시판!$G$11:$U$11</c:f>
              <c:numCache>
                <c:formatCode>0</c:formatCode>
                <c:ptCount val="15"/>
                <c:pt idx="0">
                  <c:v>4.416666666666667</c:v>
                </c:pt>
                <c:pt idx="1">
                  <c:v>3.2777777777777772</c:v>
                </c:pt>
                <c:pt idx="2">
                  <c:v>1.8333333333333333</c:v>
                </c:pt>
                <c:pt idx="3">
                  <c:v>2.3333333333333335</c:v>
                </c:pt>
                <c:pt idx="4" formatCode="0_);[Red]\(0\)">
                  <c:v>5</c:v>
                </c:pt>
                <c:pt idx="5" formatCode="0_);[Red]\(0\)">
                  <c:v>0</c:v>
                </c:pt>
                <c:pt idx="6" formatCode="0_);[Red]\(0\)">
                  <c:v>1</c:v>
                </c:pt>
                <c:pt idx="7" formatCode="0_);[Red]\(0\)">
                  <c:v>1</c:v>
                </c:pt>
                <c:pt idx="8" formatCode="0_);[Red]\(0\)">
                  <c:v>2</c:v>
                </c:pt>
                <c:pt idx="9" formatCode="0_);[Red]\(0\)">
                  <c:v>2</c:v>
                </c:pt>
                <c:pt idx="10" formatCode="0_);[Red]\(0\)">
                  <c:v>1.8333333333333333</c:v>
                </c:pt>
                <c:pt idx="11" formatCode="0_);[Red]\(0\)">
                  <c:v>4</c:v>
                </c:pt>
                <c:pt idx="12" formatCode="0_);[Red]\(0\)">
                  <c:v>2</c:v>
                </c:pt>
                <c:pt idx="13" formatCode="0_);[Red]\(0\)">
                  <c:v>2</c:v>
                </c:pt>
                <c:pt idx="14" formatCode="0_);[Red]\(0\)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474624"/>
        <c:axId val="312476416"/>
      </c:lineChart>
      <c:catAx>
        <c:axId val="312474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 b="1"/>
            </a:pPr>
            <a:endParaRPr lang="ko-KR"/>
          </a:p>
        </c:txPr>
        <c:crossAx val="312476416"/>
        <c:crosses val="autoZero"/>
        <c:auto val="1"/>
        <c:lblAlgn val="ctr"/>
        <c:lblOffset val="100"/>
        <c:noMultiLvlLbl val="0"/>
      </c:catAx>
      <c:valAx>
        <c:axId val="312476416"/>
        <c:scaling>
          <c:orientation val="minMax"/>
          <c:max val="10"/>
        </c:scaling>
        <c:delete val="0"/>
        <c:axPos val="l"/>
        <c:numFmt formatCode="0" sourceLinked="1"/>
        <c:majorTickMark val="out"/>
        <c:minorTickMark val="none"/>
        <c:tickLblPos val="nextTo"/>
        <c:crossAx val="312474624"/>
        <c:crosses val="autoZero"/>
        <c:crossBetween val="between"/>
        <c:majorUnit val="2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고객불만</a:t>
            </a:r>
            <a:r>
              <a:rPr lang="en-US" altLang="ko-KR" sz="1400"/>
              <a:t>(</a:t>
            </a:r>
            <a:r>
              <a:rPr lang="ko-KR" altLang="en-US" sz="1400"/>
              <a:t>건</a:t>
            </a:r>
            <a:r>
              <a:rPr lang="en-US" altLang="ko-KR" sz="1400"/>
              <a:t>)</a:t>
            </a:r>
            <a:endParaRPr lang="ko-KR" alt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라인별 고객불만(건)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종합!$AR$211:$AR$215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종합!$BB$211:$BB$215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506624"/>
        <c:axId val="312520704"/>
      </c:barChart>
      <c:catAx>
        <c:axId val="312506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2520704"/>
        <c:crosses val="autoZero"/>
        <c:auto val="1"/>
        <c:lblAlgn val="ctr"/>
        <c:lblOffset val="100"/>
        <c:noMultiLvlLbl val="0"/>
      </c:catAx>
      <c:valAx>
        <c:axId val="31252070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12506624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제품생산량 기준 스크랩율</a:t>
            </a:r>
            <a:r>
              <a:rPr lang="en-US" altLang="ko-KR"/>
              <a:t>(</a:t>
            </a:r>
            <a:r>
              <a:rPr lang="en-US" altLang="en-US"/>
              <a:t>kg/ton)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96482939632546E-2"/>
          <c:y val="0.22785315717224916"/>
          <c:w val="0.86979615048118986"/>
          <c:h val="0.60818573818470578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게시판!$A$14</c:f>
              <c:strCache>
                <c:ptCount val="1"/>
                <c:pt idx="0">
                  <c:v>제품기준 스크랩율(kg/ton)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게시판!$G$14:$U$14</c:f>
              <c:numCache>
                <c:formatCode>0</c:formatCode>
                <c:ptCount val="15"/>
                <c:pt idx="0" formatCode="0.00">
                  <c:v>41.216888058428772</c:v>
                </c:pt>
                <c:pt idx="1">
                  <c:v>44.282941242077982</c:v>
                </c:pt>
                <c:pt idx="2" formatCode="0.00">
                  <c:v>38.572962643821121</c:v>
                </c:pt>
                <c:pt idx="3" formatCode="0.00">
                  <c:v>35.381540612003768</c:v>
                </c:pt>
                <c:pt idx="4" formatCode="0.00">
                  <c:v>43.790674831524385</c:v>
                </c:pt>
                <c:pt idx="5" formatCode="0.00">
                  <c:v>41.632175073768899</c:v>
                </c:pt>
                <c:pt idx="6" formatCode="0.00">
                  <c:v>40.181068843373204</c:v>
                </c:pt>
                <c:pt idx="7" formatCode="0.00">
                  <c:v>35.332461767656802</c:v>
                </c:pt>
                <c:pt idx="8" formatCode="0.00">
                  <c:v>38.782637841308279</c:v>
                </c:pt>
                <c:pt idx="9" formatCode="0.00">
                  <c:v>37.266202624760041</c:v>
                </c:pt>
                <c:pt idx="10" formatCode="0.00_);[Red]\(0.00\)">
                  <c:v>38.572962643821121</c:v>
                </c:pt>
                <c:pt idx="11" formatCode="0.00">
                  <c:v>34.2485277883112</c:v>
                </c:pt>
                <c:pt idx="12" formatCode="0.00">
                  <c:v>35.79671521295618</c:v>
                </c:pt>
                <c:pt idx="13" formatCode="0.00">
                  <c:v>33.096100959398314</c:v>
                </c:pt>
                <c:pt idx="14" formatCode="0.00">
                  <c:v>38.384818487349378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623104"/>
        <c:axId val="312624640"/>
      </c:lineChart>
      <c:catAx>
        <c:axId val="3126231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12624640"/>
        <c:crosses val="autoZero"/>
        <c:auto val="1"/>
        <c:lblAlgn val="ctr"/>
        <c:lblOffset val="100"/>
        <c:noMultiLvlLbl val="0"/>
      </c:catAx>
      <c:valAx>
        <c:axId val="312624640"/>
        <c:scaling>
          <c:orientation val="minMax"/>
          <c:max val="70"/>
          <c:min val="20"/>
        </c:scaling>
        <c:delete val="0"/>
        <c:axPos val="l"/>
        <c:numFmt formatCode="0.00" sourceLinked="1"/>
        <c:majorTickMark val="out"/>
        <c:minorTickMark val="none"/>
        <c:tickLblPos val="nextTo"/>
        <c:crossAx val="312623104"/>
        <c:crosses val="autoZero"/>
        <c:crossBetween val="between"/>
        <c:majorUnit val="1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제품생산량 </a:t>
            </a:r>
            <a:r>
              <a:rPr lang="en-US" altLang="ko-KR" sz="1400"/>
              <a:t>&amp;</a:t>
            </a:r>
            <a:r>
              <a:rPr lang="ko-KR" altLang="en-US" sz="1400"/>
              <a:t> 스크랩량</a:t>
            </a:r>
            <a:r>
              <a:rPr lang="en-US" altLang="ko-KR" sz="1400"/>
              <a:t>(ton)</a:t>
            </a:r>
            <a:endParaRPr lang="ko-KR" alt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strRef>
              <c:f>게시판!$BE$8</c:f>
              <c:strCache>
                <c:ptCount val="1"/>
                <c:pt idx="0">
                  <c:v>스크랩량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5"/>
            <c:invertIfNegative val="0"/>
            <c:bubble3D val="0"/>
            <c:spPr>
              <a:solidFill>
                <a:srgbClr val="00206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6"/>
            <c:invertIfNegative val="0"/>
            <c:bubble3D val="0"/>
            <c:spPr>
              <a:solidFill>
                <a:srgbClr val="7030A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(게시판!$BD$12,게시판!$BD$19:$BD$23)</c:f>
              <c:strCache>
                <c:ptCount val="6"/>
                <c:pt idx="0">
                  <c:v>19년</c:v>
                </c:pt>
                <c:pt idx="1">
                  <c:v>20년 상반기</c:v>
                </c:pt>
                <c:pt idx="2">
                  <c:v>7월</c:v>
                </c:pt>
                <c:pt idx="3">
                  <c:v>8월</c:v>
                </c:pt>
                <c:pt idx="4">
                  <c:v>9월</c:v>
                </c:pt>
                <c:pt idx="5">
                  <c:v>10월</c:v>
                </c:pt>
              </c:strCache>
            </c:strRef>
          </c:cat>
          <c:val>
            <c:numRef>
              <c:f>(게시판!$BE$12,게시판!$BE$19:$BE$23)</c:f>
              <c:numCache>
                <c:formatCode>#,##0_);[Red]\(#,##0\)</c:formatCode>
                <c:ptCount val="6"/>
                <c:pt idx="0" formatCode="#,##0_ ">
                  <c:v>1222.1416666666667</c:v>
                </c:pt>
                <c:pt idx="1">
                  <c:v>1152.1533333333334</c:v>
                </c:pt>
                <c:pt idx="2">
                  <c:v>1281.9599999999998</c:v>
                </c:pt>
                <c:pt idx="3">
                  <c:v>1268.21</c:v>
                </c:pt>
                <c:pt idx="4">
                  <c:v>1211.8700000000001</c:v>
                </c:pt>
                <c:pt idx="5">
                  <c:v>1307.9999999999998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25"/>
        <c:axId val="312671616"/>
        <c:axId val="312677504"/>
      </c:barChart>
      <c:lineChart>
        <c:grouping val="standard"/>
        <c:varyColors val="0"/>
        <c:ser>
          <c:idx val="0"/>
          <c:order val="1"/>
          <c:tx>
            <c:strRef>
              <c:f>게시판!$BF$8</c:f>
              <c:strCache>
                <c:ptCount val="1"/>
                <c:pt idx="0">
                  <c:v>제품생산량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게시판!$BD$12:$BD$25</c:f>
              <c:strCache>
                <c:ptCount val="14"/>
                <c:pt idx="0">
                  <c:v>19년</c:v>
                </c:pt>
                <c:pt idx="1">
                  <c:v>1월</c:v>
                </c:pt>
                <c:pt idx="2">
                  <c:v>2월</c:v>
                </c:pt>
                <c:pt idx="3">
                  <c:v>3월</c:v>
                </c:pt>
                <c:pt idx="4">
                  <c:v>4월</c:v>
                </c:pt>
                <c:pt idx="5">
                  <c:v>5월</c:v>
                </c:pt>
                <c:pt idx="6">
                  <c:v>6월</c:v>
                </c:pt>
                <c:pt idx="7">
                  <c:v>20년 상반기</c:v>
                </c:pt>
                <c:pt idx="8">
                  <c:v>7월</c:v>
                </c:pt>
                <c:pt idx="9">
                  <c:v>8월</c:v>
                </c:pt>
                <c:pt idx="10">
                  <c:v>9월</c:v>
                </c:pt>
                <c:pt idx="11">
                  <c:v>10월</c:v>
                </c:pt>
                <c:pt idx="12">
                  <c:v>11월</c:v>
                </c:pt>
                <c:pt idx="13">
                  <c:v>12월</c:v>
                </c:pt>
              </c:strCache>
            </c:strRef>
          </c:cat>
          <c:val>
            <c:numRef>
              <c:f>(게시판!$BF$12,게시판!$BF$19:$BF$23)</c:f>
              <c:numCache>
                <c:formatCode>#,##0_);[Red]\(#,##0\)</c:formatCode>
                <c:ptCount val="6"/>
                <c:pt idx="0" formatCode="#,##0_ ">
                  <c:v>29651.478416666665</c:v>
                </c:pt>
                <c:pt idx="1">
                  <c:v>29869.453999999998</c:v>
                </c:pt>
                <c:pt idx="2">
                  <c:v>37431.097999999998</c:v>
                </c:pt>
                <c:pt idx="3">
                  <c:v>35428.110999999997</c:v>
                </c:pt>
                <c:pt idx="4">
                  <c:v>36616.699999999997</c:v>
                </c:pt>
                <c:pt idx="5">
                  <c:v>34075.972000000002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693120"/>
        <c:axId val="312679040"/>
      </c:lineChart>
      <c:catAx>
        <c:axId val="312671616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800" b="1"/>
            </a:pPr>
            <a:endParaRPr lang="ko-KR"/>
          </a:p>
        </c:txPr>
        <c:crossAx val="312677504"/>
        <c:crosses val="autoZero"/>
        <c:auto val="1"/>
        <c:lblAlgn val="ctr"/>
        <c:lblOffset val="100"/>
        <c:noMultiLvlLbl val="0"/>
      </c:catAx>
      <c:valAx>
        <c:axId val="312677504"/>
        <c:scaling>
          <c:orientation val="minMax"/>
          <c:max val="25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312671616"/>
        <c:crosses val="autoZero"/>
        <c:crossBetween val="between"/>
        <c:majorUnit val="500"/>
      </c:valAx>
      <c:valAx>
        <c:axId val="312679040"/>
        <c:scaling>
          <c:orientation val="minMax"/>
          <c:max val="40000"/>
          <c:min val="0"/>
        </c:scaling>
        <c:delete val="0"/>
        <c:axPos val="r"/>
        <c:numFmt formatCode="#,##0_ " sourceLinked="1"/>
        <c:majorTickMark val="out"/>
        <c:minorTickMark val="none"/>
        <c:tickLblPos val="nextTo"/>
        <c:crossAx val="312693120"/>
        <c:crosses val="max"/>
        <c:crossBetween val="between"/>
        <c:majorUnit val="8000"/>
      </c:valAx>
      <c:catAx>
        <c:axId val="3126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3126790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/>
              <a:t>불량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게시판!$A$3</c:f>
              <c:strCache>
                <c:ptCount val="1"/>
                <c:pt idx="0">
                  <c:v>불량 발생현황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(게시판!$H$3:$J$3,게시판!$K$3:$P$3,게시판!$R$3:$W$3)</c:f>
              <c:numCache>
                <c:formatCode>0</c:formatCode>
                <c:ptCount val="15"/>
                <c:pt idx="0">
                  <c:v>46.855222222222231</c:v>
                </c:pt>
                <c:pt idx="1">
                  <c:v>28.49666666666667</c:v>
                </c:pt>
                <c:pt idx="2">
                  <c:v>21.746666666666666</c:v>
                </c:pt>
                <c:pt idx="3" formatCode="0_);[Red]\(0\)">
                  <c:v>8.9499999999999993</c:v>
                </c:pt>
                <c:pt idx="4" formatCode="0_);[Red]\(0\)">
                  <c:v>43.05</c:v>
                </c:pt>
                <c:pt idx="5" formatCode="0_);[Red]\(0\)">
                  <c:v>33.94</c:v>
                </c:pt>
                <c:pt idx="6" formatCode="0_);[Red]\(0\)">
                  <c:v>4.93</c:v>
                </c:pt>
                <c:pt idx="7" formatCode="0_);[Red]\(0\)">
                  <c:v>36.08</c:v>
                </c:pt>
                <c:pt idx="8" formatCode="0_);[Red]\(0\)">
                  <c:v>44.03</c:v>
                </c:pt>
                <c:pt idx="9" formatCode="0_);[Red]\(0\)">
                  <c:v>48.01</c:v>
                </c:pt>
                <c:pt idx="10" formatCode="0_);[Red]\(0\)">
                  <c:v>25.689999999999998</c:v>
                </c:pt>
                <c:pt idx="11" formatCode="0_);[Red]\(0\)">
                  <c:v>6.67</c:v>
                </c:pt>
                <c:pt idx="12" formatCode="0_);[Red]\(0\)">
                  <c:v>28.730000000000004</c:v>
                </c:pt>
                <c:pt idx="13" formatCode="0_);[Red]\(0\)">
                  <c:v>6.62</c:v>
                </c:pt>
                <c:pt idx="14" formatCode="0_);[Red]\(0\)">
                  <c:v>14.76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711808"/>
        <c:axId val="312725888"/>
      </c:barChart>
      <c:catAx>
        <c:axId val="31271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312725888"/>
        <c:crosses val="autoZero"/>
        <c:auto val="1"/>
        <c:lblAlgn val="ctr"/>
        <c:lblOffset val="100"/>
        <c:noMultiLvlLbl val="0"/>
      </c:catAx>
      <c:valAx>
        <c:axId val="312725888"/>
        <c:scaling>
          <c:orientation val="minMax"/>
          <c:max val="1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2711808"/>
        <c:crosses val="autoZero"/>
        <c:crossBetween val="between"/>
        <c:majorUnit val="2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코일형 스크랩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>
        <c:manualLayout>
          <c:layoutTarget val="inner"/>
          <c:xMode val="edge"/>
          <c:yMode val="edge"/>
          <c:x val="7.477937456055618E-2"/>
          <c:y val="0.11809724091520861"/>
          <c:w val="0.87917744953887711"/>
          <c:h val="0.764981307013608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게시판!$A$4</c:f>
              <c:strCache>
                <c:ptCount val="1"/>
                <c:pt idx="0">
                  <c:v>Coil형 Scrap 발생량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(게시판!$H$4:$J$4,게시판!$K$4:$P$4,게시판!$R$4:$W$4)</c:f>
              <c:numCache>
                <c:formatCode>0</c:formatCode>
                <c:ptCount val="15"/>
                <c:pt idx="0">
                  <c:v>149.91391666666667</c:v>
                </c:pt>
                <c:pt idx="1">
                  <c:v>79.964833333333331</c:v>
                </c:pt>
                <c:pt idx="2">
                  <c:v>77.182000000000002</c:v>
                </c:pt>
                <c:pt idx="3" formatCode="0_);[Red]\(0\)">
                  <c:v>70.322000000000003</c:v>
                </c:pt>
                <c:pt idx="4" formatCode="0_);[Red]\(0\)">
                  <c:v>64.539000000000001</c:v>
                </c:pt>
                <c:pt idx="5" formatCode="0_);[Red]\(0\)">
                  <c:v>111.50999999999999</c:v>
                </c:pt>
                <c:pt idx="6" formatCode="0_);[Red]\(0\)">
                  <c:v>73.018000000000001</c:v>
                </c:pt>
                <c:pt idx="7" formatCode="0_);[Red]\(0\)">
                  <c:v>85.221999999999994</c:v>
                </c:pt>
                <c:pt idx="8" formatCode="0_);[Red]\(0\)">
                  <c:v>75.177999999999997</c:v>
                </c:pt>
                <c:pt idx="9" formatCode="0_);[Red]\(0\)">
                  <c:v>62.766000000000005</c:v>
                </c:pt>
                <c:pt idx="10" formatCode="0_);[Red]\(0\)">
                  <c:v>129.31299999999999</c:v>
                </c:pt>
                <c:pt idx="11" formatCode="0_);[Red]\(0\)">
                  <c:v>77.111999999999995</c:v>
                </c:pt>
                <c:pt idx="12" formatCode="0_);[Red]\(0\)">
                  <c:v>96.396000000000001</c:v>
                </c:pt>
                <c:pt idx="13" formatCode="0_);[Red]\(0\)">
                  <c:v>47.2</c:v>
                </c:pt>
                <c:pt idx="14" formatCode="0_);[Red]\(0\)">
                  <c:v>50.305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3280768"/>
        <c:axId val="313290752"/>
      </c:barChart>
      <c:catAx>
        <c:axId val="31328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313290752"/>
        <c:crosses val="autoZero"/>
        <c:auto val="1"/>
        <c:lblAlgn val="ctr"/>
        <c:lblOffset val="100"/>
        <c:noMultiLvlLbl val="0"/>
      </c:catAx>
      <c:valAx>
        <c:axId val="313290752"/>
        <c:scaling>
          <c:orientation val="minMax"/>
          <c:max val="2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3280768"/>
        <c:crosses val="autoZero"/>
        <c:crossBetween val="between"/>
        <c:majorUnit val="5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ko-KR" altLang="en-US"/>
              <a:t>스크랩 발생율</a:t>
            </a:r>
            <a:r>
              <a:rPr lang="en-US" altLang="ko-KR"/>
              <a:t>(kg/ton)</a:t>
            </a:r>
            <a:endParaRPr lang="en-US" altLang="en-US"/>
          </a:p>
        </c:rich>
      </c:tx>
      <c:layout>
        <c:manualLayout>
          <c:xMode val="edge"/>
          <c:yMode val="edge"/>
          <c:x val="0.30005955555555558"/>
          <c:y val="2.66365298683938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17"/>
          <c:order val="0"/>
          <c:tx>
            <c:v>스크랩 발생율(kg/ton)</c:v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0000FF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2.8222222222222221E-3"/>
                  <c:y val="8.87884328946462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2.8222222222222221E-3"/>
                  <c:y val="9.3227504978619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2.8222222222222221E-3"/>
                  <c:y val="7.1030746315716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2.822222849382855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2.8222222222222221E-3"/>
                  <c:y val="1.77576865789292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종합!$B$40:$B$44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종합!$U$40:$U$44</c:f>
              <c:numCache>
                <c:formatCode>#,##0.00</c:formatCode>
                <c:ptCount val="5"/>
                <c:pt idx="0">
                  <c:v>17.37671232563617</c:v>
                </c:pt>
                <c:pt idx="1">
                  <c:v>18.353951421459108</c:v>
                </c:pt>
                <c:pt idx="2">
                  <c:v>2.6348567772125504</c:v>
                </c:pt>
                <c:pt idx="3">
                  <c:v>4.5540952767756533</c:v>
                </c:pt>
                <c:pt idx="4">
                  <c:v>8.3333333333333339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3776000"/>
        <c:axId val="313777536"/>
      </c:barChart>
      <c:catAx>
        <c:axId val="3137760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313777536"/>
        <c:crosses val="autoZero"/>
        <c:auto val="1"/>
        <c:lblAlgn val="ctr"/>
        <c:lblOffset val="100"/>
        <c:noMultiLvlLbl val="0"/>
      </c:catAx>
      <c:valAx>
        <c:axId val="313777536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313776000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쉬트형 스크랩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게시판!$A$8</c:f>
              <c:strCache>
                <c:ptCount val="1"/>
                <c:pt idx="0">
                  <c:v>Scrap(Sheet 형) 발생현황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(게시판!$H$8:$J$8,게시판!$K$8:$P$8,게시판!$R$8:$W$8)</c:f>
              <c:numCache>
                <c:formatCode>0_);[Red]\(0\)</c:formatCode>
                <c:ptCount val="15"/>
                <c:pt idx="0" formatCode="0">
                  <c:v>611.81652777777765</c:v>
                </c:pt>
                <c:pt idx="1">
                  <c:v>566.81666666666672</c:v>
                </c:pt>
                <c:pt idx="2">
                  <c:v>451.13166666666672</c:v>
                </c:pt>
                <c:pt idx="3">
                  <c:v>566.36</c:v>
                </c:pt>
                <c:pt idx="4">
                  <c:v>584.7299999999999</c:v>
                </c:pt>
                <c:pt idx="5">
                  <c:v>611.78000000000009</c:v>
                </c:pt>
                <c:pt idx="6">
                  <c:v>549.29</c:v>
                </c:pt>
                <c:pt idx="7">
                  <c:v>491.36000000000007</c:v>
                </c:pt>
                <c:pt idx="8">
                  <c:v>597.38</c:v>
                </c:pt>
                <c:pt idx="9">
                  <c:v>678.85</c:v>
                </c:pt>
                <c:pt idx="10">
                  <c:v>619.64</c:v>
                </c:pt>
                <c:pt idx="11">
                  <c:v>606.07000000000016</c:v>
                </c:pt>
                <c:pt idx="12">
                  <c:v>636.62</c:v>
                </c:pt>
                <c:pt idx="13">
                  <c:v>109.02000000000001</c:v>
                </c:pt>
                <c:pt idx="14">
                  <c:v>56.589999999999996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328192"/>
        <c:axId val="314329728"/>
      </c:barChart>
      <c:catAx>
        <c:axId val="314328192"/>
        <c:scaling>
          <c:orientation val="minMax"/>
        </c:scaling>
        <c:delete val="0"/>
        <c:axPos val="b"/>
        <c:majorTickMark val="out"/>
        <c:minorTickMark val="none"/>
        <c:tickLblPos val="nextTo"/>
        <c:crossAx val="314329728"/>
        <c:crosses val="autoZero"/>
        <c:auto val="1"/>
        <c:lblAlgn val="ctr"/>
        <c:lblOffset val="100"/>
        <c:noMultiLvlLbl val="0"/>
      </c:catAx>
      <c:valAx>
        <c:axId val="314329728"/>
        <c:scaling>
          <c:orientation val="minMax"/>
          <c:max val="10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4328192"/>
        <c:crosses val="autoZero"/>
        <c:crossBetween val="between"/>
        <c:majorUnit val="20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/>
              <a:t>반품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게시판!$A$12</c:f>
              <c:strCache>
                <c:ptCount val="1"/>
                <c:pt idx="0">
                  <c:v>반품 현황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C00000"/>
              </a:solidFill>
            </c:spPr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(게시판!$H$12:$J$12,게시판!$K$12:$P$12,게시판!$R$12:$W$12)</c:f>
              <c:numCache>
                <c:formatCode>0</c:formatCode>
                <c:ptCount val="15"/>
                <c:pt idx="0">
                  <c:v>29.746583333333334</c:v>
                </c:pt>
                <c:pt idx="1">
                  <c:v>18.976333333333333</c:v>
                </c:pt>
                <c:pt idx="2">
                  <c:v>11.558833333333334</c:v>
                </c:pt>
                <c:pt idx="3" formatCode="0_);[Red]\(0\)">
                  <c:v>31.07</c:v>
                </c:pt>
                <c:pt idx="4" formatCode="0_);[Red]\(0\)">
                  <c:v>15.41</c:v>
                </c:pt>
                <c:pt idx="5" formatCode="0_);[Red]\(0\)">
                  <c:v>21.61</c:v>
                </c:pt>
                <c:pt idx="6" formatCode="0_);[Red]\(0\)">
                  <c:v>4.32</c:v>
                </c:pt>
                <c:pt idx="7" formatCode="0_);[Red]\(0\)">
                  <c:v>23.19</c:v>
                </c:pt>
                <c:pt idx="8" formatCode="0_);[Red]\(0\)">
                  <c:v>18.257999999999999</c:v>
                </c:pt>
                <c:pt idx="9" formatCode="0_);[Red]\(0\)">
                  <c:v>2.12</c:v>
                </c:pt>
                <c:pt idx="10" formatCode="0_);[Red]\(0\)">
                  <c:v>0</c:v>
                </c:pt>
                <c:pt idx="11" formatCode="0_);[Red]\(0\)">
                  <c:v>4.83</c:v>
                </c:pt>
                <c:pt idx="12" formatCode="0_);[Red]\(0\)">
                  <c:v>0</c:v>
                </c:pt>
                <c:pt idx="13" formatCode="0_);[Red]\(0\)">
                  <c:v>19.873000000000001</c:v>
                </c:pt>
                <c:pt idx="14" formatCode="0_);[Red]\(0\)">
                  <c:v>42.53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356096"/>
        <c:axId val="314357632"/>
      </c:barChart>
      <c:catAx>
        <c:axId val="31435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314357632"/>
        <c:crosses val="autoZero"/>
        <c:auto val="1"/>
        <c:lblAlgn val="ctr"/>
        <c:lblOffset val="100"/>
        <c:noMultiLvlLbl val="0"/>
      </c:catAx>
      <c:valAx>
        <c:axId val="314357632"/>
        <c:scaling>
          <c:orientation val="minMax"/>
          <c:max val="1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4356096"/>
        <c:crosses val="autoZero"/>
        <c:crossBetween val="between"/>
        <c:majorUnit val="20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ko-KR" altLang="en-US">
                <a:solidFill>
                  <a:schemeClr val="bg1"/>
                </a:solidFill>
              </a:rPr>
              <a:t>고장시간 및 건수</a:t>
            </a:r>
          </a:p>
        </c:rich>
      </c:tx>
      <c:overlay val="0"/>
      <c:spPr>
        <a:solidFill>
          <a:srgbClr val="00B0F0"/>
        </a:solidFill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게시판!$A$9</c:f>
              <c:strCache>
                <c:ptCount val="1"/>
                <c:pt idx="0">
                  <c:v>고장시간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(게시판!$H$9:$J$9,게시판!$K$9:$P$9,게시판!$R$9:$W$9)</c:f>
              <c:numCache>
                <c:formatCode>0</c:formatCode>
                <c:ptCount val="15"/>
                <c:pt idx="0">
                  <c:v>17.526388888888892</c:v>
                </c:pt>
                <c:pt idx="1">
                  <c:v>9.0111111111111111</c:v>
                </c:pt>
                <c:pt idx="2">
                  <c:v>15.208333333333336</c:v>
                </c:pt>
                <c:pt idx="3" formatCode="0_);[Red]\(0\)">
                  <c:v>7.3333333333333339</c:v>
                </c:pt>
                <c:pt idx="4" formatCode="0_);[Red]\(0\)">
                  <c:v>15.416666666666668</c:v>
                </c:pt>
                <c:pt idx="5" formatCode="0_);[Red]\(0\)">
                  <c:v>2.083333333333333</c:v>
                </c:pt>
                <c:pt idx="6" formatCode="0_);[Red]\(0\)">
                  <c:v>9.1833333333333336</c:v>
                </c:pt>
                <c:pt idx="7" formatCode="0_);[Red]\(0\)">
                  <c:v>10.3</c:v>
                </c:pt>
                <c:pt idx="8" formatCode="0_);[Red]\(0\)">
                  <c:v>9.75</c:v>
                </c:pt>
                <c:pt idx="9" formatCode="0_);[Red]\(0\)">
                  <c:v>15.333333333333334</c:v>
                </c:pt>
                <c:pt idx="10" formatCode="0_);[Red]\(0\)">
                  <c:v>27.583333333333336</c:v>
                </c:pt>
                <c:pt idx="11" formatCode="0_);[Red]\(0\)">
                  <c:v>23.35</c:v>
                </c:pt>
                <c:pt idx="12" formatCode="0_);[Red]\(0\)">
                  <c:v>10</c:v>
                </c:pt>
                <c:pt idx="13" formatCode="0_);[Red]\(0\)">
                  <c:v>3.15</c:v>
                </c:pt>
                <c:pt idx="14" formatCode="0_);[Red]\(0\)">
                  <c:v>11.833333333333334</c:v>
                </c:pt>
              </c:numCache>
            </c:numRef>
          </c:val>
        </c:ser>
        <c:ser>
          <c:idx val="2"/>
          <c:order val="1"/>
          <c:tx>
            <c:strRef>
              <c:f>게시판!$A$10</c:f>
              <c:strCache>
                <c:ptCount val="1"/>
                <c:pt idx="0">
                  <c:v>고장건수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(게시판!$H$2:$J$2,게시판!$K$2:$P$2,게시판!$R$2:$W$2)</c:f>
              <c:strCache>
                <c:ptCount val="15"/>
                <c:pt idx="0">
                  <c:v>17~19년</c:v>
                </c:pt>
                <c:pt idx="1">
                  <c:v>20년 
상반기</c:v>
                </c:pt>
                <c:pt idx="2">
                  <c:v>20년 
하반기</c:v>
                </c:pt>
                <c:pt idx="3">
                  <c:v>1월</c:v>
                </c:pt>
                <c:pt idx="4">
                  <c:v>2월</c:v>
                </c:pt>
                <c:pt idx="5">
                  <c:v>3월</c:v>
                </c:pt>
                <c:pt idx="6">
                  <c:v>4월</c:v>
                </c:pt>
                <c:pt idx="7">
                  <c:v>5월</c:v>
                </c:pt>
                <c:pt idx="8">
                  <c:v>6월</c:v>
                </c:pt>
                <c:pt idx="9">
                  <c:v>7월</c:v>
                </c:pt>
                <c:pt idx="10">
                  <c:v>8월</c:v>
                </c:pt>
                <c:pt idx="11">
                  <c:v>9월</c:v>
                </c:pt>
                <c:pt idx="12">
                  <c:v>10월</c:v>
                </c:pt>
                <c:pt idx="13">
                  <c:v>11월</c:v>
                </c:pt>
                <c:pt idx="14">
                  <c:v>12월</c:v>
                </c:pt>
              </c:strCache>
            </c:strRef>
          </c:cat>
          <c:val>
            <c:numRef>
              <c:f>(게시판!$H$10:$J$10,게시판!$K$10:$P$10,게시판!$R$10:$W$10)</c:f>
              <c:numCache>
                <c:formatCode>0</c:formatCode>
                <c:ptCount val="15"/>
                <c:pt idx="0">
                  <c:v>9.4444444444444446</c:v>
                </c:pt>
                <c:pt idx="1">
                  <c:v>5.666666666666667</c:v>
                </c:pt>
                <c:pt idx="2">
                  <c:v>6.333333333333333</c:v>
                </c:pt>
                <c:pt idx="3" formatCode="0_);[Red]\(0\)">
                  <c:v>5</c:v>
                </c:pt>
                <c:pt idx="4" formatCode="0_);[Red]\(0\)">
                  <c:v>9</c:v>
                </c:pt>
                <c:pt idx="5" formatCode="0_);[Red]\(0\)">
                  <c:v>3</c:v>
                </c:pt>
                <c:pt idx="6" formatCode="0_);[Red]\(0\)">
                  <c:v>6</c:v>
                </c:pt>
                <c:pt idx="7" formatCode="0_);[Red]\(0\)">
                  <c:v>4</c:v>
                </c:pt>
                <c:pt idx="8" formatCode="0_);[Red]\(0\)">
                  <c:v>7</c:v>
                </c:pt>
                <c:pt idx="9" formatCode="0_);[Red]\(0\)">
                  <c:v>6</c:v>
                </c:pt>
                <c:pt idx="10" formatCode="0_);[Red]\(0\)">
                  <c:v>11</c:v>
                </c:pt>
                <c:pt idx="11" formatCode="0_);[Red]\(0\)">
                  <c:v>12</c:v>
                </c:pt>
                <c:pt idx="12" formatCode="0_);[Red]\(0\)">
                  <c:v>4</c:v>
                </c:pt>
                <c:pt idx="13" formatCode="0_);[Red]\(0\)">
                  <c:v>1</c:v>
                </c:pt>
                <c:pt idx="14" formatCode="0_);[Red]\(0\)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457472"/>
        <c:axId val="314471552"/>
      </c:barChart>
      <c:catAx>
        <c:axId val="31445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314471552"/>
        <c:crosses val="autoZero"/>
        <c:auto val="1"/>
        <c:lblAlgn val="ctr"/>
        <c:lblOffset val="100"/>
        <c:noMultiLvlLbl val="0"/>
      </c:catAx>
      <c:valAx>
        <c:axId val="314471552"/>
        <c:scaling>
          <c:orientation val="minMax"/>
          <c:max val="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4457472"/>
        <c:crosses val="autoZero"/>
        <c:crossBetween val="between"/>
        <c:majorUnit val="8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4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고장시간</a:t>
            </a:r>
            <a:r>
              <a:rPr lang="en-US" altLang="ko-KR" sz="1800" b="1" i="0" baseline="0">
                <a:effectLst/>
              </a:rPr>
              <a:t>(Hr)</a:t>
            </a:r>
            <a:endParaRPr lang="ko-KR" altLang="ko-KR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9648237573871826E-2"/>
          <c:y val="0.20705675335426568"/>
          <c:w val="0.86979615048118986"/>
          <c:h val="0.6051183656270489"/>
        </c:manualLayout>
      </c:layout>
      <c:lineChart>
        <c:grouping val="standard"/>
        <c:varyColors val="0"/>
        <c:ser>
          <c:idx val="0"/>
          <c:order val="0"/>
          <c:tx>
            <c:strRef>
              <c:f>게시판!$A$9</c:f>
              <c:strCache>
                <c:ptCount val="1"/>
                <c:pt idx="0">
                  <c:v>고장시간</c:v>
                </c:pt>
              </c:strCache>
            </c:strRef>
          </c:tx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게시판!$D$2:$W$2</c:f>
              <c:strCache>
                <c:ptCount val="20"/>
                <c:pt idx="0">
                  <c:v>16년</c:v>
                </c:pt>
                <c:pt idx="1">
                  <c:v>17년</c:v>
                </c:pt>
                <c:pt idx="2">
                  <c:v>18년</c:v>
                </c:pt>
                <c:pt idx="3">
                  <c:v>19년</c:v>
                </c:pt>
                <c:pt idx="4">
                  <c:v>17~19년</c:v>
                </c:pt>
                <c:pt idx="5">
                  <c:v>20년 
상반기</c:v>
                </c:pt>
                <c:pt idx="6">
                  <c:v>20년 
하반기</c:v>
                </c:pt>
                <c:pt idx="7">
                  <c:v>1월</c:v>
                </c:pt>
                <c:pt idx="8">
                  <c:v>2월</c:v>
                </c:pt>
                <c:pt idx="9">
                  <c:v>3월</c:v>
                </c:pt>
                <c:pt idx="10">
                  <c:v>4월</c:v>
                </c:pt>
                <c:pt idx="11">
                  <c:v>5월</c:v>
                </c:pt>
                <c:pt idx="12">
                  <c:v>6월</c:v>
                </c:pt>
                <c:pt idx="13">
                  <c:v>20년
상반기</c:v>
                </c:pt>
                <c:pt idx="14">
                  <c:v>7월</c:v>
                </c:pt>
                <c:pt idx="15">
                  <c:v>8월</c:v>
                </c:pt>
                <c:pt idx="16">
                  <c:v>9월</c:v>
                </c:pt>
                <c:pt idx="17">
                  <c:v>10월</c:v>
                </c:pt>
                <c:pt idx="18">
                  <c:v>11월</c:v>
                </c:pt>
                <c:pt idx="19">
                  <c:v>12월</c:v>
                </c:pt>
              </c:strCache>
            </c:strRef>
          </c:cat>
          <c:val>
            <c:numRef>
              <c:f>게시판!$G$9:$U$9</c:f>
              <c:numCache>
                <c:formatCode>0</c:formatCode>
                <c:ptCount val="15"/>
                <c:pt idx="0">
                  <c:v>12.60138888888889</c:v>
                </c:pt>
                <c:pt idx="1">
                  <c:v>17.526388888888892</c:v>
                </c:pt>
                <c:pt idx="2">
                  <c:v>9.0111111111111111</c:v>
                </c:pt>
                <c:pt idx="3">
                  <c:v>15.208333333333336</c:v>
                </c:pt>
                <c:pt idx="4" formatCode="0_);[Red]\(0\)">
                  <c:v>7.3333333333333339</c:v>
                </c:pt>
                <c:pt idx="5" formatCode="0_);[Red]\(0\)">
                  <c:v>15.416666666666668</c:v>
                </c:pt>
                <c:pt idx="6" formatCode="0_);[Red]\(0\)">
                  <c:v>2.083333333333333</c:v>
                </c:pt>
                <c:pt idx="7" formatCode="0_);[Red]\(0\)">
                  <c:v>9.1833333333333336</c:v>
                </c:pt>
                <c:pt idx="8" formatCode="0_);[Red]\(0\)">
                  <c:v>10.3</c:v>
                </c:pt>
                <c:pt idx="9" formatCode="0_);[Red]\(0\)">
                  <c:v>9.75</c:v>
                </c:pt>
                <c:pt idx="10" formatCode="0_);[Red]\(0\)">
                  <c:v>9.0111111111111111</c:v>
                </c:pt>
                <c:pt idx="11" formatCode="0_);[Red]\(0\)">
                  <c:v>15.333333333333334</c:v>
                </c:pt>
                <c:pt idx="12" formatCode="0_);[Red]\(0\)">
                  <c:v>27.583333333333336</c:v>
                </c:pt>
                <c:pt idx="13" formatCode="0_);[Red]\(0\)">
                  <c:v>23.35</c:v>
                </c:pt>
                <c:pt idx="14" formatCode="0_);[Red]\(0\)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721408"/>
        <c:axId val="314722944"/>
      </c:lineChart>
      <c:catAx>
        <c:axId val="3147214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 b="1"/>
            </a:pPr>
            <a:endParaRPr lang="ko-KR"/>
          </a:p>
        </c:txPr>
        <c:crossAx val="314722944"/>
        <c:crosses val="autoZero"/>
        <c:auto val="1"/>
        <c:lblAlgn val="ctr"/>
        <c:lblOffset val="100"/>
        <c:noMultiLvlLbl val="0"/>
      </c:catAx>
      <c:valAx>
        <c:axId val="314722944"/>
        <c:scaling>
          <c:orientation val="minMax"/>
          <c:max val="30"/>
          <c:min val="0"/>
        </c:scaling>
        <c:delete val="0"/>
        <c:axPos val="l"/>
        <c:numFmt formatCode="0" sourceLinked="1"/>
        <c:majorTickMark val="out"/>
        <c:minorTickMark val="none"/>
        <c:tickLblPos val="nextTo"/>
        <c:crossAx val="314721408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종합!$BQ$172</c:f>
              <c:strCache>
                <c:ptCount val="1"/>
                <c:pt idx="0">
                  <c:v>CPL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종합!$BT$172:$BW$172</c:f>
              <c:numCache>
                <c:formatCode>0.00_);[Red]\(0.00\)</c:formatCode>
                <c:ptCount val="4"/>
                <c:pt idx="0">
                  <c:v>58.04</c:v>
                </c:pt>
                <c:pt idx="1">
                  <c:v>60.206775876441782</c:v>
                </c:pt>
                <c:pt idx="2">
                  <c:v>58.694362011852697</c:v>
                </c:pt>
                <c:pt idx="3">
                  <c:v>60.293596370134942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000704"/>
        <c:axId val="315002240"/>
      </c:barChart>
      <c:catAx>
        <c:axId val="31500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315002240"/>
        <c:crosses val="autoZero"/>
        <c:auto val="1"/>
        <c:lblAlgn val="ctr"/>
        <c:lblOffset val="100"/>
        <c:noMultiLvlLbl val="0"/>
      </c:catAx>
      <c:valAx>
        <c:axId val="315002240"/>
        <c:scaling>
          <c:orientation val="minMax"/>
          <c:max val="80"/>
          <c:min val="0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5000704"/>
        <c:crosses val="autoZero"/>
        <c:crossBetween val="between"/>
        <c:majorUnit val="20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36043360433603"/>
          <c:y val="0.25641321978913217"/>
          <c:w val="0.79563956639566391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종합!$AY$82</c:f>
              <c:strCache>
                <c:ptCount val="1"/>
                <c:pt idx="0">
                  <c:v>CGL 불량 발생 현황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종합!$AT$81:$AW$81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종합!$AT$82:$AW$82</c:f>
              <c:numCache>
                <c:formatCode>#,##0_);[Red]\(#,##0\)</c:formatCode>
                <c:ptCount val="4"/>
                <c:pt idx="0">
                  <c:v>320</c:v>
                </c:pt>
                <c:pt idx="1">
                  <c:v>307.49</c:v>
                </c:pt>
                <c:pt idx="2">
                  <c:v>363.24000000000007</c:v>
                </c:pt>
                <c:pt idx="3" formatCode="#,##0_ ">
                  <c:v>205.53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069952"/>
        <c:axId val="315071488"/>
      </c:barChart>
      <c:catAx>
        <c:axId val="315069952"/>
        <c:scaling>
          <c:orientation val="minMax"/>
        </c:scaling>
        <c:delete val="0"/>
        <c:axPos val="b"/>
        <c:majorTickMark val="out"/>
        <c:minorTickMark val="none"/>
        <c:tickLblPos val="nextTo"/>
        <c:crossAx val="315071488"/>
        <c:crosses val="autoZero"/>
        <c:auto val="1"/>
        <c:lblAlgn val="ctr"/>
        <c:lblOffset val="100"/>
        <c:noMultiLvlLbl val="0"/>
      </c:catAx>
      <c:valAx>
        <c:axId val="315071488"/>
        <c:scaling>
          <c:orientation val="minMax"/>
        </c:scaling>
        <c:delete val="0"/>
        <c:axPos val="l"/>
        <c:numFmt formatCode="#,##0_);[Red]\(#,##0\)" sourceLinked="1"/>
        <c:majorTickMark val="out"/>
        <c:minorTickMark val="none"/>
        <c:tickLblPos val="nextTo"/>
        <c:crossAx val="315069952"/>
        <c:crosses val="autoZero"/>
        <c:crossBetween val="between"/>
      </c:valAx>
      <c:spPr>
        <a:solidFill>
          <a:schemeClr val="accent5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9407825203252033"/>
          <c:y val="0.26671332750072907"/>
          <c:w val="0.80592174796747973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종합!$AY$83</c:f>
              <c:strCache>
                <c:ptCount val="1"/>
                <c:pt idx="0">
                  <c:v>1CCL 불량 발생 현황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종합!$AT$81:$AW$81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종합!$AT$83:$AW$83</c:f>
              <c:numCache>
                <c:formatCode>#,##0_);[Red]\(#,##0\)</c:formatCode>
                <c:ptCount val="4"/>
                <c:pt idx="0">
                  <c:v>125.91</c:v>
                </c:pt>
                <c:pt idx="1">
                  <c:v>92.647999999999996</c:v>
                </c:pt>
                <c:pt idx="2">
                  <c:v>83.9</c:v>
                </c:pt>
                <c:pt idx="3" formatCode="#,##0_ ">
                  <c:v>50.17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188352"/>
        <c:axId val="315189888"/>
      </c:barChart>
      <c:catAx>
        <c:axId val="315188352"/>
        <c:scaling>
          <c:orientation val="minMax"/>
        </c:scaling>
        <c:delete val="0"/>
        <c:axPos val="b"/>
        <c:majorTickMark val="out"/>
        <c:minorTickMark val="none"/>
        <c:tickLblPos val="nextTo"/>
        <c:crossAx val="315189888"/>
        <c:crosses val="autoZero"/>
        <c:auto val="1"/>
        <c:lblAlgn val="ctr"/>
        <c:lblOffset val="100"/>
        <c:noMultiLvlLbl val="0"/>
      </c:catAx>
      <c:valAx>
        <c:axId val="315189888"/>
        <c:scaling>
          <c:orientation val="minMax"/>
        </c:scaling>
        <c:delete val="0"/>
        <c:axPos val="l"/>
        <c:numFmt formatCode="#,##0_);[Red]\(#,##0\)" sourceLinked="1"/>
        <c:majorTickMark val="out"/>
        <c:minorTickMark val="none"/>
        <c:tickLblPos val="nextTo"/>
        <c:crossAx val="315188352"/>
        <c:crosses val="autoZero"/>
        <c:crossBetween val="between"/>
      </c:valAx>
      <c:spPr>
        <a:solidFill>
          <a:schemeClr val="accent5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9407825203252033"/>
          <c:y val="0.26671332750072907"/>
          <c:w val="0.80592174796747973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종합!$AY$84</c:f>
              <c:strCache>
                <c:ptCount val="1"/>
                <c:pt idx="0">
                  <c:v>2CCL 불량 발생 현황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종합!$AT$81:$AW$81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종합!$AT$84:$AW$84</c:f>
              <c:numCache>
                <c:formatCode>#,##0_);[Red]\(#,##0\)</c:formatCode>
                <c:ptCount val="4"/>
                <c:pt idx="0">
                  <c:v>95</c:v>
                </c:pt>
                <c:pt idx="1">
                  <c:v>73.749999999999986</c:v>
                </c:pt>
                <c:pt idx="2">
                  <c:v>73.5</c:v>
                </c:pt>
                <c:pt idx="3" formatCode="#,##0_ ">
                  <c:v>37.170000000000009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319040"/>
        <c:axId val="315320576"/>
      </c:barChart>
      <c:catAx>
        <c:axId val="31531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15320576"/>
        <c:crosses val="autoZero"/>
        <c:auto val="1"/>
        <c:lblAlgn val="ctr"/>
        <c:lblOffset val="100"/>
        <c:noMultiLvlLbl val="0"/>
      </c:catAx>
      <c:valAx>
        <c:axId val="315320576"/>
        <c:scaling>
          <c:orientation val="minMax"/>
          <c:max val="100"/>
          <c:min val="0"/>
        </c:scaling>
        <c:delete val="0"/>
        <c:axPos val="l"/>
        <c:numFmt formatCode="#,##0_);[Red]\(#,##0\)" sourceLinked="1"/>
        <c:majorTickMark val="out"/>
        <c:minorTickMark val="none"/>
        <c:tickLblPos val="nextTo"/>
        <c:crossAx val="315319040"/>
        <c:crosses val="autoZero"/>
        <c:crossBetween val="between"/>
        <c:majorUnit val="20"/>
      </c:valAx>
      <c:spPr>
        <a:solidFill>
          <a:schemeClr val="accent5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고객 불만</a:t>
            </a:r>
            <a:r>
              <a:rPr lang="en-US" altLang="ko-KR"/>
              <a:t>(</a:t>
            </a:r>
            <a:r>
              <a:rPr lang="ko-KR" altLang="en-US"/>
              <a:t>건</a:t>
            </a:r>
            <a:r>
              <a:rPr lang="en-US" altLang="ko-KR"/>
              <a:t>)</a:t>
            </a:r>
            <a:endParaRPr lang="ko-KR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95668509044676"/>
          <c:y val="0.1705229782873359"/>
          <c:w val="0.85632685608864456"/>
          <c:h val="0.67434156937279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종합!$AR$191</c:f>
              <c:strCache>
                <c:ptCount val="1"/>
                <c:pt idx="0">
                  <c:v>생산원인</c:v>
                </c:pt>
              </c:strCache>
            </c:strRef>
          </c:tx>
          <c:spPr>
            <a:solidFill>
              <a:srgbClr val="FF0000"/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</c:dPt>
          <c:dLbls>
            <c:dLbl>
              <c:idx val="0"/>
              <c:layout>
                <c:manualLayout>
                  <c:x val="3.0676321092676065E-3"/>
                  <c:y val="-0.2461194444444444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3.0676321092676065E-3"/>
                  <c:y val="-0.2106836805555555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3457461805555555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1247854464473299E-16"/>
                  <c:y val="-0.1795434027777777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6.1352657004830917E-3"/>
                  <c:y val="-0.175913888888888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종합!$AP$200:$AS$200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종합!$AP$201:$AS$201</c:f>
              <c:numCache>
                <c:formatCode>General</c:formatCode>
                <c:ptCount val="4"/>
                <c:pt idx="0">
                  <c:v>35</c:v>
                </c:pt>
                <c:pt idx="1">
                  <c:v>30</c:v>
                </c:pt>
                <c:pt idx="2">
                  <c:v>53</c:v>
                </c:pt>
                <c:pt idx="3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469184"/>
        <c:axId val="315475072"/>
      </c:barChart>
      <c:catAx>
        <c:axId val="315469184"/>
        <c:scaling>
          <c:orientation val="minMax"/>
        </c:scaling>
        <c:delete val="0"/>
        <c:axPos val="b"/>
        <c:majorTickMark val="out"/>
        <c:minorTickMark val="none"/>
        <c:tickLblPos val="nextTo"/>
        <c:crossAx val="315475072"/>
        <c:crosses val="autoZero"/>
        <c:auto val="1"/>
        <c:lblAlgn val="ctr"/>
        <c:lblOffset val="100"/>
        <c:noMultiLvlLbl val="0"/>
      </c:catAx>
      <c:valAx>
        <c:axId val="315475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469184"/>
        <c:crosses val="autoZero"/>
        <c:crossBetween val="between"/>
      </c:valAx>
      <c:spPr>
        <a:solidFill>
          <a:schemeClr val="accent6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>
      <a:solidFill>
        <a:srgbClr val="00206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반품 중량</a:t>
            </a:r>
            <a:r>
              <a:rPr lang="en-US" altLang="ko-KR"/>
              <a:t>(</a:t>
            </a:r>
            <a:r>
              <a:rPr lang="ko-KR" altLang="en-US"/>
              <a:t>톤</a:t>
            </a:r>
            <a:r>
              <a:rPr lang="en-US" altLang="ko-KR"/>
              <a:t>)</a:t>
            </a:r>
            <a:endParaRPr lang="ko-KR" alt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종합!$AR$184</c:f>
              <c:strCache>
                <c:ptCount val="1"/>
                <c:pt idx="0">
                  <c:v>반품 중량</c:v>
                </c:pt>
              </c:strCache>
            </c:strRef>
          </c:tx>
          <c:spPr>
            <a:solidFill>
              <a:srgbClr val="FF0000"/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</c:dPt>
          <c:dLbls>
            <c:dLbl>
              <c:idx val="0"/>
              <c:layout>
                <c:manualLayout>
                  <c:x val="3.0676328502415458E-3"/>
                  <c:y val="-0.147627829037440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3.0676328502415458E-3"/>
                  <c:y val="-0.1456903283646972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313861914535387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1247857181346359E-16"/>
                  <c:y val="-0.1247948349982065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"/>
                  <c:y val="-0.2681313431011607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종합!$AP$200:$AS$200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종합!$AP$202:$AS$202</c:f>
              <c:numCache>
                <c:formatCode>#,##0_ </c:formatCode>
                <c:ptCount val="4"/>
                <c:pt idx="0" formatCode="General">
                  <c:v>242</c:v>
                </c:pt>
                <c:pt idx="1">
                  <c:v>222.89699999999999</c:v>
                </c:pt>
                <c:pt idx="2">
                  <c:v>605.98</c:v>
                </c:pt>
                <c:pt idx="3">
                  <c:v>183.21099999999998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533568"/>
        <c:axId val="315650048"/>
      </c:barChart>
      <c:catAx>
        <c:axId val="31553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315650048"/>
        <c:crosses val="autoZero"/>
        <c:auto val="1"/>
        <c:lblAlgn val="ctr"/>
        <c:lblOffset val="100"/>
        <c:noMultiLvlLbl val="0"/>
      </c:catAx>
      <c:valAx>
        <c:axId val="315650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533568"/>
        <c:crosses val="autoZero"/>
        <c:crossBetween val="between"/>
      </c:valAx>
      <c:spPr>
        <a:solidFill>
          <a:schemeClr val="accent6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>
      <a:solidFill>
        <a:srgbClr val="002060"/>
      </a:solidFill>
    </a:ln>
  </c:spPr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05074365704287E-2"/>
          <c:y val="0.18103018372703411"/>
          <c:w val="0.92165179352580928"/>
          <c:h val="0.6794484543598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종합!$AR$165</c:f>
              <c:strCache>
                <c:ptCount val="1"/>
                <c:pt idx="0">
                  <c:v>PO 고객 불만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종합!$AS$165:$AT$165</c:f>
              <c:numCache>
                <c:formatCode>General</c:formatCode>
                <c:ptCount val="2"/>
                <c:pt idx="0">
                  <c:v>5</c:v>
                </c:pt>
                <c:pt idx="1">
                  <c:v>2</c:v>
                </c:pt>
              </c:numCache>
            </c:numRef>
          </c:val>
        </c:ser>
        <c:ser>
          <c:idx val="1"/>
          <c:order val="1"/>
          <c:tx>
            <c:strRef>
              <c:f>종합!$AR$166</c:f>
              <c:strCache>
                <c:ptCount val="1"/>
                <c:pt idx="0">
                  <c:v>6월 ~7월 건수</c:v>
                </c:pt>
              </c:strCache>
            </c:strRef>
          </c:tx>
          <c:invertIfNegative val="0"/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종합!$AS$166:$AT$166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687680"/>
        <c:axId val="315689216"/>
      </c:barChart>
      <c:catAx>
        <c:axId val="315687680"/>
        <c:scaling>
          <c:orientation val="minMax"/>
        </c:scaling>
        <c:delete val="0"/>
        <c:axPos val="b"/>
        <c:majorTickMark val="out"/>
        <c:minorTickMark val="none"/>
        <c:tickLblPos val="nextTo"/>
        <c:crossAx val="315689216"/>
        <c:crosses val="autoZero"/>
        <c:auto val="1"/>
        <c:lblAlgn val="ctr"/>
        <c:lblOffset val="100"/>
        <c:noMultiLvlLbl val="0"/>
      </c:catAx>
      <c:valAx>
        <c:axId val="315689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87680"/>
        <c:crosses val="autoZero"/>
        <c:crossBetween val="between"/>
        <c:majorUnit val="2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05074365704287E-2"/>
          <c:y val="0.18103018372703411"/>
          <c:w val="0.92165179352580928"/>
          <c:h val="0.6794484543598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종합!$AR$170</c:f>
              <c:strCache>
                <c:ptCount val="1"/>
                <c:pt idx="0">
                  <c:v>PO 고객 불만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종합!$AS$170:$AT$170</c:f>
              <c:numCache>
                <c:formatCode>General</c:formatCode>
                <c:ptCount val="2"/>
                <c:pt idx="0">
                  <c:v>16</c:v>
                </c:pt>
              </c:numCache>
            </c:numRef>
          </c:val>
        </c:ser>
        <c:ser>
          <c:idx val="1"/>
          <c:order val="1"/>
          <c:tx>
            <c:strRef>
              <c:f>종합!$AR$171</c:f>
              <c:strCache>
                <c:ptCount val="1"/>
                <c:pt idx="0">
                  <c:v>6월 ~7월 건수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종합!$AS$171:$AT$171</c:f>
              <c:numCache>
                <c:formatCode>General</c:formatCode>
                <c:ptCount val="2"/>
                <c:pt idx="1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718656"/>
        <c:axId val="315949824"/>
      </c:barChart>
      <c:catAx>
        <c:axId val="3157186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5949824"/>
        <c:crosses val="autoZero"/>
        <c:auto val="1"/>
        <c:lblAlgn val="ctr"/>
        <c:lblOffset val="100"/>
        <c:noMultiLvlLbl val="0"/>
      </c:catAx>
      <c:valAx>
        <c:axId val="315949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718656"/>
        <c:crosses val="autoZero"/>
        <c:crossBetween val="between"/>
        <c:majorUnit val="3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05074365704287E-2"/>
          <c:y val="0.18103018372703411"/>
          <c:w val="0.92165179352580928"/>
          <c:h val="0.6794484543598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종합!$AR$174</c:f>
              <c:strCache>
                <c:ptCount val="1"/>
                <c:pt idx="0">
                  <c:v>PO 고객 불만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1"/>
              <c:layout>
                <c:manualLayout>
                  <c:x val="0"/>
                  <c:y val="8.748906386701662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종합!$AS$174:$AT$174</c:f>
              <c:numCache>
                <c:formatCode>General</c:formatCode>
                <c:ptCount val="2"/>
                <c:pt idx="0">
                  <c:v>20</c:v>
                </c:pt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종합!$AR$175</c:f>
              <c:strCache>
                <c:ptCount val="1"/>
                <c:pt idx="0">
                  <c:v>6월 ~7월 건수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1"/>
              <c:layout>
                <c:manualLayout>
                  <c:x val="3.6529680365296802E-3"/>
                  <c:y val="-3.29173957421988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종합!$AS$175:$AT$175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991552"/>
        <c:axId val="315993088"/>
      </c:barChart>
      <c:catAx>
        <c:axId val="31599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315993088"/>
        <c:crosses val="autoZero"/>
        <c:auto val="1"/>
        <c:lblAlgn val="ctr"/>
        <c:lblOffset val="100"/>
        <c:noMultiLvlLbl val="0"/>
      </c:catAx>
      <c:valAx>
        <c:axId val="315993088"/>
        <c:scaling>
          <c:orientation val="minMax"/>
          <c:max val="20"/>
        </c:scaling>
        <c:delete val="0"/>
        <c:axPos val="l"/>
        <c:numFmt formatCode="General" sourceLinked="1"/>
        <c:majorTickMark val="out"/>
        <c:minorTickMark val="none"/>
        <c:tickLblPos val="nextTo"/>
        <c:crossAx val="315991552"/>
        <c:crosses val="autoZero"/>
        <c:crossBetween val="between"/>
        <c:majorUnit val="5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05074365704287E-2"/>
          <c:y val="0.18103018372703411"/>
          <c:w val="0.92165179352580928"/>
          <c:h val="0.6794484543598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종합!$AR$179</c:f>
              <c:strCache>
                <c:ptCount val="1"/>
                <c:pt idx="0">
                  <c:v>PO 고객 불만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1"/>
              <c:layout>
                <c:manualLayout>
                  <c:x val="0"/>
                  <c:y val="8.748906386701662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종합!$AS$179:$AT$179</c:f>
              <c:numCache>
                <c:formatCode>General</c:formatCode>
                <c:ptCount val="2"/>
                <c:pt idx="0">
                  <c:v>44</c:v>
                </c:pt>
                <c:pt idx="1">
                  <c:v>6</c:v>
                </c:pt>
              </c:numCache>
            </c:numRef>
          </c:val>
        </c:ser>
        <c:ser>
          <c:idx val="1"/>
          <c:order val="1"/>
          <c:tx>
            <c:strRef>
              <c:f>종합!$AR$180</c:f>
              <c:strCache>
                <c:ptCount val="1"/>
                <c:pt idx="0">
                  <c:v>6월 ~7월 건수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1"/>
              <c:layout>
                <c:manualLayout>
                  <c:x val="3.6529680365296802E-3"/>
                  <c:y val="-3.29173957421988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종합!$AS$164:$AT$164</c:f>
              <c:strCache>
                <c:ptCount val="2"/>
                <c:pt idx="0">
                  <c:v>16년 실적</c:v>
                </c:pt>
                <c:pt idx="1">
                  <c:v>17년 상반기</c:v>
                </c:pt>
              </c:strCache>
            </c:strRef>
          </c:cat>
          <c:val>
            <c:numRef>
              <c:f>종합!$AS$180:$AT$180</c:f>
              <c:numCache>
                <c:formatCode>General</c:formatCode>
                <c:ptCount val="2"/>
                <c:pt idx="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026880"/>
        <c:axId val="316028416"/>
      </c:barChart>
      <c:catAx>
        <c:axId val="316026880"/>
        <c:scaling>
          <c:orientation val="minMax"/>
        </c:scaling>
        <c:delete val="0"/>
        <c:axPos val="b"/>
        <c:majorTickMark val="out"/>
        <c:minorTickMark val="none"/>
        <c:tickLblPos val="nextTo"/>
        <c:crossAx val="316028416"/>
        <c:crosses val="autoZero"/>
        <c:auto val="1"/>
        <c:lblAlgn val="ctr"/>
        <c:lblOffset val="100"/>
        <c:noMultiLvlLbl val="0"/>
      </c:catAx>
      <c:valAx>
        <c:axId val="316028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6026880"/>
        <c:crosses val="autoZero"/>
        <c:crossBetween val="between"/>
        <c:majorUnit val="10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종합!$BQ$173</c:f>
              <c:strCache>
                <c:ptCount val="1"/>
                <c:pt idx="0">
                  <c:v>CRM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종합!$BT$173:$BW$173</c:f>
              <c:numCache>
                <c:formatCode>0.00_);[Red]\(0.00\)</c:formatCode>
                <c:ptCount val="4"/>
                <c:pt idx="0">
                  <c:v>44.71</c:v>
                </c:pt>
                <c:pt idx="1">
                  <c:v>46.04272455659865</c:v>
                </c:pt>
                <c:pt idx="2">
                  <c:v>46.906486455981941</c:v>
                </c:pt>
                <c:pt idx="3">
                  <c:v>49.260056236092275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079104"/>
        <c:axId val="316351232"/>
      </c:barChart>
      <c:catAx>
        <c:axId val="316079104"/>
        <c:scaling>
          <c:orientation val="minMax"/>
        </c:scaling>
        <c:delete val="0"/>
        <c:axPos val="b"/>
        <c:majorTickMark val="out"/>
        <c:minorTickMark val="none"/>
        <c:tickLblPos val="nextTo"/>
        <c:crossAx val="316351232"/>
        <c:crosses val="autoZero"/>
        <c:auto val="1"/>
        <c:lblAlgn val="ctr"/>
        <c:lblOffset val="100"/>
        <c:noMultiLvlLbl val="0"/>
      </c:catAx>
      <c:valAx>
        <c:axId val="316351232"/>
        <c:scaling>
          <c:orientation val="minMax"/>
          <c:max val="60"/>
          <c:min val="0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6079104"/>
        <c:crosses val="autoZero"/>
        <c:crossBetween val="between"/>
        <c:majorUnit val="15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종합!$BQ$174</c:f>
              <c:strCache>
                <c:ptCount val="1"/>
                <c:pt idx="0">
                  <c:v>CGL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종합!$BT$174:$BW$174</c:f>
              <c:numCache>
                <c:formatCode>0.00_);[Red]\(0.00\)</c:formatCode>
                <c:ptCount val="4"/>
                <c:pt idx="0">
                  <c:v>39.29</c:v>
                </c:pt>
                <c:pt idx="1">
                  <c:v>39.056847287531163</c:v>
                </c:pt>
                <c:pt idx="2">
                  <c:v>39.078220717254119</c:v>
                </c:pt>
                <c:pt idx="3">
                  <c:v>39.517993080100446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394112"/>
        <c:axId val="316408192"/>
      </c:barChart>
      <c:catAx>
        <c:axId val="316394112"/>
        <c:scaling>
          <c:orientation val="minMax"/>
        </c:scaling>
        <c:delete val="0"/>
        <c:axPos val="b"/>
        <c:majorTickMark val="out"/>
        <c:minorTickMark val="none"/>
        <c:tickLblPos val="nextTo"/>
        <c:crossAx val="316408192"/>
        <c:crosses val="autoZero"/>
        <c:auto val="1"/>
        <c:lblAlgn val="ctr"/>
        <c:lblOffset val="100"/>
        <c:noMultiLvlLbl val="0"/>
      </c:catAx>
      <c:valAx>
        <c:axId val="316408192"/>
        <c:scaling>
          <c:orientation val="minMax"/>
          <c:max val="50"/>
          <c:min val="0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6394112"/>
        <c:crosses val="autoZero"/>
        <c:crossBetween val="between"/>
        <c:majorUnit val="10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종합!$BQ$175</c:f>
              <c:strCache>
                <c:ptCount val="1"/>
                <c:pt idx="0">
                  <c:v>1CCL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종합!$BT$175:$BW$175</c:f>
              <c:numCache>
                <c:formatCode>0.00_);[Red]\(0.00\)</c:formatCode>
                <c:ptCount val="4"/>
                <c:pt idx="0">
                  <c:v>22.3</c:v>
                </c:pt>
                <c:pt idx="1">
                  <c:v>23.635136290988044</c:v>
                </c:pt>
                <c:pt idx="2">
                  <c:v>23.126629659404287</c:v>
                </c:pt>
                <c:pt idx="3">
                  <c:v>22.529190340300048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451456"/>
        <c:axId val="316469632"/>
      </c:barChart>
      <c:catAx>
        <c:axId val="3164514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6469632"/>
        <c:crosses val="autoZero"/>
        <c:auto val="1"/>
        <c:lblAlgn val="ctr"/>
        <c:lblOffset val="100"/>
        <c:noMultiLvlLbl val="0"/>
      </c:catAx>
      <c:valAx>
        <c:axId val="316469632"/>
        <c:scaling>
          <c:orientation val="minMax"/>
          <c:max val="30"/>
          <c:min val="10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6451456"/>
        <c:crosses val="autoZero"/>
        <c:crossBetween val="between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종합!$BQ$176</c:f>
              <c:strCache>
                <c:ptCount val="1"/>
                <c:pt idx="0">
                  <c:v>2CCL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종합!$BT$176:$BW$176</c:f>
              <c:numCache>
                <c:formatCode>0.00_);[Red]\(0.00\)</c:formatCode>
                <c:ptCount val="4"/>
                <c:pt idx="0">
                  <c:v>9.3511203248380532</c:v>
                </c:pt>
                <c:pt idx="1">
                  <c:v>9.9899535671630861</c:v>
                </c:pt>
                <c:pt idx="2">
                  <c:v>9.3511203248380532</c:v>
                </c:pt>
                <c:pt idx="3">
                  <c:v>9.5212979035692769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573952"/>
        <c:axId val="316596224"/>
      </c:barChart>
      <c:catAx>
        <c:axId val="31657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316596224"/>
        <c:crosses val="autoZero"/>
        <c:auto val="1"/>
        <c:lblAlgn val="ctr"/>
        <c:lblOffset val="100"/>
        <c:noMultiLvlLbl val="0"/>
      </c:catAx>
      <c:valAx>
        <c:axId val="316596224"/>
        <c:scaling>
          <c:orientation val="minMax"/>
          <c:max val="13"/>
          <c:min val="5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6573952"/>
        <c:crosses val="autoZero"/>
        <c:crossBetween val="between"/>
        <c:majorUnit val="2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종합!$BQ$30</c:f>
              <c:strCache>
                <c:ptCount val="1"/>
                <c:pt idx="0">
                  <c:v>CPL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종합!$BT$30:$BW$30</c:f>
              <c:numCache>
                <c:formatCode>0.00_ </c:formatCode>
                <c:ptCount val="4"/>
                <c:pt idx="0">
                  <c:v>64.655000000000001</c:v>
                </c:pt>
                <c:pt idx="1">
                  <c:v>62.828333333333326</c:v>
                </c:pt>
                <c:pt idx="2" formatCode="#,##0.00_ ">
                  <c:v>58.81</c:v>
                </c:pt>
                <c:pt idx="3">
                  <c:v>63.720000000000006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655488"/>
        <c:axId val="316657024"/>
      </c:barChart>
      <c:catAx>
        <c:axId val="31665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316657024"/>
        <c:crosses val="autoZero"/>
        <c:auto val="1"/>
        <c:lblAlgn val="ctr"/>
        <c:lblOffset val="100"/>
        <c:noMultiLvlLbl val="0"/>
      </c:catAx>
      <c:valAx>
        <c:axId val="316657024"/>
        <c:scaling>
          <c:orientation val="minMax"/>
          <c:max val="80"/>
          <c:min val="0"/>
        </c:scaling>
        <c:delete val="0"/>
        <c:axPos val="l"/>
        <c:numFmt formatCode="0.00_ " sourceLinked="1"/>
        <c:majorTickMark val="out"/>
        <c:minorTickMark val="none"/>
        <c:tickLblPos val="nextTo"/>
        <c:crossAx val="316655488"/>
        <c:crosses val="autoZero"/>
        <c:crossBetween val="between"/>
        <c:majorUnit val="20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종합!$BQ$31</c:f>
              <c:strCache>
                <c:ptCount val="1"/>
                <c:pt idx="0">
                  <c:v>CRM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종합!$BT$31:$BW$31</c:f>
              <c:numCache>
                <c:formatCode>0.00_ </c:formatCode>
                <c:ptCount val="4"/>
                <c:pt idx="0">
                  <c:v>80.865000000000009</c:v>
                </c:pt>
                <c:pt idx="1">
                  <c:v>78.473333333333315</c:v>
                </c:pt>
                <c:pt idx="2" formatCode="#,##0.00_ ">
                  <c:v>70.8</c:v>
                </c:pt>
                <c:pt idx="3">
                  <c:v>73.412999999999997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700160"/>
        <c:axId val="316701696"/>
      </c:barChart>
      <c:catAx>
        <c:axId val="316700160"/>
        <c:scaling>
          <c:orientation val="minMax"/>
        </c:scaling>
        <c:delete val="0"/>
        <c:axPos val="b"/>
        <c:majorTickMark val="out"/>
        <c:minorTickMark val="none"/>
        <c:tickLblPos val="nextTo"/>
        <c:crossAx val="316701696"/>
        <c:crosses val="autoZero"/>
        <c:auto val="1"/>
        <c:lblAlgn val="ctr"/>
        <c:lblOffset val="100"/>
        <c:noMultiLvlLbl val="0"/>
      </c:catAx>
      <c:valAx>
        <c:axId val="316701696"/>
        <c:scaling>
          <c:orientation val="minMax"/>
          <c:max val="100"/>
          <c:min val="0"/>
        </c:scaling>
        <c:delete val="0"/>
        <c:axPos val="l"/>
        <c:numFmt formatCode="0.00_ " sourceLinked="1"/>
        <c:majorTickMark val="out"/>
        <c:minorTickMark val="none"/>
        <c:tickLblPos val="nextTo"/>
        <c:crossAx val="316700160"/>
        <c:crosses val="autoZero"/>
        <c:crossBetween val="between"/>
        <c:majorUnit val="20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종합!$BQ$32</c:f>
              <c:strCache>
                <c:ptCount val="1"/>
                <c:pt idx="0">
                  <c:v>CGL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종합!$BT$32:$BW$32</c:f>
              <c:numCache>
                <c:formatCode>0.00_ </c:formatCode>
                <c:ptCount val="4"/>
                <c:pt idx="0">
                  <c:v>91.074999999999989</c:v>
                </c:pt>
                <c:pt idx="1">
                  <c:v>90.483333333333334</c:v>
                </c:pt>
                <c:pt idx="2" formatCode="#,##0.00_ ">
                  <c:v>85.29</c:v>
                </c:pt>
                <c:pt idx="3">
                  <c:v>90.955000000000013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728064"/>
        <c:axId val="316729600"/>
      </c:barChart>
      <c:catAx>
        <c:axId val="316728064"/>
        <c:scaling>
          <c:orientation val="minMax"/>
        </c:scaling>
        <c:delete val="0"/>
        <c:axPos val="b"/>
        <c:majorTickMark val="out"/>
        <c:minorTickMark val="none"/>
        <c:tickLblPos val="nextTo"/>
        <c:crossAx val="316729600"/>
        <c:crosses val="autoZero"/>
        <c:auto val="1"/>
        <c:lblAlgn val="ctr"/>
        <c:lblOffset val="100"/>
        <c:noMultiLvlLbl val="0"/>
      </c:catAx>
      <c:valAx>
        <c:axId val="316729600"/>
        <c:scaling>
          <c:orientation val="minMax"/>
          <c:max val="100"/>
          <c:min val="0"/>
        </c:scaling>
        <c:delete val="0"/>
        <c:axPos val="l"/>
        <c:numFmt formatCode="0.00_ " sourceLinked="1"/>
        <c:majorTickMark val="out"/>
        <c:minorTickMark val="none"/>
        <c:tickLblPos val="nextTo"/>
        <c:crossAx val="316728064"/>
        <c:crosses val="autoZero"/>
        <c:crossBetween val="between"/>
        <c:majorUnit val="25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8022527100271002"/>
          <c:y val="0.18627446625952657"/>
          <c:w val="0.81939132608423948"/>
          <c:h val="0.654034173516244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종합!$BQ$33</c:f>
              <c:strCache>
                <c:ptCount val="1"/>
                <c:pt idx="0">
                  <c:v>1CCL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종합!$BT$33:$BW$33</c:f>
              <c:numCache>
                <c:formatCode>0.00_ </c:formatCode>
                <c:ptCount val="4"/>
                <c:pt idx="0">
                  <c:v>64.534999999999997</c:v>
                </c:pt>
                <c:pt idx="1">
                  <c:v>69.433333333333323</c:v>
                </c:pt>
                <c:pt idx="2" formatCode="#,##0.00_ ">
                  <c:v>74.790000000000006</c:v>
                </c:pt>
                <c:pt idx="3">
                  <c:v>79.642499999999984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854656"/>
        <c:axId val="316856192"/>
      </c:barChart>
      <c:catAx>
        <c:axId val="31685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6856192"/>
        <c:crosses val="autoZero"/>
        <c:auto val="1"/>
        <c:lblAlgn val="ctr"/>
        <c:lblOffset val="100"/>
        <c:noMultiLvlLbl val="0"/>
      </c:catAx>
      <c:valAx>
        <c:axId val="316856192"/>
        <c:scaling>
          <c:orientation val="minMax"/>
          <c:max val="90"/>
          <c:min val="60"/>
        </c:scaling>
        <c:delete val="0"/>
        <c:axPos val="l"/>
        <c:numFmt formatCode="0.00_ " sourceLinked="1"/>
        <c:majorTickMark val="out"/>
        <c:minorTickMark val="none"/>
        <c:tickLblPos val="nextTo"/>
        <c:crossAx val="316854656"/>
        <c:crosses val="autoZero"/>
        <c:crossBetween val="between"/>
        <c:majorUnit val="6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15702399631490305"/>
          <c:w val="0.81939132608423948"/>
          <c:h val="0.683284630554635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종합!$BQ$34</c:f>
              <c:strCache>
                <c:ptCount val="1"/>
                <c:pt idx="0">
                  <c:v>2CCL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종합!$BT$34:$BW$34</c:f>
              <c:numCache>
                <c:formatCode>0.00_ </c:formatCode>
                <c:ptCount val="4"/>
                <c:pt idx="0">
                  <c:v>52.67</c:v>
                </c:pt>
                <c:pt idx="1">
                  <c:v>62.459166666666668</c:v>
                </c:pt>
                <c:pt idx="2" formatCode="#,##0.00_ ">
                  <c:v>64.38</c:v>
                </c:pt>
                <c:pt idx="3">
                  <c:v>67.144999999999996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878848"/>
        <c:axId val="316880384"/>
      </c:barChart>
      <c:catAx>
        <c:axId val="316878848"/>
        <c:scaling>
          <c:orientation val="minMax"/>
        </c:scaling>
        <c:delete val="0"/>
        <c:axPos val="b"/>
        <c:majorTickMark val="out"/>
        <c:minorTickMark val="none"/>
        <c:tickLblPos val="nextTo"/>
        <c:crossAx val="316880384"/>
        <c:crosses val="autoZero"/>
        <c:auto val="1"/>
        <c:lblAlgn val="ctr"/>
        <c:lblOffset val="100"/>
        <c:noMultiLvlLbl val="0"/>
      </c:catAx>
      <c:valAx>
        <c:axId val="316880384"/>
        <c:scaling>
          <c:orientation val="minMax"/>
          <c:max val="80"/>
          <c:min val="40"/>
        </c:scaling>
        <c:delete val="0"/>
        <c:axPos val="l"/>
        <c:numFmt formatCode="0.00_ " sourceLinked="1"/>
        <c:majorTickMark val="out"/>
        <c:minorTickMark val="none"/>
        <c:tickLblPos val="nextTo"/>
        <c:crossAx val="316878848"/>
        <c:crosses val="autoZero"/>
        <c:crossBetween val="between"/>
        <c:majorUnit val="10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15702399631490305"/>
          <c:w val="0.81939132608423948"/>
          <c:h val="0.683284630554635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종합!$BQ$35</c:f>
              <c:strCache>
                <c:ptCount val="1"/>
                <c:pt idx="0">
                  <c:v>종합 가동율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종합!$BT$29:$BW$29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종합!$BT$35:$BW$35</c:f>
              <c:numCache>
                <c:formatCode>0.00_ </c:formatCode>
                <c:ptCount val="4"/>
                <c:pt idx="0" formatCode="General">
                  <c:v>70.760000000000005</c:v>
                </c:pt>
                <c:pt idx="1">
                  <c:v>72.735500000000002</c:v>
                </c:pt>
                <c:pt idx="2" formatCode="#,##0.00_ ">
                  <c:v>70.770200617283948</c:v>
                </c:pt>
                <c:pt idx="3">
                  <c:v>75.112916666666663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919168"/>
        <c:axId val="317068416"/>
      </c:barChart>
      <c:catAx>
        <c:axId val="31691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317068416"/>
        <c:crosses val="autoZero"/>
        <c:auto val="1"/>
        <c:lblAlgn val="ctr"/>
        <c:lblOffset val="100"/>
        <c:noMultiLvlLbl val="0"/>
      </c:catAx>
      <c:valAx>
        <c:axId val="317068416"/>
        <c:scaling>
          <c:orientation val="minMax"/>
          <c:max val="100"/>
          <c:min val="4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6919168"/>
        <c:crosses val="autoZero"/>
        <c:crossBetween val="between"/>
        <c:majorUnit val="15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종합!$BQ$177</c:f>
              <c:strCache>
                <c:ptCount val="1"/>
                <c:pt idx="0">
                  <c:v>종합 톤파워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종합!$BT$171:$BW$171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종합!$BT$177:$BW$177</c:f>
              <c:numCache>
                <c:formatCode>0.00_);[Red]\(0.00\)</c:formatCode>
                <c:ptCount val="4"/>
                <c:pt idx="0">
                  <c:v>34.738224064967611</c:v>
                </c:pt>
                <c:pt idx="1">
                  <c:v>35.786287515744547</c:v>
                </c:pt>
                <c:pt idx="2">
                  <c:v>35.431363833866229</c:v>
                </c:pt>
                <c:pt idx="3">
                  <c:v>36.224426786039395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7107200"/>
        <c:axId val="317108992"/>
      </c:barChart>
      <c:catAx>
        <c:axId val="31710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317108992"/>
        <c:crosses val="autoZero"/>
        <c:auto val="1"/>
        <c:lblAlgn val="ctr"/>
        <c:lblOffset val="100"/>
        <c:noMultiLvlLbl val="0"/>
      </c:catAx>
      <c:valAx>
        <c:axId val="317108992"/>
        <c:scaling>
          <c:orientation val="minMax"/>
          <c:max val="50"/>
          <c:min val="0"/>
        </c:scaling>
        <c:delete val="0"/>
        <c:axPos val="l"/>
        <c:numFmt formatCode="0.00_);[Red]\(0.00\)" sourceLinked="1"/>
        <c:majorTickMark val="out"/>
        <c:minorTickMark val="none"/>
        <c:tickLblPos val="nextTo"/>
        <c:crossAx val="317107200"/>
        <c:crosses val="autoZero"/>
        <c:crossBetween val="between"/>
        <c:majorUnit val="10"/>
      </c:valAx>
      <c:spPr>
        <a:solidFill>
          <a:schemeClr val="accent3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68803899512561"/>
          <c:y val="0.26671332750072907"/>
          <c:w val="0.81939132608423948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종합!$AX$31</c:f>
              <c:strCache>
                <c:ptCount val="1"/>
                <c:pt idx="0">
                  <c:v>CPL 수율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종합!$BT$52:$BW$52</c:f>
              <c:numCache>
                <c:formatCode>0.00_ </c:formatCode>
                <c:ptCount val="4"/>
                <c:pt idx="0" formatCode="#,##0.00">
                  <c:v>97.977320000000006</c:v>
                </c:pt>
                <c:pt idx="1">
                  <c:v>97.970594907103475</c:v>
                </c:pt>
                <c:pt idx="2">
                  <c:v>97.749821155362042</c:v>
                </c:pt>
                <c:pt idx="3">
                  <c:v>97.8720667775371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7160064"/>
        <c:axId val="317165952"/>
      </c:barChart>
      <c:catAx>
        <c:axId val="317160064"/>
        <c:scaling>
          <c:orientation val="minMax"/>
        </c:scaling>
        <c:delete val="0"/>
        <c:axPos val="b"/>
        <c:majorTickMark val="out"/>
        <c:minorTickMark val="none"/>
        <c:tickLblPos val="nextTo"/>
        <c:crossAx val="317165952"/>
        <c:crosses val="autoZero"/>
        <c:auto val="1"/>
        <c:lblAlgn val="ctr"/>
        <c:lblOffset val="100"/>
        <c:noMultiLvlLbl val="0"/>
      </c:catAx>
      <c:valAx>
        <c:axId val="317165952"/>
        <c:scaling>
          <c:orientation val="minMax"/>
          <c:max val="125"/>
          <c:min val="0"/>
        </c:scaling>
        <c:delete val="0"/>
        <c:axPos val="l"/>
        <c:numFmt formatCode="#,##0.00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7160064"/>
        <c:crosses val="autoZero"/>
        <c:crossBetween val="between"/>
        <c:majorUnit val="25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36043360433603"/>
          <c:y val="0.30837999416739575"/>
          <c:w val="0.79563956639566391"/>
          <c:h val="0.53192876932050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종합!$AX$32</c:f>
              <c:strCache>
                <c:ptCount val="1"/>
                <c:pt idx="0">
                  <c:v>CRM 수율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종합!$BT$53:$BW$53</c:f>
              <c:numCache>
                <c:formatCode>0.00_ </c:formatCode>
                <c:ptCount val="4"/>
                <c:pt idx="0" formatCode="#,##0.00">
                  <c:v>99.97</c:v>
                </c:pt>
                <c:pt idx="1">
                  <c:v>99.983380652450364</c:v>
                </c:pt>
                <c:pt idx="2">
                  <c:v>99.98701371818494</c:v>
                </c:pt>
                <c:pt idx="3">
                  <c:v>99.97916039247022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8311040"/>
        <c:axId val="318329216"/>
      </c:barChart>
      <c:catAx>
        <c:axId val="318311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18329216"/>
        <c:crosses val="autoZero"/>
        <c:auto val="1"/>
        <c:lblAlgn val="ctr"/>
        <c:lblOffset val="100"/>
        <c:noMultiLvlLbl val="0"/>
      </c:catAx>
      <c:valAx>
        <c:axId val="318329216"/>
        <c:scaling>
          <c:orientation val="minMax"/>
          <c:max val="125"/>
          <c:min val="0"/>
        </c:scaling>
        <c:delete val="0"/>
        <c:axPos val="l"/>
        <c:numFmt formatCode="#,##0.00" sourceLinked="1"/>
        <c:majorTickMark val="out"/>
        <c:minorTickMark val="none"/>
        <c:tickLblPos val="nextTo"/>
        <c:crossAx val="318311040"/>
        <c:crosses val="autoZero"/>
        <c:crossBetween val="between"/>
        <c:majorUnit val="25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36043360433603"/>
          <c:y val="0.26671332750072907"/>
          <c:w val="0.79563956639566391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종합!$AX$33</c:f>
              <c:strCache>
                <c:ptCount val="1"/>
                <c:pt idx="0">
                  <c:v>CGL 수율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종합!$BT$54:$BW$54</c:f>
              <c:numCache>
                <c:formatCode>0.00_ </c:formatCode>
                <c:ptCount val="4"/>
                <c:pt idx="0" formatCode="#,##0.00">
                  <c:v>99.83</c:v>
                </c:pt>
                <c:pt idx="1">
                  <c:v>100.18118732416113</c:v>
                </c:pt>
                <c:pt idx="2">
                  <c:v>100.18258233928049</c:v>
                </c:pt>
                <c:pt idx="3">
                  <c:v>100.3806325331841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8458496"/>
        <c:axId val="318476672"/>
      </c:barChart>
      <c:catAx>
        <c:axId val="318458496"/>
        <c:scaling>
          <c:orientation val="minMax"/>
        </c:scaling>
        <c:delete val="0"/>
        <c:axPos val="b"/>
        <c:majorTickMark val="out"/>
        <c:minorTickMark val="none"/>
        <c:tickLblPos val="nextTo"/>
        <c:crossAx val="318476672"/>
        <c:crosses val="autoZero"/>
        <c:auto val="1"/>
        <c:lblAlgn val="ctr"/>
        <c:lblOffset val="100"/>
        <c:noMultiLvlLbl val="0"/>
      </c:catAx>
      <c:valAx>
        <c:axId val="318476672"/>
        <c:scaling>
          <c:orientation val="minMax"/>
          <c:max val="125"/>
          <c:min val="0"/>
        </c:scaling>
        <c:delete val="0"/>
        <c:axPos val="l"/>
        <c:numFmt formatCode="#,##0.00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8458496"/>
        <c:crosses val="autoZero"/>
        <c:crossBetween val="between"/>
        <c:majorUnit val="25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36043360433603"/>
          <c:y val="0.26671332750072907"/>
          <c:w val="0.79563956639566391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종합!$AX$34</c:f>
              <c:strCache>
                <c:ptCount val="1"/>
                <c:pt idx="0">
                  <c:v>1CCL 수율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종합!$BT$55:$BW$55</c:f>
              <c:numCache>
                <c:formatCode>0.00_ </c:formatCode>
                <c:ptCount val="4"/>
                <c:pt idx="0" formatCode="#,##0.00">
                  <c:v>100.32</c:v>
                </c:pt>
                <c:pt idx="1">
                  <c:v>100.5338473118038</c:v>
                </c:pt>
                <c:pt idx="2">
                  <c:v>100.40908537375219</c:v>
                </c:pt>
                <c:pt idx="3">
                  <c:v>100.48416087822143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8573184"/>
        <c:axId val="318574976"/>
      </c:barChart>
      <c:catAx>
        <c:axId val="31857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318574976"/>
        <c:crosses val="autoZero"/>
        <c:auto val="1"/>
        <c:lblAlgn val="ctr"/>
        <c:lblOffset val="100"/>
        <c:noMultiLvlLbl val="0"/>
      </c:catAx>
      <c:valAx>
        <c:axId val="318574976"/>
        <c:scaling>
          <c:orientation val="minMax"/>
          <c:max val="100.8"/>
          <c:min val="99.6"/>
        </c:scaling>
        <c:delete val="0"/>
        <c:axPos val="l"/>
        <c:numFmt formatCode="#,##0.00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8573184"/>
        <c:crosses val="autoZero"/>
        <c:crossBetween val="between"/>
        <c:majorUnit val="0.30000000000000004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36043360433603"/>
          <c:y val="0.26671332750072907"/>
          <c:w val="0.79563956639566391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종합!$AX$35</c:f>
              <c:strCache>
                <c:ptCount val="1"/>
                <c:pt idx="0">
                  <c:v>2CCL 수율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종합!$BT$56:$BW$56</c:f>
              <c:numCache>
                <c:formatCode>0.00_ </c:formatCode>
                <c:ptCount val="4"/>
                <c:pt idx="0" formatCode="#,##0.00">
                  <c:v>99.83</c:v>
                </c:pt>
                <c:pt idx="1">
                  <c:v>100.34514607442676</c:v>
                </c:pt>
                <c:pt idx="2">
                  <c:v>100.38300232567896</c:v>
                </c:pt>
                <c:pt idx="3">
                  <c:v>100.57092906575997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8704256"/>
        <c:axId val="318706048"/>
      </c:barChart>
      <c:catAx>
        <c:axId val="3187042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8706048"/>
        <c:crosses val="autoZero"/>
        <c:auto val="1"/>
        <c:lblAlgn val="ctr"/>
        <c:lblOffset val="100"/>
        <c:noMultiLvlLbl val="0"/>
      </c:catAx>
      <c:valAx>
        <c:axId val="318706048"/>
        <c:scaling>
          <c:orientation val="minMax"/>
          <c:max val="101"/>
          <c:min val="98.6"/>
        </c:scaling>
        <c:delete val="0"/>
        <c:axPos val="l"/>
        <c:numFmt formatCode="#,##0.00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8704256"/>
        <c:crosses val="autoZero"/>
        <c:crossBetween val="between"/>
        <c:majorUnit val="0.60000000000000009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scene3d>
          <a:camera prst="orthographicFront"/>
          <a:lightRig rig="threePt" dir="t"/>
        </a:scene3d>
      </c:spPr>
    </c:title>
    <c:autoTitleDeleted val="0"/>
    <c:plotArea>
      <c:layout>
        <c:manualLayout>
          <c:layoutTarget val="inner"/>
          <c:xMode val="edge"/>
          <c:yMode val="edge"/>
          <c:x val="0.20436043360433603"/>
          <c:y val="0.26671332750072907"/>
          <c:w val="0.79563956639566391"/>
          <c:h val="0.57359543598716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종합!$AX$30</c:f>
              <c:strCache>
                <c:ptCount val="1"/>
                <c:pt idx="0">
                  <c:v>종합수율 실적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종합!$BT$50:$BW$50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종합!$BT$51:$BW$51</c:f>
              <c:numCache>
                <c:formatCode>0.00_ </c:formatCode>
                <c:ptCount val="4"/>
                <c:pt idx="0" formatCode="0.00_);[Red]\(0.00\)">
                  <c:v>99.368635587324533</c:v>
                </c:pt>
                <c:pt idx="1">
                  <c:v>99.483918463783041</c:v>
                </c:pt>
                <c:pt idx="2">
                  <c:v>99.474955544010143</c:v>
                </c:pt>
                <c:pt idx="3">
                  <c:v>99.601770058959744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8745600"/>
        <c:axId val="318747392"/>
      </c:barChart>
      <c:catAx>
        <c:axId val="31874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318747392"/>
        <c:crosses val="autoZero"/>
        <c:auto val="1"/>
        <c:lblAlgn val="ctr"/>
        <c:lblOffset val="100"/>
        <c:noMultiLvlLbl val="0"/>
      </c:catAx>
      <c:valAx>
        <c:axId val="318747392"/>
        <c:scaling>
          <c:orientation val="minMax"/>
          <c:max val="101"/>
          <c:min val="98"/>
        </c:scaling>
        <c:delete val="0"/>
        <c:axPos val="l"/>
        <c:numFmt formatCode="0.00_);[Red]\(0.00\)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ko-KR"/>
          </a:p>
        </c:txPr>
        <c:crossAx val="318745600"/>
        <c:crosses val="autoZero"/>
        <c:crossBetween val="between"/>
        <c:majorUnit val="0.60000000000000009"/>
      </c:valAx>
      <c:spPr>
        <a:solidFill>
          <a:schemeClr val="accent2">
            <a:lumMod val="20000"/>
            <a:lumOff val="80000"/>
          </a:schemeClr>
        </a:solidFill>
        <a:scene3d>
          <a:camera prst="orthographicFront"/>
          <a:lightRig rig="threePt" dir="t"/>
        </a:scene3d>
        <a:sp3d prstMaterial="matte"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>
      <a:solidFill>
        <a:schemeClr val="tx1">
          <a:lumMod val="50000"/>
          <a:lumOff val="50000"/>
        </a:schemeClr>
      </a:solidFill>
    </a:ln>
    <a:scene3d>
      <a:camera prst="orthographicFront"/>
      <a:lightRig rig="threePt" dir="t"/>
    </a:scene3d>
    <a:sp3d prstMaterial="matte"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1122911874670703E-2"/>
          <c:y val="0.20652814231554389"/>
          <c:w val="0.88255342673294812"/>
          <c:h val="0.6291509915427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고장!$AR$6</c:f>
              <c:strCache>
                <c:ptCount val="1"/>
                <c:pt idx="0">
                  <c:v>월 고장건수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#,##0_);[Red]\(#,##0\)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고장!$AU$5:$AX$5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고장!$AU$6:$AX$6</c:f>
              <c:numCache>
                <c:formatCode>#,##0_);[Red]\(#,##0\)</c:formatCode>
                <c:ptCount val="4"/>
                <c:pt idx="0">
                  <c:v>158</c:v>
                </c:pt>
                <c:pt idx="1">
                  <c:v>111</c:v>
                </c:pt>
                <c:pt idx="2">
                  <c:v>71</c:v>
                </c:pt>
                <c:pt idx="3" formatCode="#,##0_ ">
                  <c:v>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0386944"/>
        <c:axId val="320388480"/>
      </c:barChart>
      <c:catAx>
        <c:axId val="32038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320388480"/>
        <c:crosses val="autoZero"/>
        <c:auto val="1"/>
        <c:lblAlgn val="ctr"/>
        <c:lblOffset val="100"/>
        <c:noMultiLvlLbl val="0"/>
      </c:catAx>
      <c:valAx>
        <c:axId val="320388480"/>
        <c:scaling>
          <c:orientation val="minMax"/>
        </c:scaling>
        <c:delete val="0"/>
        <c:axPos val="l"/>
        <c:numFmt formatCode="#,##0_);[Red]\(#,##0\)" sourceLinked="1"/>
        <c:majorTickMark val="out"/>
        <c:minorTickMark val="none"/>
        <c:tickLblPos val="nextTo"/>
        <c:crossAx val="320386944"/>
        <c:crosses val="autoZero"/>
        <c:crossBetween val="between"/>
      </c:valAx>
      <c:spPr>
        <a:solidFill>
          <a:schemeClr val="accent1">
            <a:lumMod val="40000"/>
            <a:lumOff val="6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solidFill>
        <a:sysClr val="windowText" lastClr="000000"/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고장!$AR$7</c:f>
              <c:strCache>
                <c:ptCount val="1"/>
                <c:pt idx="0">
                  <c:v>월 고장시간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numFmt formatCode="#,##0.0_);[Red]\(#,##0.0\)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고장!$AU$5:$AX$5</c:f>
              <c:strCache>
                <c:ptCount val="4"/>
                <c:pt idx="0">
                  <c:v>17년</c:v>
                </c:pt>
                <c:pt idx="1">
                  <c:v>18년</c:v>
                </c:pt>
                <c:pt idx="2">
                  <c:v>19년</c:v>
                </c:pt>
                <c:pt idx="3">
                  <c:v>20년</c:v>
                </c:pt>
              </c:strCache>
            </c:strRef>
          </c:cat>
          <c:val>
            <c:numRef>
              <c:f>고장!$AU$7:$AX$7</c:f>
              <c:numCache>
                <c:formatCode>#,##0_);[Red]\(#,##0\)</c:formatCode>
                <c:ptCount val="4"/>
                <c:pt idx="0">
                  <c:v>304.55</c:v>
                </c:pt>
                <c:pt idx="1">
                  <c:v>177.68333333333334</c:v>
                </c:pt>
                <c:pt idx="2">
                  <c:v>151.21666666666667</c:v>
                </c:pt>
                <c:pt idx="3" formatCode="#,##0_ ">
                  <c:v>145.31666666666666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0439808"/>
        <c:axId val="320441344"/>
      </c:barChart>
      <c:catAx>
        <c:axId val="320439808"/>
        <c:scaling>
          <c:orientation val="minMax"/>
        </c:scaling>
        <c:delete val="0"/>
        <c:axPos val="b"/>
        <c:majorTickMark val="out"/>
        <c:minorTickMark val="none"/>
        <c:tickLblPos val="nextTo"/>
        <c:crossAx val="320441344"/>
        <c:crosses val="autoZero"/>
        <c:auto val="1"/>
        <c:lblAlgn val="ctr"/>
        <c:lblOffset val="100"/>
        <c:noMultiLvlLbl val="0"/>
      </c:catAx>
      <c:valAx>
        <c:axId val="320441344"/>
        <c:scaling>
          <c:orientation val="minMax"/>
        </c:scaling>
        <c:delete val="0"/>
        <c:axPos val="l"/>
        <c:numFmt formatCode="#,##0_);[Red]\(#,##0\)" sourceLinked="1"/>
        <c:majorTickMark val="out"/>
        <c:minorTickMark val="none"/>
        <c:tickLblPos val="nextTo"/>
        <c:crossAx val="320439808"/>
        <c:crosses val="autoZero"/>
        <c:crossBetween val="between"/>
      </c:valAx>
      <c:spPr>
        <a:solidFill>
          <a:schemeClr val="accent1">
            <a:lumMod val="40000"/>
            <a:lumOff val="60000"/>
          </a:schemeClr>
        </a:solidFill>
        <a:scene3d>
          <a:camera prst="orthographicFront"/>
          <a:lightRig rig="threePt" dir="t"/>
        </a:scene3d>
        <a:sp3d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solidFill>
        <a:sysClr val="windowText" lastClr="000000"/>
      </a:solidFill>
    </a:ln>
    <a:scene3d>
      <a:camera prst="orthographicFront"/>
      <a:lightRig rig="threePt" dir="t"/>
    </a:scene3d>
    <a:sp3d/>
  </c:spPr>
  <c:txPr>
    <a:bodyPr/>
    <a:lstStyle/>
    <a:p>
      <a:pPr>
        <a:defRPr sz="1200">
          <a:latin typeface="+mn-ea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만톤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4801155597599769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('20년경영목표'!$C$30,'20년경영목표'!$C$31,'20년경영목표'!$C$34)</c:f>
              <c:numCache>
                <c:formatCode>#,##0_ </c:formatCode>
                <c:ptCount val="3"/>
                <c:pt idx="0">
                  <c:v>12500</c:v>
                </c:pt>
                <c:pt idx="1">
                  <c:v>116000</c:v>
                </c:pt>
                <c:pt idx="2">
                  <c:v>143500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('20년경영목표'!$C$28,'20년경영목표'!$C$32,'20년경영목표'!$C$35)</c:f>
              <c:numCache>
                <c:formatCode>#,##0_ </c:formatCode>
                <c:ptCount val="3"/>
                <c:pt idx="1">
                  <c:v>12000</c:v>
                </c:pt>
                <c:pt idx="2">
                  <c:v>76000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873984"/>
        <c:axId val="320875520"/>
      </c:barChart>
      <c:catAx>
        <c:axId val="32087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320875520"/>
        <c:crosses val="autoZero"/>
        <c:auto val="1"/>
        <c:lblAlgn val="ctr"/>
        <c:lblOffset val="100"/>
        <c:noMultiLvlLbl val="0"/>
      </c:catAx>
      <c:valAx>
        <c:axId val="320875520"/>
        <c:scaling>
          <c:orientation val="minMax"/>
        </c:scaling>
        <c:delete val="0"/>
        <c:axPos val="l"/>
        <c:numFmt formatCode="#,##0_ " sourceLinked="1"/>
        <c:majorTickMark val="out"/>
        <c:minorTickMark val="none"/>
        <c:tickLblPos val="nextTo"/>
        <c:crossAx val="320873984"/>
        <c:crosses val="autoZero"/>
        <c:crossBetween val="between"/>
        <c:dispUnits>
          <c:builtInUnit val="tenThousands"/>
          <c:dispUnitsLbl/>
        </c:dispUnits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9.422850412249705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12367491166077739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('20년경영목표'!$D$30,'20년경영목표'!$D$31,'20년경영목표'!$D$34)</c:f>
              <c:numCache>
                <c:formatCode>#,##0.0_ </c:formatCode>
                <c:ptCount val="3"/>
                <c:pt idx="0">
                  <c:v>76.900000000000006</c:v>
                </c:pt>
                <c:pt idx="1">
                  <c:v>866.1</c:v>
                </c:pt>
                <c:pt idx="2">
                  <c:v>1810.3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7319353754561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782292266820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('20년경영목표'!$D$28,'20년경영목표'!$D$32,'20년경영목표'!$D$35)</c:f>
              <c:numCache>
                <c:formatCode>#,##0.0_ </c:formatCode>
                <c:ptCount val="3"/>
                <c:pt idx="1">
                  <c:v>99.1</c:v>
                </c:pt>
                <c:pt idx="2">
                  <c:v>824.3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146304"/>
        <c:axId val="324147840"/>
      </c:barChart>
      <c:catAx>
        <c:axId val="32414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324147840"/>
        <c:crosses val="autoZero"/>
        <c:auto val="1"/>
        <c:lblAlgn val="ctr"/>
        <c:lblOffset val="100"/>
        <c:noMultiLvlLbl val="0"/>
      </c:catAx>
      <c:valAx>
        <c:axId val="324147840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414630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0011778563015312"/>
                  <c:y val="-2.03246030983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5.8892815076560662E-3"/>
                  <c:y val="-0.30487804878048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('20년경영목표'!$E$30,'20년경영목표'!$E$31,'20년경영목표'!$E$34)</c:f>
              <c:numCache>
                <c:formatCode>#,##0.0_ </c:formatCode>
                <c:ptCount val="3"/>
                <c:pt idx="0">
                  <c:v>-2.7</c:v>
                </c:pt>
                <c:pt idx="1">
                  <c:v>-7</c:v>
                </c:pt>
                <c:pt idx="2">
                  <c:v>74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9859804109852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7.9550364893412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('20년경영목표'!$E$28,'20년경영목표'!$E$32,'20년경영목표'!$E$35)</c:f>
              <c:numCache>
                <c:formatCode>#,##0.0_ </c:formatCode>
                <c:ptCount val="3"/>
                <c:pt idx="1">
                  <c:v>-0.3</c:v>
                </c:pt>
                <c:pt idx="2">
                  <c:v>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202880"/>
        <c:axId val="324204416"/>
      </c:barChart>
      <c:catAx>
        <c:axId val="32420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324204416"/>
        <c:crosses val="autoZero"/>
        <c:auto val="1"/>
        <c:lblAlgn val="ctr"/>
        <c:lblOffset val="100"/>
        <c:noMultiLvlLbl val="0"/>
      </c:catAx>
      <c:valAx>
        <c:axId val="324204416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420288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영업이익율</a:t>
            </a:r>
            <a:r>
              <a:rPr lang="en-US" altLang="ko-KR" sz="1600">
                <a:latin typeface="+mn-ea"/>
                <a:ea typeface="+mn-ea"/>
              </a:rPr>
              <a:t>(%)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0.149559287177517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2367491166077739"/>
                  <c:y val="-3.30282552333397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80386178861788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('20년경영목표'!$F$30,'20년경영목표'!$F$31,'20년경영목표'!$F$34)</c:f>
              <c:numCache>
                <c:formatCode>0.0_ </c:formatCode>
                <c:ptCount val="3"/>
                <c:pt idx="0">
                  <c:v>-3.5110533159947983</c:v>
                </c:pt>
                <c:pt idx="1">
                  <c:v>-0.80822075972751417</c:v>
                </c:pt>
                <c:pt idx="2">
                  <c:v>4.0877202673590007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9859404007425901E-2"/>
                </c:manualLayout>
              </c:layout>
              <c:numFmt formatCode="#,##0.0_ ;[Red]\-#,##0.0\ " sourceLinked="0"/>
              <c:spPr/>
              <c:txPr>
                <a:bodyPr/>
                <a:lstStyle/>
                <a:p>
                  <a:pPr>
                    <a:defRPr sz="1000"/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5.8892815076560662E-3"/>
                  <c:y val="-8.4631665706420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('20년경영목표'!$F$28,'20년경영목표'!$F$32,'20년경영목표'!$F$35)</c:f>
              <c:numCache>
                <c:formatCode>0.0_ </c:formatCode>
                <c:ptCount val="3"/>
                <c:pt idx="1">
                  <c:v>-0.30272452068617561</c:v>
                </c:pt>
                <c:pt idx="2">
                  <c:v>-1.6984107727769018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321280"/>
        <c:axId val="324322816"/>
      </c:barChart>
      <c:catAx>
        <c:axId val="32432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324322816"/>
        <c:crosses val="autoZero"/>
        <c:auto val="1"/>
        <c:lblAlgn val="ctr"/>
        <c:lblOffset val="100"/>
        <c:noMultiLvlLbl val="0"/>
      </c:catAx>
      <c:valAx>
        <c:axId val="324322816"/>
        <c:scaling>
          <c:orientation val="minMax"/>
        </c:scaling>
        <c:delete val="0"/>
        <c:axPos val="l"/>
        <c:numFmt formatCode="0_ ;[Red]\-0\ " sourceLinked="0"/>
        <c:majorTickMark val="out"/>
        <c:minorTickMark val="none"/>
        <c:tickLblPos val="nextTo"/>
        <c:crossAx val="32432128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400">
                <a:latin typeface="+mn-ea"/>
                <a:ea typeface="+mn-ea"/>
              </a:defRPr>
            </a:pPr>
            <a:r>
              <a:rPr lang="en-US" altLang="ko-KR" sz="1400">
                <a:latin typeface="+mn-ea"/>
                <a:ea typeface="+mn-ea"/>
              </a:rPr>
              <a:t>20</a:t>
            </a:r>
            <a:r>
              <a:rPr lang="ko-KR" altLang="en-US" sz="1400">
                <a:latin typeface="+mn-ea"/>
                <a:ea typeface="+mn-ea"/>
              </a:rPr>
              <a:t>년 가공비</a:t>
            </a:r>
            <a:r>
              <a:rPr lang="en-US" altLang="ko-KR" sz="1400">
                <a:latin typeface="+mn-ea"/>
                <a:ea typeface="+mn-ea"/>
              </a:rPr>
              <a:t>(</a:t>
            </a:r>
            <a:r>
              <a:rPr lang="ko-KR" altLang="en-US" sz="1400">
                <a:latin typeface="+mn-ea"/>
                <a:ea typeface="+mn-ea"/>
              </a:rPr>
              <a:t>원</a:t>
            </a:r>
            <a:r>
              <a:rPr lang="en-US" altLang="ko-KR" sz="1400">
                <a:latin typeface="+mn-ea"/>
                <a:ea typeface="+mn-ea"/>
              </a:rPr>
              <a:t>/</a:t>
            </a:r>
            <a:r>
              <a:rPr lang="ko-KR" altLang="en-US" sz="1400">
                <a:latin typeface="+mn-ea"/>
                <a:ea typeface="+mn-ea"/>
              </a:rPr>
              <a:t>톤</a:t>
            </a:r>
            <a:r>
              <a:rPr lang="en-US" altLang="ko-KR" sz="1400">
                <a:latin typeface="+mn-ea"/>
                <a:ea typeface="+mn-ea"/>
              </a:rPr>
              <a:t>)</a:t>
            </a:r>
            <a:endParaRPr lang="ko-KR" altLang="en-US" sz="14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142004488838188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8228126400358494"/>
          <c:w val="0.90641753114194057"/>
          <c:h val="0.7017390451955700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'20년경영목표'!$G$29</c:f>
              <c:strCache>
                <c:ptCount val="1"/>
                <c:pt idx="0">
                  <c:v>라인별 목표 가공비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1.1778563015312132E-2"/>
                  <c:y val="-5.2663281800140835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6.0469680238140873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803317649318224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5.8892815076560662E-3"/>
                  <c:y val="-0.13321450291274567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5.8897452306094248E-3"/>
                  <c:y val="-0.35338986780615839"/>
                </c:manualLayout>
              </c:layout>
              <c:spPr/>
              <c:txPr>
                <a:bodyPr/>
                <a:lstStyle/>
                <a:p>
                  <a:pPr>
                    <a:defRPr sz="8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'20년경영목표'!$H$30:$H$34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'20년경영목표'!$G$30:$G$34</c:f>
              <c:numCache>
                <c:formatCode>#,##0_ </c:formatCode>
                <c:ptCount val="5"/>
                <c:pt idx="0">
                  <c:v>18685</c:v>
                </c:pt>
                <c:pt idx="1">
                  <c:v>23752</c:v>
                </c:pt>
                <c:pt idx="2">
                  <c:v>61009</c:v>
                </c:pt>
                <c:pt idx="3">
                  <c:v>64372</c:v>
                </c:pt>
                <c:pt idx="4">
                  <c:v>189310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324642304"/>
        <c:axId val="324643840"/>
      </c:barChart>
      <c:catAx>
        <c:axId val="32464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324643840"/>
        <c:crosses val="autoZero"/>
        <c:auto val="1"/>
        <c:lblAlgn val="ctr"/>
        <c:lblOffset val="100"/>
        <c:noMultiLvlLbl val="0"/>
      </c:catAx>
      <c:valAx>
        <c:axId val="324643840"/>
        <c:scaling>
          <c:orientation val="minMax"/>
        </c:scaling>
        <c:delete val="1"/>
        <c:axPos val="l"/>
        <c:numFmt formatCode="#,##0_ " sourceLinked="1"/>
        <c:majorTickMark val="out"/>
        <c:minorTickMark val="none"/>
        <c:tickLblPos val="nextTo"/>
        <c:crossAx val="32464230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만톤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4801155597599769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('20년경영목표'!$C$30,'20년경영목표'!$C$31,'20년경영목표'!$C$34)</c:f>
              <c:numCache>
                <c:formatCode>#,##0_ </c:formatCode>
                <c:ptCount val="3"/>
                <c:pt idx="0">
                  <c:v>12500</c:v>
                </c:pt>
                <c:pt idx="1">
                  <c:v>116000</c:v>
                </c:pt>
                <c:pt idx="2">
                  <c:v>143500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('20년경영목표'!$C$28,'20년경영목표'!$C$32,'20년경영목표'!$C$35)</c:f>
              <c:numCache>
                <c:formatCode>#,##0_ </c:formatCode>
                <c:ptCount val="3"/>
                <c:pt idx="1">
                  <c:v>12000</c:v>
                </c:pt>
                <c:pt idx="2">
                  <c:v>76000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153152"/>
        <c:axId val="325154688"/>
      </c:barChart>
      <c:catAx>
        <c:axId val="32515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325154688"/>
        <c:crosses val="autoZero"/>
        <c:auto val="1"/>
        <c:lblAlgn val="ctr"/>
        <c:lblOffset val="100"/>
        <c:noMultiLvlLbl val="0"/>
      </c:catAx>
      <c:valAx>
        <c:axId val="325154688"/>
        <c:scaling>
          <c:orientation val="minMax"/>
        </c:scaling>
        <c:delete val="0"/>
        <c:axPos val="l"/>
        <c:numFmt formatCode="#,##0_ " sourceLinked="1"/>
        <c:majorTickMark val="out"/>
        <c:minorTickMark val="none"/>
        <c:tickLblPos val="nextTo"/>
        <c:crossAx val="325153152"/>
        <c:crosses val="autoZero"/>
        <c:crossBetween val="between"/>
        <c:dispUnits>
          <c:builtInUnit val="tenThousands"/>
          <c:dispUnitsLbl/>
        </c:dispUnits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9.422850412249705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12367491166077739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('20년경영목표'!$D$30,'20년경영목표'!$D$31,'20년경영목표'!$D$34)</c:f>
              <c:numCache>
                <c:formatCode>#,##0.0_ </c:formatCode>
                <c:ptCount val="3"/>
                <c:pt idx="0">
                  <c:v>76.900000000000006</c:v>
                </c:pt>
                <c:pt idx="1">
                  <c:v>866.1</c:v>
                </c:pt>
                <c:pt idx="2">
                  <c:v>1810.3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7319353754561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782292266820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('20년경영목표'!$D$28,'20년경영목표'!$D$32,'20년경영목표'!$D$35)</c:f>
              <c:numCache>
                <c:formatCode>#,##0.0_ </c:formatCode>
                <c:ptCount val="3"/>
                <c:pt idx="1">
                  <c:v>99.1</c:v>
                </c:pt>
                <c:pt idx="2">
                  <c:v>824.3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451200"/>
        <c:axId val="326452736"/>
      </c:barChart>
      <c:catAx>
        <c:axId val="32645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326452736"/>
        <c:crosses val="autoZero"/>
        <c:auto val="1"/>
        <c:lblAlgn val="ctr"/>
        <c:lblOffset val="100"/>
        <c:noMultiLvlLbl val="0"/>
      </c:catAx>
      <c:valAx>
        <c:axId val="326452736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64512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0011778563015312"/>
                  <c:y val="-2.03246030983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5.8892815076560662E-3"/>
                  <c:y val="-0.30487804878048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('20년경영목표'!$E$30,'20년경영목표'!$E$31,'20년경영목표'!$E$34)</c:f>
              <c:numCache>
                <c:formatCode>#,##0.0_ </c:formatCode>
                <c:ptCount val="3"/>
                <c:pt idx="0">
                  <c:v>-2.7</c:v>
                </c:pt>
                <c:pt idx="1">
                  <c:v>-7</c:v>
                </c:pt>
                <c:pt idx="2">
                  <c:v>74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9859804109852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7.9550364893412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('20년경영목표'!$E$28,'20년경영목표'!$E$32,'20년경영목표'!$E$35)</c:f>
              <c:numCache>
                <c:formatCode>#,##0.0_ </c:formatCode>
                <c:ptCount val="3"/>
                <c:pt idx="1">
                  <c:v>-0.3</c:v>
                </c:pt>
                <c:pt idx="2">
                  <c:v>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495232"/>
        <c:axId val="326505216"/>
      </c:barChart>
      <c:catAx>
        <c:axId val="326495232"/>
        <c:scaling>
          <c:orientation val="minMax"/>
        </c:scaling>
        <c:delete val="0"/>
        <c:axPos val="b"/>
        <c:majorTickMark val="out"/>
        <c:minorTickMark val="none"/>
        <c:tickLblPos val="nextTo"/>
        <c:crossAx val="326505216"/>
        <c:crosses val="autoZero"/>
        <c:auto val="1"/>
        <c:lblAlgn val="ctr"/>
        <c:lblOffset val="100"/>
        <c:noMultiLvlLbl val="0"/>
      </c:catAx>
      <c:valAx>
        <c:axId val="326505216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64952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영업이익율</a:t>
            </a:r>
            <a:r>
              <a:rPr lang="en-US" altLang="ko-KR" sz="1600">
                <a:latin typeface="+mn-ea"/>
                <a:ea typeface="+mn-ea"/>
              </a:rPr>
              <a:t>(%)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0.149559287177517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2367491166077739"/>
                  <c:y val="-3.30282552333397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80386178861788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('20년경영목표'!$F$30,'20년경영목표'!$F$31,'20년경영목표'!$F$34)</c:f>
              <c:numCache>
                <c:formatCode>0.0_ </c:formatCode>
                <c:ptCount val="3"/>
                <c:pt idx="0">
                  <c:v>-3.5110533159947983</c:v>
                </c:pt>
                <c:pt idx="1">
                  <c:v>-0.80822075972751417</c:v>
                </c:pt>
                <c:pt idx="2">
                  <c:v>4.0877202673590007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0.138945169963510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5.8892815076560662E-3"/>
                  <c:y val="-8.4631665706420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('20년경영목표'!$F$28,'20년경영목표'!$F$32,'20년경영목표'!$F$35)</c:f>
              <c:numCache>
                <c:formatCode>0.0_ </c:formatCode>
                <c:ptCount val="3"/>
                <c:pt idx="1">
                  <c:v>-0.30272452068617561</c:v>
                </c:pt>
                <c:pt idx="2">
                  <c:v>-1.6984107727769018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543616"/>
        <c:axId val="326553600"/>
      </c:barChart>
      <c:catAx>
        <c:axId val="32654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326553600"/>
        <c:crosses val="autoZero"/>
        <c:auto val="1"/>
        <c:lblAlgn val="ctr"/>
        <c:lblOffset val="100"/>
        <c:noMultiLvlLbl val="0"/>
      </c:catAx>
      <c:valAx>
        <c:axId val="326553600"/>
        <c:scaling>
          <c:orientation val="minMax"/>
        </c:scaling>
        <c:delete val="0"/>
        <c:axPos val="l"/>
        <c:numFmt formatCode="0_ ;[Red]\-0\ " sourceLinked="0"/>
        <c:majorTickMark val="out"/>
        <c:minorTickMark val="none"/>
        <c:tickLblPos val="nextTo"/>
        <c:crossAx val="32654361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400">
                <a:latin typeface="+mn-ea"/>
                <a:ea typeface="+mn-ea"/>
              </a:defRPr>
            </a:pPr>
            <a:r>
              <a:rPr lang="en-US" altLang="ko-KR" sz="1400">
                <a:latin typeface="+mn-ea"/>
                <a:ea typeface="+mn-ea"/>
              </a:rPr>
              <a:t>20</a:t>
            </a:r>
            <a:r>
              <a:rPr lang="ko-KR" altLang="en-US" sz="1400">
                <a:latin typeface="+mn-ea"/>
                <a:ea typeface="+mn-ea"/>
              </a:rPr>
              <a:t>년 가공비</a:t>
            </a:r>
            <a:r>
              <a:rPr lang="en-US" altLang="ko-KR" sz="1400">
                <a:latin typeface="+mn-ea"/>
                <a:ea typeface="+mn-ea"/>
              </a:rPr>
              <a:t>(</a:t>
            </a:r>
            <a:r>
              <a:rPr lang="ko-KR" altLang="en-US" sz="1400">
                <a:latin typeface="+mn-ea"/>
                <a:ea typeface="+mn-ea"/>
              </a:rPr>
              <a:t>원</a:t>
            </a:r>
            <a:r>
              <a:rPr lang="en-US" altLang="ko-KR" sz="1400">
                <a:latin typeface="+mn-ea"/>
                <a:ea typeface="+mn-ea"/>
              </a:rPr>
              <a:t>/</a:t>
            </a:r>
            <a:r>
              <a:rPr lang="ko-KR" altLang="en-US" sz="1400">
                <a:latin typeface="+mn-ea"/>
                <a:ea typeface="+mn-ea"/>
              </a:rPr>
              <a:t>톤</a:t>
            </a:r>
            <a:r>
              <a:rPr lang="en-US" altLang="ko-KR" sz="1400">
                <a:latin typeface="+mn-ea"/>
                <a:ea typeface="+mn-ea"/>
              </a:rPr>
              <a:t>)</a:t>
            </a:r>
            <a:endParaRPr lang="ko-KR" altLang="en-US" sz="14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142004488838188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8228126400358494"/>
          <c:w val="0.90641753114194057"/>
          <c:h val="0.7017390451955700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'20년경영목표'!$G$29</c:f>
              <c:strCache>
                <c:ptCount val="1"/>
                <c:pt idx="0">
                  <c:v>라인별 목표 가공비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1.1778563015312132E-2"/>
                  <c:y val="-5.2663281800140835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6.0469680238140873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803317649318224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5.8892815076560662E-3"/>
                  <c:y val="-0.13321450291274567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5.8897452306094248E-3"/>
                  <c:y val="-0.35338986780615839"/>
                </c:manualLayout>
              </c:layout>
              <c:spPr/>
              <c:txPr>
                <a:bodyPr/>
                <a:lstStyle/>
                <a:p>
                  <a:pPr>
                    <a:defRPr sz="8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'20년경영목표'!$H$30:$H$34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'20년경영목표'!$G$30:$G$34</c:f>
              <c:numCache>
                <c:formatCode>#,##0_ </c:formatCode>
                <c:ptCount val="5"/>
                <c:pt idx="0">
                  <c:v>18685</c:v>
                </c:pt>
                <c:pt idx="1">
                  <c:v>23752</c:v>
                </c:pt>
                <c:pt idx="2">
                  <c:v>61009</c:v>
                </c:pt>
                <c:pt idx="3">
                  <c:v>64372</c:v>
                </c:pt>
                <c:pt idx="4">
                  <c:v>189310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326606848"/>
        <c:axId val="326608384"/>
      </c:barChart>
      <c:catAx>
        <c:axId val="32660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326608384"/>
        <c:crosses val="autoZero"/>
        <c:auto val="1"/>
        <c:lblAlgn val="ctr"/>
        <c:lblOffset val="100"/>
        <c:noMultiLvlLbl val="0"/>
      </c:catAx>
      <c:valAx>
        <c:axId val="326608384"/>
        <c:scaling>
          <c:orientation val="minMax"/>
        </c:scaling>
        <c:delete val="1"/>
        <c:axPos val="l"/>
        <c:numFmt formatCode="#,##0_ " sourceLinked="1"/>
        <c:majorTickMark val="out"/>
        <c:minorTickMark val="none"/>
        <c:tickLblPos val="nextTo"/>
        <c:crossAx val="326606848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만톤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4801155597599769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('20년경영목표'!$C$30,'20년경영목표'!$C$31,'20년경영목표'!$C$34)</c:f>
              <c:numCache>
                <c:formatCode>#,##0_ </c:formatCode>
                <c:ptCount val="3"/>
                <c:pt idx="0">
                  <c:v>12500</c:v>
                </c:pt>
                <c:pt idx="1">
                  <c:v>116000</c:v>
                </c:pt>
                <c:pt idx="2">
                  <c:v>143500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('20년경영목표'!$C$28,'20년경영목표'!$C$32,'20년경영목표'!$C$35)</c:f>
              <c:numCache>
                <c:formatCode>#,##0_ </c:formatCode>
                <c:ptCount val="3"/>
                <c:pt idx="1">
                  <c:v>12000</c:v>
                </c:pt>
                <c:pt idx="2">
                  <c:v>76000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187072"/>
        <c:axId val="327205248"/>
      </c:barChart>
      <c:catAx>
        <c:axId val="327187072"/>
        <c:scaling>
          <c:orientation val="minMax"/>
        </c:scaling>
        <c:delete val="0"/>
        <c:axPos val="b"/>
        <c:majorTickMark val="out"/>
        <c:minorTickMark val="none"/>
        <c:tickLblPos val="nextTo"/>
        <c:crossAx val="327205248"/>
        <c:crosses val="autoZero"/>
        <c:auto val="1"/>
        <c:lblAlgn val="ctr"/>
        <c:lblOffset val="100"/>
        <c:noMultiLvlLbl val="0"/>
      </c:catAx>
      <c:valAx>
        <c:axId val="327205248"/>
        <c:scaling>
          <c:orientation val="minMax"/>
        </c:scaling>
        <c:delete val="0"/>
        <c:axPos val="l"/>
        <c:numFmt formatCode="#,##0_ " sourceLinked="1"/>
        <c:majorTickMark val="out"/>
        <c:minorTickMark val="none"/>
        <c:tickLblPos val="nextTo"/>
        <c:crossAx val="327187072"/>
        <c:crosses val="autoZero"/>
        <c:crossBetween val="between"/>
        <c:dispUnits>
          <c:builtInUnit val="tenThousands"/>
          <c:dispUnitsLbl/>
        </c:dispUnits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판매량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9.422850412249705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0.12367491166077739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('20년경영목표'!$D$30,'20년경영목표'!$D$31,'20년경영목표'!$D$34)</c:f>
              <c:numCache>
                <c:formatCode>#,##0.0_ </c:formatCode>
                <c:ptCount val="3"/>
                <c:pt idx="0">
                  <c:v>76.900000000000006</c:v>
                </c:pt>
                <c:pt idx="1">
                  <c:v>866.1</c:v>
                </c:pt>
                <c:pt idx="2">
                  <c:v>1810.3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7319353754561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782292266820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);[Red]\(#,##0\)" sourceLinked="0"/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('20년경영목표'!$D$28,'20년경영목표'!$D$32,'20년경영목표'!$D$35)</c:f>
              <c:numCache>
                <c:formatCode>#,##0.0_ </c:formatCode>
                <c:ptCount val="3"/>
                <c:pt idx="1">
                  <c:v>99.1</c:v>
                </c:pt>
                <c:pt idx="2">
                  <c:v>824.3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223552"/>
        <c:axId val="327249920"/>
      </c:barChart>
      <c:catAx>
        <c:axId val="32722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327249920"/>
        <c:crosses val="autoZero"/>
        <c:auto val="1"/>
        <c:lblAlgn val="ctr"/>
        <c:lblOffset val="100"/>
        <c:noMultiLvlLbl val="0"/>
      </c:catAx>
      <c:valAx>
        <c:axId val="327249920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72235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</a:t>
            </a:r>
            <a:r>
              <a:rPr lang="en-US" altLang="ko-KR" sz="1600">
                <a:latin typeface="+mn-ea"/>
                <a:ea typeface="+mn-ea"/>
              </a:rPr>
              <a:t>(</a:t>
            </a:r>
            <a:r>
              <a:rPr lang="ko-KR" altLang="en-US" sz="1600">
                <a:latin typeface="+mn-ea"/>
                <a:ea typeface="+mn-ea"/>
              </a:rPr>
              <a:t>억원</a:t>
            </a:r>
            <a:r>
              <a:rPr lang="en-US" altLang="ko-KR" sz="1600">
                <a:latin typeface="+mn-ea"/>
                <a:ea typeface="+mn-ea"/>
              </a:rPr>
              <a:t>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0011778563015312"/>
                  <c:y val="-2.03246030983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5.8892815076560662E-3"/>
                  <c:y val="-0.30487804878048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('20년경영목표'!$E$30,'20년경영목표'!$E$31,'20년경영목표'!$E$34)</c:f>
              <c:numCache>
                <c:formatCode>#,##0.0_ </c:formatCode>
                <c:ptCount val="3"/>
                <c:pt idx="0">
                  <c:v>-2.7</c:v>
                </c:pt>
                <c:pt idx="1">
                  <c:v>-7</c:v>
                </c:pt>
                <c:pt idx="2">
                  <c:v>74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3.9859804109852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7.9550364893412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('20년경영목표'!$E$28,'20년경영목표'!$E$32,'20년경영목표'!$E$35)</c:f>
              <c:numCache>
                <c:formatCode>#,##0.0_ </c:formatCode>
                <c:ptCount val="3"/>
                <c:pt idx="1">
                  <c:v>-0.3</c:v>
                </c:pt>
                <c:pt idx="2">
                  <c:v>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419392"/>
        <c:axId val="327420928"/>
      </c:barChart>
      <c:catAx>
        <c:axId val="32741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327420928"/>
        <c:crosses val="autoZero"/>
        <c:auto val="1"/>
        <c:lblAlgn val="ctr"/>
        <c:lblOffset val="100"/>
        <c:noMultiLvlLbl val="0"/>
      </c:catAx>
      <c:valAx>
        <c:axId val="327420928"/>
        <c:scaling>
          <c:orientation val="minMax"/>
        </c:scaling>
        <c:delete val="0"/>
        <c:axPos val="l"/>
        <c:numFmt formatCode="#,##0_ " sourceLinked="0"/>
        <c:majorTickMark val="out"/>
        <c:minorTickMark val="none"/>
        <c:tickLblPos val="nextTo"/>
        <c:crossAx val="3274193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>
                <a:latin typeface="+mn-ea"/>
                <a:ea typeface="+mn-ea"/>
              </a:defRPr>
            </a:pPr>
            <a:r>
              <a:rPr lang="ko-KR" altLang="en-US" sz="1600">
                <a:latin typeface="+mn-ea"/>
                <a:ea typeface="+mn-ea"/>
              </a:rPr>
              <a:t>영업이익율</a:t>
            </a:r>
            <a:r>
              <a:rPr lang="en-US" altLang="ko-KR" sz="1600">
                <a:latin typeface="+mn-ea"/>
                <a:ea typeface="+mn-ea"/>
              </a:rPr>
              <a:t>(%)</a:t>
            </a:r>
            <a:endParaRPr lang="ko-KR" altLang="en-US" sz="16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218565148437717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1368366551837271"/>
          <c:w val="0.90641753114194057"/>
          <c:h val="0.770336593667979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'20년경영목표'!$B$31</c:f>
              <c:strCache>
                <c:ptCount val="1"/>
                <c:pt idx="0">
                  <c:v>내수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0"/>
                  <c:y val="-0.149559287177517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12367491166077739"/>
                  <c:y val="-3.30282552333397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80386178861788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('20년경영목표'!$F$30,'20년경영목표'!$F$31,'20년경영목표'!$F$34)</c:f>
              <c:numCache>
                <c:formatCode>0.0_ </c:formatCode>
                <c:ptCount val="3"/>
                <c:pt idx="0">
                  <c:v>-3.5110533159947983</c:v>
                </c:pt>
                <c:pt idx="1">
                  <c:v>-0.80822075972751417</c:v>
                </c:pt>
                <c:pt idx="2">
                  <c:v>4.0877202673590007</c:v>
                </c:pt>
              </c:numCache>
            </c:numRef>
          </c:val>
        </c:ser>
        <c:ser>
          <c:idx val="0"/>
          <c:order val="1"/>
          <c:tx>
            <c:strRef>
              <c:f>'20년경영목표'!$B$32</c:f>
              <c:strCache>
                <c:ptCount val="1"/>
                <c:pt idx="0">
                  <c:v>수출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1"/>
              <c:layout>
                <c:manualLayout>
                  <c:x val="0"/>
                  <c:y val="-0.138945169963510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5.8892815076560662E-3"/>
                  <c:y val="-8.4631665706420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_ ;[Red]\-#,##0\ " sourceLinked="0"/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('20년경영목표'!$A$30,'20년경영목표'!$A$31,'20년경영목표'!$A$34)</c:f>
              <c:strCache>
                <c:ptCount val="3"/>
                <c:pt idx="0">
                  <c:v>PO</c:v>
                </c:pt>
                <c:pt idx="1">
                  <c:v>GI</c:v>
                </c:pt>
                <c:pt idx="2">
                  <c:v>CL</c:v>
                </c:pt>
              </c:strCache>
            </c:strRef>
          </c:cat>
          <c:val>
            <c:numRef>
              <c:f>('20년경영목표'!$F$28,'20년경영목표'!$F$32,'20년경영목표'!$F$35)</c:f>
              <c:numCache>
                <c:formatCode>0.0_ </c:formatCode>
                <c:ptCount val="3"/>
                <c:pt idx="1">
                  <c:v>-0.30272452068617561</c:v>
                </c:pt>
                <c:pt idx="2">
                  <c:v>-1.6984107727769018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467776"/>
        <c:axId val="327469312"/>
      </c:barChart>
      <c:catAx>
        <c:axId val="327467776"/>
        <c:scaling>
          <c:orientation val="minMax"/>
        </c:scaling>
        <c:delete val="0"/>
        <c:axPos val="b"/>
        <c:majorTickMark val="out"/>
        <c:minorTickMark val="none"/>
        <c:tickLblPos val="nextTo"/>
        <c:crossAx val="327469312"/>
        <c:crosses val="autoZero"/>
        <c:auto val="1"/>
        <c:lblAlgn val="ctr"/>
        <c:lblOffset val="100"/>
        <c:noMultiLvlLbl val="0"/>
      </c:catAx>
      <c:valAx>
        <c:axId val="327469312"/>
        <c:scaling>
          <c:orientation val="minMax"/>
        </c:scaling>
        <c:delete val="0"/>
        <c:axPos val="l"/>
        <c:numFmt formatCode="0_ ;[Red]\-0\ " sourceLinked="0"/>
        <c:majorTickMark val="out"/>
        <c:minorTickMark val="none"/>
        <c:tickLblPos val="nextTo"/>
        <c:crossAx val="3274677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400">
                <a:latin typeface="+mn-ea"/>
                <a:ea typeface="+mn-ea"/>
              </a:defRPr>
            </a:pPr>
            <a:r>
              <a:rPr lang="en-US" altLang="ko-KR" sz="1400">
                <a:latin typeface="+mn-ea"/>
                <a:ea typeface="+mn-ea"/>
              </a:rPr>
              <a:t>20</a:t>
            </a:r>
            <a:r>
              <a:rPr lang="ko-KR" altLang="en-US" sz="1400">
                <a:latin typeface="+mn-ea"/>
                <a:ea typeface="+mn-ea"/>
              </a:rPr>
              <a:t>년 가공비</a:t>
            </a:r>
            <a:r>
              <a:rPr lang="en-US" altLang="ko-KR" sz="1400">
                <a:latin typeface="+mn-ea"/>
                <a:ea typeface="+mn-ea"/>
              </a:rPr>
              <a:t>(</a:t>
            </a:r>
            <a:r>
              <a:rPr lang="ko-KR" altLang="en-US" sz="1400">
                <a:latin typeface="+mn-ea"/>
                <a:ea typeface="+mn-ea"/>
              </a:rPr>
              <a:t>원</a:t>
            </a:r>
            <a:r>
              <a:rPr lang="en-US" altLang="ko-KR" sz="1400">
                <a:latin typeface="+mn-ea"/>
                <a:ea typeface="+mn-ea"/>
              </a:rPr>
              <a:t>/</a:t>
            </a:r>
            <a:r>
              <a:rPr lang="ko-KR" altLang="en-US" sz="1400">
                <a:latin typeface="+mn-ea"/>
                <a:ea typeface="+mn-ea"/>
              </a:rPr>
              <a:t>톤</a:t>
            </a:r>
            <a:r>
              <a:rPr lang="en-US" altLang="ko-KR" sz="1400">
                <a:latin typeface="+mn-ea"/>
                <a:ea typeface="+mn-ea"/>
              </a:rPr>
              <a:t>)</a:t>
            </a:r>
            <a:endParaRPr lang="ko-KR" altLang="en-US" sz="14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0.142004488838188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963421239011773E-2"/>
          <c:y val="0.18228126400358494"/>
          <c:w val="0.90641753114194057"/>
          <c:h val="0.7017390451955700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'20년경영목표'!$G$29</c:f>
              <c:strCache>
                <c:ptCount val="1"/>
                <c:pt idx="0">
                  <c:v>라인별 목표 가공비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/>
              </a:sp3d>
            </c:spPr>
          </c:dPt>
          <c:dLbls>
            <c:dLbl>
              <c:idx val="0"/>
              <c:layout>
                <c:manualLayout>
                  <c:x val="-1.1778563015312132E-2"/>
                  <c:y val="-5.2663281800140835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6.0469680238140873E-2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"/>
                  <c:y val="-0.12803317649318224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5.8892815076560662E-3"/>
                  <c:y val="-0.13321450291274567"/>
                </c:manualLayout>
              </c:layout>
              <c:spPr/>
              <c:txPr>
                <a:bodyPr/>
                <a:lstStyle/>
                <a:p>
                  <a:pPr>
                    <a:defRPr sz="9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5.8897452306094248E-3"/>
                  <c:y val="-0.35338986780615839"/>
                </c:manualLayout>
              </c:layout>
              <c:spPr/>
              <c:txPr>
                <a:bodyPr/>
                <a:lstStyle/>
                <a:p>
                  <a:pPr>
                    <a:defRPr sz="800"/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'20년경영목표'!$H$30:$H$34</c:f>
              <c:strCache>
                <c:ptCount val="5"/>
                <c:pt idx="0">
                  <c:v>CPL</c:v>
                </c:pt>
                <c:pt idx="1">
                  <c:v>CRM</c:v>
                </c:pt>
                <c:pt idx="2">
                  <c:v>CGL</c:v>
                </c:pt>
                <c:pt idx="3">
                  <c:v>1CCL</c:v>
                </c:pt>
                <c:pt idx="4">
                  <c:v>2CCL</c:v>
                </c:pt>
              </c:strCache>
            </c:strRef>
          </c:cat>
          <c:val>
            <c:numRef>
              <c:f>'20년경영목표'!$G$30:$G$34</c:f>
              <c:numCache>
                <c:formatCode>#,##0_ </c:formatCode>
                <c:ptCount val="5"/>
                <c:pt idx="0">
                  <c:v>18685</c:v>
                </c:pt>
                <c:pt idx="1">
                  <c:v>23752</c:v>
                </c:pt>
                <c:pt idx="2">
                  <c:v>61009</c:v>
                </c:pt>
                <c:pt idx="3">
                  <c:v>64372</c:v>
                </c:pt>
                <c:pt idx="4">
                  <c:v>189310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329226496"/>
        <c:axId val="329236480"/>
      </c:barChart>
      <c:catAx>
        <c:axId val="329226496"/>
        <c:scaling>
          <c:orientation val="minMax"/>
        </c:scaling>
        <c:delete val="0"/>
        <c:axPos val="b"/>
        <c:majorTickMark val="out"/>
        <c:minorTickMark val="none"/>
        <c:tickLblPos val="nextTo"/>
        <c:crossAx val="329236480"/>
        <c:crosses val="autoZero"/>
        <c:auto val="1"/>
        <c:lblAlgn val="ctr"/>
        <c:lblOffset val="100"/>
        <c:noMultiLvlLbl val="0"/>
      </c:catAx>
      <c:valAx>
        <c:axId val="329236480"/>
        <c:scaling>
          <c:orientation val="minMax"/>
        </c:scaling>
        <c:delete val="1"/>
        <c:axPos val="l"/>
        <c:numFmt formatCode="#,##0_ " sourceLinked="1"/>
        <c:majorTickMark val="out"/>
        <c:minorTickMark val="none"/>
        <c:tickLblPos val="nextTo"/>
        <c:crossAx val="329226496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26" Type="http://schemas.openxmlformats.org/officeDocument/2006/relationships/chart" Target="../charts/chart34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34" Type="http://schemas.openxmlformats.org/officeDocument/2006/relationships/chart" Target="../charts/chart42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5" Type="http://schemas.openxmlformats.org/officeDocument/2006/relationships/chart" Target="../charts/chart33.xml"/><Relationship Id="rId33" Type="http://schemas.openxmlformats.org/officeDocument/2006/relationships/chart" Target="../charts/chart41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29" Type="http://schemas.openxmlformats.org/officeDocument/2006/relationships/chart" Target="../charts/chart37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24" Type="http://schemas.openxmlformats.org/officeDocument/2006/relationships/chart" Target="../charts/chart32.xml"/><Relationship Id="rId32" Type="http://schemas.openxmlformats.org/officeDocument/2006/relationships/chart" Target="../charts/chart40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23" Type="http://schemas.openxmlformats.org/officeDocument/2006/relationships/chart" Target="../charts/chart31.xml"/><Relationship Id="rId28" Type="http://schemas.openxmlformats.org/officeDocument/2006/relationships/chart" Target="../charts/chart36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31" Type="http://schemas.openxmlformats.org/officeDocument/2006/relationships/chart" Target="../charts/chart39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Relationship Id="rId27" Type="http://schemas.openxmlformats.org/officeDocument/2006/relationships/chart" Target="../charts/chart35.xml"/><Relationship Id="rId30" Type="http://schemas.openxmlformats.org/officeDocument/2006/relationships/chart" Target="../charts/chart38.xml"/><Relationship Id="rId35" Type="http://schemas.openxmlformats.org/officeDocument/2006/relationships/chart" Target="../charts/chart4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13" Type="http://schemas.openxmlformats.org/officeDocument/2006/relationships/chart" Target="../charts/chart56.xml"/><Relationship Id="rId18" Type="http://schemas.openxmlformats.org/officeDocument/2006/relationships/chart" Target="../charts/chart61.xml"/><Relationship Id="rId26" Type="http://schemas.openxmlformats.org/officeDocument/2006/relationships/chart" Target="../charts/chart69.xml"/><Relationship Id="rId3" Type="http://schemas.openxmlformats.org/officeDocument/2006/relationships/chart" Target="../charts/chart46.xml"/><Relationship Id="rId21" Type="http://schemas.openxmlformats.org/officeDocument/2006/relationships/chart" Target="../charts/chart64.xml"/><Relationship Id="rId7" Type="http://schemas.openxmlformats.org/officeDocument/2006/relationships/chart" Target="../charts/chart50.xml"/><Relationship Id="rId12" Type="http://schemas.openxmlformats.org/officeDocument/2006/relationships/chart" Target="../charts/chart55.xml"/><Relationship Id="rId17" Type="http://schemas.openxmlformats.org/officeDocument/2006/relationships/chart" Target="../charts/chart60.xml"/><Relationship Id="rId25" Type="http://schemas.openxmlformats.org/officeDocument/2006/relationships/chart" Target="../charts/chart68.xml"/><Relationship Id="rId2" Type="http://schemas.openxmlformats.org/officeDocument/2006/relationships/chart" Target="../charts/chart45.xml"/><Relationship Id="rId16" Type="http://schemas.openxmlformats.org/officeDocument/2006/relationships/chart" Target="../charts/chart59.xml"/><Relationship Id="rId20" Type="http://schemas.openxmlformats.org/officeDocument/2006/relationships/chart" Target="../charts/chart63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24" Type="http://schemas.openxmlformats.org/officeDocument/2006/relationships/chart" Target="../charts/chart67.xml"/><Relationship Id="rId5" Type="http://schemas.openxmlformats.org/officeDocument/2006/relationships/chart" Target="../charts/chart48.xml"/><Relationship Id="rId15" Type="http://schemas.openxmlformats.org/officeDocument/2006/relationships/chart" Target="../charts/chart58.xml"/><Relationship Id="rId23" Type="http://schemas.openxmlformats.org/officeDocument/2006/relationships/chart" Target="../charts/chart66.xml"/><Relationship Id="rId10" Type="http://schemas.openxmlformats.org/officeDocument/2006/relationships/chart" Target="../charts/chart53.xml"/><Relationship Id="rId19" Type="http://schemas.openxmlformats.org/officeDocument/2006/relationships/chart" Target="../charts/chart62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Relationship Id="rId14" Type="http://schemas.openxmlformats.org/officeDocument/2006/relationships/chart" Target="../charts/chart57.xml"/><Relationship Id="rId22" Type="http://schemas.openxmlformats.org/officeDocument/2006/relationships/chart" Target="../charts/chart65.xml"/><Relationship Id="rId27" Type="http://schemas.openxmlformats.org/officeDocument/2006/relationships/chart" Target="../charts/chart7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13" Type="http://schemas.openxmlformats.org/officeDocument/2006/relationships/chart" Target="../charts/chart85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12" Type="http://schemas.openxmlformats.org/officeDocument/2006/relationships/chart" Target="../charts/chart84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11" Type="http://schemas.openxmlformats.org/officeDocument/2006/relationships/chart" Target="../charts/chart83.xml"/><Relationship Id="rId5" Type="http://schemas.openxmlformats.org/officeDocument/2006/relationships/chart" Target="../charts/chart77.xml"/><Relationship Id="rId15" Type="http://schemas.openxmlformats.org/officeDocument/2006/relationships/chart" Target="../charts/chart87.xml"/><Relationship Id="rId10" Type="http://schemas.openxmlformats.org/officeDocument/2006/relationships/chart" Target="../charts/chart82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Relationship Id="rId14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27</xdr:row>
      <xdr:rowOff>0</xdr:rowOff>
    </xdr:from>
    <xdr:to>
      <xdr:col>29</xdr:col>
      <xdr:colOff>548640</xdr:colOff>
      <xdr:row>39</xdr:row>
      <xdr:rowOff>76200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39</xdr:row>
      <xdr:rowOff>129540</xdr:rowOff>
    </xdr:from>
    <xdr:to>
      <xdr:col>29</xdr:col>
      <xdr:colOff>548640</xdr:colOff>
      <xdr:row>51</xdr:row>
      <xdr:rowOff>205740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13</xdr:row>
      <xdr:rowOff>796290</xdr:rowOff>
    </xdr:from>
    <xdr:to>
      <xdr:col>29</xdr:col>
      <xdr:colOff>548640</xdr:colOff>
      <xdr:row>26</xdr:row>
      <xdr:rowOff>125730</xdr:rowOff>
    </xdr:to>
    <xdr:grpSp>
      <xdr:nvGrpSpPr>
        <xdr:cNvPr id="8" name="그룹 7"/>
        <xdr:cNvGrpSpPr/>
      </xdr:nvGrpSpPr>
      <xdr:grpSpPr>
        <a:xfrm>
          <a:off x="19895820" y="6816090"/>
          <a:ext cx="4572000" cy="2636520"/>
          <a:chOff x="17236440" y="7402830"/>
          <a:chExt cx="4572000" cy="2743200"/>
        </a:xfrm>
      </xdr:grpSpPr>
      <xdr:graphicFrame macro="">
        <xdr:nvGraphicFramePr>
          <xdr:cNvPr id="2" name="차트 1"/>
          <xdr:cNvGraphicFramePr/>
        </xdr:nvGraphicFramePr>
        <xdr:xfrm>
          <a:off x="17236440" y="740283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5" name="TextBox 4"/>
          <xdr:cNvSpPr txBox="1"/>
        </xdr:nvSpPr>
        <xdr:spPr>
          <a:xfrm>
            <a:off x="17244060" y="7459980"/>
            <a:ext cx="403860" cy="205740"/>
          </a:xfrm>
          <a:prstGeom prst="rect">
            <a:avLst/>
          </a:prstGeom>
          <a:solidFill>
            <a:schemeClr val="lt1"/>
          </a:solidFill>
          <a:ln w="317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xdr:txBody>
      </xdr:sp>
    </xdr:grpSp>
    <xdr:clientData/>
  </xdr:twoCellAnchor>
  <xdr:twoCellAnchor>
    <xdr:from>
      <xdr:col>23</xdr:col>
      <xdr:colOff>0</xdr:colOff>
      <xdr:row>52</xdr:row>
      <xdr:rowOff>106680</xdr:rowOff>
    </xdr:from>
    <xdr:to>
      <xdr:col>29</xdr:col>
      <xdr:colOff>548640</xdr:colOff>
      <xdr:row>64</xdr:row>
      <xdr:rowOff>175260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65</xdr:row>
      <xdr:rowOff>68580</xdr:rowOff>
    </xdr:from>
    <xdr:to>
      <xdr:col>29</xdr:col>
      <xdr:colOff>548640</xdr:colOff>
      <xdr:row>77</xdr:row>
      <xdr:rowOff>144780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78</xdr:row>
      <xdr:rowOff>22860</xdr:rowOff>
    </xdr:from>
    <xdr:to>
      <xdr:col>29</xdr:col>
      <xdr:colOff>548640</xdr:colOff>
      <xdr:row>90</xdr:row>
      <xdr:rowOff>99060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91</xdr:row>
      <xdr:rowOff>45720</xdr:rowOff>
    </xdr:from>
    <xdr:to>
      <xdr:col>29</xdr:col>
      <xdr:colOff>548640</xdr:colOff>
      <xdr:row>105</xdr:row>
      <xdr:rowOff>60960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0</xdr:colOff>
      <xdr:row>105</xdr:row>
      <xdr:rowOff>152400</xdr:rowOff>
    </xdr:from>
    <xdr:to>
      <xdr:col>29</xdr:col>
      <xdr:colOff>548640</xdr:colOff>
      <xdr:row>125</xdr:row>
      <xdr:rowOff>0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0.00111</cdr:x>
      <cdr:y>0.01574</cdr:y>
    </cdr:from>
    <cdr:to>
      <cdr:x>1</cdr:x>
      <cdr:y>0.09907</cdr:y>
    </cdr:to>
    <cdr:grpSp>
      <cdr:nvGrpSpPr>
        <cdr:cNvPr id="4" name="그룹 3"/>
        <cdr:cNvGrpSpPr/>
      </cdr:nvGrpSpPr>
      <cdr:grpSpPr>
        <a:xfrm xmlns:a="http://schemas.openxmlformats.org/drawingml/2006/main">
          <a:off x="5075" y="43178"/>
          <a:ext cx="4566925" cy="228591"/>
          <a:chOff x="5080" y="43180"/>
          <a:chExt cx="4566920" cy="228600"/>
        </a:xfrm>
      </cdr:grpSpPr>
      <cdr:sp macro="" textlink="">
        <cdr:nvSpPr>
          <cdr:cNvPr id="2" name="TextBox 4"/>
          <cdr:cNvSpPr txBox="1"/>
        </cdr:nvSpPr>
        <cdr:spPr>
          <a:xfrm xmlns:a="http://schemas.openxmlformats.org/drawingml/2006/main">
            <a:off x="5080" y="431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4168140" y="6604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0.00833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38085" y="81281"/>
          <a:ext cx="4533915" cy="205740"/>
          <a:chOff x="38100" y="81280"/>
          <a:chExt cx="453390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3810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0.90944</cdr:x>
      <cdr:y>0.01852</cdr:y>
    </cdr:from>
    <cdr:to>
      <cdr:x>0.99778</cdr:x>
      <cdr:y>0.09352</cdr:y>
    </cdr:to>
    <cdr:sp macro="" textlink="">
      <cdr:nvSpPr>
        <cdr:cNvPr id="2" name="TextBox 4"/>
        <cdr:cNvSpPr txBox="1"/>
      </cdr:nvSpPr>
      <cdr:spPr>
        <a:xfrm xmlns:a="http://schemas.openxmlformats.org/drawingml/2006/main">
          <a:off x="4157980" y="50800"/>
          <a:ext cx="403860" cy="20574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900"/>
            <a:t>(</a:t>
          </a:r>
          <a:r>
            <a:rPr lang="ko-KR" altLang="en-US" sz="900"/>
            <a:t>톤</a:t>
          </a:r>
          <a:r>
            <a:rPr lang="en-US" altLang="ko-KR" sz="900"/>
            <a:t>)</a:t>
          </a:r>
          <a:endParaRPr lang="ko-KR" altLang="en-US" sz="9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0.005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22860" y="81281"/>
          <a:ext cx="4549140" cy="205740"/>
          <a:chOff x="22860" y="81280"/>
          <a:chExt cx="454914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2286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0.00667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30495" y="81733"/>
          <a:ext cx="4541505" cy="206883"/>
          <a:chOff x="30480" y="81280"/>
          <a:chExt cx="454152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3048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0.00667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30495" y="95731"/>
          <a:ext cx="4541505" cy="242316"/>
          <a:chOff x="30480" y="81280"/>
          <a:chExt cx="454152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3048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0.00667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30495" y="99569"/>
          <a:ext cx="4541505" cy="252032"/>
          <a:chOff x="30480" y="81280"/>
          <a:chExt cx="454152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3048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건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0.00667</cdr:x>
      <cdr:y>0.02963</cdr:y>
    </cdr:from>
    <cdr:to>
      <cdr:x>1</cdr:x>
      <cdr:y>0.10463</cdr:y>
    </cdr:to>
    <cdr:grpSp>
      <cdr:nvGrpSpPr>
        <cdr:cNvPr id="5" name="그룹 4"/>
        <cdr:cNvGrpSpPr/>
      </cdr:nvGrpSpPr>
      <cdr:grpSpPr>
        <a:xfrm xmlns:a="http://schemas.openxmlformats.org/drawingml/2006/main">
          <a:off x="30495" y="107246"/>
          <a:ext cx="4541505" cy="271462"/>
          <a:chOff x="30480" y="81280"/>
          <a:chExt cx="4541520" cy="205740"/>
        </a:xfrm>
      </cdr:grpSpPr>
      <cdr:sp macro="" textlink="">
        <cdr:nvSpPr>
          <cdr:cNvPr id="3" name="TextBox 4"/>
          <cdr:cNvSpPr txBox="1"/>
        </cdr:nvSpPr>
        <cdr:spPr>
          <a:xfrm xmlns:a="http://schemas.openxmlformats.org/drawingml/2006/main">
            <a:off x="3048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  <cdr:sp macro="" textlink="">
        <cdr:nvSpPr>
          <cdr:cNvPr id="4" name="TextBox 4"/>
          <cdr:cNvSpPr txBox="1"/>
        </cdr:nvSpPr>
        <cdr:spPr>
          <a:xfrm xmlns:a="http://schemas.openxmlformats.org/drawingml/2006/main">
            <a:off x="4168140" y="81280"/>
            <a:ext cx="403860" cy="20574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altLang="ko-KR" sz="900"/>
              <a:t>(</a:t>
            </a:r>
            <a:r>
              <a:rPr lang="ko-KR" altLang="en-US" sz="900"/>
              <a:t>톤</a:t>
            </a:r>
            <a:r>
              <a:rPr lang="en-US" altLang="ko-KR" sz="900"/>
              <a:t>)</a:t>
            </a:r>
            <a:endParaRPr lang="ko-KR" altLang="en-US" sz="900"/>
          </a:p>
        </cdr:txBody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615350</xdr:colOff>
      <xdr:row>1</xdr:row>
      <xdr:rowOff>199816</xdr:rowOff>
    </xdr:from>
    <xdr:to>
      <xdr:col>33</xdr:col>
      <xdr:colOff>392217</xdr:colOff>
      <xdr:row>11</xdr:row>
      <xdr:rowOff>106949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442607</xdr:colOff>
      <xdr:row>1</xdr:row>
      <xdr:rowOff>201083</xdr:rowOff>
    </xdr:from>
    <xdr:to>
      <xdr:col>47</xdr:col>
      <xdr:colOff>260540</xdr:colOff>
      <xdr:row>11</xdr:row>
      <xdr:rowOff>106949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608150</xdr:colOff>
      <xdr:row>11</xdr:row>
      <xdr:rowOff>237067</xdr:rowOff>
    </xdr:from>
    <xdr:to>
      <xdr:col>33</xdr:col>
      <xdr:colOff>392217</xdr:colOff>
      <xdr:row>22</xdr:row>
      <xdr:rowOff>32867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608150</xdr:colOff>
      <xdr:row>22</xdr:row>
      <xdr:rowOff>182031</xdr:rowOff>
    </xdr:from>
    <xdr:to>
      <xdr:col>33</xdr:col>
      <xdr:colOff>392217</xdr:colOff>
      <xdr:row>38</xdr:row>
      <xdr:rowOff>70964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660398</xdr:colOff>
      <xdr:row>59</xdr:row>
      <xdr:rowOff>19049</xdr:rowOff>
    </xdr:from>
    <xdr:to>
      <xdr:col>33</xdr:col>
      <xdr:colOff>437265</xdr:colOff>
      <xdr:row>73</xdr:row>
      <xdr:rowOff>153516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425674</xdr:colOff>
      <xdr:row>41</xdr:row>
      <xdr:rowOff>58669</xdr:rowOff>
    </xdr:from>
    <xdr:to>
      <xdr:col>47</xdr:col>
      <xdr:colOff>243607</xdr:colOff>
      <xdr:row>56</xdr:row>
      <xdr:rowOff>133869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30</xdr:row>
      <xdr:rowOff>122767</xdr:rowOff>
    </xdr:from>
    <xdr:to>
      <xdr:col>8</xdr:col>
      <xdr:colOff>323733</xdr:colOff>
      <xdr:row>46</xdr:row>
      <xdr:rowOff>162900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476251</xdr:colOff>
      <xdr:row>30</xdr:row>
      <xdr:rowOff>122767</xdr:rowOff>
    </xdr:from>
    <xdr:to>
      <xdr:col>15</xdr:col>
      <xdr:colOff>54918</xdr:colOff>
      <xdr:row>46</xdr:row>
      <xdr:rowOff>162900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237066</xdr:colOff>
      <xdr:row>30</xdr:row>
      <xdr:rowOff>122767</xdr:rowOff>
    </xdr:from>
    <xdr:to>
      <xdr:col>23</xdr:col>
      <xdr:colOff>357599</xdr:colOff>
      <xdr:row>46</xdr:row>
      <xdr:rowOff>162900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47</xdr:row>
      <xdr:rowOff>84667</xdr:rowOff>
    </xdr:from>
    <xdr:to>
      <xdr:col>8</xdr:col>
      <xdr:colOff>323733</xdr:colOff>
      <xdr:row>63</xdr:row>
      <xdr:rowOff>124800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476251</xdr:colOff>
      <xdr:row>47</xdr:row>
      <xdr:rowOff>84667</xdr:rowOff>
    </xdr:from>
    <xdr:to>
      <xdr:col>15</xdr:col>
      <xdr:colOff>54918</xdr:colOff>
      <xdr:row>63</xdr:row>
      <xdr:rowOff>124800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237066</xdr:colOff>
      <xdr:row>47</xdr:row>
      <xdr:rowOff>84667</xdr:rowOff>
    </xdr:from>
    <xdr:to>
      <xdr:col>23</xdr:col>
      <xdr:colOff>357599</xdr:colOff>
      <xdr:row>63</xdr:row>
      <xdr:rowOff>124800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31751</xdr:colOff>
      <xdr:row>63</xdr:row>
      <xdr:rowOff>169333</xdr:rowOff>
    </xdr:from>
    <xdr:to>
      <xdr:col>8</xdr:col>
      <xdr:colOff>310331</xdr:colOff>
      <xdr:row>79</xdr:row>
      <xdr:rowOff>39328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359834</xdr:colOff>
      <xdr:row>64</xdr:row>
      <xdr:rowOff>21166</xdr:rowOff>
    </xdr:from>
    <xdr:to>
      <xdr:col>15</xdr:col>
      <xdr:colOff>299748</xdr:colOff>
      <xdr:row>79</xdr:row>
      <xdr:rowOff>60495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433916</xdr:colOff>
      <xdr:row>64</xdr:row>
      <xdr:rowOff>42333</xdr:rowOff>
    </xdr:from>
    <xdr:to>
      <xdr:col>23</xdr:col>
      <xdr:colOff>564330</xdr:colOff>
      <xdr:row>79</xdr:row>
      <xdr:rowOff>81662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476249</xdr:colOff>
      <xdr:row>79</xdr:row>
      <xdr:rowOff>175682</xdr:rowOff>
    </xdr:from>
    <xdr:to>
      <xdr:col>23</xdr:col>
      <xdr:colOff>328110</xdr:colOff>
      <xdr:row>95</xdr:row>
      <xdr:rowOff>128228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508445</xdr:colOff>
      <xdr:row>1</xdr:row>
      <xdr:rowOff>201083</xdr:rowOff>
    </xdr:from>
    <xdr:to>
      <xdr:col>40</xdr:col>
      <xdr:colOff>326379</xdr:colOff>
      <xdr:row>11</xdr:row>
      <xdr:rowOff>106949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499978</xdr:colOff>
      <xdr:row>11</xdr:row>
      <xdr:rowOff>237067</xdr:rowOff>
    </xdr:from>
    <xdr:to>
      <xdr:col>40</xdr:col>
      <xdr:colOff>317912</xdr:colOff>
      <xdr:row>22</xdr:row>
      <xdr:rowOff>32867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40</xdr:col>
      <xdr:colOff>425673</xdr:colOff>
      <xdr:row>22</xdr:row>
      <xdr:rowOff>182031</xdr:rowOff>
    </xdr:from>
    <xdr:to>
      <xdr:col>47</xdr:col>
      <xdr:colOff>243606</xdr:colOff>
      <xdr:row>38</xdr:row>
      <xdr:rowOff>62498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499978</xdr:colOff>
      <xdr:row>41</xdr:row>
      <xdr:rowOff>58669</xdr:rowOff>
    </xdr:from>
    <xdr:to>
      <xdr:col>40</xdr:col>
      <xdr:colOff>317912</xdr:colOff>
      <xdr:row>56</xdr:row>
      <xdr:rowOff>133868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33</xdr:col>
      <xdr:colOff>530010</xdr:colOff>
      <xdr:row>59</xdr:row>
      <xdr:rowOff>19049</xdr:rowOff>
    </xdr:from>
    <xdr:to>
      <xdr:col>40</xdr:col>
      <xdr:colOff>347944</xdr:colOff>
      <xdr:row>73</xdr:row>
      <xdr:rowOff>153516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499978</xdr:colOff>
      <xdr:row>22</xdr:row>
      <xdr:rowOff>182031</xdr:rowOff>
    </xdr:from>
    <xdr:to>
      <xdr:col>40</xdr:col>
      <xdr:colOff>317912</xdr:colOff>
      <xdr:row>38</xdr:row>
      <xdr:rowOff>70964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351368</xdr:colOff>
      <xdr:row>22</xdr:row>
      <xdr:rowOff>182031</xdr:rowOff>
    </xdr:from>
    <xdr:to>
      <xdr:col>54</xdr:col>
      <xdr:colOff>169301</xdr:colOff>
      <xdr:row>38</xdr:row>
      <xdr:rowOff>70964</xdr:rowOff>
    </xdr:to>
    <xdr:graphicFrame macro="">
      <xdr:nvGraphicFramePr>
        <xdr:cNvPr id="35" name="차트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351368</xdr:colOff>
      <xdr:row>41</xdr:row>
      <xdr:rowOff>58669</xdr:rowOff>
    </xdr:from>
    <xdr:to>
      <xdr:col>54</xdr:col>
      <xdr:colOff>169300</xdr:colOff>
      <xdr:row>56</xdr:row>
      <xdr:rowOff>133869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40</xdr:col>
      <xdr:colOff>440689</xdr:colOff>
      <xdr:row>59</xdr:row>
      <xdr:rowOff>19049</xdr:rowOff>
    </xdr:from>
    <xdr:to>
      <xdr:col>47</xdr:col>
      <xdr:colOff>258622</xdr:colOff>
      <xdr:row>73</xdr:row>
      <xdr:rowOff>153516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47</xdr:col>
      <xdr:colOff>351368</xdr:colOff>
      <xdr:row>59</xdr:row>
      <xdr:rowOff>19049</xdr:rowOff>
    </xdr:from>
    <xdr:to>
      <xdr:col>54</xdr:col>
      <xdr:colOff>169300</xdr:colOff>
      <xdr:row>73</xdr:row>
      <xdr:rowOff>153516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40</xdr:col>
      <xdr:colOff>425673</xdr:colOff>
      <xdr:row>11</xdr:row>
      <xdr:rowOff>237067</xdr:rowOff>
    </xdr:from>
    <xdr:to>
      <xdr:col>47</xdr:col>
      <xdr:colOff>243606</xdr:colOff>
      <xdr:row>22</xdr:row>
      <xdr:rowOff>32867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52</xdr:col>
      <xdr:colOff>550334</xdr:colOff>
      <xdr:row>17</xdr:row>
      <xdr:rowOff>8466</xdr:rowOff>
    </xdr:from>
    <xdr:to>
      <xdr:col>53</xdr:col>
      <xdr:colOff>42334</xdr:colOff>
      <xdr:row>19</xdr:row>
      <xdr:rowOff>169334</xdr:rowOff>
    </xdr:to>
    <xdr:sp macro="" textlink="">
      <xdr:nvSpPr>
        <xdr:cNvPr id="12" name="직사각형 11"/>
        <xdr:cNvSpPr/>
      </xdr:nvSpPr>
      <xdr:spPr>
        <a:xfrm>
          <a:off x="25357667" y="4919133"/>
          <a:ext cx="160867" cy="719668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351368</xdr:colOff>
      <xdr:row>11</xdr:row>
      <xdr:rowOff>237067</xdr:rowOff>
    </xdr:from>
    <xdr:to>
      <xdr:col>54</xdr:col>
      <xdr:colOff>169301</xdr:colOff>
      <xdr:row>22</xdr:row>
      <xdr:rowOff>32867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16</xdr:col>
      <xdr:colOff>219067</xdr:colOff>
      <xdr:row>113</xdr:row>
      <xdr:rowOff>134133</xdr:rowOff>
    </xdr:to>
    <xdr:graphicFrame macro="">
      <xdr:nvGraphicFramePr>
        <xdr:cNvPr id="41" name="차트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85</xdr:row>
      <xdr:rowOff>16933</xdr:rowOff>
    </xdr:from>
    <xdr:to>
      <xdr:col>26</xdr:col>
      <xdr:colOff>568318</xdr:colOff>
      <xdr:row>113</xdr:row>
      <xdr:rowOff>151066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47</xdr:col>
      <xdr:colOff>376767</xdr:colOff>
      <xdr:row>1</xdr:row>
      <xdr:rowOff>201083</xdr:rowOff>
    </xdr:from>
    <xdr:to>
      <xdr:col>54</xdr:col>
      <xdr:colOff>194700</xdr:colOff>
      <xdr:row>11</xdr:row>
      <xdr:rowOff>106949</xdr:rowOff>
    </xdr:to>
    <xdr:grpSp>
      <xdr:nvGrpSpPr>
        <xdr:cNvPr id="13" name="그룹 12"/>
        <xdr:cNvGrpSpPr/>
      </xdr:nvGrpSpPr>
      <xdr:grpSpPr>
        <a:xfrm>
          <a:off x="29569834" y="472016"/>
          <a:ext cx="4499999" cy="2860733"/>
          <a:chOff x="27503968" y="472016"/>
          <a:chExt cx="4500000" cy="2860733"/>
        </a:xfrm>
      </xdr:grpSpPr>
      <xdr:graphicFrame macro="">
        <xdr:nvGraphicFramePr>
          <xdr:cNvPr id="33" name="차트 32"/>
          <xdr:cNvGraphicFramePr>
            <a:graphicFrameLocks/>
          </xdr:cNvGraphicFramePr>
        </xdr:nvGraphicFramePr>
        <xdr:xfrm>
          <a:off x="27503968" y="472016"/>
          <a:ext cx="4500000" cy="28607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sp macro="" textlink="">
        <xdr:nvSpPr>
          <xdr:cNvPr id="11" name="직사각형 10"/>
          <xdr:cNvSpPr/>
        </xdr:nvSpPr>
        <xdr:spPr>
          <a:xfrm>
            <a:off x="29709534" y="2616201"/>
            <a:ext cx="296333" cy="364066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22</xdr:col>
      <xdr:colOff>330199</xdr:colOff>
      <xdr:row>85</xdr:row>
      <xdr:rowOff>110066</xdr:rowOff>
    </xdr:from>
    <xdr:to>
      <xdr:col>38</xdr:col>
      <xdr:colOff>456132</xdr:colOff>
      <xdr:row>114</xdr:row>
      <xdr:rowOff>57932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114</xdr:row>
      <xdr:rowOff>122766</xdr:rowOff>
    </xdr:from>
    <xdr:to>
      <xdr:col>16</xdr:col>
      <xdr:colOff>219067</xdr:colOff>
      <xdr:row>143</xdr:row>
      <xdr:rowOff>70633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44451</xdr:colOff>
      <xdr:row>114</xdr:row>
      <xdr:rowOff>105832</xdr:rowOff>
    </xdr:from>
    <xdr:to>
      <xdr:col>28</xdr:col>
      <xdr:colOff>441318</xdr:colOff>
      <xdr:row>143</xdr:row>
      <xdr:rowOff>53699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25</xdr:col>
      <xdr:colOff>608150</xdr:colOff>
      <xdr:row>41</xdr:row>
      <xdr:rowOff>58669</xdr:rowOff>
    </xdr:from>
    <xdr:to>
      <xdr:col>33</xdr:col>
      <xdr:colOff>392216</xdr:colOff>
      <xdr:row>56</xdr:row>
      <xdr:rowOff>133868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0.1063</cdr:x>
      <cdr:y>0.05401</cdr:y>
    </cdr:from>
    <cdr:to>
      <cdr:x>0.21354</cdr:x>
      <cdr:y>0.21087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8365" y="154510"/>
          <a:ext cx="482580" cy="448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</a:t>
          </a:r>
          <a:r>
            <a:rPr lang="ko-KR" altLang="en-US" sz="900">
              <a:solidFill>
                <a:srgbClr val="7030A0"/>
              </a:solidFill>
            </a:rPr>
            <a:t>년</a:t>
          </a:r>
          <a:endParaRPr lang="en-US" altLang="ko-KR" sz="900">
            <a:solidFill>
              <a:srgbClr val="7030A0"/>
            </a:solidFill>
          </a:endParaRPr>
        </a:p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19.00</a:t>
          </a:r>
          <a:endParaRPr lang="ko-KR" altLang="en-US" sz="90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0.12982</cdr:x>
      <cdr:y>0.20717</cdr:y>
    </cdr:from>
    <cdr:to>
      <cdr:x>0.19567</cdr:x>
      <cdr:y>0.87901</cdr:y>
    </cdr:to>
    <cdr:sp macro="" textlink="">
      <cdr:nvSpPr>
        <cdr:cNvPr id="3" name="직사각형 2"/>
        <cdr:cNvSpPr/>
      </cdr:nvSpPr>
      <cdr:spPr>
        <a:xfrm xmlns:a="http://schemas.openxmlformats.org/drawingml/2006/main">
          <a:off x="584205" y="592660"/>
          <a:ext cx="296325" cy="19219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7030A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ko-KR" altLang="en-US" sz="1100"/>
        </a:p>
      </cdr:txBody>
    </cdr:sp>
  </cdr:relSizeAnchor>
  <cdr:relSizeAnchor xmlns:cdr="http://schemas.openxmlformats.org/drawingml/2006/chartDrawing">
    <cdr:from>
      <cdr:x>0.31044</cdr:x>
      <cdr:y>0.23455</cdr:y>
    </cdr:from>
    <cdr:to>
      <cdr:x>0.37629</cdr:x>
      <cdr:y>0.87605</cdr:y>
    </cdr:to>
    <cdr:sp macro="" textlink="">
      <cdr:nvSpPr>
        <cdr:cNvPr id="4" name="직사각형 3"/>
        <cdr:cNvSpPr/>
      </cdr:nvSpPr>
      <cdr:spPr>
        <a:xfrm xmlns:a="http://schemas.openxmlformats.org/drawingml/2006/main">
          <a:off x="1396990" y="670987"/>
          <a:ext cx="296325" cy="1835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7030A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ko-KR" altLang="en-US" sz="1100"/>
        </a:p>
      </cdr:txBody>
    </cdr:sp>
  </cdr:relSizeAnchor>
  <cdr:relSizeAnchor xmlns:cdr="http://schemas.openxmlformats.org/drawingml/2006/chartDrawing">
    <cdr:from>
      <cdr:x>0.66792</cdr:x>
      <cdr:y>0.70217</cdr:y>
    </cdr:from>
    <cdr:to>
      <cdr:x>0.73378</cdr:x>
      <cdr:y>0.87605</cdr:y>
    </cdr:to>
    <cdr:sp macro="" textlink="">
      <cdr:nvSpPr>
        <cdr:cNvPr id="5" name="직사각형 4"/>
        <cdr:cNvSpPr/>
      </cdr:nvSpPr>
      <cdr:spPr>
        <a:xfrm xmlns:a="http://schemas.openxmlformats.org/drawingml/2006/main">
          <a:off x="3005640" y="2008721"/>
          <a:ext cx="296370" cy="497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7030A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ko-KR" altLang="en-US" sz="1100"/>
        </a:p>
      </cdr:txBody>
    </cdr:sp>
  </cdr:relSizeAnchor>
  <cdr:relSizeAnchor xmlns:cdr="http://schemas.openxmlformats.org/drawingml/2006/chartDrawing">
    <cdr:from>
      <cdr:x>0.84479</cdr:x>
      <cdr:y>0.47724</cdr:y>
    </cdr:from>
    <cdr:to>
      <cdr:x>0.91064</cdr:x>
      <cdr:y>0.88492</cdr:y>
    </cdr:to>
    <cdr:sp macro="" textlink="">
      <cdr:nvSpPr>
        <cdr:cNvPr id="6" name="직사각형 5"/>
        <cdr:cNvSpPr/>
      </cdr:nvSpPr>
      <cdr:spPr>
        <a:xfrm xmlns:a="http://schemas.openxmlformats.org/drawingml/2006/main">
          <a:off x="3801536" y="1365253"/>
          <a:ext cx="296325" cy="11662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7030A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ko-KR" altLang="en-US" sz="1100"/>
        </a:p>
      </cdr:txBody>
    </cdr:sp>
  </cdr:relSizeAnchor>
  <cdr:relSizeAnchor xmlns:cdr="http://schemas.openxmlformats.org/drawingml/2006/chartDrawing">
    <cdr:from>
      <cdr:x>0.28598</cdr:x>
      <cdr:y>0.08583</cdr:y>
    </cdr:from>
    <cdr:to>
      <cdr:x>0.39322</cdr:x>
      <cdr:y>0.24269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286928" y="245535"/>
          <a:ext cx="482580" cy="4487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</a:t>
          </a:r>
          <a:r>
            <a:rPr lang="ko-KR" altLang="en-US" sz="900">
              <a:solidFill>
                <a:srgbClr val="7030A0"/>
              </a:solidFill>
            </a:rPr>
            <a:t>년</a:t>
          </a:r>
          <a:endParaRPr lang="en-US" altLang="ko-KR" sz="900">
            <a:solidFill>
              <a:srgbClr val="7030A0"/>
            </a:solidFill>
          </a:endParaRPr>
        </a:p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18.26</a:t>
          </a:r>
          <a:endParaRPr lang="ko-KR" altLang="en-US" sz="90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0.47601</cdr:x>
      <cdr:y>0.59192</cdr:y>
    </cdr:from>
    <cdr:to>
      <cdr:x>0.57855</cdr:x>
      <cdr:y>0.74878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2142066" y="1693328"/>
          <a:ext cx="461430" cy="448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</a:t>
          </a:r>
          <a:r>
            <a:rPr lang="ko-KR" altLang="en-US" sz="900">
              <a:solidFill>
                <a:srgbClr val="7030A0"/>
              </a:solidFill>
            </a:rPr>
            <a:t>년</a:t>
          </a:r>
          <a:endParaRPr lang="en-US" altLang="ko-KR" sz="900">
            <a:solidFill>
              <a:srgbClr val="7030A0"/>
            </a:solidFill>
          </a:endParaRPr>
        </a:p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3.34</a:t>
          </a:r>
          <a:endParaRPr lang="ko-KR" altLang="en-US" sz="90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0.65475</cdr:x>
      <cdr:y>0.69551</cdr:y>
    </cdr:from>
    <cdr:to>
      <cdr:x>0.75729</cdr:x>
      <cdr:y>0.85237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946387" y="1989668"/>
          <a:ext cx="461430" cy="4487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</a:t>
          </a:r>
          <a:r>
            <a:rPr lang="ko-KR" altLang="en-US" sz="900">
              <a:solidFill>
                <a:srgbClr val="7030A0"/>
              </a:solidFill>
            </a:rPr>
            <a:t>년</a:t>
          </a:r>
          <a:endParaRPr lang="en-US" altLang="ko-KR" sz="900">
            <a:solidFill>
              <a:srgbClr val="7030A0"/>
            </a:solidFill>
          </a:endParaRPr>
        </a:p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5.48</a:t>
          </a:r>
          <a:endParaRPr lang="ko-KR" altLang="en-US" sz="90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0.82597</cdr:x>
      <cdr:y>0.31964</cdr:y>
    </cdr:from>
    <cdr:to>
      <cdr:x>0.93322</cdr:x>
      <cdr:y>0.4765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3716845" y="914405"/>
          <a:ext cx="482625" cy="448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19</a:t>
          </a:r>
          <a:r>
            <a:rPr lang="ko-KR" altLang="en-US" sz="900">
              <a:solidFill>
                <a:srgbClr val="7030A0"/>
              </a:solidFill>
            </a:rPr>
            <a:t>년</a:t>
          </a:r>
          <a:endParaRPr lang="en-US" altLang="ko-KR" sz="900">
            <a:solidFill>
              <a:srgbClr val="7030A0"/>
            </a:solidFill>
          </a:endParaRPr>
        </a:p>
        <a:p xmlns:a="http://schemas.openxmlformats.org/drawingml/2006/main">
          <a:pPr algn="ctr"/>
          <a:r>
            <a:rPr lang="en-US" altLang="ko-KR" sz="900">
              <a:solidFill>
                <a:srgbClr val="7030A0"/>
              </a:solidFill>
            </a:rPr>
            <a:t>11.55</a:t>
          </a:r>
          <a:endParaRPr lang="ko-KR" altLang="en-US" sz="900">
            <a:solidFill>
              <a:srgbClr val="7030A0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301625</xdr:colOff>
      <xdr:row>163</xdr:row>
      <xdr:rowOff>31750</xdr:rowOff>
    </xdr:from>
    <xdr:to>
      <xdr:col>59</xdr:col>
      <xdr:colOff>20568</xdr:colOff>
      <xdr:row>173</xdr:row>
      <xdr:rowOff>124664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185507</xdr:colOff>
      <xdr:row>92</xdr:row>
      <xdr:rowOff>180976</xdr:rowOff>
    </xdr:from>
    <xdr:to>
      <xdr:col>54</xdr:col>
      <xdr:colOff>601136</xdr:colOff>
      <xdr:row>105</xdr:row>
      <xdr:rowOff>241233</xdr:rowOff>
    </xdr:to>
    <xdr:graphicFrame macro="">
      <xdr:nvGraphicFramePr>
        <xdr:cNvPr id="29" name="차트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687612</xdr:colOff>
      <xdr:row>92</xdr:row>
      <xdr:rowOff>180976</xdr:rowOff>
    </xdr:from>
    <xdr:to>
      <xdr:col>58</xdr:col>
      <xdr:colOff>199726</xdr:colOff>
      <xdr:row>105</xdr:row>
      <xdr:rowOff>241233</xdr:rowOff>
    </xdr:to>
    <xdr:graphicFrame macro="">
      <xdr:nvGraphicFramePr>
        <xdr:cNvPr id="30" name="차트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292098</xdr:colOff>
      <xdr:row>92</xdr:row>
      <xdr:rowOff>180976</xdr:rowOff>
    </xdr:from>
    <xdr:to>
      <xdr:col>62</xdr:col>
      <xdr:colOff>544441</xdr:colOff>
      <xdr:row>105</xdr:row>
      <xdr:rowOff>241233</xdr:rowOff>
    </xdr:to>
    <xdr:graphicFrame macro="">
      <xdr:nvGraphicFramePr>
        <xdr:cNvPr id="31" name="차트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567415</xdr:colOff>
      <xdr:row>145</xdr:row>
      <xdr:rowOff>100692</xdr:rowOff>
    </xdr:from>
    <xdr:to>
      <xdr:col>49</xdr:col>
      <xdr:colOff>690587</xdr:colOff>
      <xdr:row>158</xdr:row>
      <xdr:rowOff>150406</xdr:rowOff>
    </xdr:to>
    <xdr:graphicFrame macro="">
      <xdr:nvGraphicFramePr>
        <xdr:cNvPr id="3" name="고객불만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37194</xdr:colOff>
      <xdr:row>145</xdr:row>
      <xdr:rowOff>100692</xdr:rowOff>
    </xdr:from>
    <xdr:to>
      <xdr:col>54</xdr:col>
      <xdr:colOff>867937</xdr:colOff>
      <xdr:row>158</xdr:row>
      <xdr:rowOff>150405</xdr:rowOff>
    </xdr:to>
    <xdr:graphicFrame macro="">
      <xdr:nvGraphicFramePr>
        <xdr:cNvPr id="18" name="차트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1016000</xdr:colOff>
      <xdr:row>169</xdr:row>
      <xdr:rowOff>88900</xdr:rowOff>
    </xdr:from>
    <xdr:to>
      <xdr:col>16</xdr:col>
      <xdr:colOff>492125</xdr:colOff>
      <xdr:row>182</xdr:row>
      <xdr:rowOff>149225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777875</xdr:colOff>
      <xdr:row>169</xdr:row>
      <xdr:rowOff>19050</xdr:rowOff>
    </xdr:from>
    <xdr:to>
      <xdr:col>39</xdr:col>
      <xdr:colOff>549275</xdr:colOff>
      <xdr:row>182</xdr:row>
      <xdr:rowOff>79375</xdr:rowOff>
    </xdr:to>
    <xdr:graphicFrame macro="">
      <xdr:nvGraphicFramePr>
        <xdr:cNvPr id="33" name="차트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812800</xdr:colOff>
      <xdr:row>169</xdr:row>
      <xdr:rowOff>203200</xdr:rowOff>
    </xdr:from>
    <xdr:to>
      <xdr:col>42</xdr:col>
      <xdr:colOff>590550</xdr:colOff>
      <xdr:row>183</xdr:row>
      <xdr:rowOff>57150</xdr:rowOff>
    </xdr:to>
    <xdr:graphicFrame macro="">
      <xdr:nvGraphicFramePr>
        <xdr:cNvPr id="34" name="차트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885825</xdr:colOff>
      <xdr:row>184</xdr:row>
      <xdr:rowOff>6350</xdr:rowOff>
    </xdr:from>
    <xdr:to>
      <xdr:col>42</xdr:col>
      <xdr:colOff>663575</xdr:colOff>
      <xdr:row>197</xdr:row>
      <xdr:rowOff>66675</xdr:rowOff>
    </xdr:to>
    <xdr:graphicFrame macro="">
      <xdr:nvGraphicFramePr>
        <xdr:cNvPr id="35" name="차트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59</xdr:col>
      <xdr:colOff>134254</xdr:colOff>
      <xdr:row>163</xdr:row>
      <xdr:rowOff>42636</xdr:rowOff>
    </xdr:from>
    <xdr:to>
      <xdr:col>63</xdr:col>
      <xdr:colOff>179768</xdr:colOff>
      <xdr:row>173</xdr:row>
      <xdr:rowOff>135550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304340</xdr:colOff>
      <xdr:row>163</xdr:row>
      <xdr:rowOff>31750</xdr:rowOff>
    </xdr:from>
    <xdr:to>
      <xdr:col>67</xdr:col>
      <xdr:colOff>317197</xdr:colOff>
      <xdr:row>173</xdr:row>
      <xdr:rowOff>124664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55</xdr:col>
      <xdr:colOff>301625</xdr:colOff>
      <xdr:row>174</xdr:row>
      <xdr:rowOff>3174</xdr:rowOff>
    </xdr:from>
    <xdr:to>
      <xdr:col>59</xdr:col>
      <xdr:colOff>20568</xdr:colOff>
      <xdr:row>185</xdr:row>
      <xdr:rowOff>74317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59</xdr:col>
      <xdr:colOff>134254</xdr:colOff>
      <xdr:row>174</xdr:row>
      <xdr:rowOff>14060</xdr:rowOff>
    </xdr:from>
    <xdr:to>
      <xdr:col>63</xdr:col>
      <xdr:colOff>179768</xdr:colOff>
      <xdr:row>185</xdr:row>
      <xdr:rowOff>85203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59</xdr:col>
      <xdr:colOff>14060</xdr:colOff>
      <xdr:row>20</xdr:row>
      <xdr:rowOff>187324</xdr:rowOff>
    </xdr:from>
    <xdr:to>
      <xdr:col>63</xdr:col>
      <xdr:colOff>59575</xdr:colOff>
      <xdr:row>30</xdr:row>
      <xdr:rowOff>8096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258534</xdr:colOff>
      <xdr:row>20</xdr:row>
      <xdr:rowOff>187324</xdr:rowOff>
    </xdr:from>
    <xdr:to>
      <xdr:col>67</xdr:col>
      <xdr:colOff>271391</xdr:colOff>
      <xdr:row>30</xdr:row>
      <xdr:rowOff>8096</xdr:rowOff>
    </xdr:to>
    <xdr:graphicFrame macro="">
      <xdr:nvGraphicFramePr>
        <xdr:cNvPr id="41" name="차트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55</xdr:col>
      <xdr:colOff>51706</xdr:colOff>
      <xdr:row>30</xdr:row>
      <xdr:rowOff>130176</xdr:rowOff>
    </xdr:from>
    <xdr:to>
      <xdr:col>58</xdr:col>
      <xdr:colOff>445564</xdr:colOff>
      <xdr:row>40</xdr:row>
      <xdr:rowOff>125119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59</xdr:col>
      <xdr:colOff>14060</xdr:colOff>
      <xdr:row>30</xdr:row>
      <xdr:rowOff>130176</xdr:rowOff>
    </xdr:from>
    <xdr:to>
      <xdr:col>63</xdr:col>
      <xdr:colOff>59575</xdr:colOff>
      <xdr:row>40</xdr:row>
      <xdr:rowOff>125119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63</xdr:col>
      <xdr:colOff>258534</xdr:colOff>
      <xdr:row>30</xdr:row>
      <xdr:rowOff>130176</xdr:rowOff>
    </xdr:from>
    <xdr:to>
      <xdr:col>67</xdr:col>
      <xdr:colOff>271391</xdr:colOff>
      <xdr:row>40</xdr:row>
      <xdr:rowOff>125119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55</xdr:col>
      <xdr:colOff>51706</xdr:colOff>
      <xdr:row>20</xdr:row>
      <xdr:rowOff>187324</xdr:rowOff>
    </xdr:from>
    <xdr:to>
      <xdr:col>58</xdr:col>
      <xdr:colOff>445564</xdr:colOff>
      <xdr:row>30</xdr:row>
      <xdr:rowOff>8096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63</xdr:col>
      <xdr:colOff>304340</xdr:colOff>
      <xdr:row>174</xdr:row>
      <xdr:rowOff>3174</xdr:rowOff>
    </xdr:from>
    <xdr:to>
      <xdr:col>67</xdr:col>
      <xdr:colOff>317197</xdr:colOff>
      <xdr:row>185</xdr:row>
      <xdr:rowOff>74317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59</xdr:col>
      <xdr:colOff>38555</xdr:colOff>
      <xdr:row>52</xdr:row>
      <xdr:rowOff>52256</xdr:rowOff>
    </xdr:from>
    <xdr:to>
      <xdr:col>63</xdr:col>
      <xdr:colOff>84070</xdr:colOff>
      <xdr:row>63</xdr:row>
      <xdr:rowOff>14542</xdr:rowOff>
    </xdr:to>
    <xdr:graphicFrame macro="">
      <xdr:nvGraphicFramePr>
        <xdr:cNvPr id="47" name="차트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63</xdr:col>
      <xdr:colOff>178707</xdr:colOff>
      <xdr:row>52</xdr:row>
      <xdr:rowOff>41370</xdr:rowOff>
    </xdr:from>
    <xdr:to>
      <xdr:col>67</xdr:col>
      <xdr:colOff>191564</xdr:colOff>
      <xdr:row>63</xdr:row>
      <xdr:rowOff>3656</xdr:rowOff>
    </xdr:to>
    <xdr:graphicFrame macro="">
      <xdr:nvGraphicFramePr>
        <xdr:cNvPr id="48" name="차트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55</xdr:col>
      <xdr:colOff>250376</xdr:colOff>
      <xdr:row>63</xdr:row>
      <xdr:rowOff>131994</xdr:rowOff>
    </xdr:from>
    <xdr:to>
      <xdr:col>58</xdr:col>
      <xdr:colOff>644234</xdr:colOff>
      <xdr:row>73</xdr:row>
      <xdr:rowOff>257566</xdr:rowOff>
    </xdr:to>
    <xdr:graphicFrame macro="">
      <xdr:nvGraphicFramePr>
        <xdr:cNvPr id="49" name="차트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59</xdr:col>
      <xdr:colOff>42183</xdr:colOff>
      <xdr:row>63</xdr:row>
      <xdr:rowOff>131994</xdr:rowOff>
    </xdr:from>
    <xdr:to>
      <xdr:col>63</xdr:col>
      <xdr:colOff>87698</xdr:colOff>
      <xdr:row>73</xdr:row>
      <xdr:rowOff>257566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178707</xdr:colOff>
      <xdr:row>63</xdr:row>
      <xdr:rowOff>121108</xdr:rowOff>
    </xdr:from>
    <xdr:to>
      <xdr:col>67</xdr:col>
      <xdr:colOff>191564</xdr:colOff>
      <xdr:row>73</xdr:row>
      <xdr:rowOff>246680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55</xdr:col>
      <xdr:colOff>250376</xdr:colOff>
      <xdr:row>52</xdr:row>
      <xdr:rowOff>52256</xdr:rowOff>
    </xdr:from>
    <xdr:to>
      <xdr:col>58</xdr:col>
      <xdr:colOff>644234</xdr:colOff>
      <xdr:row>63</xdr:row>
      <xdr:rowOff>14542</xdr:rowOff>
    </xdr:to>
    <xdr:grpSp>
      <xdr:nvGrpSpPr>
        <xdr:cNvPr id="52" name="그룹 51"/>
        <xdr:cNvGrpSpPr/>
      </xdr:nvGrpSpPr>
      <xdr:grpSpPr>
        <a:xfrm>
          <a:off x="32036662" y="14051285"/>
          <a:ext cx="2952001" cy="2466000"/>
          <a:chOff x="27883052" y="6640572"/>
          <a:chExt cx="2979214" cy="2465286"/>
        </a:xfrm>
      </xdr:grpSpPr>
      <xdr:graphicFrame macro="">
        <xdr:nvGraphicFramePr>
          <xdr:cNvPr id="53" name="차트 52"/>
          <xdr:cNvGraphicFramePr/>
        </xdr:nvGraphicFramePr>
        <xdr:xfrm>
          <a:off x="27883052" y="6640572"/>
          <a:ext cx="2979214" cy="24652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sp macro="" textlink="">
        <xdr:nvSpPr>
          <xdr:cNvPr id="54" name="TextBox 53"/>
          <xdr:cNvSpPr txBox="1"/>
        </xdr:nvSpPr>
        <xdr:spPr>
          <a:xfrm>
            <a:off x="28725180" y="6993898"/>
            <a:ext cx="1333500" cy="3129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>
                <a:solidFill>
                  <a:srgbClr val="FF0000"/>
                </a:solidFill>
              </a:rPr>
              <a:t>(</a:t>
            </a:r>
            <a:r>
              <a:rPr lang="ko-KR" altLang="en-US" sz="1200" b="1">
                <a:solidFill>
                  <a:srgbClr val="FF0000"/>
                </a:solidFill>
              </a:rPr>
              <a:t>목표 </a:t>
            </a:r>
            <a:r>
              <a:rPr lang="en-US" altLang="ko-KR" sz="1200" b="1">
                <a:solidFill>
                  <a:srgbClr val="FF0000"/>
                </a:solidFill>
              </a:rPr>
              <a:t>: 99.63%)</a:t>
            </a:r>
            <a:endParaRPr lang="ko-KR" altLang="en-US" sz="12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0.27534</cdr:x>
      <cdr:y>0.15859</cdr:y>
    </cdr:from>
    <cdr:to>
      <cdr:x>0.72707</cdr:x>
      <cdr:y>0.28554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12800" y="390978"/>
          <a:ext cx="1333500" cy="3129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rgbClr val="FF0000"/>
              </a:solidFill>
            </a:rPr>
            <a:t>(</a:t>
          </a:r>
          <a:r>
            <a:rPr lang="ko-KR" altLang="en-US" sz="1200" b="1">
              <a:solidFill>
                <a:srgbClr val="FF0000"/>
              </a:solidFill>
            </a:rPr>
            <a:t>목표 </a:t>
          </a:r>
          <a:r>
            <a:rPr lang="en-US" altLang="ko-KR" sz="1200" b="1">
              <a:solidFill>
                <a:srgbClr val="FF0000"/>
              </a:solidFill>
            </a:rPr>
            <a:t>: 98.05%)</a:t>
          </a:r>
          <a:endParaRPr lang="ko-KR" altLang="en-US" sz="1200" b="1">
            <a:solidFill>
              <a:srgbClr val="FF0000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0.27995</cdr:x>
      <cdr:y>0.11996</cdr:y>
    </cdr:from>
    <cdr:to>
      <cdr:x>0.73168</cdr:x>
      <cdr:y>0.24691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26408" y="295728"/>
          <a:ext cx="1333500" cy="3129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rgbClr val="FF0000"/>
              </a:solidFill>
            </a:rPr>
            <a:t>(</a:t>
          </a:r>
          <a:r>
            <a:rPr lang="ko-KR" altLang="en-US" sz="1200" b="1">
              <a:solidFill>
                <a:srgbClr val="FF0000"/>
              </a:solidFill>
            </a:rPr>
            <a:t>목표 </a:t>
          </a:r>
          <a:r>
            <a:rPr lang="en-US" altLang="ko-KR" sz="1200" b="1">
              <a:solidFill>
                <a:srgbClr val="FF0000"/>
              </a:solidFill>
            </a:rPr>
            <a:t>: 99.99%)</a:t>
          </a:r>
          <a:endParaRPr lang="ko-KR" altLang="en-US" sz="1200" b="1">
            <a:solidFill>
              <a:srgbClr val="FF0000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0.27282</cdr:x>
      <cdr:y>0.12722</cdr:y>
    </cdr:from>
    <cdr:to>
      <cdr:x>0.72042</cdr:x>
      <cdr:y>0.24869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12789" y="293138"/>
          <a:ext cx="1333496" cy="279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rgbClr val="FF0000"/>
              </a:solidFill>
            </a:rPr>
            <a:t>(</a:t>
          </a:r>
          <a:r>
            <a:rPr lang="ko-KR" altLang="en-US" sz="1200" b="1">
              <a:solidFill>
                <a:srgbClr val="FF0000"/>
              </a:solidFill>
            </a:rPr>
            <a:t>목표 </a:t>
          </a:r>
          <a:r>
            <a:rPr lang="en-US" altLang="ko-KR" sz="1200" b="1">
              <a:solidFill>
                <a:srgbClr val="FF0000"/>
              </a:solidFill>
            </a:rPr>
            <a:t>: 100.40%)</a:t>
          </a:r>
          <a:endParaRPr lang="ko-KR" altLang="en-US" sz="1200" b="1">
            <a:solidFill>
              <a:srgbClr val="FF0000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0.27534</cdr:x>
      <cdr:y>0.13312</cdr:y>
    </cdr:from>
    <cdr:to>
      <cdr:x>0.72707</cdr:x>
      <cdr:y>0.25459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12804" y="306745"/>
          <a:ext cx="1333507" cy="279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rgbClr val="FF0000"/>
              </a:solidFill>
            </a:rPr>
            <a:t>(</a:t>
          </a:r>
          <a:r>
            <a:rPr lang="ko-KR" altLang="en-US" sz="1200" b="1">
              <a:solidFill>
                <a:srgbClr val="FF0000"/>
              </a:solidFill>
            </a:rPr>
            <a:t>목표 </a:t>
          </a:r>
          <a:r>
            <a:rPr lang="en-US" altLang="ko-KR" sz="1200" b="1">
              <a:solidFill>
                <a:srgbClr val="FF0000"/>
              </a:solidFill>
            </a:rPr>
            <a:t>: 100.60%)</a:t>
          </a:r>
          <a:endParaRPr lang="ko-KR" altLang="en-US" sz="1200" b="1">
            <a:solidFill>
              <a:srgbClr val="FF000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0.27073</cdr:x>
      <cdr:y>0.14556</cdr:y>
    </cdr:from>
    <cdr:to>
      <cdr:x>0.72246</cdr:x>
      <cdr:y>0.26703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9195" y="335401"/>
          <a:ext cx="1333507" cy="2798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ko-KR" sz="1200" b="1">
              <a:solidFill>
                <a:srgbClr val="FF0000"/>
              </a:solidFill>
            </a:rPr>
            <a:t>(</a:t>
          </a:r>
          <a:r>
            <a:rPr lang="ko-KR" altLang="en-US" sz="1200" b="1">
              <a:solidFill>
                <a:srgbClr val="FF0000"/>
              </a:solidFill>
            </a:rPr>
            <a:t>목표 </a:t>
          </a:r>
          <a:r>
            <a:rPr lang="en-US" altLang="ko-KR" sz="1200" b="1">
              <a:solidFill>
                <a:srgbClr val="FF0000"/>
              </a:solidFill>
            </a:rPr>
            <a:t>: 100.40%)</a:t>
          </a:r>
          <a:endParaRPr lang="ko-KR" altLang="en-US" sz="1200" b="1">
            <a:solidFill>
              <a:srgbClr val="FF0000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450418</xdr:colOff>
      <xdr:row>7</xdr:row>
      <xdr:rowOff>162087</xdr:rowOff>
    </xdr:from>
    <xdr:to>
      <xdr:col>49</xdr:col>
      <xdr:colOff>533732</xdr:colOff>
      <xdr:row>18</xdr:row>
      <xdr:rowOff>110324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665289</xdr:colOff>
      <xdr:row>7</xdr:row>
      <xdr:rowOff>140315</xdr:rowOff>
    </xdr:from>
    <xdr:to>
      <xdr:col>56</xdr:col>
      <xdr:colOff>73689</xdr:colOff>
      <xdr:row>18</xdr:row>
      <xdr:rowOff>88552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998220</xdr:colOff>
      <xdr:row>27</xdr:row>
      <xdr:rowOff>60960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982980</xdr:colOff>
      <xdr:row>0</xdr:row>
      <xdr:rowOff>0</xdr:rowOff>
    </xdr:from>
    <xdr:to>
      <xdr:col>3</xdr:col>
      <xdr:colOff>556260</xdr:colOff>
      <xdr:row>27</xdr:row>
      <xdr:rowOff>60960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563880</xdr:colOff>
      <xdr:row>0</xdr:row>
      <xdr:rowOff>0</xdr:rowOff>
    </xdr:from>
    <xdr:to>
      <xdr:col>4</xdr:col>
      <xdr:colOff>1295400</xdr:colOff>
      <xdr:row>27</xdr:row>
      <xdr:rowOff>60960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1310640</xdr:colOff>
      <xdr:row>0</xdr:row>
      <xdr:rowOff>0</xdr:rowOff>
    </xdr:from>
    <xdr:to>
      <xdr:col>6</xdr:col>
      <xdr:colOff>617220</xdr:colOff>
      <xdr:row>27</xdr:row>
      <xdr:rowOff>60960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624840</xdr:colOff>
      <xdr:row>0</xdr:row>
      <xdr:rowOff>0</xdr:rowOff>
    </xdr:from>
    <xdr:to>
      <xdr:col>7</xdr:col>
      <xdr:colOff>1356360</xdr:colOff>
      <xdr:row>27</xdr:row>
      <xdr:rowOff>60960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1</xdr:col>
      <xdr:colOff>998220</xdr:colOff>
      <xdr:row>65</xdr:row>
      <xdr:rowOff>60960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982980</xdr:colOff>
      <xdr:row>38</xdr:row>
      <xdr:rowOff>0</xdr:rowOff>
    </xdr:from>
    <xdr:to>
      <xdr:col>3</xdr:col>
      <xdr:colOff>556260</xdr:colOff>
      <xdr:row>65</xdr:row>
      <xdr:rowOff>60960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563880</xdr:colOff>
      <xdr:row>38</xdr:row>
      <xdr:rowOff>0</xdr:rowOff>
    </xdr:from>
    <xdr:to>
      <xdr:col>4</xdr:col>
      <xdr:colOff>1295400</xdr:colOff>
      <xdr:row>65</xdr:row>
      <xdr:rowOff>60960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1310640</xdr:colOff>
      <xdr:row>38</xdr:row>
      <xdr:rowOff>0</xdr:rowOff>
    </xdr:from>
    <xdr:to>
      <xdr:col>6</xdr:col>
      <xdr:colOff>617220</xdr:colOff>
      <xdr:row>65</xdr:row>
      <xdr:rowOff>60960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632460</xdr:colOff>
      <xdr:row>38</xdr:row>
      <xdr:rowOff>0</xdr:rowOff>
    </xdr:from>
    <xdr:to>
      <xdr:col>7</xdr:col>
      <xdr:colOff>1363980</xdr:colOff>
      <xdr:row>65</xdr:row>
      <xdr:rowOff>60960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1</xdr:col>
      <xdr:colOff>998220</xdr:colOff>
      <xdr:row>103</xdr:row>
      <xdr:rowOff>60960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982980</xdr:colOff>
      <xdr:row>76</xdr:row>
      <xdr:rowOff>0</xdr:rowOff>
    </xdr:from>
    <xdr:to>
      <xdr:col>3</xdr:col>
      <xdr:colOff>556260</xdr:colOff>
      <xdr:row>103</xdr:row>
      <xdr:rowOff>60960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563880</xdr:colOff>
      <xdr:row>76</xdr:row>
      <xdr:rowOff>0</xdr:rowOff>
    </xdr:from>
    <xdr:to>
      <xdr:col>4</xdr:col>
      <xdr:colOff>1295400</xdr:colOff>
      <xdr:row>103</xdr:row>
      <xdr:rowOff>60960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1310640</xdr:colOff>
      <xdr:row>76</xdr:row>
      <xdr:rowOff>0</xdr:rowOff>
    </xdr:from>
    <xdr:to>
      <xdr:col>6</xdr:col>
      <xdr:colOff>617220</xdr:colOff>
      <xdr:row>103</xdr:row>
      <xdr:rowOff>60960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632460</xdr:colOff>
      <xdr:row>76</xdr:row>
      <xdr:rowOff>0</xdr:rowOff>
    </xdr:from>
    <xdr:to>
      <xdr:col>7</xdr:col>
      <xdr:colOff>1363980</xdr:colOff>
      <xdr:row>103</xdr:row>
      <xdr:rowOff>60960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.%20&#54785;&#49888;&#50629;&#47924;/1.%20&#54785;&#49888;&#44228;&#54925;%20&amp;%20&#51648;&#54364;/1.%20&#54785;&#49888;&#51648;&#54364;/2018/12&#50900;/2018&#45380;%2012&#50900;%20&#49457;&#44284;&#44060;&#49440;%20&#49892;&#51201;%20&#51648;&#54364;_ver1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ee\AppData\Local\Microsoft\Windows\Temporary%20Internet%20Files\Content.IE5\OG6PO4GR\2017&#45380;%20&#49457;&#44284;&#44060;&#49440;%20&#49892;&#51201;(5&#50900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60;&#49440;\&#51060;&#49440;&#44396;\&#54785;&#49888;&#54876;&#46041;\2016&#45380;\&#50900;%20&#48372;&#44256;\2016&#45380;%20&#49457;&#44284;&#44060;&#49440;%20&#49892;&#51201;(&#52572;&#51333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성과개선 요약"/>
      <sheetName val="스크"/>
      <sheetName val="목표"/>
      <sheetName val="년간"/>
      <sheetName val="L D"/>
      <sheetName val="게시판"/>
      <sheetName val="종합평가"/>
      <sheetName val="Loss 금액"/>
      <sheetName val="Loss(월평균)"/>
      <sheetName val="종합"/>
      <sheetName val="CPL"/>
      <sheetName val="CRM"/>
      <sheetName val="CGL"/>
      <sheetName val="CGL 성과"/>
      <sheetName val="#1CCL"/>
      <sheetName val="#2CCL"/>
      <sheetName val="비가동"/>
      <sheetName val="고장"/>
      <sheetName val="협력사"/>
      <sheetName val="성과개선 실적"/>
      <sheetName val="SSCL"/>
      <sheetName val="경쟁사"/>
      <sheetName val="목표관리"/>
      <sheetName val="Sheet9"/>
      <sheetName val="Sheet3"/>
      <sheetName val="Sheet1"/>
      <sheetName val="CGL (2)"/>
      <sheetName val="과제 계산"/>
      <sheetName val="2018 불만&amp;반품"/>
    </sheetNames>
    <sheetDataSet>
      <sheetData sheetId="0"/>
      <sheetData sheetId="1">
        <row r="16">
          <cell r="O16">
            <v>29.31</v>
          </cell>
          <cell r="T16">
            <v>33.880000000000003</v>
          </cell>
        </row>
        <row r="17">
          <cell r="O17">
            <v>42.34</v>
          </cell>
          <cell r="T17">
            <v>30.99</v>
          </cell>
        </row>
        <row r="18">
          <cell r="O18">
            <v>44.66</v>
          </cell>
          <cell r="T18">
            <v>22.524999999999999</v>
          </cell>
        </row>
        <row r="20">
          <cell r="O20">
            <v>35.19</v>
          </cell>
          <cell r="T20">
            <v>32.174999999999997</v>
          </cell>
        </row>
        <row r="21">
          <cell r="O21">
            <v>44.734999999999999</v>
          </cell>
          <cell r="T21">
            <v>25.52</v>
          </cell>
        </row>
        <row r="22">
          <cell r="O22">
            <v>38.805</v>
          </cell>
          <cell r="T22">
            <v>30.51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46">
          <cell r="J46">
            <v>69.22</v>
          </cell>
          <cell r="K46">
            <v>52.480000000000004</v>
          </cell>
          <cell r="L46">
            <v>54.03</v>
          </cell>
          <cell r="M46">
            <v>73.599999999999994</v>
          </cell>
          <cell r="N46">
            <v>39.39</v>
          </cell>
          <cell r="O46">
            <v>90.04000000000002</v>
          </cell>
        </row>
        <row r="49">
          <cell r="J49">
            <v>5.95</v>
          </cell>
          <cell r="K49">
            <v>8.99</v>
          </cell>
          <cell r="L49">
            <v>11.24</v>
          </cell>
          <cell r="M49">
            <v>3.35</v>
          </cell>
          <cell r="N49">
            <v>3.87</v>
          </cell>
          <cell r="O49">
            <v>6.65</v>
          </cell>
        </row>
        <row r="50">
          <cell r="J50">
            <v>7.41</v>
          </cell>
          <cell r="K50">
            <v>16.28</v>
          </cell>
          <cell r="L50">
            <v>16.91</v>
          </cell>
          <cell r="M50">
            <v>7.04</v>
          </cell>
          <cell r="N50">
            <v>15.1</v>
          </cell>
          <cell r="O50">
            <v>7.9010000000000016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스크"/>
      <sheetName val="목표"/>
      <sheetName val="년간"/>
      <sheetName val="L D"/>
      <sheetName val="게시판"/>
      <sheetName val="Loss 금액"/>
      <sheetName val="Loss(월평균)"/>
      <sheetName val="종합"/>
      <sheetName val="아연"/>
      <sheetName val="종합 (2)"/>
      <sheetName val="CPL"/>
      <sheetName val="CRM"/>
      <sheetName val="CGL"/>
      <sheetName val="CGL 성과"/>
      <sheetName val="#1CCL"/>
      <sheetName val="#2CCL"/>
      <sheetName val="고장"/>
      <sheetName val="협력사"/>
      <sheetName val="성과개선 실적"/>
      <sheetName val="Sheet10"/>
      <sheetName val="경쟁사"/>
      <sheetName val="Sheet2"/>
      <sheetName val="Sheet9"/>
    </sheetNames>
    <sheetDataSet>
      <sheetData sheetId="0">
        <row r="21">
          <cell r="B21">
            <v>462.48</v>
          </cell>
        </row>
      </sheetData>
      <sheetData sheetId="1" refreshError="1"/>
      <sheetData sheetId="2">
        <row r="8">
          <cell r="J8">
            <v>26695.73</v>
          </cell>
        </row>
        <row r="20">
          <cell r="J2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45">
          <cell r="L45">
            <v>11.690000000000001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 (2)"/>
      <sheetName val="스크"/>
      <sheetName val="년간"/>
      <sheetName val="보고서"/>
      <sheetName val="로스금액"/>
      <sheetName val="팀"/>
      <sheetName val="판재"/>
      <sheetName val="판출"/>
      <sheetName val="비상"/>
      <sheetName val="L D"/>
      <sheetName val="실적 게시"/>
      <sheetName val="종합"/>
      <sheetName val="아연"/>
      <sheetName val="종합 (2)"/>
      <sheetName val="CPL"/>
      <sheetName val="종합보고 (라인)"/>
      <sheetName val="CRM"/>
      <sheetName val="종합보고"/>
      <sheetName val="CGL"/>
      <sheetName val="CGL 성과"/>
      <sheetName val="#1CCL"/>
      <sheetName val="#2CCL"/>
      <sheetName val="고장"/>
      <sheetName val="설비"/>
      <sheetName val="협력사"/>
      <sheetName val="성과개선 실적"/>
      <sheetName val="경쟁사"/>
      <sheetName val="Sheet2"/>
      <sheetName val="Sheet3"/>
      <sheetName val="Sheet4"/>
      <sheetName val="Sheet5"/>
      <sheetName val="Sheet6"/>
      <sheetName val="Sheet7"/>
      <sheetName val="Sheet1"/>
      <sheetName val="Sheet8"/>
    </sheetNames>
    <sheetDataSet>
      <sheetData sheetId="0" refreshError="1"/>
      <sheetData sheetId="1" refreshError="1"/>
      <sheetData sheetId="2">
        <row r="56">
          <cell r="C56">
            <v>6444</v>
          </cell>
        </row>
        <row r="57">
          <cell r="C57">
            <v>6670</v>
          </cell>
        </row>
        <row r="58">
          <cell r="C58">
            <v>4426</v>
          </cell>
        </row>
        <row r="59">
          <cell r="C59">
            <v>1326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230"/>
  <sheetViews>
    <sheetView topLeftCell="A91" zoomScale="70" zoomScaleNormal="70" workbookViewId="0">
      <pane xSplit="4" topLeftCell="F1" activePane="topRight" state="frozen"/>
      <selection activeCell="D1" sqref="D1"/>
      <selection pane="topRight" activeCell="AK185" sqref="AK185"/>
    </sheetView>
  </sheetViews>
  <sheetFormatPr defaultRowHeight="14.4"/>
  <cols>
    <col min="1" max="3" width="8.796875" customWidth="1"/>
    <col min="5" max="5" width="8.69921875" hidden="1" customWidth="1"/>
    <col min="6" max="9" width="8.69921875" customWidth="1"/>
    <col min="10" max="10" width="8.69921875" style="299" customWidth="1"/>
    <col min="11" max="17" width="8.69921875" style="299" hidden="1" customWidth="1"/>
    <col min="18" max="23" width="8.69921875" style="299" customWidth="1"/>
    <col min="24" max="24" width="14.09765625" style="6201" customWidth="1"/>
    <col min="25" max="25" width="14.09765625" style="6201" hidden="1" customWidth="1"/>
    <col min="26" max="26" width="8.69921875" hidden="1" customWidth="1"/>
    <col min="27" max="32" width="14.8984375" style="380" hidden="1" customWidth="1"/>
    <col min="33" max="34" width="14.19921875" style="380" hidden="1" customWidth="1"/>
    <col min="35" max="39" width="14.19921875" style="380" customWidth="1"/>
    <col min="40" max="40" width="8.69921875" style="299" customWidth="1"/>
    <col min="41" max="46" width="8.69921875" style="299" hidden="1" customWidth="1"/>
    <col min="47" max="50" width="8.69921875" style="299" customWidth="1"/>
    <col min="51" max="52" width="8.69921875" style="299" hidden="1" customWidth="1"/>
    <col min="53" max="53" width="8.69921875" style="299" customWidth="1"/>
    <col min="54" max="54" width="8" customWidth="1"/>
    <col min="55" max="55" width="21" customWidth="1"/>
    <col min="56" max="56" width="14.19921875" bestFit="1" customWidth="1"/>
    <col min="58" max="58" width="11.8984375" customWidth="1"/>
    <col min="59" max="59" width="7.69921875" customWidth="1"/>
    <col min="60" max="60" width="7.19921875" customWidth="1"/>
    <col min="61" max="62" width="8.69921875" hidden="1" customWidth="1"/>
    <col min="63" max="65" width="10.296875" hidden="1" customWidth="1"/>
    <col min="66" max="67" width="10.296875" style="299" customWidth="1"/>
    <col min="68" max="68" width="14.19921875" customWidth="1"/>
    <col min="69" max="69" width="8.8984375" bestFit="1" customWidth="1"/>
    <col min="70" max="70" width="14.8984375" bestFit="1" customWidth="1"/>
    <col min="71" max="71" width="9.5" customWidth="1"/>
    <col min="72" max="73" width="9.5" style="299" customWidth="1"/>
    <col min="74" max="74" width="11.19921875" customWidth="1"/>
    <col min="75" max="75" width="9.3984375" bestFit="1" customWidth="1"/>
    <col min="76" max="76" width="11.09765625" customWidth="1"/>
    <col min="77" max="79" width="10.19921875" bestFit="1" customWidth="1"/>
  </cols>
  <sheetData>
    <row r="1" spans="2:55" ht="35.4" thickBot="1">
      <c r="B1" s="2462" t="s">
        <v>252</v>
      </c>
      <c r="C1" s="2463" t="s">
        <v>253</v>
      </c>
      <c r="D1" s="2463" t="s">
        <v>234</v>
      </c>
      <c r="E1" s="2717" t="s">
        <v>555</v>
      </c>
      <c r="F1" s="2717" t="s">
        <v>738</v>
      </c>
      <c r="G1" s="2717" t="s">
        <v>1000</v>
      </c>
      <c r="H1" s="2808" t="s">
        <v>1238</v>
      </c>
      <c r="I1" s="2845" t="s">
        <v>1299</v>
      </c>
      <c r="J1" s="2845" t="s">
        <v>1605</v>
      </c>
      <c r="K1" s="2845" t="s">
        <v>1651</v>
      </c>
      <c r="L1" s="4795" t="s">
        <v>1692</v>
      </c>
      <c r="M1" s="4795" t="s">
        <v>1693</v>
      </c>
      <c r="N1" s="4795" t="s">
        <v>1694</v>
      </c>
      <c r="O1" s="4795" t="s">
        <v>1695</v>
      </c>
      <c r="P1" s="4795" t="s">
        <v>1819</v>
      </c>
      <c r="Q1" s="4795" t="s">
        <v>1697</v>
      </c>
      <c r="R1" s="4795" t="s">
        <v>1698</v>
      </c>
      <c r="S1" s="4795" t="s">
        <v>1699</v>
      </c>
      <c r="T1" s="4795" t="s">
        <v>1700</v>
      </c>
      <c r="U1" s="4795" t="s">
        <v>1701</v>
      </c>
      <c r="V1" s="4795" t="s">
        <v>1702</v>
      </c>
      <c r="W1" s="4796" t="s">
        <v>1703</v>
      </c>
      <c r="X1" s="6601" t="s">
        <v>1686</v>
      </c>
      <c r="Y1" s="3006" t="s">
        <v>1654</v>
      </c>
      <c r="Z1" s="3399" t="s">
        <v>1684</v>
      </c>
      <c r="AA1" s="3006" t="s">
        <v>1652</v>
      </c>
      <c r="AB1" s="3006" t="s">
        <v>1656</v>
      </c>
      <c r="AC1" s="4821" t="s">
        <v>1657</v>
      </c>
      <c r="AD1" s="3006" t="s">
        <v>1658</v>
      </c>
      <c r="AE1" s="3006" t="s">
        <v>1659</v>
      </c>
      <c r="AF1" s="3006" t="s">
        <v>1660</v>
      </c>
      <c r="AG1" s="3006" t="s">
        <v>1661</v>
      </c>
      <c r="AH1" s="3006" t="s">
        <v>1662</v>
      </c>
      <c r="AI1" s="3006" t="s">
        <v>1663</v>
      </c>
      <c r="AJ1" s="3125" t="s">
        <v>1664</v>
      </c>
      <c r="AK1" s="3125" t="s">
        <v>1665</v>
      </c>
      <c r="AL1" s="3125" t="s">
        <v>1666</v>
      </c>
      <c r="AM1" s="3048" t="s">
        <v>1961</v>
      </c>
      <c r="AN1" s="4464" t="s">
        <v>1654</v>
      </c>
      <c r="AO1" s="4464" t="s">
        <v>1653</v>
      </c>
      <c r="AP1" s="4464" t="s">
        <v>1670</v>
      </c>
      <c r="AQ1" s="4464" t="s">
        <v>1671</v>
      </c>
      <c r="AR1" s="4464" t="s">
        <v>1672</v>
      </c>
      <c r="AS1" s="4464" t="s">
        <v>1673</v>
      </c>
      <c r="AT1" s="4464" t="s">
        <v>1674</v>
      </c>
      <c r="AU1" s="4464" t="s">
        <v>1675</v>
      </c>
      <c r="AV1" s="4464" t="s">
        <v>1676</v>
      </c>
      <c r="AW1" s="4464" t="s">
        <v>1677</v>
      </c>
      <c r="AX1" s="6390" t="s">
        <v>1678</v>
      </c>
      <c r="AY1" s="6390" t="s">
        <v>1679</v>
      </c>
      <c r="AZ1" s="6394" t="s">
        <v>1680</v>
      </c>
      <c r="BA1" s="6400" t="s">
        <v>1962</v>
      </c>
    </row>
    <row r="2" spans="2:55" ht="17.399999999999999">
      <c r="B2" s="7124" t="s">
        <v>269</v>
      </c>
      <c r="C2" s="2610" t="s">
        <v>97</v>
      </c>
      <c r="D2" s="1223" t="s">
        <v>452</v>
      </c>
      <c r="E2" s="1552">
        <v>59.260000000000005</v>
      </c>
      <c r="F2" s="2810">
        <f>종합!G17</f>
        <v>32</v>
      </c>
      <c r="G2" s="2810">
        <f>종합!H17</f>
        <v>8.3800000000000008</v>
      </c>
      <c r="H2" s="2810">
        <f>종합!I17</f>
        <v>24.889999999999997</v>
      </c>
      <c r="I2" s="3555">
        <f>종합!J17</f>
        <v>15</v>
      </c>
      <c r="J2" s="5868">
        <f>종합!K17</f>
        <v>1.5</v>
      </c>
      <c r="K2" s="4763">
        <f>종합!L17</f>
        <v>0</v>
      </c>
      <c r="L2" s="4430">
        <f>종합!M17</f>
        <v>0</v>
      </c>
      <c r="M2" s="4430">
        <f>종합!N17</f>
        <v>0</v>
      </c>
      <c r="N2" s="4430">
        <f>종합!O17</f>
        <v>0</v>
      </c>
      <c r="O2" s="4430">
        <f>종합!P17</f>
        <v>0</v>
      </c>
      <c r="P2" s="4430">
        <f>종합!Q17</f>
        <v>0</v>
      </c>
      <c r="Q2" s="4430">
        <f>종합!R17</f>
        <v>3.59</v>
      </c>
      <c r="R2" s="4430">
        <f>종합!S17</f>
        <v>5</v>
      </c>
      <c r="S2" s="4430">
        <f>종합!T17</f>
        <v>0</v>
      </c>
      <c r="T2" s="4430">
        <f>종합!U17</f>
        <v>0</v>
      </c>
      <c r="U2" s="4430">
        <f>종합!V17</f>
        <v>0</v>
      </c>
      <c r="V2" s="4430">
        <f>종합!W17</f>
        <v>0</v>
      </c>
      <c r="W2" s="6027">
        <f>종합!X17</f>
        <v>8.59</v>
      </c>
      <c r="X2" s="4409">
        <f>($H$2-I2)*년간!$C$213</f>
        <v>4290531.5665485309</v>
      </c>
      <c r="Y2" s="5613">
        <f>($H$2/10-J2)*년간!$C$213</f>
        <v>429053.1566548532</v>
      </c>
      <c r="Z2" s="4799">
        <f>X2/년간!E8</f>
        <v>15.512356163494189</v>
      </c>
      <c r="AA2" s="4653">
        <f>($H$2/12-K2)*년간!$C$213</f>
        <v>899825.84000162582</v>
      </c>
      <c r="AB2" s="4653">
        <f>($H$2/12-L2)*년간!$C$213</f>
        <v>899825.84000162582</v>
      </c>
      <c r="AC2" s="4653">
        <f>($H$2/12-M2)*년간!$C$213</f>
        <v>899825.84000162582</v>
      </c>
      <c r="AD2" s="4653">
        <f>($H$2/12-N2)*년간!$C$213</f>
        <v>899825.84000162582</v>
      </c>
      <c r="AE2" s="4653">
        <f>($H$2/12-O2)*년간!$C$213</f>
        <v>899825.84000162582</v>
      </c>
      <c r="AF2" s="4653">
        <f>($H$2/12-P2)*년간!$C$213</f>
        <v>899825.84000162582</v>
      </c>
      <c r="AG2" s="4653">
        <f>($H$2/12-Q2)*년간!$C$213</f>
        <v>-657606.75088909513</v>
      </c>
      <c r="AH2" s="4653">
        <f>($H$2/12-R2)*년간!$C$213</f>
        <v>-1269300.3311553672</v>
      </c>
      <c r="AI2" s="4653">
        <f>($H$2/12-S2)*년간!$C$213</f>
        <v>899825.84000162582</v>
      </c>
      <c r="AJ2" s="4653">
        <f>($H$2/12-T2)*년간!$C$213</f>
        <v>899825.84000162582</v>
      </c>
      <c r="AK2" s="4653">
        <f>($H$2/12-U2)*년간!$C$213</f>
        <v>899825.84000162582</v>
      </c>
      <c r="AL2" s="4653">
        <f>($H$2/12-V2)*년간!$C$213</f>
        <v>899825.84000162582</v>
      </c>
      <c r="AM2" s="6342">
        <f>SUM(AA2:AL2)</f>
        <v>7071351.3179717958</v>
      </c>
      <c r="AN2" s="4481">
        <f t="shared" ref="AN2:AN7" si="0">Z2</f>
        <v>15.512356163494189</v>
      </c>
      <c r="AO2" s="4487">
        <f>AA2/년간!F8</f>
        <v>34.284473709639876</v>
      </c>
      <c r="AP2" s="4487">
        <f>AB2/년간!G8</f>
        <v>31.103382767382755</v>
      </c>
      <c r="AQ2" s="4487">
        <f>AC2/년간!H8</f>
        <v>37.802820972427412</v>
      </c>
      <c r="AR2" s="4487">
        <f>AD2/년간!I8</f>
        <v>34.694956497661529</v>
      </c>
      <c r="AS2" s="4487">
        <f>AE2/년간!J8</f>
        <v>35.370985304112786</v>
      </c>
      <c r="AT2" s="4487">
        <f>AF2/년간!K8</f>
        <v>30.509086347308944</v>
      </c>
      <c r="AU2" s="4487">
        <f>AG2/년간!L8</f>
        <v>-20.275690784370585</v>
      </c>
      <c r="AV2" s="4487">
        <f>AH2/년간!M8</f>
        <v>-44.425193728176723</v>
      </c>
      <c r="AW2" s="4480">
        <f>AI2/년간!N8</f>
        <v>30.41913991157222</v>
      </c>
      <c r="AX2" s="4492">
        <f>AJ2/년간!O8</f>
        <v>29.380512157090841</v>
      </c>
      <c r="AY2" s="4799"/>
      <c r="AZ2" s="5835"/>
      <c r="BA2" s="4558">
        <f>AM2/년간!$V$8</f>
        <v>25.101279368530598</v>
      </c>
    </row>
    <row r="3" spans="2:55" ht="17.399999999999999">
      <c r="B3" s="7125"/>
      <c r="C3" s="2701" t="s">
        <v>42</v>
      </c>
      <c r="D3" s="2702" t="s">
        <v>452</v>
      </c>
      <c r="E3" s="2706">
        <v>80.09</v>
      </c>
      <c r="F3" s="2810">
        <f>종합!G18</f>
        <v>32</v>
      </c>
      <c r="G3" s="2810">
        <f>종합!H18</f>
        <v>22.73</v>
      </c>
      <c r="H3" s="2810">
        <f>종합!I18</f>
        <v>31.35</v>
      </c>
      <c r="I3" s="3556">
        <f>종합!J18</f>
        <v>4</v>
      </c>
      <c r="J3" s="5869">
        <f>종합!K18</f>
        <v>0.4</v>
      </c>
      <c r="K3" s="4764">
        <f>종합!L18</f>
        <v>0</v>
      </c>
      <c r="L3" s="4431">
        <f>종합!M18</f>
        <v>0</v>
      </c>
      <c r="M3" s="4431">
        <f>종합!N18</f>
        <v>0</v>
      </c>
      <c r="N3" s="4431">
        <f>종합!O18</f>
        <v>0</v>
      </c>
      <c r="O3" s="4431">
        <f>종합!P18</f>
        <v>0</v>
      </c>
      <c r="P3" s="4431">
        <f>종합!Q18</f>
        <v>0</v>
      </c>
      <c r="Q3" s="4431">
        <f>종합!R18</f>
        <v>0</v>
      </c>
      <c r="R3" s="4431">
        <f>종합!S18</f>
        <v>0</v>
      </c>
      <c r="S3" s="4431">
        <f>종합!T18</f>
        <v>0</v>
      </c>
      <c r="T3" s="4431">
        <f>종합!U18</f>
        <v>0</v>
      </c>
      <c r="U3" s="4431">
        <f>종합!V18</f>
        <v>0</v>
      </c>
      <c r="V3" s="4431">
        <f>종합!W18</f>
        <v>0</v>
      </c>
      <c r="W3" s="6028">
        <f>종합!X18</f>
        <v>0</v>
      </c>
      <c r="X3" s="4409">
        <f>($H$3-I3)*년간!$C$214</f>
        <v>11865120.156228764</v>
      </c>
      <c r="Y3" s="5613">
        <f>($H$3/10-J3)*년간!$C$214</f>
        <v>1186512.0156228764</v>
      </c>
      <c r="Z3" s="4799">
        <f>X3/년간!E9</f>
        <v>44.551449198077393</v>
      </c>
      <c r="AA3" s="4653">
        <f>($H$3/12-K3)*년간!$C$214</f>
        <v>1133368.42442953</v>
      </c>
      <c r="AB3" s="4653">
        <f>($H$3/12-L3)*년간!$C$214</f>
        <v>1133368.42442953</v>
      </c>
      <c r="AC3" s="4653">
        <f>($H$3/12-M3)*년간!$C$214</f>
        <v>1133368.42442953</v>
      </c>
      <c r="AD3" s="4653">
        <f>($H$3/12-N3)*년간!$C$214</f>
        <v>1133368.42442953</v>
      </c>
      <c r="AE3" s="4653">
        <f>($H$3/12-O3)*년간!$C$214</f>
        <v>1133368.42442953</v>
      </c>
      <c r="AF3" s="4653">
        <f>($H$3/12-P3)*년간!$C$214</f>
        <v>1133368.42442953</v>
      </c>
      <c r="AG3" s="4653">
        <f>($H$3/12-Q3)*년간!$C$214</f>
        <v>1133368.42442953</v>
      </c>
      <c r="AH3" s="4653">
        <f>($H$3/12-R3)*년간!$C$214</f>
        <v>1133368.42442953</v>
      </c>
      <c r="AI3" s="4653">
        <f>($H$3/12-S3)*년간!$C$214</f>
        <v>1133368.42442953</v>
      </c>
      <c r="AJ3" s="4653">
        <f>($H$3/12-T3)*년간!$C$214</f>
        <v>1133368.42442953</v>
      </c>
      <c r="AK3" s="4653">
        <f>($H$3/12-U3)*년간!$C$214</f>
        <v>1133368.42442953</v>
      </c>
      <c r="AL3" s="4653">
        <f>($H$3/12-V3)*년간!$C$214</f>
        <v>1133368.42442953</v>
      </c>
      <c r="AM3" s="6342">
        <f t="shared" ref="AM3:AM66" si="1">SUM(AA3:AL3)</f>
        <v>13600421.093154361</v>
      </c>
      <c r="AN3" s="4481">
        <f t="shared" si="0"/>
        <v>44.551449198077393</v>
      </c>
      <c r="AO3" s="4487">
        <f>AA3/년간!F9</f>
        <v>50.037391097190209</v>
      </c>
      <c r="AP3" s="4487">
        <f>AB3/년간!G9</f>
        <v>41.913675704313967</v>
      </c>
      <c r="AQ3" s="4487">
        <f>AC3/년간!H9</f>
        <v>52.185551853390614</v>
      </c>
      <c r="AR3" s="4487">
        <f>AD3/년간!I9</f>
        <v>42.823983929016535</v>
      </c>
      <c r="AS3" s="4487">
        <f>AE3/년간!J9</f>
        <v>46.155905930776839</v>
      </c>
      <c r="AT3" s="4487">
        <f>AF3/년간!K9</f>
        <v>43.062026563997186</v>
      </c>
      <c r="AU3" s="4487">
        <f>AG3/년간!L9</f>
        <v>36.538195613731773</v>
      </c>
      <c r="AV3" s="4487">
        <f>AH3/년간!M9</f>
        <v>39.963057803851733</v>
      </c>
      <c r="AW3" s="4480">
        <f>AI3/년간!N9</f>
        <v>42.774592091330867</v>
      </c>
      <c r="AX3" s="4492">
        <f>AJ3/년간!O9</f>
        <v>37.889683871065913</v>
      </c>
      <c r="AY3" s="4799"/>
      <c r="AZ3" s="5835"/>
      <c r="BA3" s="4558">
        <f>AM3/년간!$V$9</f>
        <v>51.412135527471186</v>
      </c>
      <c r="BC3" s="299"/>
    </row>
    <row r="4" spans="2:55" ht="17.399999999999999">
      <c r="B4" s="7125"/>
      <c r="C4" s="2701" t="s">
        <v>29</v>
      </c>
      <c r="D4" s="2702" t="s">
        <v>452</v>
      </c>
      <c r="E4" s="2706">
        <v>820.61999999999978</v>
      </c>
      <c r="F4" s="2810">
        <f>종합!G19</f>
        <v>320</v>
      </c>
      <c r="G4" s="2810">
        <f>종합!H19</f>
        <v>307.49</v>
      </c>
      <c r="H4" s="2810">
        <f>종합!I19</f>
        <v>363.24000000000007</v>
      </c>
      <c r="I4" s="3556">
        <f>종합!J19</f>
        <v>180</v>
      </c>
      <c r="J4" s="5869">
        <f>종합!K19</f>
        <v>18</v>
      </c>
      <c r="K4" s="4764">
        <f>종합!L19</f>
        <v>4.84</v>
      </c>
      <c r="L4" s="4431">
        <f>종합!M19</f>
        <v>41.36</v>
      </c>
      <c r="M4" s="4431">
        <f>종합!N19</f>
        <v>22.59</v>
      </c>
      <c r="N4" s="4431">
        <f>종합!O19</f>
        <v>0</v>
      </c>
      <c r="O4" s="4431">
        <f>종합!P19</f>
        <v>26.65</v>
      </c>
      <c r="P4" s="4431">
        <f>종합!Q19</f>
        <v>40.56</v>
      </c>
      <c r="Q4" s="4431">
        <f>종합!R19</f>
        <v>37.85</v>
      </c>
      <c r="R4" s="4431">
        <f>종합!S19</f>
        <v>7.47</v>
      </c>
      <c r="S4" s="4431">
        <f>종합!T19</f>
        <v>0</v>
      </c>
      <c r="T4" s="4431">
        <f>종합!U19</f>
        <v>24.21</v>
      </c>
      <c r="U4" s="4431">
        <f>종합!V19</f>
        <v>0</v>
      </c>
      <c r="V4" s="4431">
        <f>종합!W19</f>
        <v>0</v>
      </c>
      <c r="W4" s="6028">
        <f>종합!X19</f>
        <v>205.53</v>
      </c>
      <c r="X4" s="4409">
        <f>($H$4-I4)*년간!$C$215</f>
        <v>79494135.920561582</v>
      </c>
      <c r="Y4" s="5613">
        <f>($H$4/10-J4)*년간!$C$215</f>
        <v>7949413.592056158</v>
      </c>
      <c r="Z4" s="4799">
        <f>X4/년간!E10</f>
        <v>290.62309772442359</v>
      </c>
      <c r="AA4" s="4653">
        <f>($H$4/12-K4)*년간!$C$215</f>
        <v>11032175.706504481</v>
      </c>
      <c r="AB4" s="4653">
        <f>($H$4/12-L4)*년간!$C$215</f>
        <v>-4811121.8476262121</v>
      </c>
      <c r="AC4" s="4653">
        <f>($H$4/12-M4)*년간!$C$215</f>
        <v>3331777.7988971476</v>
      </c>
      <c r="AD4" s="4653">
        <f>($H$4/12-N4)*년간!$C$215</f>
        <v>13131889.840184452</v>
      </c>
      <c r="AE4" s="4653">
        <f>($H$4/12-O4)*년간!$C$215</f>
        <v>1570447.3479176681</v>
      </c>
      <c r="AF4" s="4653">
        <f>($H$4/12-P4)*년간!$C$215</f>
        <v>-4464061.6602410944</v>
      </c>
      <c r="AG4" s="4653">
        <f>($H$4/12-Q4)*년간!$C$215</f>
        <v>-3288395.2754740021</v>
      </c>
      <c r="AH4" s="4653">
        <f>($H$4/12-R4)*년간!$C$215</f>
        <v>9891215.340475902</v>
      </c>
      <c r="AI4" s="4653">
        <f>($H$4/12-S4)*년간!$C$215</f>
        <v>13131889.840184452</v>
      </c>
      <c r="AJ4" s="4653">
        <f>($H$4/12-T4)*년간!$C$215</f>
        <v>2628980.9194422807</v>
      </c>
      <c r="AK4" s="4653">
        <f>($H$4/12-U4)*년간!$C$215</f>
        <v>13131889.840184452</v>
      </c>
      <c r="AL4" s="4653">
        <f>($H$4/12-V4)*년간!$C$215</f>
        <v>13131889.840184452</v>
      </c>
      <c r="AM4" s="6342">
        <f>SUM(AA4:AL4)</f>
        <v>68418577.690633982</v>
      </c>
      <c r="AN4" s="4481">
        <f t="shared" si="0"/>
        <v>290.62309772442359</v>
      </c>
      <c r="AO4" s="4487">
        <f>AA4/년간!F10</f>
        <v>445.95817254266007</v>
      </c>
      <c r="AP4" s="4487">
        <f>AB4/년간!G10</f>
        <v>-195.408438280003</v>
      </c>
      <c r="AQ4" s="4487">
        <f>AC4/년간!H10</f>
        <v>123.73013292953031</v>
      </c>
      <c r="AR4" s="4487">
        <f>AD4/년간!I10</f>
        <v>531.78377617370234</v>
      </c>
      <c r="AS4" s="4487">
        <f>AE4/년간!J10</f>
        <v>68.844575602806657</v>
      </c>
      <c r="AT4" s="4487">
        <f>AF4/년간!K10</f>
        <v>-178.63270478916687</v>
      </c>
      <c r="AU4" s="4487">
        <f>AG4/년간!L10</f>
        <v>-106.59677147446337</v>
      </c>
      <c r="AV4" s="4487">
        <f>AH4/년간!M10</f>
        <v>356.68710990476296</v>
      </c>
      <c r="AW4" s="4480">
        <f>AI4/년간!N10</f>
        <v>448.70222556340934</v>
      </c>
      <c r="AX4" s="4492">
        <f>AJ4/년간!O10</f>
        <v>96.624190162574635</v>
      </c>
      <c r="AY4" s="4799"/>
      <c r="AZ4" s="5835"/>
      <c r="BA4" s="4558">
        <f>AM4/년간!$V$10</f>
        <v>258.01745647180661</v>
      </c>
      <c r="BC4" s="299"/>
    </row>
    <row r="5" spans="2:55" ht="17.399999999999999">
      <c r="B5" s="7125"/>
      <c r="C5" s="2701" t="s">
        <v>442</v>
      </c>
      <c r="D5" s="2702" t="s">
        <v>452</v>
      </c>
      <c r="E5" s="2706">
        <v>139.78</v>
      </c>
      <c r="F5" s="2810">
        <f>종합!G20</f>
        <v>125.91</v>
      </c>
      <c r="G5" s="2810">
        <f>종합!H20</f>
        <v>92.647999999999996</v>
      </c>
      <c r="H5" s="2810">
        <f>종합!I20</f>
        <v>83.9</v>
      </c>
      <c r="I5" s="3556">
        <f>종합!J20</f>
        <v>60</v>
      </c>
      <c r="J5" s="5869">
        <f>종합!K20</f>
        <v>5</v>
      </c>
      <c r="K5" s="4764">
        <f>종합!L20</f>
        <v>1.82</v>
      </c>
      <c r="L5" s="4431">
        <f>종합!M20</f>
        <v>1.69</v>
      </c>
      <c r="M5" s="4431">
        <f>종합!N20</f>
        <v>4.66</v>
      </c>
      <c r="N5" s="4431">
        <f>종합!O20</f>
        <v>4.93</v>
      </c>
      <c r="O5" s="4431">
        <f>종합!P20</f>
        <v>4.53</v>
      </c>
      <c r="P5" s="4431">
        <f>종합!Q20</f>
        <v>3.47</v>
      </c>
      <c r="Q5" s="4431">
        <f>종합!R20</f>
        <v>4.5999999999999996</v>
      </c>
      <c r="R5" s="4431">
        <f>종합!S20</f>
        <v>4.83</v>
      </c>
      <c r="S5" s="4431">
        <f>종합!T20</f>
        <v>0</v>
      </c>
      <c r="T5" s="4431">
        <f>종합!U20</f>
        <v>2.2799999999999998</v>
      </c>
      <c r="U5" s="4431">
        <f>종합!V20</f>
        <v>5.16</v>
      </c>
      <c r="V5" s="4431">
        <f>종합!W20</f>
        <v>12.2</v>
      </c>
      <c r="W5" s="6028">
        <f>종합!X20</f>
        <v>50.17</v>
      </c>
      <c r="X5" s="4409">
        <f>($H$5-I5)*년간!$C$216</f>
        <v>16805959.798130441</v>
      </c>
      <c r="Y5" s="5613">
        <f>($H$5/12-J5)*년간!$C$216</f>
        <v>1400496.6498442034</v>
      </c>
      <c r="Z5" s="4799">
        <f>X5/년간!E11</f>
        <v>100.40602101882209</v>
      </c>
      <c r="AA5" s="4653">
        <f>($H$5/12-K5)*년간!$C$216</f>
        <v>3636603.4347000523</v>
      </c>
      <c r="AB5" s="4653">
        <f>($H$5/12-L5)*년간!$C$216</f>
        <v>3728016.6051501343</v>
      </c>
      <c r="AC5" s="4653">
        <f>($H$5/12-M5)*년간!$C$216</f>
        <v>1639577.2494828789</v>
      </c>
      <c r="AD5" s="4653">
        <f>($H$5/12-N5)*년간!$C$216</f>
        <v>1449719.1262404015</v>
      </c>
      <c r="AE5" s="4653">
        <f>($H$5/12-O5)*년간!$C$216</f>
        <v>1730990.4199329608</v>
      </c>
      <c r="AF5" s="4653">
        <f>($H$5/12-P5)*년간!$C$216</f>
        <v>2476359.3482182436</v>
      </c>
      <c r="AG5" s="4653">
        <f>($H$5/12-Q5)*년간!$C$216</f>
        <v>1681767.9435367633</v>
      </c>
      <c r="AH5" s="4653">
        <f>($H$5/12-R5)*년간!$C$216</f>
        <v>1520036.9496635413</v>
      </c>
      <c r="AI5" s="4653">
        <f>($H$5/12-S5)*년간!$C$216</f>
        <v>4916387.8210011981</v>
      </c>
      <c r="AJ5" s="4653">
        <f>($H$5/12-T5)*년간!$C$216</f>
        <v>3313141.4469536091</v>
      </c>
      <c r="AK5" s="4653">
        <f>($H$5/12-U5)*년간!$C$216</f>
        <v>1287988.1323671795</v>
      </c>
      <c r="AL5" s="4653">
        <f>($H$5/12-V5)*년간!$C$216</f>
        <v>-3662386.6366218692</v>
      </c>
      <c r="AM5" s="6342">
        <f t="shared" si="1"/>
        <v>23718201.840625092</v>
      </c>
      <c r="AN5" s="4481">
        <f t="shared" si="0"/>
        <v>100.40602101882209</v>
      </c>
      <c r="AO5" s="4487">
        <f>AA5/년간!F11</f>
        <v>265.16853087760541</v>
      </c>
      <c r="AP5" s="4487">
        <f>AB5/년간!G11</f>
        <v>326.7630360735086</v>
      </c>
      <c r="AQ5" s="4487">
        <f>AC5/년간!H11</f>
        <v>123.28501290938011</v>
      </c>
      <c r="AR5" s="4487">
        <f>AD5/년간!I11</f>
        <v>112.33500031308031</v>
      </c>
      <c r="AS5" s="4487">
        <f>AE5/년간!J11</f>
        <v>136.95673487742903</v>
      </c>
      <c r="AT5" s="4487">
        <f>AF5/년간!K11</f>
        <v>182.19040756747415</v>
      </c>
      <c r="AU5" s="4487">
        <f>AG5/년간!L11</f>
        <v>111.68237609061488</v>
      </c>
      <c r="AV5" s="4487">
        <f>AH5/년간!M11</f>
        <v>122.43581334981408</v>
      </c>
      <c r="AW5" s="4480">
        <f>AI5/년간!N11</f>
        <v>377.72285665343651</v>
      </c>
      <c r="AX5" s="4492">
        <f>AJ5/년간!O11</f>
        <v>242.89056366485971</v>
      </c>
      <c r="AY5" s="4799"/>
      <c r="AZ5" s="5835"/>
      <c r="BA5" s="4558">
        <f>AM5/년간!$V$11</f>
        <v>150.46614189561603</v>
      </c>
    </row>
    <row r="6" spans="2:55" ht="18" thickBot="1">
      <c r="B6" s="7125"/>
      <c r="C6" s="2609" t="s">
        <v>443</v>
      </c>
      <c r="D6" s="1769" t="s">
        <v>452</v>
      </c>
      <c r="E6" s="2714">
        <v>53.02000000000001</v>
      </c>
      <c r="F6" s="2810">
        <f>종합!G21</f>
        <v>95</v>
      </c>
      <c r="G6" s="2810">
        <f>종합!H21</f>
        <v>73.749999999999986</v>
      </c>
      <c r="H6" s="2810">
        <f>종합!I21</f>
        <v>73.5</v>
      </c>
      <c r="I6" s="3556">
        <f>종합!J21</f>
        <v>48</v>
      </c>
      <c r="J6" s="5869">
        <f>종합!K21</f>
        <v>4</v>
      </c>
      <c r="K6" s="4764">
        <f>종합!L21</f>
        <v>2.29</v>
      </c>
      <c r="L6" s="4431">
        <f>종합!M21</f>
        <v>0</v>
      </c>
      <c r="M6" s="4431">
        <f>종합!N21</f>
        <v>6.6899999999999995</v>
      </c>
      <c r="N6" s="4431">
        <f>종합!O21</f>
        <v>0</v>
      </c>
      <c r="O6" s="4431">
        <f>종합!P21</f>
        <v>4.9000000000000004</v>
      </c>
      <c r="P6" s="4431">
        <f>종합!Q21</f>
        <v>0</v>
      </c>
      <c r="Q6" s="4431">
        <f>종합!R21</f>
        <v>1.97</v>
      </c>
      <c r="R6" s="4431">
        <f>종합!S21</f>
        <v>8.39</v>
      </c>
      <c r="S6" s="4431">
        <f>종합!T21</f>
        <v>6.67</v>
      </c>
      <c r="T6" s="4431">
        <f>종합!U21</f>
        <v>2.2400000000000002</v>
      </c>
      <c r="U6" s="4431">
        <f>종합!V21</f>
        <v>1.46</v>
      </c>
      <c r="V6" s="4431">
        <f>종합!W21</f>
        <v>2.56</v>
      </c>
      <c r="W6" s="6028">
        <f>종합!X21</f>
        <v>37.170000000000009</v>
      </c>
      <c r="X6" s="4409">
        <f>($H$6-I6)*년간!$C$217</f>
        <v>22040879.972900674</v>
      </c>
      <c r="Y6" s="5613">
        <f>($H$6/12-J6)*년간!$C$217</f>
        <v>1836739.997741723</v>
      </c>
      <c r="Z6" s="4799">
        <f>X6/년간!E12</f>
        <v>413.49392114851929</v>
      </c>
      <c r="AA6" s="4653">
        <f>($H$6/12-K6)*년간!$C$217</f>
        <v>3314775.478277415</v>
      </c>
      <c r="AB6" s="4653">
        <f>($H$6/12-L6)*년간!$C$217</f>
        <v>5294132.9346673191</v>
      </c>
      <c r="AC6" s="4653">
        <f>($H$6/12-M6)*년간!$C$217</f>
        <v>-488356.75234074</v>
      </c>
      <c r="AD6" s="4653">
        <f>($H$6/12-N6)*년간!$C$217</f>
        <v>5294132.9346673191</v>
      </c>
      <c r="AE6" s="4653">
        <f>($H$6/12-O6)*년간!$C$217</f>
        <v>1058826.5869334636</v>
      </c>
      <c r="AF6" s="4653">
        <f>($H$6/12-P6)*년간!$C$217</f>
        <v>5294132.9346673191</v>
      </c>
      <c r="AG6" s="4653">
        <f>($H$6/12-Q6)*년간!$C$217</f>
        <v>3591366.9132314632</v>
      </c>
      <c r="AH6" s="4653">
        <f>($H$6/12-R6)*년간!$C$217</f>
        <v>-1957748.7505341193</v>
      </c>
      <c r="AI6" s="4653">
        <f>($H$6/12-S6)*년간!$C$217</f>
        <v>-471069.7876561124</v>
      </c>
      <c r="AJ6" s="4653">
        <f>($H$6/12-T6)*년간!$C$217</f>
        <v>3357992.8899889849</v>
      </c>
      <c r="AK6" s="4653">
        <f>($H$6/12-U6)*년간!$C$217</f>
        <v>4032184.5126894764</v>
      </c>
      <c r="AL6" s="4653">
        <f>($H$6/12-V6)*년간!$C$217</f>
        <v>3081401.4550349372</v>
      </c>
      <c r="AM6" s="6342">
        <f t="shared" si="1"/>
        <v>31401771.34962672</v>
      </c>
      <c r="AN6" s="4481">
        <f t="shared" si="0"/>
        <v>413.49392114851929</v>
      </c>
      <c r="AO6" s="4487">
        <f>AA6/년간!F12</f>
        <v>644.04465645271819</v>
      </c>
      <c r="AP6" s="4487">
        <f>AB6/년간!G12</f>
        <v>1004.4763790175806</v>
      </c>
      <c r="AQ6" s="4487">
        <f>AC6/년간!H12</f>
        <v>-115.92202066384766</v>
      </c>
      <c r="AR6" s="4487">
        <f>AD6/년간!I12</f>
        <v>1162.622756323402</v>
      </c>
      <c r="AS6" s="4487">
        <f>AE6/년간!J12</f>
        <v>262.68789029643773</v>
      </c>
      <c r="AT6" s="4487">
        <f>AF6/년간!K12</f>
        <v>1007.4544686671866</v>
      </c>
      <c r="AU6" s="4487">
        <f>AG6/년간!L12</f>
        <v>722.06276805303492</v>
      </c>
      <c r="AV6" s="4487">
        <f>AH6/년간!M12</f>
        <v>-423.99007903386274</v>
      </c>
      <c r="AW6" s="4480">
        <f>AI6/년간!N12</f>
        <v>-114.92211890264718</v>
      </c>
      <c r="AX6" s="4492">
        <f>AJ6/년간!O12</f>
        <v>758.37486336327652</v>
      </c>
      <c r="AY6" s="4799"/>
      <c r="AZ6" s="5835"/>
      <c r="BA6" s="4558">
        <f>AM6/년간!$V$12</f>
        <v>559.6232627262284</v>
      </c>
    </row>
    <row r="7" spans="2:55" ht="17.399999999999999">
      <c r="B7" s="7126"/>
      <c r="C7" s="2608" t="s">
        <v>16</v>
      </c>
      <c r="D7" s="2534" t="s">
        <v>452</v>
      </c>
      <c r="E7" s="2716">
        <v>1153</v>
      </c>
      <c r="F7" s="2716">
        <v>605</v>
      </c>
      <c r="G7" s="2716">
        <v>492</v>
      </c>
      <c r="H7" s="2809">
        <f t="shared" ref="H7:O7" si="2">SUM(H2:H6)</f>
        <v>576.88000000000011</v>
      </c>
      <c r="I7" s="2841">
        <f t="shared" si="2"/>
        <v>307</v>
      </c>
      <c r="J7" s="4427">
        <f t="shared" si="2"/>
        <v>28.9</v>
      </c>
      <c r="K7" s="4427">
        <f t="shared" si="2"/>
        <v>8.9499999999999993</v>
      </c>
      <c r="L7" s="4432">
        <f t="shared" si="2"/>
        <v>43.05</v>
      </c>
      <c r="M7" s="4432">
        <f t="shared" si="2"/>
        <v>33.94</v>
      </c>
      <c r="N7" s="4432">
        <f t="shared" si="2"/>
        <v>4.93</v>
      </c>
      <c r="O7" s="4432">
        <f t="shared" si="2"/>
        <v>36.08</v>
      </c>
      <c r="P7" s="4432">
        <f>SUM(P2:P6)</f>
        <v>44.03</v>
      </c>
      <c r="Q7" s="4432">
        <f>SUM(Q2:Q6)</f>
        <v>48.01</v>
      </c>
      <c r="R7" s="4432">
        <f t="shared" ref="R7:W7" si="3">SUM(R2:R6)</f>
        <v>25.689999999999998</v>
      </c>
      <c r="S7" s="4432">
        <f t="shared" si="3"/>
        <v>6.67</v>
      </c>
      <c r="T7" s="4432">
        <f t="shared" si="3"/>
        <v>28.730000000000004</v>
      </c>
      <c r="U7" s="4432">
        <f t="shared" si="3"/>
        <v>6.62</v>
      </c>
      <c r="V7" s="4432">
        <f t="shared" si="3"/>
        <v>14.76</v>
      </c>
      <c r="W7" s="4432">
        <f t="shared" si="3"/>
        <v>301.46000000000004</v>
      </c>
      <c r="X7" s="4791">
        <f t="shared" ref="X7:AE7" si="4">SUM(X2:X6)</f>
        <v>134496627.41437</v>
      </c>
      <c r="Y7" s="5614">
        <f t="shared" si="4"/>
        <v>12802215.411919814</v>
      </c>
      <c r="Z7" s="4794">
        <f>X7/년간!E13</f>
        <v>129.68205156786158</v>
      </c>
      <c r="AA7" s="4654">
        <f t="shared" si="4"/>
        <v>20016748.883913103</v>
      </c>
      <c r="AB7" s="4654">
        <f t="shared" si="4"/>
        <v>6244221.9566223975</v>
      </c>
      <c r="AC7" s="4654">
        <f t="shared" si="4"/>
        <v>6516192.5604704432</v>
      </c>
      <c r="AD7" s="4654">
        <f t="shared" si="4"/>
        <v>21908936.165523328</v>
      </c>
      <c r="AE7" s="4654">
        <f t="shared" si="4"/>
        <v>6393458.6192152482</v>
      </c>
      <c r="AF7" s="4654">
        <f>SUM(AF2:AF6)</f>
        <v>5339624.8870756235</v>
      </c>
      <c r="AG7" s="4654">
        <f>SUM(AG2:AG6)</f>
        <v>2460501.2548346594</v>
      </c>
      <c r="AH7" s="4654">
        <f>SUM(AH2:AH6)</f>
        <v>9317571.6328794863</v>
      </c>
      <c r="AI7" s="4654">
        <f>SUM(AI2:AI6)</f>
        <v>19610402.137960695</v>
      </c>
      <c r="AJ7" s="4654">
        <f>SUM(AJ2:AJ6)</f>
        <v>11333309.52081603</v>
      </c>
      <c r="AK7" s="4654">
        <f t="shared" ref="AK7:AL7" si="5">SUM(AK2:AK6)</f>
        <v>20485256.749672264</v>
      </c>
      <c r="AL7" s="4654">
        <f t="shared" si="5"/>
        <v>14584098.923028678</v>
      </c>
      <c r="AM7" s="6343">
        <f t="shared" si="1"/>
        <v>144210323.29201195</v>
      </c>
      <c r="AN7" s="4482">
        <f t="shared" si="0"/>
        <v>129.68205156786158</v>
      </c>
      <c r="AO7" s="4667">
        <f>AA7/년간!F13</f>
        <v>216.40767279978741</v>
      </c>
      <c r="AP7" s="4667">
        <f>AB7/년간!G13</f>
        <v>64.1940626984522</v>
      </c>
      <c r="AQ7" s="4667">
        <f>AC7/년간!H13</f>
        <v>72.433644977074621</v>
      </c>
      <c r="AR7" s="4667">
        <f>AD7/년간!I13</f>
        <v>231.70803773108474</v>
      </c>
      <c r="AS7" s="4667">
        <f>AE7/년간!J13</f>
        <v>71.454398501454563</v>
      </c>
      <c r="AT7" s="4667">
        <f>AF7/년간!K13</f>
        <v>53.583566301834189</v>
      </c>
      <c r="AU7" s="4667">
        <f>AG7/년간!L13</f>
        <v>21.520451764253341</v>
      </c>
      <c r="AV7" s="4667">
        <f>AH7/년간!M13</f>
        <v>91.622498745953905</v>
      </c>
      <c r="AW7" s="6373">
        <f>AI7/년간!N13</f>
        <v>191.39851753576772</v>
      </c>
      <c r="AX7" s="6391">
        <f>AJ7/년간!O13</f>
        <v>107.10433142559985</v>
      </c>
      <c r="AY7" s="4794"/>
      <c r="AZ7" s="6395"/>
      <c r="BA7" s="6401">
        <f>AM7/년간!$V$13</f>
        <v>140.67047280516977</v>
      </c>
    </row>
    <row r="8" spans="2:55" ht="18" thickBot="1">
      <c r="B8" s="7127"/>
      <c r="C8" s="3797" t="s">
        <v>493</v>
      </c>
      <c r="D8" s="3798" t="s">
        <v>494</v>
      </c>
      <c r="E8" s="3799">
        <f t="shared" ref="E8:O8" si="6">E7/12</f>
        <v>96.083333333333329</v>
      </c>
      <c r="F8" s="3799">
        <f t="shared" si="6"/>
        <v>50.416666666666664</v>
      </c>
      <c r="G8" s="3799">
        <f t="shared" si="6"/>
        <v>41</v>
      </c>
      <c r="H8" s="3800">
        <f t="shared" si="6"/>
        <v>48.073333333333345</v>
      </c>
      <c r="I8" s="3801">
        <f t="shared" si="6"/>
        <v>25.583333333333332</v>
      </c>
      <c r="J8" s="3801">
        <f t="shared" si="6"/>
        <v>2.4083333333333332</v>
      </c>
      <c r="K8" s="3801">
        <f t="shared" si="6"/>
        <v>0.74583333333333324</v>
      </c>
      <c r="L8" s="4433">
        <f t="shared" si="6"/>
        <v>3.5874999999999999</v>
      </c>
      <c r="M8" s="4433">
        <f t="shared" si="6"/>
        <v>2.8283333333333331</v>
      </c>
      <c r="N8" s="4433">
        <f t="shared" si="6"/>
        <v>0.41083333333333333</v>
      </c>
      <c r="O8" s="4433">
        <f t="shared" si="6"/>
        <v>3.0066666666666664</v>
      </c>
      <c r="P8" s="4433">
        <f>P7/12</f>
        <v>3.6691666666666669</v>
      </c>
      <c r="Q8" s="4433">
        <f>Q7/12</f>
        <v>4.0008333333333335</v>
      </c>
      <c r="R8" s="4433">
        <f t="shared" ref="R8:W8" si="7">R7/12</f>
        <v>2.1408333333333331</v>
      </c>
      <c r="S8" s="4433">
        <f t="shared" si="7"/>
        <v>0.55583333333333329</v>
      </c>
      <c r="T8" s="4433">
        <f t="shared" si="7"/>
        <v>2.394166666666667</v>
      </c>
      <c r="U8" s="4433">
        <f t="shared" si="7"/>
        <v>0.55166666666666664</v>
      </c>
      <c r="V8" s="4433">
        <f t="shared" si="7"/>
        <v>1.23</v>
      </c>
      <c r="W8" s="4433">
        <f t="shared" si="7"/>
        <v>25.12166666666667</v>
      </c>
      <c r="X8" s="4792"/>
      <c r="Y8" s="5615"/>
      <c r="Z8" s="4800"/>
      <c r="AA8" s="4655"/>
      <c r="AB8" s="4655"/>
      <c r="AC8" s="4655"/>
      <c r="AD8" s="4655"/>
      <c r="AE8" s="4655"/>
      <c r="AF8" s="4655"/>
      <c r="AG8" s="4655"/>
      <c r="AH8" s="4655"/>
      <c r="AI8" s="4655"/>
      <c r="AJ8" s="4655"/>
      <c r="AK8" s="6334"/>
      <c r="AL8" s="6334"/>
      <c r="AM8" s="6343"/>
      <c r="AN8" s="4465"/>
      <c r="AO8" s="4668"/>
      <c r="AP8" s="4668"/>
      <c r="AQ8" s="4668"/>
      <c r="AR8" s="4668"/>
      <c r="AS8" s="4668"/>
      <c r="AT8" s="4668"/>
      <c r="AU8" s="4668"/>
      <c r="AV8" s="4668"/>
      <c r="AW8" s="4668"/>
      <c r="AX8" s="6711"/>
      <c r="AY8" s="4804"/>
      <c r="AZ8" s="6396"/>
      <c r="BA8" s="6402"/>
    </row>
    <row r="9" spans="2:55" s="299" customFormat="1" ht="17.399999999999999" customHeight="1" thickBot="1">
      <c r="B9" s="3821" t="s">
        <v>1547</v>
      </c>
      <c r="C9" s="3794" t="s">
        <v>39</v>
      </c>
      <c r="D9" s="2581" t="s">
        <v>1820</v>
      </c>
      <c r="E9" s="5767">
        <f>CPL!H10/CPL!H5*1000</f>
        <v>16.047705402119366</v>
      </c>
      <c r="F9" s="5767">
        <f>CPL!I10/CPL!I5*1000</f>
        <v>16.6461834243925</v>
      </c>
      <c r="G9" s="5767">
        <f>CPL!J10/CPL!J5*1000</f>
        <v>14.97484134515088</v>
      </c>
      <c r="H9" s="5767">
        <f>CPL!K10/년간!C8*1000</f>
        <v>15.672921698496424</v>
      </c>
      <c r="I9" s="5775">
        <f>CPL!L10/년간!E8*1000</f>
        <v>15.257350282730995</v>
      </c>
      <c r="J9" s="5776">
        <f>CPL!M10/(년간!E8/10)*1000</f>
        <v>15.257350282730995</v>
      </c>
      <c r="K9" s="5771">
        <f>CPL!N10/년간!F8*1000</f>
        <v>13.709585546221177</v>
      </c>
      <c r="L9" s="5771">
        <f>CPL!O10/년간!G8*1000</f>
        <v>13.230137683303514</v>
      </c>
      <c r="M9" s="5771">
        <f>CPL!P10/년간!H8*1000</f>
        <v>14.470779905508266</v>
      </c>
      <c r="N9" s="5771">
        <f>CPL!Q10/년간!I8*1000</f>
        <v>13.569895914263737</v>
      </c>
      <c r="O9" s="5771">
        <f>CPL!R10/년간!J8*1000</f>
        <v>15.522220029670207</v>
      </c>
      <c r="P9" s="5771">
        <f>CPL!S10/년간!K8*1000</f>
        <v>15.404306682444046</v>
      </c>
      <c r="Q9" s="5771">
        <f>CPL!T10/년간!L8*1000</f>
        <v>13.603627880761909</v>
      </c>
      <c r="R9" s="5771">
        <f>CPL!U10/년간!M8*1000</f>
        <v>16.213283993953024</v>
      </c>
      <c r="S9" s="5771">
        <f>CPL!V10/년간!N8*1000</f>
        <v>13.652385947558749</v>
      </c>
      <c r="T9" s="5771">
        <f>CPL!W10/년간!O8*1000</f>
        <v>15.144340763405118</v>
      </c>
      <c r="U9" s="5771">
        <f>CPL!X10/년간!P8*1000</f>
        <v>0</v>
      </c>
      <c r="V9" s="5771" t="e">
        <f>CPL!Y10/년간!Q8*1000</f>
        <v>#DIV/0!</v>
      </c>
      <c r="W9" s="6029">
        <f>CPL!Z10/년간!V8*1000</f>
        <v>14.412870896150491</v>
      </c>
      <c r="X9" s="4503">
        <f>($H$9-I9)*년간!$C$213*년간!E8/1000</f>
        <v>49864769.02813907</v>
      </c>
      <c r="Y9" s="5616">
        <f>($H$9-J9)*년간!$C$213*(년간!E8/12)/1000</f>
        <v>4155397.4190115896</v>
      </c>
      <c r="Z9" s="4801">
        <f>X9/년간!E8</f>
        <v>180.28536678431121</v>
      </c>
      <c r="AA9" s="4656">
        <f>($H$9-K9)*년간!$C$213*년간!F8/1000</f>
        <v>22354782.40518013</v>
      </c>
      <c r="AB9" s="4656">
        <f>($H$9-L9)*년간!$C$213*년간!G8/1000</f>
        <v>30658486.7437515</v>
      </c>
      <c r="AC9" s="4656">
        <f>($H$9-M9)*년간!$C$213*년간!H8/1000</f>
        <v>12413800.360211154</v>
      </c>
      <c r="AD9" s="4656">
        <f>($H$9-N9)*년간!$C$213*년간!I8/1000</f>
        <v>23662003.842929956</v>
      </c>
      <c r="AE9" s="4656">
        <f>($H$9-O9)*년간!$C$213*년간!J8/1000</f>
        <v>1663198.8430385473</v>
      </c>
      <c r="AF9" s="4656">
        <f>($H$9-P9)*년간!$C$213*년간!K8/1000</f>
        <v>3436959.0301560941</v>
      </c>
      <c r="AG9" s="4656">
        <f>($H$9-Q9)*년간!$C$213*년간!L8/1000</f>
        <v>29115722.652549479</v>
      </c>
      <c r="AH9" s="4656">
        <f>($H$9-R9)*년간!$C$213*년간!M8/1000</f>
        <v>-6697842.1911830073</v>
      </c>
      <c r="AI9" s="4656">
        <f>($H$9-S9)*년간!$C$213*년간!N8/1000</f>
        <v>25929424.585675541</v>
      </c>
      <c r="AJ9" s="4656">
        <f>($H$9-T9)*년간!$C$213*년간!O8/1000</f>
        <v>7023044.2254274851</v>
      </c>
      <c r="AK9" s="4656">
        <f>($H$9-U9)*년간!$C$213*년간!P8/1000</f>
        <v>4436413.0886501903</v>
      </c>
      <c r="AL9" s="4656" t="e">
        <f>($H$9-V9)*년간!$C$213*년간!Q8/1000</f>
        <v>#DIV/0!</v>
      </c>
      <c r="AM9" s="6342" t="e">
        <f t="shared" si="1"/>
        <v>#DIV/0!</v>
      </c>
      <c r="AN9" s="4483">
        <f>Z9</f>
        <v>180.28536678431121</v>
      </c>
      <c r="AO9" s="4669">
        <f>AA9/년간!F8</f>
        <v>851.74476613578179</v>
      </c>
      <c r="AP9" s="4669">
        <f>AB9/년간!G8</f>
        <v>1059.7413475677804</v>
      </c>
      <c r="AQ9" s="4669">
        <f>AC9/년간!H8</f>
        <v>521.51944492244115</v>
      </c>
      <c r="AR9" s="4669">
        <f>AD9/년간!I8</f>
        <v>912.34565343941597</v>
      </c>
      <c r="AS9" s="4669">
        <f>AE9/년간!J8</f>
        <v>65.378186777596369</v>
      </c>
      <c r="AT9" s="4669">
        <f>AF9/년간!K8</f>
        <v>116.53197225699367</v>
      </c>
      <c r="AU9" s="4669">
        <f>AG9/년간!L8</f>
        <v>897.71187517226087</v>
      </c>
      <c r="AV9" s="4669">
        <f>AH9/년간!M8</f>
        <v>-234.42279939627556</v>
      </c>
      <c r="AW9" s="6374">
        <f>AI9/년간!N8</f>
        <v>876.55939542345186</v>
      </c>
      <c r="AX9" s="6712">
        <f>AJ9/년간!O8</f>
        <v>229.31174797623731</v>
      </c>
      <c r="AY9" s="4799"/>
      <c r="AZ9" s="5835"/>
      <c r="BA9" s="4558" t="e">
        <f>AM9/년간!$V$8</f>
        <v>#DIV/0!</v>
      </c>
      <c r="BB9" s="299" t="s">
        <v>1547</v>
      </c>
    </row>
    <row r="10" spans="2:55" ht="17.399999999999999" customHeight="1">
      <c r="B10" s="7119" t="s">
        <v>1239</v>
      </c>
      <c r="C10" s="3789" t="s">
        <v>2</v>
      </c>
      <c r="D10" s="1225" t="s">
        <v>321</v>
      </c>
      <c r="E10" s="5768">
        <f>(종합!F46+종합!F52)/CPL!H5*1000</f>
        <v>1.3320097622003733</v>
      </c>
      <c r="F10" s="5768">
        <f>(종합!G46+종합!G52)/CPL!I5*1000</f>
        <v>0.50114990082865885</v>
      </c>
      <c r="G10" s="5768">
        <f>(종합!H46+종합!H52)/CPL!J5*1000</f>
        <v>0.29049440059505921</v>
      </c>
      <c r="H10" s="5768">
        <f>(종합!I46+종합!I52)/년간!C8*1000</f>
        <v>0.28948299834505609</v>
      </c>
      <c r="I10" s="5777">
        <f>(종합!J46+종합!J52)/년간!E8*1000</f>
        <v>0.20969817924132644</v>
      </c>
      <c r="J10" s="5823">
        <f>(종합!K46+종합!K52)/(년간!E8/10)*1000</f>
        <v>0.20969817924132644</v>
      </c>
      <c r="K10" s="1688">
        <f>(종합!L46+종합!L52)/년간!F8*1000</f>
        <v>0.10630243920281553</v>
      </c>
      <c r="L10" s="1688">
        <f>(종합!M46+종합!M52)/년간!G8*1000</f>
        <v>0.21776581947697488</v>
      </c>
      <c r="M10" s="1688">
        <f>(종합!N46+종합!N52)/년간!H8*1000</f>
        <v>0.17350652056829477</v>
      </c>
      <c r="N10" s="1688">
        <f>(종합!O46+종합!O52)/년간!I8*1000</f>
        <v>0.41487776336158949</v>
      </c>
      <c r="O10" s="1688">
        <f>(종합!P46+종합!P52)/년간!J8*1000</f>
        <v>4.0566579899259658E-2</v>
      </c>
      <c r="P10" s="1688">
        <f>(종합!Q46+종합!Q52)/년간!K8*1000</f>
        <v>0</v>
      </c>
      <c r="Q10" s="1688">
        <f>(종합!R46+종합!R52)/년간!L8*1000</f>
        <v>0.13011334660777238</v>
      </c>
      <c r="R10" s="1688">
        <f>(종합!S46+종합!S52)/년간!M8*1000</f>
        <v>0.58005084973617016</v>
      </c>
      <c r="S10" s="1688">
        <f>(종합!T46+종합!T52)/년간!N8*1000</f>
        <v>8.8976302622197898E-2</v>
      </c>
      <c r="T10" s="1688">
        <f>(종합!U46+종합!U52)/년간!O8*1000</f>
        <v>7.5098063377671873E-2</v>
      </c>
      <c r="U10" s="1688">
        <f>(종합!V46+종합!V52)/년간!P8*1000</f>
        <v>0</v>
      </c>
      <c r="V10" s="1688" t="e">
        <f>(종합!W46+종합!W52)/년간!Q8*1000</f>
        <v>#DIV/0!</v>
      </c>
      <c r="W10" s="6030">
        <f>(종합!X46+종합!X52)/년간!V8*1000</f>
        <v>0.18010187219582524</v>
      </c>
      <c r="X10" s="4504">
        <f>($H$10-I10)*년간!$C$213*년간!E8/1000</f>
        <v>9573448.5713641793</v>
      </c>
      <c r="Y10" s="5617">
        <f>($H$10-J10)*년간!$C$213*(년간!E8/10)/1000</f>
        <v>957344.85713641788</v>
      </c>
      <c r="Z10" s="3197">
        <f>X10/년간!E8</f>
        <v>34.612667835785281</v>
      </c>
      <c r="AA10" s="4657">
        <f>($H$10-K10)*년간!$C$213*년간!F8/1000</f>
        <v>2085715.9563524053</v>
      </c>
      <c r="AB10" s="4657">
        <f>($H$10-L10)*년간!$C$213*년간!G8/1000</f>
        <v>900096.02320599998</v>
      </c>
      <c r="AC10" s="4657">
        <f>($H$10-M10)*년간!$C$213*년간!H8/1000</f>
        <v>1197619.8232177782</v>
      </c>
      <c r="AD10" s="4657">
        <f>($H$10-N10)*년간!$C$213*년간!I8/1000</f>
        <v>-1410867.8238517605</v>
      </c>
      <c r="AE10" s="4657">
        <f>($H$10-O10)*년간!$C$213*년간!J8/1000</f>
        <v>2747132.8114471766</v>
      </c>
      <c r="AF10" s="4657">
        <f>($H$10-P10)*년간!$C$213*년간!K8/1000</f>
        <v>3703967.1864237734</v>
      </c>
      <c r="AG10" s="4657">
        <f>($H$10-Q10)*년간!$C$213*년간!L8/1000</f>
        <v>2242389.4274696349</v>
      </c>
      <c r="AH10" s="4657">
        <f>($H$10-R10)*년간!$C$213*년간!M8/1000</f>
        <v>-3601616.2319473107</v>
      </c>
      <c r="AI10" s="4657">
        <f>($H$10-S10)*년간!$C$213*년간!N8/1000</f>
        <v>2573091.4403549251</v>
      </c>
      <c r="AJ10" s="4657">
        <f>($H$10-T10)*년간!$C$213*년간!O8/1000</f>
        <v>2848447.1905541872</v>
      </c>
      <c r="AK10" s="4657">
        <f>($H$10-U10)*년간!$C$213*년간!P8/1000</f>
        <v>81941.720089299866</v>
      </c>
      <c r="AL10" s="4657" t="e">
        <f>($H$10-V10)*년간!$C$213*년간!Q8/1000</f>
        <v>#DIV/0!</v>
      </c>
      <c r="AM10" s="6342" t="e">
        <f t="shared" si="1"/>
        <v>#DIV/0!</v>
      </c>
      <c r="AN10" s="4484">
        <f t="shared" ref="AN10:AN73" si="8">Z10</f>
        <v>34.612667835785281</v>
      </c>
      <c r="AO10" s="4513">
        <f>AA10/년간!F8</f>
        <v>79.468348976521085</v>
      </c>
      <c r="AP10" s="4513">
        <f>AB10/년간!G8</f>
        <v>31.112721920860444</v>
      </c>
      <c r="AQ10" s="4513">
        <f>AC10/년간!H8</f>
        <v>50.313522636836076</v>
      </c>
      <c r="AR10" s="4513">
        <f>AD10/년간!I8</f>
        <v>-54.399413304688792</v>
      </c>
      <c r="AS10" s="4513">
        <f>AE10/년간!J8</f>
        <v>107.98622353628848</v>
      </c>
      <c r="AT10" s="4513">
        <f>AF10/년간!K8</f>
        <v>125.58502956305155</v>
      </c>
      <c r="AU10" s="4513">
        <f>AG10/년간!L8</f>
        <v>69.138576494303535</v>
      </c>
      <c r="AV10" s="4513">
        <f>AH10/년간!M8</f>
        <v>-126.05566618986428</v>
      </c>
      <c r="AW10" s="4505">
        <f>AI10/년간!N8</f>
        <v>86.984864236932708</v>
      </c>
      <c r="AX10" s="4497">
        <f>AJ10/년간!O8</f>
        <v>93.005594627908593</v>
      </c>
      <c r="AY10" s="4799"/>
      <c r="AZ10" s="5835"/>
      <c r="BA10" s="4558" t="e">
        <f>AM10/년간!$V$8</f>
        <v>#DIV/0!</v>
      </c>
    </row>
    <row r="11" spans="2:55" ht="17.399999999999999">
      <c r="B11" s="7118"/>
      <c r="C11" s="3802" t="s">
        <v>42</v>
      </c>
      <c r="D11" s="3803" t="s">
        <v>321</v>
      </c>
      <c r="E11" s="5769">
        <f>(종합!F47+종합!F53)/CGL!H5*1000</f>
        <v>5.7793871902032548</v>
      </c>
      <c r="F11" s="5769">
        <f>(종합!G47+종합!G53)/CGL!I5*1000</f>
        <v>3.5247059874261177</v>
      </c>
      <c r="G11" s="5769">
        <f>(종합!H47+종합!H53)/CGL!J5*1000</f>
        <v>1.6037242317013864</v>
      </c>
      <c r="H11" s="5769">
        <f>(종합!I47+종합!I53)/년간!C10*1000</f>
        <v>1.6719794524789255</v>
      </c>
      <c r="I11" s="5778">
        <f>(종합!J47+종합!J53)/년간!E10*1000</f>
        <v>1.4652871714254379</v>
      </c>
      <c r="J11" s="5813">
        <f>(종합!K47+종합!K53)/(년간!E10/10)*1000</f>
        <v>1.4652871714254376</v>
      </c>
      <c r="K11" s="4854">
        <f>(종합!L47+종합!L53)/년간!F10*1000</f>
        <v>0.86506099488482147</v>
      </c>
      <c r="L11" s="4854">
        <f>(종합!M47+종합!M53)/년간!G10*1000</f>
        <v>1.0381444994791</v>
      </c>
      <c r="M11" s="4854">
        <f>(종합!N47+종합!N53)/년간!H10*1000</f>
        <v>1.302372494130597</v>
      </c>
      <c r="N11" s="4854">
        <f>(종합!O47+종합!O53)/년간!I10*1000</f>
        <v>1.4886183062795717</v>
      </c>
      <c r="O11" s="4854">
        <f>(종합!P47+종합!P53)/년간!J10*1000</f>
        <v>1.8183818768524107</v>
      </c>
      <c r="P11" s="4854">
        <f>(종합!Q47+종합!Q53)/년간!K10*1000</f>
        <v>1.1960702948399309</v>
      </c>
      <c r="Q11" s="4854">
        <f>(종합!R47+종합!R53)/년간!L10*1000</f>
        <v>0.91964321603479149</v>
      </c>
      <c r="R11" s="4854">
        <f>(종합!S47+종합!S53)/년간!M10*1000</f>
        <v>1.6400542501674129</v>
      </c>
      <c r="S11" s="4854">
        <f>(종합!T47+종합!T53)/년간!N10*1000</f>
        <v>1.1784853473507826</v>
      </c>
      <c r="T11" s="4854">
        <f>(종합!U47+종합!U53)/년간!O10*1000</f>
        <v>2.0545193729415754</v>
      </c>
      <c r="U11" s="4854">
        <f>(종합!V47+종합!V53)/년간!P10*1000</f>
        <v>5.8118868459377531</v>
      </c>
      <c r="V11" s="4854" t="e">
        <f>(종합!W47+종합!W53)/년간!Q10*1000</f>
        <v>#DIV/0!</v>
      </c>
      <c r="W11" s="6031">
        <f>(종합!X47+종합!X53)/년간!V10*1000</f>
        <v>1.4596654895918524</v>
      </c>
      <c r="X11" s="4410">
        <f>($H$11-I11)*년간!$C$214*년간!E10/1000</f>
        <v>24526977.550463628</v>
      </c>
      <c r="Y11" s="5618">
        <f>($H$11-J11)*년간!$C$214*(년간!E10/10)/1000</f>
        <v>2452697.7550463658</v>
      </c>
      <c r="Z11" s="3804">
        <f>X11/년간!E10</f>
        <v>89.668327241851458</v>
      </c>
      <c r="AA11" s="4658">
        <f>($H$11-K11)*년간!$C$214*년간!F10/1000</f>
        <v>8659872.5941231716</v>
      </c>
      <c r="AB11" s="4658">
        <f>($H$11-L11)*년간!$C$214*년간!G10/1000</f>
        <v>6770083.6844466403</v>
      </c>
      <c r="AC11" s="4658">
        <f>($H$11-M11)*년간!$C$214*년간!H10/1000</f>
        <v>4317730.1792518515</v>
      </c>
      <c r="AD11" s="4658">
        <f>($H$11-N11)*년간!$C$214*년간!I10/1000</f>
        <v>1964329.1990266449</v>
      </c>
      <c r="AE11" s="4658">
        <f>($H$11-O11)*년간!$C$214*년간!J10/1000</f>
        <v>-1448827.6709747461</v>
      </c>
      <c r="AF11" s="4658">
        <f>($H$11-P11)*년간!$C$214*년간!K10/1000</f>
        <v>5159505.529060564</v>
      </c>
      <c r="AG11" s="4658">
        <f>($H$11-Q11)*년간!$C$214*년간!L10/1000</f>
        <v>10068545.904241577</v>
      </c>
      <c r="AH11" s="4658">
        <f>($H$11-R11)*년간!$C$214*년간!M10/1000</f>
        <v>384070.28708597971</v>
      </c>
      <c r="AI11" s="4658">
        <f>($H$11-S11)*년간!$C$214*년간!N10/1000</f>
        <v>6265645.0230655335</v>
      </c>
      <c r="AJ11" s="4658">
        <f>($H$11-T11)*년간!$C$214*년간!O10/1000</f>
        <v>-4515367.8902145652</v>
      </c>
      <c r="AK11" s="4658">
        <f>($H$11-U11)*년간!$C$214*년간!P10/1000</f>
        <v>-2394914.3630302176</v>
      </c>
      <c r="AL11" s="4658" t="e">
        <f>($H$11-V11)*년간!$C$214*년간!Q10/1000</f>
        <v>#DIV/0!</v>
      </c>
      <c r="AM11" s="6342" t="e">
        <f t="shared" si="1"/>
        <v>#DIV/0!</v>
      </c>
      <c r="AN11" s="4485">
        <f t="shared" si="8"/>
        <v>89.668327241851458</v>
      </c>
      <c r="AO11" s="4488">
        <f>AA11/년간!F10</f>
        <v>350.06158887140145</v>
      </c>
      <c r="AP11" s="4488">
        <f>AB11/년간!G10</f>
        <v>274.97359694919709</v>
      </c>
      <c r="AQ11" s="4488">
        <f>AC11/년간!H10</f>
        <v>160.34482527901861</v>
      </c>
      <c r="AR11" s="4488">
        <f>AD11/년간!I10</f>
        <v>79.546692198872478</v>
      </c>
      <c r="AS11" s="4488">
        <f>AE11/년간!J10</f>
        <v>-63.513066045871881</v>
      </c>
      <c r="AT11" s="4488">
        <f>AF11/년간!K10</f>
        <v>206.46140178560464</v>
      </c>
      <c r="AU11" s="4488">
        <f>AG11/년간!L10</f>
        <v>326.38244399614564</v>
      </c>
      <c r="AV11" s="4488">
        <f>AH11/년간!M10</f>
        <v>13.849958370676772</v>
      </c>
      <c r="AW11" s="4480">
        <f>AI11/년간!N10</f>
        <v>214.09019574903127</v>
      </c>
      <c r="AX11" s="4492">
        <f>AJ11/년간!O10</f>
        <v>-165.95547059756984</v>
      </c>
      <c r="AY11" s="4799"/>
      <c r="AZ11" s="5835"/>
      <c r="BA11" s="4558" t="e">
        <f>AM11/년간!$V$9</f>
        <v>#DIV/0!</v>
      </c>
    </row>
    <row r="12" spans="2:55" ht="17.399999999999999">
      <c r="B12" s="7118"/>
      <c r="C12" s="3802" t="s">
        <v>1247</v>
      </c>
      <c r="D12" s="3803" t="s">
        <v>321</v>
      </c>
      <c r="E12" s="5769">
        <f>(종합!F48+종합!F54)/CGL!H5*1000</f>
        <v>5.9337282737341113</v>
      </c>
      <c r="F12" s="5769">
        <f>(종합!G48+종합!G54)/CGL!I5*1000</f>
        <v>2.5642489641379616</v>
      </c>
      <c r="G12" s="5769">
        <f>(종합!H48+종합!H54)/CGL!J5*1000</f>
        <v>2.6735481462132107</v>
      </c>
      <c r="H12" s="5769">
        <f>(종합!I48+종합!I54)/년간!C10*1000</f>
        <v>2.1401601398038075</v>
      </c>
      <c r="I12" s="5778">
        <f>(종합!J48+종합!J54)/년간!E10*1000</f>
        <v>1.2881445611749418</v>
      </c>
      <c r="J12" s="5813">
        <f>(종합!K48+종합!K54)/(년간!E10/10)*1000</f>
        <v>1.2562491067956647</v>
      </c>
      <c r="K12" s="4854">
        <f>(종합!L48+종합!L54)/년간!F10*1000</f>
        <v>1.574491857512327</v>
      </c>
      <c r="L12" s="4854">
        <f>(종합!M48+종합!M54)/년간!G10*1000</f>
        <v>0.96787885064894175</v>
      </c>
      <c r="M12" s="4854">
        <f>(종합!N48+종합!N54)/년간!H10*1000</f>
        <v>1.9789971546113347</v>
      </c>
      <c r="N12" s="4854">
        <f>(종합!O48+종합!O54)/년간!I10*1000</f>
        <v>0.28549398964284495</v>
      </c>
      <c r="O12" s="4854">
        <f>(종합!P48+종합!P54)/년간!J10*1000</f>
        <v>1.3331001175284909</v>
      </c>
      <c r="P12" s="4854">
        <f>(종합!Q48+종합!Q54)/년간!K10*1000</f>
        <v>1.1996717109167323</v>
      </c>
      <c r="Q12" s="4854">
        <f>(종합!R48+종합!R54)/년간!L10*1000</f>
        <v>0.38542678317425699</v>
      </c>
      <c r="R12" s="4854">
        <f>(종합!S48+종합!S54)/년간!M10*1000</f>
        <v>2.0370858529454079</v>
      </c>
      <c r="S12" s="4854">
        <f>(종합!T48+종합!T54)/년간!N10*1000</f>
        <v>0.77973428896911745</v>
      </c>
      <c r="T12" s="4854">
        <f>(종합!U48+종합!U54)/년간!O10*1000</f>
        <v>0.85856122633122034</v>
      </c>
      <c r="U12" s="4854">
        <f>(종합!V48+종합!V54)/년간!P10*1000</f>
        <v>3.6896107460662901</v>
      </c>
      <c r="V12" s="4854" t="e">
        <f>(종합!W48+종합!W54)/년간!Q10*1000</f>
        <v>#DIV/0!</v>
      </c>
      <c r="W12" s="6031">
        <f>(종합!X48+종합!X54)/년간!V10*1000</f>
        <v>1.1581988972341495</v>
      </c>
      <c r="X12" s="4410">
        <f>($H$12-I12)*년간!$C$215*년간!E10/1000</f>
        <v>101103760.9298417</v>
      </c>
      <c r="Y12" s="5618">
        <f>($H$12-$I$12)*년간!$C$215*(년간!E10/10)/1000</f>
        <v>10110376.09298417</v>
      </c>
      <c r="Z12" s="3804">
        <f>X12/년간!E10</f>
        <v>369.62585796746862</v>
      </c>
      <c r="AA12" s="4658">
        <f>($H$12-K12)*년간!$C$215*년간!F10/1000</f>
        <v>6070768.6248575328</v>
      </c>
      <c r="AB12" s="4658">
        <f>($H$12-L12)*년간!$C$215*년간!G10/1000</f>
        <v>12521307.623897502</v>
      </c>
      <c r="AC12" s="4658">
        <f>($H$12-M12)*년간!$C$215*년간!H10/1000</f>
        <v>1882698.0099440152</v>
      </c>
      <c r="AD12" s="4658">
        <f>($H$12-N12)*년간!$C$215*년간!I10/1000</f>
        <v>19868848.71043827</v>
      </c>
      <c r="AE12" s="4658">
        <f>($H$12-O12)*년간!$C$215*년간!J10/1000</f>
        <v>7986827.3863212261</v>
      </c>
      <c r="AF12" s="4658">
        <f>($H$12-P12)*년간!$C$215*년간!K10/1000</f>
        <v>10196179.609011061</v>
      </c>
      <c r="AG12" s="4658">
        <f>($H$12-Q12)*년간!$C$215*년간!L10/1000</f>
        <v>23483666.604221147</v>
      </c>
      <c r="AH12" s="4658">
        <f>($H$12-R12)*년간!$C$215*년간!M10/1000</f>
        <v>1240016.290534588</v>
      </c>
      <c r="AI12" s="4658">
        <f>($H$12-S12)*년간!$C$215*년간!N10/1000</f>
        <v>17272638.86833806</v>
      </c>
      <c r="AJ12" s="4658">
        <f>($H$12-T12)*년간!$C$215*년간!O10/1000</f>
        <v>15127546.884595042</v>
      </c>
      <c r="AK12" s="4658">
        <f>($H$12-U12)*년간!$C$215*년간!P10/1000</f>
        <v>-896348.91775769461</v>
      </c>
      <c r="AL12" s="4658" t="e">
        <f>($H$12-V12)*년간!$C$215*년간!Q10/1000</f>
        <v>#DIV/0!</v>
      </c>
      <c r="AM12" s="6342" t="e">
        <f t="shared" si="1"/>
        <v>#DIV/0!</v>
      </c>
      <c r="AN12" s="4485">
        <f t="shared" si="8"/>
        <v>369.62585796746862</v>
      </c>
      <c r="AO12" s="4488">
        <f>AA12/년간!F10</f>
        <v>245.40117506237465</v>
      </c>
      <c r="AP12" s="4488">
        <f>AB12/년간!G10</f>
        <v>508.56520485269601</v>
      </c>
      <c r="AQ12" s="4488">
        <f>AC12/년간!H10</f>
        <v>69.916569800555976</v>
      </c>
      <c r="AR12" s="4488">
        <f>AD12/년간!I10</f>
        <v>804.60097701462655</v>
      </c>
      <c r="AS12" s="4488">
        <f>AE12/년간!J10</f>
        <v>350.12300320238728</v>
      </c>
      <c r="AT12" s="4488">
        <f>AF12/년간!K10</f>
        <v>408.00761295385587</v>
      </c>
      <c r="AU12" s="4488">
        <f>AG12/년간!L10</f>
        <v>761.24760945346372</v>
      </c>
      <c r="AV12" s="4488">
        <f>AH12/년간!M10</f>
        <v>44.716226639579617</v>
      </c>
      <c r="AW12" s="4480">
        <f>AI12/년간!N10</f>
        <v>590.1870633928097</v>
      </c>
      <c r="AX12" s="4492">
        <f>AJ12/년간!O10</f>
        <v>555.98994882795159</v>
      </c>
      <c r="AY12" s="4799"/>
      <c r="AZ12" s="5835"/>
      <c r="BA12" s="4558" t="e">
        <f>AM12/년간!$V$10</f>
        <v>#DIV/0!</v>
      </c>
    </row>
    <row r="13" spans="2:55" ht="17.399999999999999">
      <c r="B13" s="7118"/>
      <c r="C13" s="3802" t="s">
        <v>505</v>
      </c>
      <c r="D13" s="3803" t="s">
        <v>321</v>
      </c>
      <c r="E13" s="5769">
        <f>(종합!F49+종합!F55)/'#1CCL'!H5*1000</f>
        <v>4.9024831787199821</v>
      </c>
      <c r="F13" s="5769">
        <f>(종합!G49+종합!G55)/'#1CCL'!I5*1000</f>
        <v>1.6164350932909886</v>
      </c>
      <c r="G13" s="5769">
        <f>(종합!H49+종합!H55)/'#1CCL'!J5*1000</f>
        <v>0.40448129362749535</v>
      </c>
      <c r="H13" s="5769">
        <f>(종합!I49+종합!I55)/년간!C11*1000</f>
        <v>0.23536599392254112</v>
      </c>
      <c r="I13" s="5778">
        <f>(종합!J49+종합!J55)/년간!E11*1000</f>
        <v>0.1792328832596487</v>
      </c>
      <c r="J13" s="5813">
        <f>(종합!K49+종합!K55)/(년간!E11/12)*1000</f>
        <v>0.1792328832596487</v>
      </c>
      <c r="K13" s="4854">
        <f>(종합!L49+종합!L55)/년간!F11*1000</f>
        <v>2.1874961263089431E-2</v>
      </c>
      <c r="L13" s="4854">
        <f>(종합!M49+종합!M55)/년간!G11*1000</f>
        <v>4.6454838446725509E-2</v>
      </c>
      <c r="M13" s="4854">
        <f>(종합!N49+종합!N55)/년간!H11*1000</f>
        <v>0.43837618842807174</v>
      </c>
      <c r="N13" s="4854">
        <f>(종합!O49+종합!O55)/년간!I11*1000</f>
        <v>0.44555268679893256</v>
      </c>
      <c r="O13" s="4854">
        <f>(종합!P49+종합!P55)/년간!J11*1000</f>
        <v>0.18435064029803722</v>
      </c>
      <c r="P13" s="4854">
        <f>(종합!Q49+종합!Q55)/년간!K11*1000</f>
        <v>0.37006654576354736</v>
      </c>
      <c r="Q13" s="4854">
        <f>(종합!R49+종합!R55)/년간!L11*1000</f>
        <v>0.42633756771097236</v>
      </c>
      <c r="R13" s="4854">
        <f>(종합!S49+종합!S55)/년간!M11*1000</f>
        <v>0.35360536513579977</v>
      </c>
      <c r="S13" s="4854">
        <f>(종합!T49+종합!T55)/년간!N11*1000</f>
        <v>0.34650034650034645</v>
      </c>
      <c r="T13" s="4854">
        <f>(종합!U49+종합!U55)/년간!O11*1000</f>
        <v>0.23899469739679055</v>
      </c>
      <c r="U13" s="4854">
        <f>(종합!V49+종합!V55)/년간!P11*1000</f>
        <v>0.26729814284262166</v>
      </c>
      <c r="V13" s="4854">
        <f>(종합!W49+종합!W55)/년간!Q11*1000</f>
        <v>0.50339996367053907</v>
      </c>
      <c r="W13" s="6031">
        <f>(종합!X49+종합!X55)/년간!V11*1000</f>
        <v>0.30624591959697794</v>
      </c>
      <c r="X13" s="4410">
        <f>($H$13-I13)*년간!$C$216*년간!E11/1000</f>
        <v>6606753.334543067</v>
      </c>
      <c r="Y13" s="5618">
        <f>($H$13-J13)*년간!$C$216*(년간!E11/12)/1000</f>
        <v>550562.77787858888</v>
      </c>
      <c r="Z13" s="3804">
        <f>X13/년간!E11</f>
        <v>39.471581637848409</v>
      </c>
      <c r="AA13" s="4658">
        <f>($H$13-K13)*년간!$C$216*년간!F11/1000</f>
        <v>2058823.0383249035</v>
      </c>
      <c r="AB13" s="4658">
        <f>($H$13-L13)*년간!$C$216*년간!G11/1000</f>
        <v>1515541.8704084246</v>
      </c>
      <c r="AC13" s="4658">
        <f>($H$13-M13)*년간!$C$216*년간!H11/1000</f>
        <v>-1898474.9242127512</v>
      </c>
      <c r="AD13" s="4658">
        <f>($H$13-N13)*년간!$C$216*년간!I11/1000</f>
        <v>-1907389.6165934787</v>
      </c>
      <c r="AE13" s="4658">
        <f>($H$13-O13)*년간!$C$216*년간!J11/1000</f>
        <v>453395.90303636075</v>
      </c>
      <c r="AF13" s="4658">
        <f>($H$13-P13)*년간!$C$216*년간!K11/1000</f>
        <v>-1287428.0080372121</v>
      </c>
      <c r="AG13" s="4658">
        <f>($H$13-Q13)*년간!$C$216*년간!L11/1000</f>
        <v>-2022160.2604651945</v>
      </c>
      <c r="AH13" s="4658">
        <f>($H$13-R13)*년간!$C$216*년간!M11/1000</f>
        <v>-1032222.2240864171</v>
      </c>
      <c r="AI13" s="4658">
        <f>($H$13-S13)*년간!$C$216*년간!N11/1000</f>
        <v>-1017153.7670142782</v>
      </c>
      <c r="AJ13" s="4658">
        <f>($H$13-T13)*년간!$C$216*년간!O11/1000</f>
        <v>-34805.368377334577</v>
      </c>
      <c r="AK13" s="4658">
        <f>($H$13-U13)*년간!$C$216*년간!P11/1000</f>
        <v>-298212.59168456361</v>
      </c>
      <c r="AL13" s="4658">
        <f>($H$13-V13)*년간!$C$216*년간!Q11/1000</f>
        <v>-2386459.8778294637</v>
      </c>
      <c r="AM13" s="6342">
        <f t="shared" si="1"/>
        <v>-7856545.826531006</v>
      </c>
      <c r="AN13" s="4485">
        <f t="shared" si="8"/>
        <v>39.471581637848409</v>
      </c>
      <c r="AO13" s="4488">
        <f>AA13/년간!F11</f>
        <v>150.12224736971118</v>
      </c>
      <c r="AP13" s="4488">
        <f>AB13/년간!G11</f>
        <v>132.83821273409728</v>
      </c>
      <c r="AQ13" s="4488">
        <f>AC13/년간!H11</f>
        <v>-142.7523501033719</v>
      </c>
      <c r="AR13" s="4488">
        <f>AD13/년간!I11</f>
        <v>-147.79870755575831</v>
      </c>
      <c r="AS13" s="4488">
        <f>AE13/년간!J11</f>
        <v>35.872886280369059</v>
      </c>
      <c r="AT13" s="4488">
        <f>AF13/년간!K11</f>
        <v>-94.71849619355379</v>
      </c>
      <c r="AU13" s="4488">
        <f>AG13/년간!L11</f>
        <v>-134.28705404494039</v>
      </c>
      <c r="AV13" s="4488">
        <f>AH13/년간!M11</f>
        <v>-83.14335226637013</v>
      </c>
      <c r="AW13" s="4480">
        <f>AI13/년간!N11</f>
        <v>-78.147257808110894</v>
      </c>
      <c r="AX13" s="4492">
        <f>AJ13/년간!O11</f>
        <v>-2.5516253015720554</v>
      </c>
      <c r="AY13" s="4799"/>
      <c r="AZ13" s="5835"/>
      <c r="BA13" s="4558">
        <f>AM13/년간!$V$11</f>
        <v>-49.841220978203332</v>
      </c>
    </row>
    <row r="14" spans="2:55" ht="18" thickBot="1">
      <c r="B14" s="7118"/>
      <c r="C14" s="3791" t="s">
        <v>492</v>
      </c>
      <c r="D14" s="3413" t="s">
        <v>321</v>
      </c>
      <c r="E14" s="5770">
        <f>(종합!F50+종합!F56)/'#2CCL'!H5*1000</f>
        <v>7.5697612445800431</v>
      </c>
      <c r="F14" s="5770">
        <f>(종합!G50+종합!G56)/'#2CCL'!I5*1000</f>
        <v>4.1547518923465097</v>
      </c>
      <c r="G14" s="5770">
        <f>(종합!H50+종합!H56)/'#2CCL'!J5*1000</f>
        <v>2.3977272727272729</v>
      </c>
      <c r="H14" s="5770">
        <f>(종합!I50+종합!I56)/년간!C12*1000</f>
        <v>2.1509988324319407</v>
      </c>
      <c r="I14" s="5779">
        <f>(종합!J50+종합!J56)/년간!E12*1000</f>
        <v>1.5571064085246886</v>
      </c>
      <c r="J14" s="5814">
        <f>(종합!K50+종합!K56)/(년간!E12/12)*1000</f>
        <v>1.5571064085246886</v>
      </c>
      <c r="K14" s="5772">
        <f>(종합!L50+종합!L56)/년간!F12*1000</f>
        <v>1.3371389268304055</v>
      </c>
      <c r="L14" s="5772">
        <f>(종합!M50+종합!M56)/년간!G12*1000</f>
        <v>1.5783961415718315</v>
      </c>
      <c r="M14" s="5772">
        <f>(종합!N50+종합!N56)/년간!H12*1000</f>
        <v>3.1309313227009854</v>
      </c>
      <c r="N14" s="5772">
        <f>(종합!O50+종합!O56)/년간!I12*1000</f>
        <v>2.7885555466737175</v>
      </c>
      <c r="O14" s="5772">
        <f>(종합!P50+종합!P56)/년간!J12*1000</f>
        <v>2.4734912199744956</v>
      </c>
      <c r="P14" s="5772">
        <f>(종합!Q50+종합!Q56)/년간!K12*1000</f>
        <v>1.9558664575943492</v>
      </c>
      <c r="Q14" s="5772">
        <f>(종합!R50+종합!R56)/년간!L12*1000</f>
        <v>2.3857202599240814</v>
      </c>
      <c r="R14" s="5772">
        <f>(종합!S50+종합!S56)/년간!M12*1000</f>
        <v>1.381718008246994</v>
      </c>
      <c r="S14" s="5772">
        <f>(종합!T50+종합!T56)/년간!N12*1000</f>
        <v>3.0885318129754933</v>
      </c>
      <c r="T14" s="5772">
        <f>(종합!U50+종합!U56)/년간!O12*1000</f>
        <v>2.6143436588164088</v>
      </c>
      <c r="U14" s="5772">
        <f>(종합!V50+종합!V56)/년간!P12*1000</f>
        <v>6.3744987129603148</v>
      </c>
      <c r="V14" s="5772">
        <f>(종합!W50+종합!W56)/년간!Q12*1000</f>
        <v>3.1922259832746307</v>
      </c>
      <c r="W14" s="6032">
        <f>(종합!X50+종합!X56)/년간!V12*1000</f>
        <v>2.6676841017914397</v>
      </c>
      <c r="X14" s="4410">
        <f>($H$14-I14)*년간!$C$217*년간!E12/1000</f>
        <v>27362535.280014858</v>
      </c>
      <c r="Y14" s="5618">
        <f>($H$14-J14)*년간!$C$217*(년간!E12/12)/1000</f>
        <v>2280211.2733345716</v>
      </c>
      <c r="Z14" s="3804">
        <f>X14/년간!E12</f>
        <v>513.32986792763882</v>
      </c>
      <c r="AA14" s="4658">
        <f>($H$14-K14)*년간!$C$217*년간!F12/1000</f>
        <v>3620566.585232168</v>
      </c>
      <c r="AB14" s="4658">
        <f>($H$14-L14)*년간!$C$217*년간!G12/1000</f>
        <v>2608538.4786782786</v>
      </c>
      <c r="AC14" s="4658">
        <f>($H$14-M14)*년간!$C$217*년간!H12/1000</f>
        <v>-3568257.2794034453</v>
      </c>
      <c r="AD14" s="4658">
        <f>($H$14-N14)*년간!$C$217*년간!I12/1000</f>
        <v>-2509363.6103313789</v>
      </c>
      <c r="AE14" s="4658">
        <f>($H$14-O14)*년간!$C$217*년간!J12/1000</f>
        <v>-1123551.5465107029</v>
      </c>
      <c r="AF14" s="4658">
        <f>($H$14-P14)*년간!$C$217*년간!K12/1000</f>
        <v>886313.7641945373</v>
      </c>
      <c r="AG14" s="4658">
        <f>($H$14-Q14)*년간!$C$217*년간!L12/1000</f>
        <v>-1009081.658157076</v>
      </c>
      <c r="AH14" s="4658">
        <f>($H$14-R14)*년간!$C$217*년간!M12/1000</f>
        <v>3070258.3198006316</v>
      </c>
      <c r="AI14" s="4658">
        <f>($H$14-S14)*년간!$C$217*년간!N12/1000</f>
        <v>-3321673.4101406354</v>
      </c>
      <c r="AJ14" s="4658">
        <f>($H$14-T14)*년간!$C$217*년간!O12/1000</f>
        <v>-1773327.3400697601</v>
      </c>
      <c r="AK14" s="4658">
        <f>($H$14-U14)*년간!$C$217*년간!P12/1000</f>
        <v>-17741756.36134791</v>
      </c>
      <c r="AL14" s="4658">
        <f>($H$14-V14)*년간!$C$217*년간!Q12/1000</f>
        <v>-4198212.9957643533</v>
      </c>
      <c r="AM14" s="6342">
        <f t="shared" si="1"/>
        <v>-25059547.053819645</v>
      </c>
      <c r="AN14" s="4485">
        <f t="shared" si="8"/>
        <v>513.32986792763882</v>
      </c>
      <c r="AO14" s="4488">
        <f>AA14/년간!F12</f>
        <v>703.45837231842006</v>
      </c>
      <c r="AP14" s="4488">
        <f>AB14/년간!G12</f>
        <v>494.92812476108304</v>
      </c>
      <c r="AQ14" s="4488">
        <f>AC14/년간!H12</f>
        <v>-847.00291763002645</v>
      </c>
      <c r="AR14" s="4488">
        <f>AD14/년간!I12</f>
        <v>-551.07102017725242</v>
      </c>
      <c r="AS14" s="4488">
        <f>AE14/년간!J12</f>
        <v>-278.74572572547544</v>
      </c>
      <c r="AT14" s="4488">
        <f>AF14/년간!K12</f>
        <v>168.66232363225168</v>
      </c>
      <c r="AU14" s="4488">
        <f>AG14/년간!L12</f>
        <v>-202.88105138910521</v>
      </c>
      <c r="AV14" s="4488">
        <f>AH14/년간!M12</f>
        <v>664.92652201233398</v>
      </c>
      <c r="AW14" s="4480">
        <f>AI14/년간!N12</f>
        <v>-810.35497626652023</v>
      </c>
      <c r="AX14" s="4492">
        <f>AJ14/년간!O12</f>
        <v>-400.49128252566919</v>
      </c>
      <c r="AY14" s="4799"/>
      <c r="AZ14" s="5835"/>
      <c r="BA14" s="4558">
        <f>AM14/년간!$V$12</f>
        <v>-446.59600022425809</v>
      </c>
    </row>
    <row r="15" spans="2:55" ht="17.399999999999999">
      <c r="B15" s="7118"/>
      <c r="C15" s="5786" t="s">
        <v>16</v>
      </c>
      <c r="D15" s="5787" t="s">
        <v>321</v>
      </c>
      <c r="E15" s="5791">
        <f t="shared" ref="E15:O15" si="9">SUM(E10:E14)</f>
        <v>25.517369649437764</v>
      </c>
      <c r="F15" s="5791">
        <f t="shared" si="9"/>
        <v>12.361291838030237</v>
      </c>
      <c r="G15" s="5791">
        <f t="shared" si="9"/>
        <v>7.3699753448644252</v>
      </c>
      <c r="H15" s="5792">
        <f t="shared" si="9"/>
        <v>6.4879874169822713</v>
      </c>
      <c r="I15" s="5793">
        <f t="shared" si="9"/>
        <v>4.6994692036260437</v>
      </c>
      <c r="J15" s="5824">
        <f t="shared" si="9"/>
        <v>4.6675737492467659</v>
      </c>
      <c r="K15" s="5808">
        <f t="shared" si="9"/>
        <v>3.9048691796934589</v>
      </c>
      <c r="L15" s="5773">
        <f t="shared" si="9"/>
        <v>3.8486401496235736</v>
      </c>
      <c r="M15" s="5773">
        <f t="shared" si="9"/>
        <v>7.0241836804392843</v>
      </c>
      <c r="N15" s="5773">
        <f t="shared" si="9"/>
        <v>5.4230982927566558</v>
      </c>
      <c r="O15" s="5773">
        <f t="shared" si="9"/>
        <v>5.8498904345526936</v>
      </c>
      <c r="P15" s="5773">
        <f>SUM(P10:P14)</f>
        <v>4.7216750091145592</v>
      </c>
      <c r="Q15" s="5773">
        <f>SUM(Q10:Q14)</f>
        <v>4.2472411734518749</v>
      </c>
      <c r="R15" s="5773">
        <f t="shared" ref="R15:W15" si="10">SUM(R10:R14)</f>
        <v>5.9925143262317846</v>
      </c>
      <c r="S15" s="5773">
        <f t="shared" si="10"/>
        <v>5.4822280984179379</v>
      </c>
      <c r="T15" s="5773">
        <f t="shared" si="10"/>
        <v>5.8415170188636667</v>
      </c>
      <c r="U15" s="5773">
        <f t="shared" si="10"/>
        <v>16.14329444780698</v>
      </c>
      <c r="V15" s="5773" t="e">
        <f t="shared" si="10"/>
        <v>#DIV/0!</v>
      </c>
      <c r="W15" s="5773">
        <f t="shared" si="10"/>
        <v>5.7718962804102443</v>
      </c>
      <c r="X15" s="5790">
        <f t="shared" ref="X15:AE15" si="11">SUM(X10:X14)</f>
        <v>169173475.66622746</v>
      </c>
      <c r="Y15" s="4659">
        <f t="shared" si="11"/>
        <v>16351192.756380115</v>
      </c>
      <c r="Z15" s="4816">
        <f>X15/(년간!D8+년간!D10+년간!D10+년간!D11+년간!D12)</f>
        <v>161.99204435584417</v>
      </c>
      <c r="AA15" s="4659">
        <f t="shared" si="11"/>
        <v>22495746.798890181</v>
      </c>
      <c r="AB15" s="4659">
        <f t="shared" si="11"/>
        <v>24315567.680636846</v>
      </c>
      <c r="AC15" s="4659">
        <f t="shared" si="11"/>
        <v>1931315.8087974489</v>
      </c>
      <c r="AD15" s="4659">
        <f t="shared" si="11"/>
        <v>16005556.858688295</v>
      </c>
      <c r="AE15" s="4659">
        <f t="shared" si="11"/>
        <v>8614976.8833193146</v>
      </c>
      <c r="AF15" s="4659">
        <f>SUM(AF10:AF14)</f>
        <v>18658538.080652721</v>
      </c>
      <c r="AG15" s="4659">
        <f>SUM(AG10:AG14)</f>
        <v>32763360.017310087</v>
      </c>
      <c r="AH15" s="4659">
        <f>SUM(AH10:AH14)</f>
        <v>60506.441387471277</v>
      </c>
      <c r="AI15" s="4659">
        <f>SUM(AI10:AI14)</f>
        <v>21772548.154603601</v>
      </c>
      <c r="AJ15" s="4659">
        <f>SUM(AJ10:AJ14)</f>
        <v>11652493.47648757</v>
      </c>
      <c r="AK15" s="4659">
        <f t="shared" ref="AK15:AL15" si="12">SUM(AK10:AK14)</f>
        <v>-21249290.513731085</v>
      </c>
      <c r="AL15" s="4659" t="e">
        <f t="shared" si="12"/>
        <v>#DIV/0!</v>
      </c>
      <c r="AM15" s="6343" t="e">
        <f t="shared" si="1"/>
        <v>#DIV/0!</v>
      </c>
      <c r="AN15" s="4518">
        <f t="shared" si="8"/>
        <v>161.99204435584417</v>
      </c>
      <c r="AO15" s="4518">
        <f>AA15/(년간!F8+년간!F10+년간!F10+년간!F11+년간!F12)</f>
        <v>237.84065404896853</v>
      </c>
      <c r="AP15" s="4518">
        <f>AB15/(년간!G8+년간!G10+년간!G10+년간!G11+년간!G12)</f>
        <v>256.35452534652751</v>
      </c>
      <c r="AQ15" s="4518">
        <f>AC15/(년간!H8+년간!H10+년간!H10+년간!H11+년간!H12)</f>
        <v>20.293201193316715</v>
      </c>
      <c r="AR15" s="4518">
        <f>AD15/(년간!I8+년간!I10+년간!I10+년간!I11+년간!I12)</f>
        <v>172.50646042712617</v>
      </c>
      <c r="AS15" s="4518">
        <f>AE15/(년간!J8+년간!J10+년간!J10+년간!J11+년간!J12)</f>
        <v>98.19613929950566</v>
      </c>
      <c r="AT15" s="4518">
        <f>AF15/(년간!K8+년간!K10+년간!K10+년간!K11+년간!K12)</f>
        <v>189.77135723750911</v>
      </c>
      <c r="AU15" s="4518">
        <f>AG15/(년간!L8+년간!L10+년간!L10+년간!L11+년간!L12)</f>
        <v>286.98667319511986</v>
      </c>
      <c r="AV15" s="4518">
        <f>AH15/(년간!M8+년간!M10+년간!M10+년간!M11+년간!M12)</f>
        <v>0.59868469209823472</v>
      </c>
      <c r="AW15" s="6373">
        <f>AI15/(년간!N8+년간!N10+년간!N10+년간!N11+년간!N12)</f>
        <v>206.90720390042</v>
      </c>
      <c r="AX15" s="6391">
        <f>AJ15/(년간!O8+년간!O10+년간!O10+년간!O11+년간!O12)</f>
        <v>113.00856916734996</v>
      </c>
      <c r="AY15" s="4794"/>
      <c r="AZ15" s="6395"/>
      <c r="BA15" s="6401" t="e">
        <f>AM15/년간!$V$13</f>
        <v>#DIV/0!</v>
      </c>
    </row>
    <row r="16" spans="2:55" ht="18" thickBot="1">
      <c r="B16" s="7137"/>
      <c r="C16" s="5788" t="s">
        <v>493</v>
      </c>
      <c r="D16" s="5216" t="str">
        <f>D15</f>
        <v>kg/ton</v>
      </c>
      <c r="E16" s="2357">
        <f t="shared" ref="E16:AU16" si="13">E15</f>
        <v>25.517369649437764</v>
      </c>
      <c r="F16" s="2357">
        <f t="shared" si="13"/>
        <v>12.361291838030237</v>
      </c>
      <c r="G16" s="2357">
        <f t="shared" si="13"/>
        <v>7.3699753448644252</v>
      </c>
      <c r="H16" s="2358">
        <f t="shared" si="13"/>
        <v>6.4879874169822713</v>
      </c>
      <c r="I16" s="5821">
        <f t="shared" si="13"/>
        <v>4.6994692036260437</v>
      </c>
      <c r="J16" s="5825">
        <f t="shared" si="13"/>
        <v>4.6675737492467659</v>
      </c>
      <c r="K16" s="5809">
        <f t="shared" si="13"/>
        <v>3.9048691796934589</v>
      </c>
      <c r="L16" s="2357">
        <f t="shared" si="13"/>
        <v>3.8486401496235736</v>
      </c>
      <c r="M16" s="2357">
        <f t="shared" si="13"/>
        <v>7.0241836804392843</v>
      </c>
      <c r="N16" s="2357">
        <f t="shared" si="13"/>
        <v>5.4230982927566558</v>
      </c>
      <c r="O16" s="2357">
        <f t="shared" si="13"/>
        <v>5.8498904345526936</v>
      </c>
      <c r="P16" s="2357">
        <f t="shared" si="13"/>
        <v>4.7216750091145592</v>
      </c>
      <c r="Q16" s="2357">
        <f t="shared" si="13"/>
        <v>4.2472411734518749</v>
      </c>
      <c r="R16" s="2357">
        <f t="shared" ref="R16:W16" si="14">R15</f>
        <v>5.9925143262317846</v>
      </c>
      <c r="S16" s="2357">
        <f t="shared" si="14"/>
        <v>5.4822280984179379</v>
      </c>
      <c r="T16" s="2357">
        <f t="shared" si="14"/>
        <v>5.8415170188636667</v>
      </c>
      <c r="U16" s="2357">
        <f t="shared" si="14"/>
        <v>16.14329444780698</v>
      </c>
      <c r="V16" s="2357" t="e">
        <f t="shared" si="14"/>
        <v>#DIV/0!</v>
      </c>
      <c r="W16" s="2357">
        <f t="shared" si="14"/>
        <v>5.7718962804102443</v>
      </c>
      <c r="X16" s="5789">
        <f t="shared" si="13"/>
        <v>169173475.66622746</v>
      </c>
      <c r="Y16" s="5789">
        <f t="shared" si="13"/>
        <v>16351192.756380115</v>
      </c>
      <c r="Z16" s="5789">
        <f t="shared" si="13"/>
        <v>161.99204435584417</v>
      </c>
      <c r="AA16" s="5789">
        <f t="shared" si="13"/>
        <v>22495746.798890181</v>
      </c>
      <c r="AB16" s="5789">
        <f t="shared" si="13"/>
        <v>24315567.680636846</v>
      </c>
      <c r="AC16" s="5789">
        <f t="shared" si="13"/>
        <v>1931315.8087974489</v>
      </c>
      <c r="AD16" s="5789">
        <f t="shared" si="13"/>
        <v>16005556.858688295</v>
      </c>
      <c r="AE16" s="5789">
        <f t="shared" si="13"/>
        <v>8614976.8833193146</v>
      </c>
      <c r="AF16" s="5789">
        <f t="shared" si="13"/>
        <v>18658538.080652721</v>
      </c>
      <c r="AG16" s="5789">
        <f t="shared" si="13"/>
        <v>32763360.017310087</v>
      </c>
      <c r="AH16" s="5789">
        <f>AH15</f>
        <v>60506.441387471277</v>
      </c>
      <c r="AI16" s="5789">
        <f>AI15</f>
        <v>21772548.154603601</v>
      </c>
      <c r="AJ16" s="5789">
        <f>AJ15</f>
        <v>11652493.47648757</v>
      </c>
      <c r="AK16" s="6022">
        <f t="shared" si="13"/>
        <v>-21249290.513731085</v>
      </c>
      <c r="AL16" s="6022" t="e">
        <f t="shared" si="13"/>
        <v>#DIV/0!</v>
      </c>
      <c r="AM16" s="6343" t="e">
        <f t="shared" si="1"/>
        <v>#DIV/0!</v>
      </c>
      <c r="AN16" s="6339">
        <f t="shared" si="8"/>
        <v>161.99204435584417</v>
      </c>
      <c r="AO16" s="5789">
        <f t="shared" si="13"/>
        <v>237.84065404896853</v>
      </c>
      <c r="AP16" s="5789">
        <f t="shared" si="13"/>
        <v>256.35452534652751</v>
      </c>
      <c r="AQ16" s="5789">
        <f t="shared" si="13"/>
        <v>20.293201193316715</v>
      </c>
      <c r="AR16" s="5789">
        <f t="shared" si="13"/>
        <v>172.50646042712617</v>
      </c>
      <c r="AS16" s="5789">
        <f t="shared" si="13"/>
        <v>98.19613929950566</v>
      </c>
      <c r="AT16" s="5789">
        <f t="shared" si="13"/>
        <v>189.77135723750911</v>
      </c>
      <c r="AU16" s="5789">
        <f t="shared" si="13"/>
        <v>286.98667319511986</v>
      </c>
      <c r="AV16" s="5789">
        <f>AV15</f>
        <v>0.59868469209823472</v>
      </c>
      <c r="AW16" s="6022">
        <f>AW15</f>
        <v>206.90720390042</v>
      </c>
      <c r="AX16" s="5789">
        <f>AX15</f>
        <v>113.00856916734996</v>
      </c>
      <c r="AY16" s="4804"/>
      <c r="AZ16" s="6396"/>
      <c r="BA16" s="6401" t="e">
        <f>AM16/년간!$V$13</f>
        <v>#DIV/0!</v>
      </c>
    </row>
    <row r="17" spans="2:53" ht="17.399999999999999">
      <c r="B17" s="7106" t="s">
        <v>1240</v>
      </c>
      <c r="C17" s="3792" t="s">
        <v>39</v>
      </c>
      <c r="D17" s="1223" t="s">
        <v>321</v>
      </c>
      <c r="E17" s="5780">
        <f>종합!F70/CPL!H5*1000</f>
        <v>2.4140251331535829</v>
      </c>
      <c r="F17" s="5780">
        <f>종합!G70/CPL!I5*1000</f>
        <v>2.4714045825677471</v>
      </c>
      <c r="G17" s="5780">
        <f>종합!H70/CPL!J5*1000</f>
        <v>2.7029633942223721</v>
      </c>
      <c r="H17" s="5806">
        <f>종합!I70/년간!C8*1000</f>
        <v>3.0393400020441059</v>
      </c>
      <c r="I17" s="5819">
        <f>종합!J70/년간!E8*1000</f>
        <v>2.7441537593821859</v>
      </c>
      <c r="J17" s="5812">
        <f>종합!K70/(년간!E8/10)*1000</f>
        <v>2.7441537593821859</v>
      </c>
      <c r="K17" s="5785">
        <f>종합!L70/년간!F8*1000</f>
        <v>2.3016954667534355</v>
      </c>
      <c r="L17" s="5785">
        <f>종합!M70/년간!G8*1000</f>
        <v>2.3622406512788041</v>
      </c>
      <c r="M17" s="5785">
        <f>종합!N70/년간!H8*1000</f>
        <v>2.047629010290239</v>
      </c>
      <c r="N17" s="5785">
        <f>종합!O70/년간!I8*1000</f>
        <v>2.0049854734946706</v>
      </c>
      <c r="O17" s="5785">
        <f>종합!P70/년간!J8*1000</f>
        <v>1.9328088504327496</v>
      </c>
      <c r="P17" s="5785">
        <f>종합!Q70/년간!K8*1000</f>
        <v>2.744653943045464</v>
      </c>
      <c r="Q17" s="5785">
        <f>종합!R70/년간!L8*1000</f>
        <v>1.8795520400971104</v>
      </c>
      <c r="R17" s="5785">
        <f>종합!S70/년간!M8*1000</f>
        <v>2.8755794252292119</v>
      </c>
      <c r="S17" s="5785">
        <f>종합!T70/년간!N8*1000</f>
        <v>2.1331324830777687</v>
      </c>
      <c r="T17" s="5785">
        <f>종합!U70/년간!O8*1000</f>
        <v>2.157273498853383</v>
      </c>
      <c r="U17" s="5785">
        <f>종합!V70/년간!P8*1000</f>
        <v>16.092447278077486</v>
      </c>
      <c r="V17" s="5785" t="e">
        <f>종합!W70/년간!Q8*1000</f>
        <v>#DIV/0!</v>
      </c>
      <c r="W17" s="6033">
        <f>종합!X70/년간!V8*1000</f>
        <v>2.2803366911444938</v>
      </c>
      <c r="X17" s="4409">
        <f>($H$17-I17)*년간!$C$213*년간!E8/1000</f>
        <v>35419649.312283963</v>
      </c>
      <c r="Y17" s="5617">
        <f>($H$17-J17)*년간!$C$213*(년간!E8/10)/1000</f>
        <v>3541964.9312283969</v>
      </c>
      <c r="Z17" s="4802">
        <f>X17/년간!E8</f>
        <v>128.05924086469392</v>
      </c>
      <c r="AA17" s="4653">
        <f>($H$17-K17)*년간!$C$213*년간!F8/1000</f>
        <v>8398909.7127782013</v>
      </c>
      <c r="AB17" s="4653">
        <f>($H$17-L17)*년간!$C$213*년간!G8/1000</f>
        <v>8498025.7528013177</v>
      </c>
      <c r="AC17" s="4653">
        <f>($H$17-M17)*년간!$C$213*년간!H8/1000</f>
        <v>10240807.148097202</v>
      </c>
      <c r="AD17" s="4653">
        <f>($H$17-N17)*년간!$C$213*년간!I8/1000</f>
        <v>11637946.150250694</v>
      </c>
      <c r="AE17" s="4653">
        <f>($H$17-O17)*년간!$C$213*년간!J8/1000</f>
        <v>12212083.286671288</v>
      </c>
      <c r="AF17" s="4653">
        <f>($H$17-P17)*년간!$C$213*년간!K8/1000</f>
        <v>3770540.9266435113</v>
      </c>
      <c r="AG17" s="4653">
        <f>($H$17-Q17)*년간!$C$213*년간!L8/1000</f>
        <v>16318641.821867509</v>
      </c>
      <c r="AH17" s="4653">
        <f>($H$17-R17)*년간!$C$213*년간!M8/1000</f>
        <v>2029827.9688749269</v>
      </c>
      <c r="AI17" s="4653">
        <f>($H$17-S17)*년간!$C$213*년간!N8/1000</f>
        <v>11629311.43935724</v>
      </c>
      <c r="AJ17" s="4653">
        <f>($H$17-T17)*년간!$C$213*년간!O8/1000</f>
        <v>11719666.091639401</v>
      </c>
      <c r="AK17" s="4653">
        <f>($H$17-U17)*년간!$C$213*년간!P8/1000</f>
        <v>-3694842.421914543</v>
      </c>
      <c r="AL17" s="4653" t="e">
        <f>($H$17-V17)*년간!$C$213*년간!Q8/1000</f>
        <v>#DIV/0!</v>
      </c>
      <c r="AM17" s="6342" t="e">
        <f t="shared" si="1"/>
        <v>#DIV/0!</v>
      </c>
      <c r="AN17" s="4509">
        <f t="shared" si="8"/>
        <v>128.05924086469392</v>
      </c>
      <c r="AO17" s="4506">
        <f>AA17/년간!F8</f>
        <v>320.00881330198627</v>
      </c>
      <c r="AP17" s="4506">
        <f>AB17/년간!G8</f>
        <v>293.74278444368497</v>
      </c>
      <c r="AQ17" s="4506">
        <f>AC17/년간!H8</f>
        <v>430.22925328747397</v>
      </c>
      <c r="AR17" s="4506">
        <f>AD17/년간!I8</f>
        <v>448.72909562626666</v>
      </c>
      <c r="AS17" s="4506">
        <f>AE17/년간!J8</f>
        <v>480.04113603213597</v>
      </c>
      <c r="AT17" s="4506">
        <f>AF17/년간!K8</f>
        <v>127.84224856981359</v>
      </c>
      <c r="AU17" s="4506">
        <f>AG17/년간!L8</f>
        <v>503.14528425041175</v>
      </c>
      <c r="AV17" s="4506">
        <f>AH17/년간!M8</f>
        <v>71.043470594590332</v>
      </c>
      <c r="AW17" s="4507">
        <f>AI17/년간!N8</f>
        <v>393.13568917782584</v>
      </c>
      <c r="AX17" s="6708">
        <f>AJ17/년간!O8</f>
        <v>382.66270735438604</v>
      </c>
      <c r="AY17" s="4799"/>
      <c r="AZ17" s="5835"/>
      <c r="BA17" s="4558" t="e">
        <f>AM17/년간!$V$8</f>
        <v>#DIV/0!</v>
      </c>
    </row>
    <row r="18" spans="2:53" ht="17.399999999999999">
      <c r="B18" s="7107"/>
      <c r="C18" s="2701" t="s">
        <v>42</v>
      </c>
      <c r="D18" s="2702" t="s">
        <v>321</v>
      </c>
      <c r="E18" s="5781">
        <f>종합!F71/CGL!H5*1000</f>
        <v>21.599829365219371</v>
      </c>
      <c r="F18" s="5781">
        <f>종합!G71/CGL!I5*1000</f>
        <v>18.544274928470497</v>
      </c>
      <c r="G18" s="5781">
        <f>종합!H71/CGL!J5*1000</f>
        <v>16.507800391326938</v>
      </c>
      <c r="H18" s="5769">
        <f>종합!I71/년간!C10*1000</f>
        <v>16.790485537659951</v>
      </c>
      <c r="I18" s="5778">
        <f>종합!J71/년간!E10*1000</f>
        <v>15.775234891967974</v>
      </c>
      <c r="J18" s="5813">
        <f>종합!K71/(년간!E10/10)*1000</f>
        <v>15.775234891967974</v>
      </c>
      <c r="K18" s="4854">
        <f>종합!L71/년간!F10*1000</f>
        <v>16.348035866884093</v>
      </c>
      <c r="L18" s="4854">
        <f>종합!M71/년간!G10*1000</f>
        <v>17.349929023571484</v>
      </c>
      <c r="M18" s="4854">
        <f>종합!N71/년간!H10*1000</f>
        <v>17.409530232347414</v>
      </c>
      <c r="N18" s="4854">
        <f>종합!O71/년간!I10*1000</f>
        <v>16.011960780819987</v>
      </c>
      <c r="O18" s="4854">
        <f>종합!P71/년간!J10*1000</f>
        <v>15.443971437201165</v>
      </c>
      <c r="P18" s="4854">
        <f>종합!Q71/년간!K10*1000</f>
        <v>16.617333935703517</v>
      </c>
      <c r="Q18" s="4854">
        <f>종합!R71/년간!L10*1000</f>
        <v>16.431369396400264</v>
      </c>
      <c r="R18" s="4854">
        <f>종합!S71/년간!M10*1000</f>
        <v>16.113857556888934</v>
      </c>
      <c r="S18" s="4854">
        <f>종합!T71/년간!N10*1000</f>
        <v>14.785566236753571</v>
      </c>
      <c r="T18" s="4854">
        <f>종합!U71/년간!O10*1000</f>
        <v>16.428069218558598</v>
      </c>
      <c r="U18" s="4854">
        <f>종합!V71/년간!P10*1000</f>
        <v>28.744467458683108</v>
      </c>
      <c r="V18" s="4854" t="e">
        <f>종합!W71/년간!Q10*1000</f>
        <v>#DIV/0!</v>
      </c>
      <c r="W18" s="6031">
        <f>종합!X71/년간!V10*1000</f>
        <v>16.348472210753702</v>
      </c>
      <c r="X18" s="4410">
        <f>($H$18-I18)*년간!$C$214*년간!E10/1000</f>
        <v>120473922.23871648</v>
      </c>
      <c r="Y18" s="5618">
        <f>($H$18-J18)*년간!$C$214*(년간!E10/10)/1000</f>
        <v>12047392.223871646</v>
      </c>
      <c r="Z18" s="4803">
        <f>X18/년간!E9</f>
        <v>452.3584890536207</v>
      </c>
      <c r="AA18" s="4658">
        <f>($H$18-K18)*년간!$C$214*년간!F10/1000</f>
        <v>4748382.865915332</v>
      </c>
      <c r="AB18" s="4658">
        <f>($H$18-L18)*년간!$C$214*년간!G10/1000</f>
        <v>-5975497.5619665245</v>
      </c>
      <c r="AC18" s="4658">
        <f>($H$18-M18)*년간!$C$214*년간!H10/1000</f>
        <v>-7231649.4594747871</v>
      </c>
      <c r="AD18" s="4658">
        <f>($H$18-N18)*년간!$C$214*년간!I10/1000</f>
        <v>8340256.066916151</v>
      </c>
      <c r="AE18" s="4658">
        <f>($H$18-O18)*년간!$C$214*년간!J10/1000</f>
        <v>13325372.830749908</v>
      </c>
      <c r="AF18" s="4658">
        <f>($H$18-P18)*년간!$C$214*년간!K10/1000</f>
        <v>1877199.9515453612</v>
      </c>
      <c r="AG18" s="4658">
        <f>($H$18-Q18)*년간!$C$214*년간!L10/1000</f>
        <v>4806065.66329569</v>
      </c>
      <c r="AH18" s="4658">
        <f>($H$18-R18)*년간!$C$214*년간!M10/1000</f>
        <v>8140048.7392187184</v>
      </c>
      <c r="AI18" s="4658">
        <f>($H$18-S18)*년간!$C$214*년간!N10/1000</f>
        <v>25455446.192432538</v>
      </c>
      <c r="AJ18" s="4658">
        <f>($H$18-T18)*년간!$C$214*년간!O10/1000</f>
        <v>4277835.9136501737</v>
      </c>
      <c r="AK18" s="4658">
        <f>($H$18-U18)*년간!$C$214*년간!P10/1000</f>
        <v>-6915314.8312680079</v>
      </c>
      <c r="AL18" s="4658" t="e">
        <f>($H$18-V18)*년간!$C$214*년간!Q10/1000</f>
        <v>#DIV/0!</v>
      </c>
      <c r="AM18" s="6342" t="e">
        <f t="shared" si="1"/>
        <v>#DIV/0!</v>
      </c>
      <c r="AN18" s="4485">
        <f t="shared" si="8"/>
        <v>452.3584890536207</v>
      </c>
      <c r="AO18" s="4487">
        <f>AA18/년간!F10</f>
        <v>191.94583205994195</v>
      </c>
      <c r="AP18" s="4487">
        <f>AB18/년간!G10</f>
        <v>-242.70070131480122</v>
      </c>
      <c r="AQ18" s="4487">
        <f>AC18/년간!H10</f>
        <v>-268.55720967249391</v>
      </c>
      <c r="AR18" s="4487">
        <f>AD18/년간!I10</f>
        <v>337.74368499104037</v>
      </c>
      <c r="AS18" s="4487">
        <f>AE18/년간!J10</f>
        <v>584.1517950274141</v>
      </c>
      <c r="AT18" s="4487">
        <f>AF18/년간!K10</f>
        <v>75.117534276291877</v>
      </c>
      <c r="AU18" s="4487">
        <f>AG18/년간!L10</f>
        <v>155.79364409825985</v>
      </c>
      <c r="AV18" s="4487">
        <f>AH18/년간!M10</f>
        <v>293.53829224550464</v>
      </c>
      <c r="AW18" s="4480">
        <f>AI18/년간!N10</f>
        <v>869.78458533076309</v>
      </c>
      <c r="AX18" s="4492">
        <f>AJ18/년간!O10</f>
        <v>157.22534452342589</v>
      </c>
      <c r="AY18" s="4799"/>
      <c r="AZ18" s="5835"/>
      <c r="BA18" s="4558" t="e">
        <f>AM18/년간!$V$9</f>
        <v>#DIV/0!</v>
      </c>
    </row>
    <row r="19" spans="2:53" ht="17.399999999999999">
      <c r="B19" s="7107"/>
      <c r="C19" s="2701" t="s">
        <v>29</v>
      </c>
      <c r="D19" s="2702" t="s">
        <v>321</v>
      </c>
      <c r="E19" s="5781">
        <f>종합!F72/CGL!H5*1000</f>
        <v>1.9060738925578218</v>
      </c>
      <c r="F19" s="5781">
        <f>종합!G72/CGL!I5*1000</f>
        <v>1.616614621045144</v>
      </c>
      <c r="G19" s="5781">
        <f>종합!H72/CGL!J5*1000</f>
        <v>1.2528499645990618</v>
      </c>
      <c r="H19" s="5769">
        <f>종합!I72/년간!C10*1000</f>
        <v>1.1972605314539384</v>
      </c>
      <c r="I19" s="5778">
        <f>종합!J72/년간!E10*1000</f>
        <v>1.0967718348992799</v>
      </c>
      <c r="J19" s="5813">
        <f>종합!K72/(년간!E10/10)*1000</f>
        <v>1.0967718348992799</v>
      </c>
      <c r="K19" s="4854">
        <f>종합!L72/년간!F10*1000</f>
        <v>1.0186699565933413</v>
      </c>
      <c r="L19" s="4854">
        <f>종합!M72/년간!G10*1000</f>
        <v>1.3419520447100728</v>
      </c>
      <c r="M19" s="4854">
        <f>종합!N72/년간!H10*1000</f>
        <v>1.2511243036002226</v>
      </c>
      <c r="N19" s="4854">
        <f>종합!O72/년간!I10*1000</f>
        <v>1.631972735121511</v>
      </c>
      <c r="O19" s="4854">
        <f>종합!P72/년간!J10*1000</f>
        <v>1.1801070425474181</v>
      </c>
      <c r="P19" s="4854">
        <f>종합!Q72/년간!K10*1000</f>
        <v>1.5542111158107368</v>
      </c>
      <c r="Q19" s="4854">
        <f>종합!R72/년간!L10*1000</f>
        <v>1.3932416434675832</v>
      </c>
      <c r="R19" s="4854">
        <f>종합!S72/년간!M10*1000</f>
        <v>1.2837715766481952</v>
      </c>
      <c r="S19" s="4854">
        <f>종합!T72/년간!N10*1000</f>
        <v>1.4767798408959358</v>
      </c>
      <c r="T19" s="4854">
        <f>종합!U72/년간!O10*1000</f>
        <v>1.7762955508813301</v>
      </c>
      <c r="U19" s="4854">
        <f>종합!V72/년간!P10*1000</f>
        <v>2.1372745175383998</v>
      </c>
      <c r="V19" s="4854" t="e">
        <f>종합!W72/년간!Q10*1000</f>
        <v>#DIV/0!</v>
      </c>
      <c r="W19" s="6031">
        <f>종합!X72/년간!V10*1000</f>
        <v>1.3989875127212568</v>
      </c>
      <c r="X19" s="4410">
        <f>($H$19-I19)*년간!$C$215*년간!E10/1000</f>
        <v>11924412.425607961</v>
      </c>
      <c r="Y19" s="5618">
        <f>($H$19-J19)*년간!$C$215*(년간!E10/10)/1000</f>
        <v>1192441.242560796</v>
      </c>
      <c r="Z19" s="4803">
        <f>X19/년간!E10</f>
        <v>43.594532320432712</v>
      </c>
      <c r="AA19" s="4658">
        <f>($H$19-K19)*년간!$C$215*년간!F10/1000</f>
        <v>1916639.296385935</v>
      </c>
      <c r="AB19" s="4658">
        <f>($H$19-L19)*년간!$C$215*년간!G10/1000</f>
        <v>-1545471.1806868748</v>
      </c>
      <c r="AC19" s="4658">
        <f>($H$19-M19)*년간!$C$215*년간!H10/1000</f>
        <v>-629233.91811573133</v>
      </c>
      <c r="AD19" s="4658">
        <f>($H$19-N19)*년간!$C$215*년간!I10/1000</f>
        <v>-4657027.3612329755</v>
      </c>
      <c r="AE19" s="4658">
        <f>($H$19-O19)*년간!$C$215*년간!J10/1000</f>
        <v>169754.35678663556</v>
      </c>
      <c r="AF19" s="4658">
        <f>($H$19-P19)*년간!$C$215*년간!K10/1000</f>
        <v>-3869832.0551909418</v>
      </c>
      <c r="AG19" s="4658">
        <f>($H$19-Q19)*년간!$C$215*년간!L10/1000</f>
        <v>-2622823.0505021261</v>
      </c>
      <c r="AH19" s="4658">
        <f>($H$19-R19)*년간!$C$215*년간!M10/1000</f>
        <v>-1040755.2515927058</v>
      </c>
      <c r="AI19" s="4658">
        <f>($H$19-S19)*년간!$C$215*년간!N10/1000</f>
        <v>-3548915.2795476606</v>
      </c>
      <c r="AJ19" s="4658">
        <f>($H$19-T19)*년간!$C$215*년간!O10/1000</f>
        <v>-6834727.5517549254</v>
      </c>
      <c r="AK19" s="4658">
        <f>($H$19-U19)*년간!$C$215*년간!P10/1000</f>
        <v>-543793.08104331233</v>
      </c>
      <c r="AL19" s="4658" t="e">
        <f>($H$19-V19)*년간!$C$215*년간!Q10/1000</f>
        <v>#DIV/0!</v>
      </c>
      <c r="AM19" s="6342" t="e">
        <f t="shared" si="1"/>
        <v>#DIV/0!</v>
      </c>
      <c r="AN19" s="4485">
        <f t="shared" si="8"/>
        <v>43.594532320432712</v>
      </c>
      <c r="AO19" s="4487">
        <f>AA19/년간!F10</f>
        <v>77.477097970418754</v>
      </c>
      <c r="AP19" s="4487">
        <f>AB19/년간!G10</f>
        <v>-62.770829629638079</v>
      </c>
      <c r="AQ19" s="4487">
        <f>AC19/년간!H10</f>
        <v>-23.367463567948466</v>
      </c>
      <c r="AR19" s="4487">
        <f>AD19/년간!I10</f>
        <v>-188.58912357933232</v>
      </c>
      <c r="AS19" s="4487">
        <f>AE19/년간!J10</f>
        <v>7.4416163427568982</v>
      </c>
      <c r="AT19" s="4487">
        <f>AF19/년간!K10</f>
        <v>-154.8541708676228</v>
      </c>
      <c r="AU19" s="4487">
        <f>AG19/년간!L10</f>
        <v>-85.021551824249485</v>
      </c>
      <c r="AV19" s="4487">
        <f>AH19/년간!M10</f>
        <v>-37.530674445001594</v>
      </c>
      <c r="AW19" s="4480">
        <f>AI19/년간!N10</f>
        <v>-121.26252989087344</v>
      </c>
      <c r="AX19" s="4492">
        <f>AJ19/년간!O10</f>
        <v>-251.20000293127086</v>
      </c>
      <c r="AY19" s="4799"/>
      <c r="AZ19" s="5835"/>
      <c r="BA19" s="4558" t="e">
        <f>AM19/년간!$V$10</f>
        <v>#DIV/0!</v>
      </c>
    </row>
    <row r="20" spans="2:53" ht="17.399999999999999">
      <c r="B20" s="7107"/>
      <c r="C20" s="2701" t="s">
        <v>505</v>
      </c>
      <c r="D20" s="2702" t="s">
        <v>321</v>
      </c>
      <c r="E20" s="5781">
        <f>종합!F73/'#1CCL'!H5*1000</f>
        <v>6.9486644032283227</v>
      </c>
      <c r="F20" s="5781">
        <f>종합!G73/'#1CCL'!I5*1000</f>
        <v>3.3509329098848748</v>
      </c>
      <c r="G20" s="5781">
        <f>종합!H73/'#1CCL'!J5*1000</f>
        <v>3.4277214650782906</v>
      </c>
      <c r="H20" s="5769">
        <f>종합!I73/년간!C11*1000</f>
        <v>3.577497104820067</v>
      </c>
      <c r="I20" s="5778">
        <f>종합!J73/년간!E11*1000</f>
        <v>3.1793945187325519</v>
      </c>
      <c r="J20" s="5813">
        <f>종합!K73/(년간!E11/12)*1000</f>
        <v>3.1793945187325519</v>
      </c>
      <c r="K20" s="4854">
        <f>종합!L73/년간!F11*1000</f>
        <v>3.9535346656156962</v>
      </c>
      <c r="L20" s="4854">
        <f>종합!M73/년간!G11*1000</f>
        <v>3.0055403968645611</v>
      </c>
      <c r="M20" s="4854">
        <f>종합!N73/년간!H11*1000</f>
        <v>2.8836581177043827</v>
      </c>
      <c r="N20" s="4854">
        <f>종합!O73/년간!I11*1000</f>
        <v>3.1335914181128404</v>
      </c>
      <c r="O20" s="4854">
        <f>종합!P73/년간!J11*1000</f>
        <v>3.391893540590925</v>
      </c>
      <c r="P20" s="4854">
        <f>종합!Q73/년간!K11*1000</f>
        <v>2.7949956408662358</v>
      </c>
      <c r="Q20" s="4854">
        <f>종합!R73/년간!L11*1000</f>
        <v>2.9046737089841015</v>
      </c>
      <c r="R20" s="4854">
        <f>종합!S73/년간!M11*1000</f>
        <v>2.6315005191313392</v>
      </c>
      <c r="S20" s="4854">
        <f>종합!T73/년간!N11*1000</f>
        <v>3.6163572748938599</v>
      </c>
      <c r="T20" s="4854">
        <f>종합!U73/년간!O11*1000</f>
        <v>4.0856363453751952</v>
      </c>
      <c r="U20" s="4854">
        <f>종합!V73/년간!P11*1000</f>
        <v>2.7128879117238474</v>
      </c>
      <c r="V20" s="4854">
        <f>종합!W73/년간!Q11*1000</f>
        <v>3.1124870675017169</v>
      </c>
      <c r="W20" s="6031">
        <f>종합!X73/년간!V11*1000</f>
        <v>3.189781473102633</v>
      </c>
      <c r="X20" s="4410">
        <f>($H$20-I20)*년간!$C$216*년간!E11/1000</f>
        <v>46855867.367112018</v>
      </c>
      <c r="Y20" s="5618">
        <f>($H$20-J20)*년간!$C$216*(년간!E11/12)/1000</f>
        <v>3904655.6139260014</v>
      </c>
      <c r="Z20" s="4803">
        <f>X20/년간!E11</f>
        <v>279.93707352797236</v>
      </c>
      <c r="AA20" s="4658">
        <f>($H$20-K20)*년간!$C$216*년간!F11/1000</f>
        <v>-3626357.4343026057</v>
      </c>
      <c r="AB20" s="4658">
        <f>($H$20-L20)*년간!$C$216*년간!G11/1000</f>
        <v>4588529.1251553614</v>
      </c>
      <c r="AC20" s="4658">
        <f>($H$20-M20)*년간!$C$216*년간!H11/1000</f>
        <v>6488521.0404761974</v>
      </c>
      <c r="AD20" s="4658">
        <f>($H$20-N20)*년간!$C$216*년간!I11/1000</f>
        <v>4028328.7490045708</v>
      </c>
      <c r="AE20" s="4658">
        <f>($H$20-O20)*년간!$C$216*년간!J11/1000</f>
        <v>1649540.5722331181</v>
      </c>
      <c r="AF20" s="4658">
        <f>($H$20-P20)*년간!$C$216*년간!K11/1000</f>
        <v>7478917.4005269455</v>
      </c>
      <c r="AG20" s="4658">
        <f>($H$20-Q20)*년간!$C$216*년간!L11/1000</f>
        <v>7124393.9942498039</v>
      </c>
      <c r="AH20" s="4658">
        <f>($H$20-R20)*년간!$C$216*년간!M11/1000</f>
        <v>8258490.2950522378</v>
      </c>
      <c r="AI20" s="4658">
        <f>($H$20-S20)*년간!$C$216*년간!N11/1000</f>
        <v>-355666.51949226286</v>
      </c>
      <c r="AJ20" s="4658">
        <f>($H$20-T20)*년간!$C$216*년간!O11/1000</f>
        <v>-4873909.8082844829</v>
      </c>
      <c r="AK20" s="4658">
        <f>($H$20-U20)*년간!$C$216*년간!P11/1000</f>
        <v>8074537.9496016912</v>
      </c>
      <c r="AL20" s="4658">
        <f>($H$20-V20)*년간!$C$216*년간!Q11/1000</f>
        <v>4140250.5730582424</v>
      </c>
      <c r="AM20" s="6342">
        <f t="shared" si="1"/>
        <v>42975575.937278815</v>
      </c>
      <c r="AN20" s="4485">
        <f t="shared" si="8"/>
        <v>279.93707352797236</v>
      </c>
      <c r="AO20" s="4487">
        <f>AA20/년간!F11</f>
        <v>-264.42142800495293</v>
      </c>
      <c r="AP20" s="4487">
        <f>AB20/년간!G11</f>
        <v>402.18750795695661</v>
      </c>
      <c r="AQ20" s="4487">
        <f>AC20/년간!H11</f>
        <v>487.89247380090933</v>
      </c>
      <c r="AR20" s="4487">
        <f>AD20/년간!I11</f>
        <v>312.14481694406425</v>
      </c>
      <c r="AS20" s="4487">
        <f>AE20/년간!J11</f>
        <v>130.51238656170216</v>
      </c>
      <c r="AT20" s="4487">
        <f>AF20/년간!K11</f>
        <v>550.23799770653989</v>
      </c>
      <c r="AU20" s="4487">
        <f>AG20/년간!L11</f>
        <v>473.11476743350789</v>
      </c>
      <c r="AV20" s="4487">
        <f>AH20/년간!M11</f>
        <v>665.20420871353201</v>
      </c>
      <c r="AW20" s="4480">
        <f>AI20/년간!N11</f>
        <v>-27.325625774421578</v>
      </c>
      <c r="AX20" s="4492">
        <f>AJ20/년간!O11</f>
        <v>-357.31245391723911</v>
      </c>
      <c r="AY20" s="4799"/>
      <c r="AZ20" s="5835"/>
      <c r="BA20" s="4558">
        <f>AM20/년간!$V$11</f>
        <v>272.63319329497682</v>
      </c>
    </row>
    <row r="21" spans="2:53" ht="18" thickBot="1">
      <c r="B21" s="7107"/>
      <c r="C21" s="2609" t="s">
        <v>443</v>
      </c>
      <c r="D21" s="1769" t="s">
        <v>321</v>
      </c>
      <c r="E21" s="5782">
        <f>종합!F74/'#2CCL'!H5*1000</f>
        <v>7.7981843885154776</v>
      </c>
      <c r="F21" s="5782">
        <f>종합!G74/'#2CCL'!I5*1000</f>
        <v>6.7283431455004203</v>
      </c>
      <c r="G21" s="5782">
        <f>종합!H74/'#2CCL'!J5*1000</f>
        <v>5.5958132045088576</v>
      </c>
      <c r="H21" s="5770">
        <f>종합!I74/년간!C12*1000</f>
        <v>5.0262406536484958</v>
      </c>
      <c r="I21" s="5779">
        <f>종합!J74/년간!E12*1000</f>
        <v>4.7088398619240586</v>
      </c>
      <c r="J21" s="5814">
        <f>종합!K74/(년간!E12/12)*1000</f>
        <v>4.7088398619240586</v>
      </c>
      <c r="K21" s="5772">
        <f>종합!L74/년간!F12*1000</f>
        <v>4.295864817236307</v>
      </c>
      <c r="L21" s="5772">
        <f>종합!M74/년간!G12*1000</f>
        <v>4.1532746170221646</v>
      </c>
      <c r="M21" s="5772">
        <f>종합!N74/년간!H12*1000</f>
        <v>5.2696493831661773</v>
      </c>
      <c r="N21" s="5772">
        <f>종합!O74/년간!I12*1000</f>
        <v>4.6446644993029702</v>
      </c>
      <c r="O21" s="5772">
        <f>종합!P74/년간!J12*1000</f>
        <v>4.9866773843016414</v>
      </c>
      <c r="P21" s="5772">
        <f>종합!Q74/년간!K12*1000</f>
        <v>4.6299115502306396</v>
      </c>
      <c r="Q21" s="5772">
        <f>종합!R74/년간!L12*1000</f>
        <v>4.8816187351219202</v>
      </c>
      <c r="R21" s="5772">
        <f>종합!S74/년간!M12*1000</f>
        <v>4.8425101354863296</v>
      </c>
      <c r="S21" s="5772">
        <f>종합!T74/년간!N12*1000</f>
        <v>4.869438782542721</v>
      </c>
      <c r="T21" s="5772">
        <f>종합!U74/년간!O12*1000</f>
        <v>4.406171802307199</v>
      </c>
      <c r="U21" s="5772">
        <f>종합!V74/년간!P12*1000</f>
        <v>4.3847826847380347</v>
      </c>
      <c r="V21" s="5772">
        <f>종합!W74/년간!Q12*1000</f>
        <v>3.6829254175447015</v>
      </c>
      <c r="W21" s="6032">
        <f>종합!X74/년간!V12*1000</f>
        <v>4.5690483667398576</v>
      </c>
      <c r="X21" s="4410">
        <f>($H$21-I21)*년간!$C$217*년간!E12/1000</f>
        <v>14623675.958561948</v>
      </c>
      <c r="Y21" s="5618">
        <f>($H$21-J21)*년간!$C$217*(년간!E12/12)/1000</f>
        <v>1218639.6632134956</v>
      </c>
      <c r="Z21" s="4803">
        <f>X21/년간!E12</f>
        <v>274.3448138706654</v>
      </c>
      <c r="AA21" s="4658">
        <f>($H$21-K21)*년간!$C$217*년간!F12/1000</f>
        <v>3249176.3383041616</v>
      </c>
      <c r="AB21" s="4658">
        <f>($H$21-L21)*년간!$C$217*년간!G12/1000</f>
        <v>3976868.3128235312</v>
      </c>
      <c r="AC21" s="4658">
        <f>($H$21-M21)*년간!$C$217*년간!H12/1000</f>
        <v>-886331.4356822155</v>
      </c>
      <c r="AD21" s="4658">
        <f>($H$21-N21)*년간!$C$217*년간!I12/1000</f>
        <v>1501848.0629187438</v>
      </c>
      <c r="AE21" s="4658">
        <f>($H$21-O21)*년간!$C$217*년간!J12/1000</f>
        <v>137836.96662859086</v>
      </c>
      <c r="AF21" s="4658">
        <f>($H$21-P21)*년간!$C$217*년간!K12/1000</f>
        <v>1800172.5228962624</v>
      </c>
      <c r="AG21" s="4658">
        <f>($H$21-Q21)*년간!$C$217*년간!L12/1000</f>
        <v>621738.40246238641</v>
      </c>
      <c r="AH21" s="4658">
        <f>($H$21-R21)*년간!$C$217*년간!M12/1000</f>
        <v>733282.48183793784</v>
      </c>
      <c r="AI21" s="4658">
        <f>($H$21-S21)*년간!$C$217*년간!N12/1000</f>
        <v>555548.03587856912</v>
      </c>
      <c r="AJ21" s="4658">
        <f>($H$21-T21)*년간!$C$217*년간!O12/1000</f>
        <v>2373146.270757698</v>
      </c>
      <c r="AK21" s="4658">
        <f>($H$21-U21)*년간!$C$217*년간!P12/1000</f>
        <v>2694587.7405898576</v>
      </c>
      <c r="AL21" s="4658">
        <f>($H$21-V21)*년간!$C$217*년간!Q12/1000</f>
        <v>5416227.839482489</v>
      </c>
      <c r="AM21" s="6342">
        <f t="shared" si="1"/>
        <v>22174101.53889801</v>
      </c>
      <c r="AN21" s="4485">
        <f t="shared" si="8"/>
        <v>274.3448138706654</v>
      </c>
      <c r="AO21" s="4487">
        <f>AA21/년간!F12</f>
        <v>631.29906452815658</v>
      </c>
      <c r="AP21" s="4487">
        <f>AB21/년간!G12</f>
        <v>754.54665230195224</v>
      </c>
      <c r="AQ21" s="4487">
        <f>AC21/년간!H12</f>
        <v>-210.38990555511617</v>
      </c>
      <c r="AR21" s="4487">
        <f>AD21/년간!I12</f>
        <v>329.81467523336283</v>
      </c>
      <c r="AS21" s="4487">
        <f>AE21/년간!J12</f>
        <v>34.19644200037483</v>
      </c>
      <c r="AT21" s="4487">
        <f>AF21/년간!K12</f>
        <v>342.56636071373754</v>
      </c>
      <c r="AU21" s="4487">
        <f>AG21/년간!L12</f>
        <v>125.00369990960287</v>
      </c>
      <c r="AV21" s="4487">
        <f>AH21/년간!M12</f>
        <v>158.80714894788838</v>
      </c>
      <c r="AW21" s="4480">
        <f>AI21/년간!N12</f>
        <v>135.53142041445588</v>
      </c>
      <c r="AX21" s="4492">
        <f>AJ21/년간!O12</f>
        <v>535.95541675874188</v>
      </c>
      <c r="AY21" s="4799"/>
      <c r="AZ21" s="5835"/>
      <c r="BA21" s="4558">
        <f>AM21/년간!$V$12</f>
        <v>395.1733458936958</v>
      </c>
    </row>
    <row r="22" spans="2:53" ht="17.399999999999999">
      <c r="B22" s="7129"/>
      <c r="C22" s="2608" t="s">
        <v>16</v>
      </c>
      <c r="D22" s="2534" t="s">
        <v>321</v>
      </c>
      <c r="E22" s="5783">
        <f t="shared" ref="E22:J22" si="15">SUM(E17:E21)</f>
        <v>40.666777182674579</v>
      </c>
      <c r="F22" s="5783">
        <f t="shared" si="15"/>
        <v>32.711570187468681</v>
      </c>
      <c r="G22" s="5783">
        <f t="shared" si="15"/>
        <v>29.487148419735519</v>
      </c>
      <c r="H22" s="5783">
        <f t="shared" si="15"/>
        <v>29.630823829626561</v>
      </c>
      <c r="I22" s="5784">
        <f t="shared" si="15"/>
        <v>27.504394866906047</v>
      </c>
      <c r="J22" s="5815">
        <f t="shared" si="15"/>
        <v>27.504394866906047</v>
      </c>
      <c r="K22" s="5810">
        <f t="shared" ref="K22:P22" si="16">SUM(K17:K21)</f>
        <v>27.917800773082874</v>
      </c>
      <c r="L22" s="5773">
        <f t="shared" si="16"/>
        <v>28.212936733447087</v>
      </c>
      <c r="M22" s="5773">
        <f t="shared" si="16"/>
        <v>28.861591047108433</v>
      </c>
      <c r="N22" s="5773">
        <f t="shared" si="16"/>
        <v>27.427174906851977</v>
      </c>
      <c r="O22" s="5773">
        <f t="shared" si="16"/>
        <v>26.935458255073897</v>
      </c>
      <c r="P22" s="5773">
        <f t="shared" si="16"/>
        <v>28.341106185656592</v>
      </c>
      <c r="Q22" s="5773">
        <f t="shared" ref="Q22:W22" si="17">SUM(Q17:Q21)</f>
        <v>27.490455524070981</v>
      </c>
      <c r="R22" s="5773">
        <f t="shared" si="17"/>
        <v>27.74721921338401</v>
      </c>
      <c r="S22" s="5773">
        <f t="shared" si="17"/>
        <v>26.881274618163857</v>
      </c>
      <c r="T22" s="5773">
        <f t="shared" si="17"/>
        <v>28.853446415975704</v>
      </c>
      <c r="U22" s="5773">
        <f t="shared" si="17"/>
        <v>54.071859850760873</v>
      </c>
      <c r="V22" s="5773" t="e">
        <f t="shared" si="17"/>
        <v>#DIV/0!</v>
      </c>
      <c r="W22" s="5773">
        <f t="shared" si="17"/>
        <v>27.786626254461943</v>
      </c>
      <c r="X22" s="5790">
        <f t="shared" ref="X22:AE22" si="18">SUM(X17:X21)</f>
        <v>229297527.30228236</v>
      </c>
      <c r="Y22" s="4659">
        <f t="shared" si="18"/>
        <v>21905093.674800336</v>
      </c>
      <c r="Z22" s="4816">
        <f>X22/(년간!E8+년간!E10+년간!E10+년간!E11+년간!E12)</f>
        <v>219.56382386279685</v>
      </c>
      <c r="AA22" s="4659">
        <f t="shared" si="18"/>
        <v>14686750.779081024</v>
      </c>
      <c r="AB22" s="4659">
        <f t="shared" si="18"/>
        <v>9542454.4481268115</v>
      </c>
      <c r="AC22" s="4659">
        <f t="shared" si="18"/>
        <v>7982113.3753006654</v>
      </c>
      <c r="AD22" s="4659">
        <f t="shared" si="18"/>
        <v>20851351.667857185</v>
      </c>
      <c r="AE22" s="4659">
        <f t="shared" si="18"/>
        <v>27494588.01306954</v>
      </c>
      <c r="AF22" s="4659">
        <f>SUM(AF17:AF21)</f>
        <v>11056998.746421138</v>
      </c>
      <c r="AG22" s="4659">
        <f>SUM(AG17:AG21)</f>
        <v>26248016.831373259</v>
      </c>
      <c r="AH22" s="4659">
        <f>SUM(AH17:AH21)</f>
        <v>18120894.233391117</v>
      </c>
      <c r="AI22" s="4659">
        <f>SUM(AI17:AI21)</f>
        <v>33735723.86862842</v>
      </c>
      <c r="AJ22" s="4659">
        <f>SUM(AJ17:AJ21)</f>
        <v>6662010.9160078652</v>
      </c>
      <c r="AK22" s="4659">
        <f t="shared" ref="AK22:AL22" si="19">SUM(AK17:AK21)</f>
        <v>-384824.64403431443</v>
      </c>
      <c r="AL22" s="4659" t="e">
        <f t="shared" si="19"/>
        <v>#DIV/0!</v>
      </c>
      <c r="AM22" s="6343" t="e">
        <f t="shared" si="1"/>
        <v>#DIV/0!</v>
      </c>
      <c r="AN22" s="4518">
        <f t="shared" si="8"/>
        <v>219.56382386279685</v>
      </c>
      <c r="AO22" s="4518">
        <f>AA22/(년간!F8+년간!F10+년간!F10+년간!F11+년간!F12)</f>
        <v>155.27852630894475</v>
      </c>
      <c r="AP22" s="4518">
        <f>AB22/(년간!G8+년간!G10+년간!G10+년간!G11+년간!G12)</f>
        <v>100.60432940820979</v>
      </c>
      <c r="AQ22" s="4518">
        <f>AC22/(년간!H8+년간!H10+년간!H10+년간!H11+년간!H12)</f>
        <v>83.87164436545504</v>
      </c>
      <c r="AR22" s="4518">
        <f>AD22/(년간!I8+년간!I10+년간!I10+년간!I11+년간!I12)</f>
        <v>224.73400351520675</v>
      </c>
      <c r="AS22" s="4518">
        <f>AE22/(년간!J8+년간!J10+년간!J10+년간!J11+년간!J12)</f>
        <v>313.39171666745665</v>
      </c>
      <c r="AT22" s="4518">
        <f>AF22/(년간!K8+년간!K10+년간!K10+년간!K11+년간!K12)</f>
        <v>112.45798840250686</v>
      </c>
      <c r="AU22" s="4518">
        <f>AG22/(년간!L8+년간!L10+년간!L10+년간!L11+년간!L12)</f>
        <v>229.91631579988902</v>
      </c>
      <c r="AV22" s="4518">
        <f>AH22/(년간!M8+년간!M10+년간!M10+년간!M11+년간!M12)</f>
        <v>179.29829842726161</v>
      </c>
      <c r="AW22" s="6373">
        <f>AI22/(년간!N8+년간!N10+년간!N10+년간!N11+년간!N12)</f>
        <v>320.59473460108876</v>
      </c>
      <c r="AX22" s="6391">
        <f>AJ22/(년간!O8+년간!O10+년간!O10+년간!O11+년간!O12)</f>
        <v>64.609718333200263</v>
      </c>
      <c r="AY22" s="4794"/>
      <c r="AZ22" s="6395"/>
      <c r="BA22" s="6401" t="e">
        <f>AM22/년간!$V$13</f>
        <v>#DIV/0!</v>
      </c>
    </row>
    <row r="23" spans="2:53" ht="18" thickBot="1">
      <c r="B23" s="7117"/>
      <c r="C23" s="2059" t="s">
        <v>493</v>
      </c>
      <c r="D23" s="1987" t="str">
        <f>D22</f>
        <v>kg/ton</v>
      </c>
      <c r="E23" s="5795">
        <f>E22</f>
        <v>40.666777182674579</v>
      </c>
      <c r="F23" s="5795">
        <f t="shared" ref="F23:Y23" si="20">F22</f>
        <v>32.711570187468681</v>
      </c>
      <c r="G23" s="5795">
        <f t="shared" si="20"/>
        <v>29.487148419735519</v>
      </c>
      <c r="H23" s="5796">
        <f t="shared" si="20"/>
        <v>29.630823829626561</v>
      </c>
      <c r="I23" s="5822">
        <f t="shared" si="20"/>
        <v>27.504394866906047</v>
      </c>
      <c r="J23" s="5826">
        <f t="shared" si="20"/>
        <v>27.504394866906047</v>
      </c>
      <c r="K23" s="5811">
        <f t="shared" si="20"/>
        <v>27.917800773082874</v>
      </c>
      <c r="L23" s="5795">
        <f t="shared" si="20"/>
        <v>28.212936733447087</v>
      </c>
      <c r="M23" s="5795">
        <f t="shared" si="20"/>
        <v>28.861591047108433</v>
      </c>
      <c r="N23" s="5795">
        <f t="shared" si="20"/>
        <v>27.427174906851977</v>
      </c>
      <c r="O23" s="5795">
        <f t="shared" si="20"/>
        <v>26.935458255073897</v>
      </c>
      <c r="P23" s="5795">
        <f t="shared" si="20"/>
        <v>28.341106185656592</v>
      </c>
      <c r="Q23" s="5795">
        <f t="shared" si="20"/>
        <v>27.490455524070981</v>
      </c>
      <c r="R23" s="5795">
        <f t="shared" ref="R23:W23" si="21">R22</f>
        <v>27.74721921338401</v>
      </c>
      <c r="S23" s="5795">
        <f t="shared" si="21"/>
        <v>26.881274618163857</v>
      </c>
      <c r="T23" s="5795">
        <f t="shared" si="21"/>
        <v>28.853446415975704</v>
      </c>
      <c r="U23" s="5795">
        <f t="shared" si="21"/>
        <v>54.071859850760873</v>
      </c>
      <c r="V23" s="5795" t="e">
        <f t="shared" si="21"/>
        <v>#DIV/0!</v>
      </c>
      <c r="W23" s="5795">
        <f t="shared" si="21"/>
        <v>27.786626254461943</v>
      </c>
      <c r="X23" s="5794">
        <f t="shared" si="20"/>
        <v>229297527.30228236</v>
      </c>
      <c r="Y23" s="4822">
        <f t="shared" si="20"/>
        <v>21905093.674800336</v>
      </c>
      <c r="Z23" s="4493"/>
      <c r="AA23" s="4659"/>
      <c r="AB23" s="4659"/>
      <c r="AC23" s="4659"/>
      <c r="AD23" s="4659"/>
      <c r="AE23" s="4659"/>
      <c r="AF23" s="4659"/>
      <c r="AG23" s="4659"/>
      <c r="AH23" s="4659"/>
      <c r="AI23" s="4659"/>
      <c r="AJ23" s="4659"/>
      <c r="AK23" s="6335"/>
      <c r="AL23" s="6335"/>
      <c r="AM23" s="6343"/>
      <c r="AN23" s="4668">
        <f t="shared" si="8"/>
        <v>0</v>
      </c>
      <c r="AO23" s="4668"/>
      <c r="AP23" s="4668"/>
      <c r="AQ23" s="4668"/>
      <c r="AR23" s="4668"/>
      <c r="AS23" s="4668"/>
      <c r="AT23" s="4668"/>
      <c r="AU23" s="4668"/>
      <c r="AV23" s="4668"/>
      <c r="AW23" s="4668"/>
      <c r="AX23" s="6711"/>
      <c r="AY23" s="4804"/>
      <c r="AZ23" s="6396"/>
      <c r="BA23" s="6402"/>
    </row>
    <row r="24" spans="2:53" ht="17.399999999999999">
      <c r="B24" s="7106" t="s">
        <v>1114</v>
      </c>
      <c r="C24" s="2451" t="s">
        <v>29</v>
      </c>
      <c r="D24" s="1225" t="s">
        <v>321</v>
      </c>
      <c r="E24" s="2253"/>
      <c r="F24" s="2253"/>
      <c r="G24" s="2253"/>
      <c r="H24" s="5800">
        <f>종합!I60/년간!C10*1000</f>
        <v>1.6000280572082093</v>
      </c>
      <c r="I24" s="5816">
        <f>종합!J60/년간!E10*1000</f>
        <v>0.54838591744963994</v>
      </c>
      <c r="J24" s="5827">
        <f>종합!K60/(년간!E10/10)*1000</f>
        <v>0.54838591744963994</v>
      </c>
      <c r="K24" s="5832">
        <f>CGL!N13/년간!F10*1000</f>
        <v>1.2211912455827318</v>
      </c>
      <c r="L24" s="5832">
        <f>CGL!O13/년간!G10*1000</f>
        <v>0.1957690331568569</v>
      </c>
      <c r="M24" s="5832">
        <f>CGL!P13/년간!H10*1000</f>
        <v>1.5225911679314077</v>
      </c>
      <c r="N24" s="5832">
        <f>CGL!Q13/년간!I10*1000</f>
        <v>1.3885941709011567</v>
      </c>
      <c r="O24" s="5832">
        <f>CGL!R13/년간!J10*1000</f>
        <v>0.42697780811336739</v>
      </c>
      <c r="P24" s="5832">
        <f>CGL!S13/년간!K10*1000</f>
        <v>0.24169503448756047</v>
      </c>
      <c r="Q24" s="5832">
        <f>CGL!T13/년간!L10*1000</f>
        <v>1.4026422967157359</v>
      </c>
      <c r="R24" s="5832">
        <f>CGL!U13/년간!M10*1000</f>
        <v>1.9112329652346722</v>
      </c>
      <c r="S24" s="5832">
        <f>CGL!V13/년간!N10*1000</f>
        <v>0.93281095919618351</v>
      </c>
      <c r="T24" s="5832">
        <f>CGL!W13/년간!O10*1000</f>
        <v>1.7377043998690107</v>
      </c>
      <c r="U24" s="5832">
        <f>CGL!X13/년간!P10*1000</f>
        <v>25.582051093609625</v>
      </c>
      <c r="V24" s="5832" t="e">
        <f>CGL!Y13/년간!Q10*1000</f>
        <v>#DIV/0!</v>
      </c>
      <c r="W24" s="6034">
        <f>CGL!Z13/년간!V10*1000</f>
        <v>1.3357941716137007</v>
      </c>
      <c r="X24" s="4412">
        <f>($H$24-I24)*년간!$C$215*년간!E10/1000</f>
        <v>124792290.36281773</v>
      </c>
      <c r="Y24" s="5619">
        <f>($H$24-J24)*년간!$C$215*(년간!E10/10)/1000</f>
        <v>12479229.036281772</v>
      </c>
      <c r="Z24" s="4805">
        <f>X24/년간!E10</f>
        <v>456.22889760837103</v>
      </c>
      <c r="AA24" s="4660">
        <f>($H$24-K24)*년간!$C$215*년간!F10/1000</f>
        <v>4065687.7925708825</v>
      </c>
      <c r="AB24" s="4660">
        <f>($H$24-L24)*년간!$C$215*년간!G10/1000</f>
        <v>14999095.68330423</v>
      </c>
      <c r="AC24" s="4660">
        <f>($H$24-M24)*년간!$C$215*년간!H10/1000</f>
        <v>904613.90475968097</v>
      </c>
      <c r="AD24" s="4660">
        <f>($H$24-N24)*년간!$C$215*년간!I10/1000</f>
        <v>2265069.5915975193</v>
      </c>
      <c r="AE24" s="4660">
        <f>($H$24-O24)*년간!$C$215*년간!J10/1000</f>
        <v>11608739.86619739</v>
      </c>
      <c r="AF24" s="4660">
        <f>($H$24-P24)*년간!$C$215*년간!K10/1000</f>
        <v>14726185.929687379</v>
      </c>
      <c r="AG24" s="4660">
        <f>($H$24-Q24)*년간!$C$215*년간!L10/1000</f>
        <v>2641621.5172026721</v>
      </c>
      <c r="AH24" s="4660">
        <f>($H$24-R24)*년간!$C$215*년간!M10/1000</f>
        <v>-3743893.5296954238</v>
      </c>
      <c r="AI24" s="4660">
        <f>($H$24-S24)*년간!$C$215*년간!N10/1000</f>
        <v>8471317.9874311518</v>
      </c>
      <c r="AJ24" s="4660">
        <f>($H$24-T24)*년간!$C$215*년간!O10/1000</f>
        <v>-1625083.5628891117</v>
      </c>
      <c r="AK24" s="4660">
        <f>($H$24-U24)*년간!$C$215*년간!P10/1000</f>
        <v>-13873472.511763932</v>
      </c>
      <c r="AL24" s="4660" t="e">
        <f>($H$24-V24)*년간!$C$215*년간!Q10/1000</f>
        <v>#DIV/0!</v>
      </c>
      <c r="AM24" s="6342" t="e">
        <f t="shared" si="1"/>
        <v>#DIV/0!</v>
      </c>
      <c r="AN24" s="4486">
        <f t="shared" si="8"/>
        <v>456.22889760837103</v>
      </c>
      <c r="AO24" s="4670">
        <f>AA24/년간!F10</f>
        <v>164.34896853889916</v>
      </c>
      <c r="AP24" s="4670">
        <f>AB24/년간!G10</f>
        <v>609.20300003063369</v>
      </c>
      <c r="AQ24" s="4670">
        <f>AC24/년간!H10</f>
        <v>33.594076628659366</v>
      </c>
      <c r="AR24" s="4670">
        <f>AD24/년간!I10</f>
        <v>91.7253552516121</v>
      </c>
      <c r="AS24" s="4670">
        <f>AE24/년간!J10</f>
        <v>508.89879907877082</v>
      </c>
      <c r="AT24" s="4670">
        <f>AF24/년간!K10</f>
        <v>589.27914174602961</v>
      </c>
      <c r="AU24" s="4670">
        <f>AG24/년간!L10</f>
        <v>85.630923779590091</v>
      </c>
      <c r="AV24" s="4670">
        <f>AH24/년간!M10</f>
        <v>-135.0085421185413</v>
      </c>
      <c r="AW24" s="4557">
        <f>AI24/년간!N10</f>
        <v>289.45561382826133</v>
      </c>
      <c r="AX24" s="6392">
        <f>AJ24/년간!O10</f>
        <v>-59.727471602944533</v>
      </c>
      <c r="AY24" s="4805"/>
      <c r="AZ24" s="4952"/>
      <c r="BA24" s="4558" t="e">
        <f>AM24/년간!$V$10</f>
        <v>#DIV/0!</v>
      </c>
    </row>
    <row r="25" spans="2:53" ht="17.399999999999999">
      <c r="B25" s="7107"/>
      <c r="C25" s="2701" t="s">
        <v>505</v>
      </c>
      <c r="D25" s="2702" t="s">
        <v>321</v>
      </c>
      <c r="E25" s="2708"/>
      <c r="F25" s="2708"/>
      <c r="G25" s="2708"/>
      <c r="H25" s="5774">
        <f>종합!I61/년간!C11*1000</f>
        <v>1.3320817617901037</v>
      </c>
      <c r="I25" s="5778">
        <f>종합!J61/년간!E11*1000</f>
        <v>1.1227989676104266</v>
      </c>
      <c r="J25" s="5813">
        <f>종합!K61/(년간!E11/12)*1000</f>
        <v>1.1227989676104266</v>
      </c>
      <c r="K25" s="5832">
        <f>'#1CCL'!N16/년간!F11*1000</f>
        <v>0</v>
      </c>
      <c r="L25" s="5832">
        <f>'#1CCL'!O16/년간!G11*1000</f>
        <v>0</v>
      </c>
      <c r="M25" s="5832">
        <f>'#1CCL'!P16/년간!H11*1000</f>
        <v>2.332492172390872</v>
      </c>
      <c r="N25" s="5832">
        <f>'#1CCL'!Q16/년간!I11*1000</f>
        <v>1.0716510710311717</v>
      </c>
      <c r="O25" s="5832">
        <f>'#1CCL'!R16/년간!J11*1000</f>
        <v>0</v>
      </c>
      <c r="P25" s="5832">
        <f>'#1CCL'!S16/년간!K11*1000</f>
        <v>0.64301821271837056</v>
      </c>
      <c r="Q25" s="5832">
        <f>'#1CCL'!T16/년간!L11*1000</f>
        <v>0.42899387654406251</v>
      </c>
      <c r="R25" s="5832">
        <f>'#1CCL'!U16/년간!M11*1000</f>
        <v>2.1630338212657785</v>
      </c>
      <c r="S25" s="5832">
        <f>'#1CCL'!V16/년간!N11*1000</f>
        <v>3.6058316546121425</v>
      </c>
      <c r="T25" s="5832">
        <f>'#1CCL'!W16/년간!O11*1000</f>
        <v>0.76331680653232625</v>
      </c>
      <c r="U25" s="5832">
        <f>'#1CCL'!X16/년간!P11*1000</f>
        <v>4.565301689248968</v>
      </c>
      <c r="V25" s="5832">
        <f>'#1CCL'!Y16/년간!Q11*1000</f>
        <v>1.3915763037142928</v>
      </c>
      <c r="W25" s="6034">
        <f>'#1CCL'!Z16/년간!V11*1000</f>
        <v>1.411526356967461</v>
      </c>
      <c r="X25" s="4412">
        <f>($H$25-I25)*년간!$C$216*년간!E11/1000</f>
        <v>24632160.626421724</v>
      </c>
      <c r="Y25" s="5619">
        <f>($H$25-J25)*년간!$C$216*(년간!E11/12)/1000</f>
        <v>2052680.0522018101</v>
      </c>
      <c r="Z25" s="4805">
        <f>X25/년간!E11</f>
        <v>147.16310566627868</v>
      </c>
      <c r="AA25" s="4660">
        <f>($H$25-K25)*년간!$C$216*년간!F11/1000</f>
        <v>12846069.391966449</v>
      </c>
      <c r="AB25" s="4660">
        <f>($H$25-L25)*년간!$C$216*년간!G11/1000</f>
        <v>10686640.922371436</v>
      </c>
      <c r="AC25" s="4660">
        <f>($H$25-M25)*년간!$C$216*년간!H11/1000</f>
        <v>-9355461.5967583805</v>
      </c>
      <c r="AD25" s="4660">
        <f>($H$25-N25)*년간!$C$216*년간!I11/1000</f>
        <v>2363340.8404593114</v>
      </c>
      <c r="AE25" s="4660">
        <f>($H$25-O25)*년간!$C$216*년간!J11/1000</f>
        <v>11838796.958078789</v>
      </c>
      <c r="AF25" s="4660">
        <f>($H$25-P25)*년간!$C$216*년간!K11/1000</f>
        <v>6585865.4643047396</v>
      </c>
      <c r="AG25" s="4660">
        <f>($H$25-Q25)*년간!$C$216*년간!L11/1000</f>
        <v>9562619.1742821783</v>
      </c>
      <c r="AH25" s="4660">
        <f>($H$25-R25)*년간!$C$216*년간!M11/1000</f>
        <v>-7254158.8655284513</v>
      </c>
      <c r="AI25" s="4660">
        <f>($H$25-S25)*년간!$C$216*년간!N11/1000</f>
        <v>-20810426.435094282</v>
      </c>
      <c r="AJ25" s="4660">
        <f>($H$25-T25)*년간!$C$216*년간!O11/1000</f>
        <v>5455412.3610113515</v>
      </c>
      <c r="AK25" s="4660">
        <f>($H$25-U25)*년간!$C$216*년간!P11/1000</f>
        <v>-30194864.005765539</v>
      </c>
      <c r="AL25" s="4660">
        <f>($H$25-V25)*년간!$C$216*년간!Q11/1000</f>
        <v>-529713.96642525948</v>
      </c>
      <c r="AM25" s="6342">
        <f t="shared" si="1"/>
        <v>-8805879.7570976503</v>
      </c>
      <c r="AN25" s="4486">
        <f t="shared" si="8"/>
        <v>147.16310566627868</v>
      </c>
      <c r="AO25" s="4670">
        <f>AA25/년간!F11</f>
        <v>936.69090110741627</v>
      </c>
      <c r="AP25" s="4670">
        <f>AB25/년간!G11</f>
        <v>936.69090110741638</v>
      </c>
      <c r="AQ25" s="4670">
        <f>AC25/년간!H11</f>
        <v>-703.46682603295721</v>
      </c>
      <c r="AR25" s="4670">
        <f>AD25/년간!I11</f>
        <v>183.1291932675293</v>
      </c>
      <c r="AS25" s="4670">
        <f>AE25/년간!J11</f>
        <v>936.69090110741627</v>
      </c>
      <c r="AT25" s="4670">
        <f>AF25/년간!K11</f>
        <v>484.53448970948227</v>
      </c>
      <c r="AU25" s="4670">
        <f>AG25/년간!L11</f>
        <v>635.03174450307961</v>
      </c>
      <c r="AV25" s="4670">
        <f>AH25/년간!M11</f>
        <v>-584.30740191304949</v>
      </c>
      <c r="AW25" s="4557">
        <f>AI25/년간!N11</f>
        <v>-1598.8514347184343</v>
      </c>
      <c r="AX25" s="6392">
        <f>AJ25/년간!O11</f>
        <v>399.94313693086463</v>
      </c>
      <c r="AY25" s="4805"/>
      <c r="AZ25" s="4952"/>
      <c r="BA25" s="4558">
        <f>AM25/년간!$V$11</f>
        <v>-55.863710156042245</v>
      </c>
    </row>
    <row r="26" spans="2:53" ht="18" thickBot="1">
      <c r="B26" s="7107"/>
      <c r="C26" s="2609" t="s">
        <v>492</v>
      </c>
      <c r="D26" s="1769" t="s">
        <v>321</v>
      </c>
      <c r="E26" s="2712"/>
      <c r="F26" s="2712"/>
      <c r="G26" s="2712"/>
      <c r="H26" s="5801">
        <f>종합!I62/년간!C12*1000</f>
        <v>2.8719045580662459</v>
      </c>
      <c r="I26" s="5817">
        <f>종합!J62/년간!E12*1000</f>
        <v>2.2512381809995494</v>
      </c>
      <c r="J26" s="5828">
        <f>종합!K62/(년간!E12/12)*1000</f>
        <v>2.2512381809995494</v>
      </c>
      <c r="K26" s="5833">
        <f>'#2CCL'!N16/년간!F12*1000</f>
        <v>1.340636238757599</v>
      </c>
      <c r="L26" s="5833">
        <f>'#2CCL'!O16/년간!G12*1000</f>
        <v>3.5366395094240817</v>
      </c>
      <c r="M26" s="5833">
        <f>'#2CCL'!P16/년간!H12*1000</f>
        <v>5.3408608613170721</v>
      </c>
      <c r="N26" s="5833">
        <f>'#2CCL'!Q16/년간!I12*1000</f>
        <v>1.574574206146681</v>
      </c>
      <c r="O26" s="5833">
        <f>'#2CCL'!R16/년간!J12*1000</f>
        <v>0</v>
      </c>
      <c r="P26" s="5833">
        <f>'#2CCL'!S16/년간!K12*1000</f>
        <v>0</v>
      </c>
      <c r="Q26" s="5833">
        <f>'#2CCL'!T16/년간!L12*1000</f>
        <v>0.22920285659139158</v>
      </c>
      <c r="R26" s="5833">
        <f>'#2CCL'!U16/년간!M12*1000</f>
        <v>1.4553518832946393</v>
      </c>
      <c r="S26" s="5833">
        <f>'#2CCL'!V16/년간!N12*1000</f>
        <v>1.8223801455708479</v>
      </c>
      <c r="T26" s="5833">
        <f>'#2CCL'!W16/년간!O12*1000</f>
        <v>0</v>
      </c>
      <c r="U26" s="5833">
        <f>'#2CCL'!X16/년간!P12*1000</f>
        <v>0.67078327321661158</v>
      </c>
      <c r="V26" s="5833">
        <f>'#2CCL'!Y16/년간!Q12*1000</f>
        <v>2.7654096557815278</v>
      </c>
      <c r="W26" s="6035">
        <f>'#2CCL'!Z16/년간!V12*1000</f>
        <v>1.5451146477741862</v>
      </c>
      <c r="X26" s="4412">
        <f>($H$26-I26)*년간!$C$217*년간!E12/1000</f>
        <v>28596097.468080711</v>
      </c>
      <c r="Y26" s="5619">
        <f>($H$26-J26)*년간!$C$217*(년간!E12/12)/1000</f>
        <v>2383008.1223400594</v>
      </c>
      <c r="Z26" s="4805">
        <f>X26/년간!E12</f>
        <v>536.47188706439874</v>
      </c>
      <c r="AA26" s="4660">
        <f>($H$26-K26)*년간!$C$217*년간!F12/1000</f>
        <v>6812055.5783071984</v>
      </c>
      <c r="AB26" s="4660">
        <f>($H$26-L26)*년간!$C$217*년간!G12/1000</f>
        <v>-3028254.5409184489</v>
      </c>
      <c r="AC26" s="4660">
        <f>($H$26-M26)*년간!$C$217*년간!H12/1000</f>
        <v>-8990283.9114814848</v>
      </c>
      <c r="AD26" s="4660">
        <f>($H$26-N26)*년간!$C$217*년간!I12/1000</f>
        <v>5106170.953837378</v>
      </c>
      <c r="AE26" s="4660">
        <f>($H$26-O26)*년간!$C$217*년간!J12/1000</f>
        <v>10005609.224560931</v>
      </c>
      <c r="AF26" s="4660">
        <f>($H$26-P26)*년간!$C$217*년간!K12/1000</f>
        <v>13044521.91178263</v>
      </c>
      <c r="AG26" s="4660">
        <f>($H$26-Q26)*년간!$C$217*년간!L12/1000</f>
        <v>11361134.956577674</v>
      </c>
      <c r="AH26" s="4660">
        <f>($H$26-R26)*년간!$C$217*년간!M12/1000</f>
        <v>5653569.5397858443</v>
      </c>
      <c r="AI26" s="4660">
        <f>($H$26-S26)*년간!$C$217*년간!N12/1000</f>
        <v>3718458.3440022115</v>
      </c>
      <c r="AJ26" s="4660">
        <f>($H$26-T26)*년간!$C$217*년간!O12/1000</f>
        <v>10991440.026706969</v>
      </c>
      <c r="AK26" s="4660">
        <f>($H$26-U26)*년간!$C$217*년간!P12/1000</f>
        <v>9246302.5126672387</v>
      </c>
      <c r="AL26" s="4660">
        <f>($H$26-V26)*년간!$C$217*년간!Q12/1000</f>
        <v>429385.92447624844</v>
      </c>
      <c r="AM26" s="6342">
        <f t="shared" si="1"/>
        <v>64350110.520304397</v>
      </c>
      <c r="AN26" s="4486">
        <f t="shared" si="8"/>
        <v>536.47188706439874</v>
      </c>
      <c r="AO26" s="4670">
        <f>AA26/년간!F12</f>
        <v>1323.549067928911</v>
      </c>
      <c r="AP26" s="4670">
        <f>AB26/년간!G12</f>
        <v>-574.56248143804032</v>
      </c>
      <c r="AQ26" s="4670">
        <f>AC26/년간!H12</f>
        <v>-2134.0380211093338</v>
      </c>
      <c r="AR26" s="4670">
        <f>AD26/년간!I12</f>
        <v>1121.3451988964755</v>
      </c>
      <c r="AS26" s="4670">
        <f>AE26/년간!J12</f>
        <v>2482.3256336456657</v>
      </c>
      <c r="AT26" s="4670">
        <f>AF26/년간!K12</f>
        <v>2482.3256336456661</v>
      </c>
      <c r="AU26" s="4670">
        <f>AG26/년간!L12</f>
        <v>2284.2145492701043</v>
      </c>
      <c r="AV26" s="4670">
        <f>AH26/년간!M12</f>
        <v>1224.3948031346035</v>
      </c>
      <c r="AW26" s="4557">
        <f>AI26/년간!N12</f>
        <v>907.15457272314381</v>
      </c>
      <c r="AX26" s="6392">
        <f>AJ26/년간!O12</f>
        <v>2482.3256336456652</v>
      </c>
      <c r="AY26" s="4805"/>
      <c r="AZ26" s="4952"/>
      <c r="BA26" s="4558">
        <f>AM26/년간!$V$12</f>
        <v>1146.8085161569786</v>
      </c>
    </row>
    <row r="27" spans="2:53" ht="17.399999999999999">
      <c r="B27" s="7129"/>
      <c r="C27" s="3081" t="s">
        <v>16</v>
      </c>
      <c r="D27" s="2534" t="s">
        <v>321</v>
      </c>
      <c r="E27" s="2050"/>
      <c r="F27" s="2050"/>
      <c r="G27" s="2050"/>
      <c r="H27" s="5802">
        <f>SUM(H24:H26)</f>
        <v>5.8040143770645596</v>
      </c>
      <c r="I27" s="5803">
        <f>SUM(I24:I26)</f>
        <v>3.9224230660596158</v>
      </c>
      <c r="J27" s="5818">
        <f>SUM(J24:J26)</f>
        <v>3.9224230660596158</v>
      </c>
      <c r="K27" s="5834">
        <f t="shared" ref="K27:P27" si="22">SUM(K24:K26)</f>
        <v>2.5618274843403306</v>
      </c>
      <c r="L27" s="5834">
        <f t="shared" si="22"/>
        <v>3.7324085425809388</v>
      </c>
      <c r="M27" s="5834">
        <f t="shared" si="22"/>
        <v>9.1959442016393513</v>
      </c>
      <c r="N27" s="5834">
        <f t="shared" si="22"/>
        <v>4.0348194480790092</v>
      </c>
      <c r="O27" s="5834">
        <f t="shared" si="22"/>
        <v>0.42697780811336739</v>
      </c>
      <c r="P27" s="5834">
        <f t="shared" si="22"/>
        <v>0.88471324720593103</v>
      </c>
      <c r="Q27" s="5834">
        <f t="shared" ref="Q27:W27" si="23">SUM(Q24:Q26)</f>
        <v>2.0608390298511901</v>
      </c>
      <c r="R27" s="5834">
        <f t="shared" si="23"/>
        <v>5.5296186697950898</v>
      </c>
      <c r="S27" s="5834">
        <f t="shared" si="23"/>
        <v>6.3610227593791739</v>
      </c>
      <c r="T27" s="5834">
        <f t="shared" si="23"/>
        <v>2.5010212064013371</v>
      </c>
      <c r="U27" s="5834">
        <f t="shared" si="23"/>
        <v>30.818136056075204</v>
      </c>
      <c r="V27" s="5834" t="e">
        <f t="shared" si="23"/>
        <v>#DIV/0!</v>
      </c>
      <c r="W27" s="5834">
        <f t="shared" si="23"/>
        <v>4.2924351763553474</v>
      </c>
      <c r="X27" s="4411">
        <f t="shared" ref="X27:AE27" si="24">SUM(X24:X26)</f>
        <v>178020548.45732015</v>
      </c>
      <c r="Y27" s="4793">
        <f t="shared" si="24"/>
        <v>16914917.21082364</v>
      </c>
      <c r="Z27" s="4794">
        <f>X27/(년간!E10+년간!E11+년간!E12)</f>
        <v>360.20944056080998</v>
      </c>
      <c r="AA27" s="4659">
        <f t="shared" si="24"/>
        <v>23723812.762844533</v>
      </c>
      <c r="AB27" s="4659">
        <f t="shared" si="24"/>
        <v>22657482.06475722</v>
      </c>
      <c r="AC27" s="4659">
        <f t="shared" si="24"/>
        <v>-17441131.603480183</v>
      </c>
      <c r="AD27" s="4659">
        <f t="shared" si="24"/>
        <v>9734581.3858942091</v>
      </c>
      <c r="AE27" s="4659">
        <f t="shared" si="24"/>
        <v>33453146.04883711</v>
      </c>
      <c r="AF27" s="4659">
        <f>SUM(AF24:AF26)</f>
        <v>34356573.305774748</v>
      </c>
      <c r="AG27" s="4659">
        <f>SUM(AG24:AG26)</f>
        <v>23565375.648062523</v>
      </c>
      <c r="AH27" s="4659">
        <f>SUM(AH24:AH26)</f>
        <v>-5344482.8554380303</v>
      </c>
      <c r="AI27" s="4659">
        <f>SUM(AI24:AI26)</f>
        <v>-8620650.1036609188</v>
      </c>
      <c r="AJ27" s="4659">
        <f>SUM(AJ24:AJ26)</f>
        <v>14821768.82482921</v>
      </c>
      <c r="AK27" s="4659">
        <f t="shared" ref="AK27:AL27" si="25">SUM(AK24:AK26)</f>
        <v>-34822034.004862234</v>
      </c>
      <c r="AL27" s="4659" t="e">
        <f t="shared" si="25"/>
        <v>#DIV/0!</v>
      </c>
      <c r="AM27" s="6343" t="e">
        <f t="shared" si="1"/>
        <v>#DIV/0!</v>
      </c>
      <c r="AN27" s="6355">
        <f t="shared" si="8"/>
        <v>360.20944056080998</v>
      </c>
      <c r="AO27" s="6355">
        <f>AA27/(년간!F10+년간!F11+년간!F12)</f>
        <v>544.133381228134</v>
      </c>
      <c r="AP27" s="6355">
        <f>AB27/(년간!G10+년간!G11+년간!G12)</f>
        <v>548.60306323915211</v>
      </c>
      <c r="AQ27" s="6355">
        <f>AC27/(년간!H10+년간!H11+년간!H12)</f>
        <v>-392.46767490141656</v>
      </c>
      <c r="AR27" s="6355">
        <f>AD27/(년간!I10+년간!I11+년간!I12)</f>
        <v>230.93463933917184</v>
      </c>
      <c r="AS27" s="6355">
        <f>AE27/(년간!J10+년간!J11+년간!J12)</f>
        <v>847.31862802196099</v>
      </c>
      <c r="AT27" s="6355">
        <f>AF27/(년간!K10+년간!K11+년간!K12)</f>
        <v>783.72958600019774</v>
      </c>
      <c r="AU27" s="6355">
        <f>AG27/(년간!L10+년간!L11+년간!L12)</f>
        <v>463.14531776809622</v>
      </c>
      <c r="AV27" s="6355">
        <f>AH27/(년간!M10+년간!M11+년간!M12)</f>
        <v>-119.39456641701285</v>
      </c>
      <c r="AW27" s="6375">
        <f>AI27/(년간!N10+년간!N11+년간!N12)</f>
        <v>-185.86487981757546</v>
      </c>
      <c r="AX27" s="6713">
        <f>AJ27/(년간!O10+년간!O11+년간!O12)</f>
        <v>327.36003108067626</v>
      </c>
      <c r="AY27" s="4794"/>
      <c r="AZ27" s="6395"/>
      <c r="BA27" s="6401" t="e">
        <f>AM27/년간!$V$13</f>
        <v>#DIV/0!</v>
      </c>
    </row>
    <row r="28" spans="2:53" ht="18" thickBot="1">
      <c r="B28" s="7117"/>
      <c r="C28" s="3082" t="s">
        <v>493</v>
      </c>
      <c r="D28" s="2355" t="s">
        <v>321</v>
      </c>
      <c r="E28" s="2457"/>
      <c r="F28" s="2457"/>
      <c r="G28" s="2457"/>
      <c r="H28" s="5837">
        <f>H27</f>
        <v>5.8040143770645596</v>
      </c>
      <c r="I28" s="5837">
        <f t="shared" ref="I28:AU28" si="26">I27</f>
        <v>3.9224230660596158</v>
      </c>
      <c r="J28" s="5837">
        <f t="shared" si="26"/>
        <v>3.9224230660596158</v>
      </c>
      <c r="K28" s="5837">
        <f t="shared" si="26"/>
        <v>2.5618274843403306</v>
      </c>
      <c r="L28" s="5837">
        <f t="shared" si="26"/>
        <v>3.7324085425809388</v>
      </c>
      <c r="M28" s="5837">
        <f t="shared" si="26"/>
        <v>9.1959442016393513</v>
      </c>
      <c r="N28" s="5837">
        <f t="shared" si="26"/>
        <v>4.0348194480790092</v>
      </c>
      <c r="O28" s="5837">
        <f t="shared" si="26"/>
        <v>0.42697780811336739</v>
      </c>
      <c r="P28" s="5837">
        <f t="shared" si="26"/>
        <v>0.88471324720593103</v>
      </c>
      <c r="Q28" s="5837">
        <f t="shared" si="26"/>
        <v>2.0608390298511901</v>
      </c>
      <c r="R28" s="5837">
        <f t="shared" ref="R28:W28" si="27">R27</f>
        <v>5.5296186697950898</v>
      </c>
      <c r="S28" s="5837">
        <f t="shared" si="27"/>
        <v>6.3610227593791739</v>
      </c>
      <c r="T28" s="5837">
        <f t="shared" si="27"/>
        <v>2.5010212064013371</v>
      </c>
      <c r="U28" s="5837">
        <f t="shared" si="27"/>
        <v>30.818136056075204</v>
      </c>
      <c r="V28" s="5837" t="e">
        <f t="shared" si="27"/>
        <v>#DIV/0!</v>
      </c>
      <c r="W28" s="5837">
        <f t="shared" si="27"/>
        <v>4.2924351763553474</v>
      </c>
      <c r="X28" s="2846">
        <f t="shared" si="26"/>
        <v>178020548.45732015</v>
      </c>
      <c r="Y28" s="2846">
        <f t="shared" si="26"/>
        <v>16914917.21082364</v>
      </c>
      <c r="Z28" s="2846">
        <f t="shared" si="26"/>
        <v>360.20944056080998</v>
      </c>
      <c r="AA28" s="2846">
        <f t="shared" si="26"/>
        <v>23723812.762844533</v>
      </c>
      <c r="AB28" s="2846">
        <f t="shared" si="26"/>
        <v>22657482.06475722</v>
      </c>
      <c r="AC28" s="2846">
        <f t="shared" si="26"/>
        <v>-17441131.603480183</v>
      </c>
      <c r="AD28" s="2846">
        <f t="shared" si="26"/>
        <v>9734581.3858942091</v>
      </c>
      <c r="AE28" s="2846">
        <f t="shared" si="26"/>
        <v>33453146.04883711</v>
      </c>
      <c r="AF28" s="2846">
        <f t="shared" si="26"/>
        <v>34356573.305774748</v>
      </c>
      <c r="AG28" s="2846">
        <f t="shared" si="26"/>
        <v>23565375.648062523</v>
      </c>
      <c r="AH28" s="6022">
        <f>AH27</f>
        <v>-5344482.8554380303</v>
      </c>
      <c r="AI28" s="6022">
        <f>AI27</f>
        <v>-8620650.1036609188</v>
      </c>
      <c r="AJ28" s="6022">
        <f>AJ27</f>
        <v>14821768.82482921</v>
      </c>
      <c r="AK28" s="6022">
        <f t="shared" ref="AK28:AL28" si="28">AK27</f>
        <v>-34822034.004862234</v>
      </c>
      <c r="AL28" s="6022" t="e">
        <f t="shared" si="28"/>
        <v>#DIV/0!</v>
      </c>
      <c r="AM28" s="6343" t="e">
        <f t="shared" si="1"/>
        <v>#DIV/0!</v>
      </c>
      <c r="AN28" s="6356">
        <f t="shared" si="8"/>
        <v>360.20944056080998</v>
      </c>
      <c r="AO28" s="6357">
        <f t="shared" si="26"/>
        <v>544.133381228134</v>
      </c>
      <c r="AP28" s="6357">
        <f t="shared" si="26"/>
        <v>548.60306323915211</v>
      </c>
      <c r="AQ28" s="6357">
        <f t="shared" si="26"/>
        <v>-392.46767490141656</v>
      </c>
      <c r="AR28" s="6357">
        <f t="shared" si="26"/>
        <v>230.93463933917184</v>
      </c>
      <c r="AS28" s="6357">
        <f t="shared" si="26"/>
        <v>847.31862802196099</v>
      </c>
      <c r="AT28" s="6357">
        <f t="shared" si="26"/>
        <v>783.72958600019774</v>
      </c>
      <c r="AU28" s="6357">
        <f t="shared" si="26"/>
        <v>463.14531776809622</v>
      </c>
      <c r="AV28" s="6357">
        <f>AV27</f>
        <v>-119.39456641701285</v>
      </c>
      <c r="AW28" s="6357">
        <f>AW27</f>
        <v>-185.86487981757546</v>
      </c>
      <c r="AX28" s="6714">
        <f>AX27</f>
        <v>327.36003108067626</v>
      </c>
      <c r="AY28" s="4804"/>
      <c r="AZ28" s="6396"/>
      <c r="BA28" s="6402"/>
    </row>
    <row r="29" spans="2:53" ht="17.399999999999999">
      <c r="B29" s="7106" t="s">
        <v>1115</v>
      </c>
      <c r="C29" s="3080" t="s">
        <v>39</v>
      </c>
      <c r="D29" s="1223" t="s">
        <v>321</v>
      </c>
      <c r="E29" s="2250"/>
      <c r="F29" s="2250"/>
      <c r="G29" s="2250"/>
      <c r="H29" s="5804">
        <f>종합!I64/년간!C8*1000</f>
        <v>8.1613438418505643E-2</v>
      </c>
      <c r="I29" s="5819">
        <f>종합!J64/년간!E8*1000</f>
        <v>5.4232287734825808E-2</v>
      </c>
      <c r="J29" s="5812">
        <f>종합!K64/(년간!E8/10)*1000</f>
        <v>5.4232287734825808E-2</v>
      </c>
      <c r="K29" s="5830">
        <f>CPL!N13/년간!F8*1000</f>
        <v>0</v>
      </c>
      <c r="L29" s="5830">
        <f>CPL!O13/년간!G8*1000</f>
        <v>0</v>
      </c>
      <c r="M29" s="5830">
        <f>CPL!P13/년간!H8*1000</f>
        <v>0</v>
      </c>
      <c r="N29" s="5830">
        <f>CPL!Q13/년간!I8*1000</f>
        <v>0</v>
      </c>
      <c r="O29" s="5830">
        <f>CPL!R13/년간!J8*1000</f>
        <v>0</v>
      </c>
      <c r="P29" s="5830">
        <f>CPL!S13/년간!K8*1000</f>
        <v>0</v>
      </c>
      <c r="Q29" s="5830">
        <f>CPL!T13/년간!L8*1000</f>
        <v>0.63083390322156951</v>
      </c>
      <c r="R29" s="5830">
        <f>CPL!U13/년간!M8*1000</f>
        <v>0</v>
      </c>
      <c r="S29" s="5830">
        <f>CPL!V13/년간!N8*1000</f>
        <v>0.68591534202294657</v>
      </c>
      <c r="T29" s="5830">
        <f>CPL!W13/년간!O8*1000</f>
        <v>0.43295666103823016</v>
      </c>
      <c r="U29" s="5830">
        <f>CPL!X13/년간!P8*1000</f>
        <v>0</v>
      </c>
      <c r="V29" s="5830" t="e">
        <f>CPL!Y13/년간!Q8*1000</f>
        <v>#DIV/0!</v>
      </c>
      <c r="W29" s="6036">
        <f>CPL!Z13/년간!R8*1000</f>
        <v>0.68385119772719827</v>
      </c>
      <c r="X29" s="4412">
        <f>($H$29-I29)*년간!$C$213*년간!E8/1000</f>
        <v>3285487.6509048613</v>
      </c>
      <c r="Y29" s="5619">
        <f>($H$29-J29)*년간!$C$213*(년간!E8/10)/1000</f>
        <v>328548.76509048609</v>
      </c>
      <c r="Z29" s="4805">
        <f>X29/년간!E8</f>
        <v>11.878634108872625</v>
      </c>
      <c r="AA29" s="4660">
        <f>($H$29-K29)*년간!$C$213*년간!F8/1000</f>
        <v>929260.46060424508</v>
      </c>
      <c r="AB29" s="4660">
        <f>($H$29-L29)*년간!$C$213*년간!G8/1000</f>
        <v>1024300.3492341655</v>
      </c>
      <c r="AC29" s="4660">
        <f>($H$29-M29)*년간!$C$213*년간!H8/1000</f>
        <v>842773.23785522569</v>
      </c>
      <c r="AD29" s="4660">
        <f>($H$29-N29)*년간!$C$213*년간!I8/1000</f>
        <v>918266.19909846026</v>
      </c>
      <c r="AE29" s="4660">
        <f>($H$29-O29)*년간!$C$213*년간!J8/1000</f>
        <v>900715.81430584658</v>
      </c>
      <c r="AF29" s="4660">
        <f>($H$29-P29)*년간!$C$213*년간!K8/1000</f>
        <v>1044253.0290260306</v>
      </c>
      <c r="AG29" s="4660">
        <f>($H$29-Q29)*년간!$C$213*년간!L8/1000</f>
        <v>-7727733.2930020485</v>
      </c>
      <c r="AH29" s="4660">
        <f>($H$29-R29)*년간!$C$213*년간!M8/1000</f>
        <v>1011606.3533727573</v>
      </c>
      <c r="AI29" s="4660">
        <f>($H$29-S29)*년간!$C$213*년간!N8/1000</f>
        <v>-7754973.2189692138</v>
      </c>
      <c r="AJ29" s="4660">
        <f>($H$29-T29)*년간!$C$213*년간!O8/1000</f>
        <v>-4668157.3756274646</v>
      </c>
      <c r="AK29" s="4660">
        <f>($H$29-U29)*년간!$C$213*년간!P8/1000</f>
        <v>23101.686678134804</v>
      </c>
      <c r="AL29" s="4660" t="e">
        <f>($H$29-V29)*년간!$C$213*년간!Q8/1000</f>
        <v>#DIV/0!</v>
      </c>
      <c r="AM29" s="6342" t="e">
        <f t="shared" si="1"/>
        <v>#DIV/0!</v>
      </c>
      <c r="AN29" s="6358">
        <f t="shared" si="8"/>
        <v>11.878634108872625</v>
      </c>
      <c r="AO29" s="6358">
        <f>AA29/년간!F8</f>
        <v>35.405969038338036</v>
      </c>
      <c r="AP29" s="6358">
        <f>AB29/년간!G8</f>
        <v>35.405969038338036</v>
      </c>
      <c r="AQ29" s="6358">
        <f>AC29/년간!H8</f>
        <v>35.405969038338036</v>
      </c>
      <c r="AR29" s="6358">
        <f>AD29/년간!I8</f>
        <v>35.405969038338036</v>
      </c>
      <c r="AS29" s="6358">
        <f>AE29/년간!J8</f>
        <v>35.405969038338036</v>
      </c>
      <c r="AT29" s="6358">
        <f>AF29/년간!K8</f>
        <v>35.405969038338036</v>
      </c>
      <c r="AU29" s="6358">
        <f>AG29/년간!L8</f>
        <v>-238.2656967878668</v>
      </c>
      <c r="AV29" s="6358">
        <f>AH29/년간!M8</f>
        <v>35.405969038338036</v>
      </c>
      <c r="AW29" s="6364">
        <f>AI29/년간!N8</f>
        <v>-262.16141487767663</v>
      </c>
      <c r="AX29" s="6715">
        <f>AJ29/년간!O8</f>
        <v>-152.42155584861644</v>
      </c>
      <c r="AY29" s="4805"/>
      <c r="AZ29" s="4952"/>
      <c r="BA29" s="4558" t="e">
        <f>AM29/년간!$V$8</f>
        <v>#DIV/0!</v>
      </c>
    </row>
    <row r="30" spans="2:53" ht="17.399999999999999">
      <c r="B30" s="7107"/>
      <c r="C30" s="2701" t="s">
        <v>42</v>
      </c>
      <c r="D30" s="2702" t="s">
        <v>321</v>
      </c>
      <c r="E30" s="2708"/>
      <c r="F30" s="2708"/>
      <c r="G30" s="2708"/>
      <c r="H30" s="5807"/>
      <c r="I30" s="5820"/>
      <c r="J30" s="5829"/>
      <c r="K30" s="5831"/>
      <c r="L30" s="5831"/>
      <c r="M30" s="5831"/>
      <c r="N30" s="5831"/>
      <c r="O30" s="5831"/>
      <c r="P30" s="5831"/>
      <c r="Q30" s="5831"/>
      <c r="R30" s="5831"/>
      <c r="S30" s="5831"/>
      <c r="T30" s="5831"/>
      <c r="U30" s="5831"/>
      <c r="V30" s="5831"/>
      <c r="W30" s="5831"/>
      <c r="X30" s="4413"/>
      <c r="Y30" s="5620"/>
      <c r="Z30" s="4806"/>
      <c r="AA30" s="4661"/>
      <c r="AB30" s="4661"/>
      <c r="AC30" s="4661"/>
      <c r="AD30" s="4661"/>
      <c r="AE30" s="4661"/>
      <c r="AF30" s="4661"/>
      <c r="AG30" s="4661"/>
      <c r="AH30" s="4661"/>
      <c r="AI30" s="4661"/>
      <c r="AJ30" s="4661"/>
      <c r="AK30" s="4661"/>
      <c r="AL30" s="4661"/>
      <c r="AM30" s="6344">
        <f t="shared" si="1"/>
        <v>0</v>
      </c>
      <c r="AN30" s="6359">
        <f t="shared" si="8"/>
        <v>0</v>
      </c>
      <c r="AO30" s="6359"/>
      <c r="AP30" s="6359"/>
      <c r="AQ30" s="6359"/>
      <c r="AR30" s="6359"/>
      <c r="AS30" s="6359"/>
      <c r="AT30" s="6359"/>
      <c r="AU30" s="6359"/>
      <c r="AV30" s="6359"/>
      <c r="AW30" s="6367"/>
      <c r="AX30" s="6716"/>
      <c r="AY30" s="4806"/>
      <c r="AZ30" s="4953"/>
      <c r="BA30" s="6403"/>
    </row>
    <row r="31" spans="2:53" ht="17.399999999999999">
      <c r="B31" s="7107"/>
      <c r="C31" s="2701" t="s">
        <v>29</v>
      </c>
      <c r="D31" s="2702" t="s">
        <v>321</v>
      </c>
      <c r="E31" s="2708"/>
      <c r="F31" s="2708"/>
      <c r="G31" s="2708"/>
      <c r="H31" s="5774">
        <f>종합!I66/년간!C10*1000</f>
        <v>1.0527617992342353</v>
      </c>
      <c r="I31" s="5778">
        <f>종합!J66/년간!E10*1000</f>
        <v>0.36559061163309325</v>
      </c>
      <c r="J31" s="5813">
        <f>종합!K66/(년간!E10/10)*1000</f>
        <v>0.36559061163309325</v>
      </c>
      <c r="K31" s="5832">
        <f>CGL!N12/년간!F10*1000</f>
        <v>0</v>
      </c>
      <c r="L31" s="5832">
        <f>CGL!O12/년간!G10*1000</f>
        <v>0.60192885298436083</v>
      </c>
      <c r="M31" s="5832">
        <f>CGL!P12/년간!H10*1000</f>
        <v>0.15820093598506821</v>
      </c>
      <c r="N31" s="5832">
        <f>CGL!Q12/년간!I10*1000</f>
        <v>0</v>
      </c>
      <c r="O31" s="5832">
        <f>CGL!R12/년간!J10*1000</f>
        <v>0</v>
      </c>
      <c r="P31" s="5832">
        <f>CGL!S12/년간!K10*1000</f>
        <v>0</v>
      </c>
      <c r="Q31" s="5832">
        <f>CGL!T12/년간!L10*1000</f>
        <v>0</v>
      </c>
      <c r="R31" s="5832">
        <f>CGL!U12/년간!M10*1000</f>
        <v>0.10818299803215127</v>
      </c>
      <c r="S31" s="5832">
        <f>CGL!V12/년간!N10*1000</f>
        <v>3.7879642101277984</v>
      </c>
      <c r="T31" s="5832">
        <f>CGL!W12/년간!O10*1000</f>
        <v>0.14260349135980885</v>
      </c>
      <c r="U31" s="5832">
        <f>CGL!X12/년간!P10*1000</f>
        <v>0</v>
      </c>
      <c r="V31" s="5832" t="e">
        <f>CGL!Y12/년간!Q10*1000</f>
        <v>#DIV/0!</v>
      </c>
      <c r="W31" s="6034">
        <f>CGL!Z12/년간!R10*1000</f>
        <v>2.1718575842180758</v>
      </c>
      <c r="X31" s="4412">
        <f>($H$31-I31)*년간!$C$215*년간!E10/1000</f>
        <v>81542630.453902215</v>
      </c>
      <c r="Y31" s="5619">
        <f>($H$31-J31)*년간!$C$215*(년간!E10/10)/1000</f>
        <v>8154263.0453902213</v>
      </c>
      <c r="Z31" s="4805">
        <f>X31/년간!E10</f>
        <v>298.11220141813408</v>
      </c>
      <c r="AA31" s="4660">
        <f>($H$31-K31)*년간!$C$215*년간!F10/1000</f>
        <v>11298270.559469933</v>
      </c>
      <c r="AB31" s="4660">
        <f>($H$31-L31)*년간!$C$215*년간!G10/1000</f>
        <v>4815412.5287220068</v>
      </c>
      <c r="AC31" s="4660">
        <f>($H$31-M31)*년간!$C$215*년간!H10/1000</f>
        <v>10450215.693148309</v>
      </c>
      <c r="AD31" s="4660">
        <f>($H$31-N31)*년간!$C$215*년간!I10/1000</f>
        <v>11278129.444104241</v>
      </c>
      <c r="AE31" s="4660">
        <f>($H$31-O31)*년간!$C$215*년간!J10/1000</f>
        <v>10418341.309598975</v>
      </c>
      <c r="AF31" s="4660">
        <f>($H$31-P31)*년간!$C$215*년간!K10/1000</f>
        <v>11413376.348712908</v>
      </c>
      <c r="AG31" s="4660">
        <f>($H$31-Q31)*년간!$C$215*년간!L10/1000</f>
        <v>14089153.211496221</v>
      </c>
      <c r="AH31" s="4660">
        <f>($H$31-R31)*년간!$C$215*년간!M10/1000</f>
        <v>11363581.906642772</v>
      </c>
      <c r="AI31" s="4660">
        <f>($H$31-S31)*년간!$C$215*년간!N10/1000</f>
        <v>-34727481.432512797</v>
      </c>
      <c r="AJ31" s="4660">
        <f>($H$31-T31)*년간!$C$215*년간!O10/1000</f>
        <v>10743191.43847228</v>
      </c>
      <c r="AK31" s="4660">
        <f>($H$31-U31)*년간!$C$215*년간!P10/1000</f>
        <v>609017.09004875098</v>
      </c>
      <c r="AL31" s="4660" t="e">
        <f>($H$31-V31)*년간!$C$215*년간!Q10/1000</f>
        <v>#DIV/0!</v>
      </c>
      <c r="AM31" s="6342" t="e">
        <f t="shared" si="1"/>
        <v>#DIV/0!</v>
      </c>
      <c r="AN31" s="6358">
        <f t="shared" si="8"/>
        <v>298.11220141813408</v>
      </c>
      <c r="AO31" s="6358">
        <f>AA31/년간!F10</f>
        <v>456.71463414266123</v>
      </c>
      <c r="AP31" s="6358">
        <f>AB31/년간!G10</f>
        <v>195.58270850608352</v>
      </c>
      <c r="AQ31" s="6358">
        <f>AC31/년간!H10</f>
        <v>388.08307603331241</v>
      </c>
      <c r="AR31" s="6358">
        <f>AD31/년간!I10</f>
        <v>456.71463414266117</v>
      </c>
      <c r="AS31" s="6358">
        <f>AE31/년간!J10</f>
        <v>456.71463414266117</v>
      </c>
      <c r="AT31" s="6358">
        <f>AF31/년간!K10</f>
        <v>456.71463414266117</v>
      </c>
      <c r="AU31" s="6358">
        <f>AG31/년간!L10</f>
        <v>456.71463414266111</v>
      </c>
      <c r="AV31" s="6358">
        <f>AH31/년간!M10</f>
        <v>409.78211968150822</v>
      </c>
      <c r="AW31" s="6364">
        <f>AI31/년간!N10</f>
        <v>-1186.5998265761873</v>
      </c>
      <c r="AX31" s="6715">
        <f>AJ31/년간!O10</f>
        <v>394.8496411012768</v>
      </c>
      <c r="AY31" s="4805"/>
      <c r="AZ31" s="4952"/>
      <c r="BA31" s="4558" t="e">
        <f>AM31/년간!$V$10</f>
        <v>#DIV/0!</v>
      </c>
    </row>
    <row r="32" spans="2:53" ht="17.399999999999999">
      <c r="B32" s="7107"/>
      <c r="C32" s="2701" t="s">
        <v>505</v>
      </c>
      <c r="D32" s="2702" t="s">
        <v>321</v>
      </c>
      <c r="E32" s="2708"/>
      <c r="F32" s="2708"/>
      <c r="G32" s="2708"/>
      <c r="H32" s="5774">
        <f>종합!I67/년간!C11*1000</f>
        <v>0.53508472033932741</v>
      </c>
      <c r="I32" s="5778">
        <f>종합!J67/년간!E11*1000</f>
        <v>0.42270283187955554</v>
      </c>
      <c r="J32" s="5813">
        <f>종합!K67/(년간!E11/12)*1000</f>
        <v>0.42270283187955554</v>
      </c>
      <c r="K32" s="5832">
        <f>'#1CCL'!N15/년간!F11*1000</f>
        <v>1.9519757100430135</v>
      </c>
      <c r="L32" s="5832">
        <f>'#1CCL'!O15/년간!G11*1000</f>
        <v>0</v>
      </c>
      <c r="M32" s="5832">
        <f>'#1CCL'!P15/년간!H11*1000</f>
        <v>0</v>
      </c>
      <c r="N32" s="5832">
        <f>'#1CCL'!Q15/년간!I11*1000</f>
        <v>0.64934461136957478</v>
      </c>
      <c r="O32" s="5832">
        <f>'#1CCL'!R15/년간!J11*1000</f>
        <v>0</v>
      </c>
      <c r="P32" s="5832">
        <f>'#1CCL'!S15/년간!K11*1000</f>
        <v>0</v>
      </c>
      <c r="Q32" s="5832">
        <f>'#1CCL'!T15/년간!L11*1000</f>
        <v>0</v>
      </c>
      <c r="R32" s="5832">
        <f>'#1CCL'!U15/년간!M11*1000</f>
        <v>0</v>
      </c>
      <c r="S32" s="5832">
        <f>'#1CCL'!V15/년간!N11*1000</f>
        <v>0</v>
      </c>
      <c r="T32" s="5832">
        <f>'#1CCL'!W15/년간!O11*1000</f>
        <v>0</v>
      </c>
      <c r="U32" s="5832">
        <f>'#1CCL'!X15/년간!P11*1000</f>
        <v>0</v>
      </c>
      <c r="V32" s="5832">
        <f>'#1CCL'!Y15/년간!Q11*1000</f>
        <v>0.67533308587178853</v>
      </c>
      <c r="W32" s="6034">
        <f>'#1CCL'!Z15/년간!R11*1000</f>
        <v>1.1373857695214658</v>
      </c>
      <c r="X32" s="4412">
        <f>($H$32-I32)*년간!$C$216*년간!E11/1000</f>
        <v>13227120.456281273</v>
      </c>
      <c r="Y32" s="5619">
        <f>($H$32-J32)*년간!$C$216*(년간!E11/12)/1000</f>
        <v>1102260.0380234395</v>
      </c>
      <c r="Z32" s="4805">
        <f>X32/년간!E11</f>
        <v>79.024497886732419</v>
      </c>
      <c r="AA32" s="4660">
        <f>($H$32-K32)*년간!$C$216*년간!F11/1000</f>
        <v>-13663936.026063226</v>
      </c>
      <c r="AB32" s="4660">
        <f>($H$32-L32)*년간!$C$216*년간!G11/1000</f>
        <v>4292723.1896257717</v>
      </c>
      <c r="AC32" s="4660">
        <f>($H$32-M32)*년간!$C$216*년간!H11/1000</f>
        <v>5003910.894070548</v>
      </c>
      <c r="AD32" s="4660">
        <f>($H$32-N32)*년간!$C$216*년간!I11/1000</f>
        <v>-1036878.8183577504</v>
      </c>
      <c r="AE32" s="4660">
        <f>($H$32-O32)*년간!$C$216*년간!J11/1000</f>
        <v>4755533.4373430423</v>
      </c>
      <c r="AF32" s="4660">
        <f>($H$32-P32)*년간!$C$216*년간!K11/1000</f>
        <v>5114181.3914076015</v>
      </c>
      <c r="AG32" s="4660">
        <f>($H$32-Q32)*년간!$C$216*년간!L11/1000</f>
        <v>5665906.3754223911</v>
      </c>
      <c r="AH32" s="4660">
        <f>($H$32-R32)*년간!$C$216*년간!M11/1000</f>
        <v>4671255.7284082081</v>
      </c>
      <c r="AI32" s="4660">
        <f>($H$32-S32)*년간!$C$216*년간!N11/1000</f>
        <v>4897346.5570322983</v>
      </c>
      <c r="AJ32" s="4660">
        <f>($H$32-T32)*년간!$C$216*년간!O11/1000</f>
        <v>5132362.2711678185</v>
      </c>
      <c r="AK32" s="4660">
        <f>($H$32-U32)*년간!$C$216*년간!P11/1000</f>
        <v>4997126.9275540598</v>
      </c>
      <c r="AL32" s="4660">
        <f>($H$32-V32)*년간!$C$216*년간!Q11/1000</f>
        <v>-1248711.4882828358</v>
      </c>
      <c r="AM32" s="6342">
        <f t="shared" si="1"/>
        <v>28580820.439327925</v>
      </c>
      <c r="AN32" s="6358">
        <f t="shared" si="8"/>
        <v>79.024497886732419</v>
      </c>
      <c r="AO32" s="6358">
        <f>AA32/년간!F11</f>
        <v>-996.32690423821737</v>
      </c>
      <c r="AP32" s="6358">
        <f>AB32/년간!G11</f>
        <v>376.25992881241024</v>
      </c>
      <c r="AQ32" s="6358">
        <f>AC32/년간!H11</f>
        <v>376.25992881241018</v>
      </c>
      <c r="AR32" s="6358">
        <f>AD32/년간!I11</f>
        <v>-80.3450684181214</v>
      </c>
      <c r="AS32" s="6358">
        <f>AE32/년간!J11</f>
        <v>376.25992881241018</v>
      </c>
      <c r="AT32" s="6358">
        <f>AF32/년간!K11</f>
        <v>376.25992881241024</v>
      </c>
      <c r="AU32" s="6358">
        <f>AG32/년간!L11</f>
        <v>376.25992881241024</v>
      </c>
      <c r="AV32" s="6358">
        <f>AH32/년간!M11</f>
        <v>376.25992881241018</v>
      </c>
      <c r="AW32" s="6364">
        <f>AI32/년간!N11</f>
        <v>376.25992881241024</v>
      </c>
      <c r="AX32" s="6715">
        <f>AJ32/년간!O11</f>
        <v>376.25992881241029</v>
      </c>
      <c r="AY32" s="4805"/>
      <c r="AZ32" s="4952"/>
      <c r="BA32" s="4558">
        <f>AM32/년간!$V$11</f>
        <v>181.31415748183466</v>
      </c>
    </row>
    <row r="33" spans="2:53" ht="18" thickBot="1">
      <c r="B33" s="7107"/>
      <c r="C33" s="2609" t="s">
        <v>492</v>
      </c>
      <c r="D33" s="1769" t="s">
        <v>321</v>
      </c>
      <c r="E33" s="2712"/>
      <c r="F33" s="2712"/>
      <c r="G33" s="2712"/>
      <c r="H33" s="5805">
        <f>종합!I68/년간!C12*1000</f>
        <v>4.0059482923309782</v>
      </c>
      <c r="I33" s="5779">
        <f>종합!J68/년간!E12*1000</f>
        <v>2.7014858171994596</v>
      </c>
      <c r="J33" s="5814">
        <f>종합!K68/(년간!E12/12)*1000</f>
        <v>2.7014858171994596</v>
      </c>
      <c r="K33" s="5833">
        <f>'#2CCL'!N15/년간!F12*1000</f>
        <v>0</v>
      </c>
      <c r="L33" s="5833">
        <f>'#2CCL'!O15/년간!G12*1000</f>
        <v>2.4191069605770945</v>
      </c>
      <c r="M33" s="5833">
        <f>'#2CCL'!P15/년간!H12*1000</f>
        <v>0</v>
      </c>
      <c r="N33" s="5833">
        <f>'#2CCL'!Q15/년간!I12*1000</f>
        <v>0</v>
      </c>
      <c r="O33" s="5833">
        <f>'#2CCL'!R15/년간!J12*1000</f>
        <v>0</v>
      </c>
      <c r="P33" s="5833">
        <f>'#2CCL'!S15/년간!K12*1000</f>
        <v>0</v>
      </c>
      <c r="Q33" s="5833">
        <f>'#2CCL'!T15/년간!L12*1000</f>
        <v>0</v>
      </c>
      <c r="R33" s="5833">
        <f>'#2CCL'!U15/년간!M12*1000</f>
        <v>0</v>
      </c>
      <c r="S33" s="5833">
        <f>'#2CCL'!V15/년간!N12*1000</f>
        <v>0</v>
      </c>
      <c r="T33" s="5833">
        <f>'#2CCL'!W15/년간!O12*1000</f>
        <v>0</v>
      </c>
      <c r="U33" s="5833">
        <f>'#2CCL'!X15/년간!P12*1000</f>
        <v>0</v>
      </c>
      <c r="V33" s="5833">
        <f>'#2CCL'!Y15/년간!Q12*1000</f>
        <v>0.19507928579544112</v>
      </c>
      <c r="W33" s="6035">
        <f>'#2CCL'!Z15/년간!R12*1000</f>
        <v>0.93368805277100986</v>
      </c>
      <c r="X33" s="4412">
        <f>($H$33-I33)*년간!$C$217*년간!E12/1000</f>
        <v>60100784.351503879</v>
      </c>
      <c r="Y33" s="5619">
        <f>($H$33-J33)*년간!$C$217*(년간!E12/12)/1000</f>
        <v>5008398.6959586563</v>
      </c>
      <c r="Z33" s="4805">
        <f>X33/년간!E12</f>
        <v>1127.5098370010483</v>
      </c>
      <c r="AA33" s="4660">
        <f>($H$33/12-K33)*년간!$C$217*년간!F12/1000</f>
        <v>1485083.8608254737</v>
      </c>
      <c r="AB33" s="4660">
        <f>($H$33/12-L33)*년간!$C$217*년간!G12/1000</f>
        <v>-9499654.5112074036</v>
      </c>
      <c r="AC33" s="4660">
        <f>($H$33/12-M33)*년간!$C$217*년간!H12/1000</f>
        <v>1215581.5406477018</v>
      </c>
      <c r="AD33" s="4660">
        <f>($H$33/12-N33)*년간!$C$217*년간!I12/1000</f>
        <v>1313919.8240582433</v>
      </c>
      <c r="AE33" s="4660">
        <f>($H$33/12-O33)*년간!$C$217*년간!J12/1000</f>
        <v>1163047.969748965</v>
      </c>
      <c r="AF33" s="4660">
        <f>($H$33/12-P33)*년간!$C$217*년간!K12/1000</f>
        <v>1516289.9515007222</v>
      </c>
      <c r="AG33" s="4660">
        <f>($H$33/12-Q33)*년간!$C$217*년간!L12/1000</f>
        <v>1435151.230299799</v>
      </c>
      <c r="AH33" s="4660">
        <f>($H$33/12-R33)*년간!$C$217*년간!M12/1000</f>
        <v>1332337.044174931</v>
      </c>
      <c r="AI33" s="4660">
        <f>($H$33/12-S33)*년간!$C$217*년간!N12/1000</f>
        <v>1182754.1182710738</v>
      </c>
      <c r="AJ33" s="4660">
        <f>($H$33/12-T33)*년간!$C$217*년간!O12/1000</f>
        <v>1277640.543496243</v>
      </c>
      <c r="AK33" s="4660">
        <f>($H$33/12-U33)*년간!$C$217*년간!P12/1000</f>
        <v>1402323.519378643</v>
      </c>
      <c r="AL33" s="4660">
        <f>($H$33/12-V33)*년간!$C$217*년간!Q12/1000</f>
        <v>559436.9635223652</v>
      </c>
      <c r="AM33" s="6342">
        <f t="shared" si="1"/>
        <v>4383912.0547167575</v>
      </c>
      <c r="AN33" s="6358">
        <f t="shared" si="8"/>
        <v>1127.5098370010483</v>
      </c>
      <c r="AO33" s="6358">
        <f>AA33/년간!F12</f>
        <v>288.54452774154737</v>
      </c>
      <c r="AP33" s="6358">
        <f>AB33/년간!G12</f>
        <v>-1802.4063020501512</v>
      </c>
      <c r="AQ33" s="6358">
        <f>AC33/년간!H12</f>
        <v>288.54452774154743</v>
      </c>
      <c r="AR33" s="6358">
        <f>AD33/년간!I12</f>
        <v>288.54452774154743</v>
      </c>
      <c r="AS33" s="6358">
        <f>AE33/년간!J12</f>
        <v>288.54452774154743</v>
      </c>
      <c r="AT33" s="6358">
        <f>AF33/년간!K12</f>
        <v>288.54452774154743</v>
      </c>
      <c r="AU33" s="6358">
        <f>AG33/년간!L12</f>
        <v>288.54452774154743</v>
      </c>
      <c r="AV33" s="6358">
        <f>AH33/년간!M12</f>
        <v>288.54452774154743</v>
      </c>
      <c r="AW33" s="6364">
        <f>AI33/년간!N12</f>
        <v>288.54452774154743</v>
      </c>
      <c r="AX33" s="6715">
        <f>AJ33/년간!O12</f>
        <v>288.54452774154743</v>
      </c>
      <c r="AY33" s="4805"/>
      <c r="AZ33" s="4952"/>
      <c r="BA33" s="4558">
        <f>AM33/년간!$V$12</f>
        <v>78.127413267551205</v>
      </c>
    </row>
    <row r="34" spans="2:53" ht="17.399999999999999">
      <c r="B34" s="7129"/>
      <c r="C34" s="2788" t="s">
        <v>16</v>
      </c>
      <c r="D34" s="2534" t="s">
        <v>321</v>
      </c>
      <c r="E34" s="2050"/>
      <c r="F34" s="2050"/>
      <c r="G34" s="2050"/>
      <c r="H34" s="2238">
        <f>SUM(H29:H33)</f>
        <v>5.6754082503230467</v>
      </c>
      <c r="I34" s="5838">
        <f>SUM(I29:I33)</f>
        <v>3.5440115484469343</v>
      </c>
      <c r="J34" s="5838">
        <f>SUM(J29:J33)</f>
        <v>3.5440115484469343</v>
      </c>
      <c r="K34" s="5839">
        <f t="shared" ref="K34:P34" si="29">SUM(K29:K33)</f>
        <v>1.9519757100430135</v>
      </c>
      <c r="L34" s="5839">
        <f t="shared" si="29"/>
        <v>3.0210358135614555</v>
      </c>
      <c r="M34" s="5839">
        <f t="shared" si="29"/>
        <v>0.15820093598506821</v>
      </c>
      <c r="N34" s="5839">
        <f t="shared" si="29"/>
        <v>0.64934461136957478</v>
      </c>
      <c r="O34" s="5839">
        <f t="shared" si="29"/>
        <v>0</v>
      </c>
      <c r="P34" s="5839">
        <f t="shared" si="29"/>
        <v>0</v>
      </c>
      <c r="Q34" s="5839">
        <f t="shared" ref="Q34:W34" si="30">SUM(Q29:Q33)</f>
        <v>0.63083390322156951</v>
      </c>
      <c r="R34" s="5839">
        <f t="shared" si="30"/>
        <v>0.10818299803215127</v>
      </c>
      <c r="S34" s="5839">
        <f t="shared" si="30"/>
        <v>4.4738795521507448</v>
      </c>
      <c r="T34" s="5839">
        <f t="shared" si="30"/>
        <v>0.57556015239803904</v>
      </c>
      <c r="U34" s="5839">
        <f t="shared" si="30"/>
        <v>0</v>
      </c>
      <c r="V34" s="5839" t="e">
        <f t="shared" si="30"/>
        <v>#DIV/0!</v>
      </c>
      <c r="W34" s="5839">
        <f t="shared" si="30"/>
        <v>4.9267826042377498</v>
      </c>
      <c r="X34" s="3561">
        <f t="shared" ref="X34:AE34" si="31">SUM(X29:X33)</f>
        <v>158156022.91259223</v>
      </c>
      <c r="Y34" s="5621">
        <f t="shared" si="31"/>
        <v>14593470.544462804</v>
      </c>
      <c r="Z34" s="4794">
        <f>X34/(년간!E8+년간!E10+년간!E11+년간!E12)</f>
        <v>205.18372151679969</v>
      </c>
      <c r="AA34" s="4662">
        <f t="shared" si="31"/>
        <v>48678.854836425046</v>
      </c>
      <c r="AB34" s="4662">
        <f t="shared" si="31"/>
        <v>632781.55637454055</v>
      </c>
      <c r="AC34" s="4662">
        <f t="shared" si="31"/>
        <v>17512481.365721785</v>
      </c>
      <c r="AD34" s="4662">
        <f t="shared" si="31"/>
        <v>12473436.648903195</v>
      </c>
      <c r="AE34" s="4662">
        <f t="shared" si="31"/>
        <v>17237638.530996829</v>
      </c>
      <c r="AF34" s="4662">
        <f>SUM(AF29:AF33)</f>
        <v>19088100.720647261</v>
      </c>
      <c r="AG34" s="4662">
        <f>SUM(AG29:AG33)</f>
        <v>13462477.524216363</v>
      </c>
      <c r="AH34" s="4662">
        <f>SUM(AH29:AH33)</f>
        <v>18378781.032598667</v>
      </c>
      <c r="AI34" s="4662">
        <f>SUM(AI29:AI33)</f>
        <v>-36402353.976178639</v>
      </c>
      <c r="AJ34" s="4662">
        <f>SUM(AJ29:AJ33)</f>
        <v>12485036.877508879</v>
      </c>
      <c r="AK34" s="4662">
        <f t="shared" ref="AK34:AL34" si="32">SUM(AK29:AK33)</f>
        <v>7031569.223659588</v>
      </c>
      <c r="AL34" s="4662" t="e">
        <f t="shared" si="32"/>
        <v>#DIV/0!</v>
      </c>
      <c r="AM34" s="6343" t="e">
        <f t="shared" si="1"/>
        <v>#DIV/0!</v>
      </c>
      <c r="AN34" s="6355">
        <f t="shared" si="8"/>
        <v>205.18372151679969</v>
      </c>
      <c r="AO34" s="6355">
        <f>AA34/(년간!F8+년간!F10+년간!F11+년간!F12)</f>
        <v>0.69695417327485898</v>
      </c>
      <c r="AP34" s="6355">
        <f>AB34/(년간!G8+년간!G10+년간!G11+년간!G12)</f>
        <v>9.0100702198609568</v>
      </c>
      <c r="AQ34" s="6355">
        <f>AC34/(년간!H8+년간!H10+년간!H11+년간!H12)</f>
        <v>256.6201905437793</v>
      </c>
      <c r="AR34" s="6355">
        <f>AD34/(년간!I8+년간!I10+년간!I11+년간!I12)</f>
        <v>183.19494859784024</v>
      </c>
      <c r="AS34" s="6355">
        <f>AE34/(년간!J8+년간!J10+년간!J11+년간!J12)</f>
        <v>265.51776604946429</v>
      </c>
      <c r="AT34" s="6355">
        <f>AF34/(년간!K8+년간!K10+년간!K11+년간!K12)</f>
        <v>260.3006358383218</v>
      </c>
      <c r="AU34" s="6355">
        <f>AG34/(년간!L8+년간!L10+년간!L11+년간!L12)</f>
        <v>161.5863845460668</v>
      </c>
      <c r="AV34" s="6355">
        <f>AH34/(년간!M8+년간!M10+년간!M11+년간!M12)</f>
        <v>250.61461628471517</v>
      </c>
      <c r="AW34" s="6375">
        <f>AI34/(년간!N8+년간!N10+년간!N11+년간!N12)</f>
        <v>-479.21678366911959</v>
      </c>
      <c r="AX34" s="6713">
        <f>AJ34/(년간!O8+년간!O10+년간!O11+년간!O12)</f>
        <v>164.48612693070211</v>
      </c>
      <c r="AY34" s="4794"/>
      <c r="AZ34" s="6395"/>
      <c r="BA34" s="6401" t="e">
        <f>AM34/년간!$V$13</f>
        <v>#DIV/0!</v>
      </c>
    </row>
    <row r="35" spans="2:53" ht="18" thickBot="1">
      <c r="B35" s="7108"/>
      <c r="C35" s="2459" t="s">
        <v>493</v>
      </c>
      <c r="D35" s="2355" t="s">
        <v>321</v>
      </c>
      <c r="E35" s="2457"/>
      <c r="F35" s="2457"/>
      <c r="G35" s="2457"/>
      <c r="H35" s="2358">
        <f>H34</f>
        <v>5.6754082503230467</v>
      </c>
      <c r="I35" s="2358">
        <f t="shared" ref="I35:AU35" si="33">I34</f>
        <v>3.5440115484469343</v>
      </c>
      <c r="J35" s="2358">
        <f t="shared" si="33"/>
        <v>3.5440115484469343</v>
      </c>
      <c r="K35" s="2358">
        <f t="shared" si="33"/>
        <v>1.9519757100430135</v>
      </c>
      <c r="L35" s="2358">
        <f t="shared" si="33"/>
        <v>3.0210358135614555</v>
      </c>
      <c r="M35" s="2358">
        <f t="shared" si="33"/>
        <v>0.15820093598506821</v>
      </c>
      <c r="N35" s="2358">
        <f t="shared" si="33"/>
        <v>0.64934461136957478</v>
      </c>
      <c r="O35" s="2358">
        <f t="shared" si="33"/>
        <v>0</v>
      </c>
      <c r="P35" s="2358">
        <f t="shared" si="33"/>
        <v>0</v>
      </c>
      <c r="Q35" s="2358">
        <f t="shared" si="33"/>
        <v>0.63083390322156951</v>
      </c>
      <c r="R35" s="2358">
        <f t="shared" ref="R35:W35" si="34">R34</f>
        <v>0.10818299803215127</v>
      </c>
      <c r="S35" s="2358">
        <f t="shared" si="34"/>
        <v>4.4738795521507448</v>
      </c>
      <c r="T35" s="2358">
        <f t="shared" si="34"/>
        <v>0.57556015239803904</v>
      </c>
      <c r="U35" s="2358">
        <f t="shared" si="34"/>
        <v>0</v>
      </c>
      <c r="V35" s="2358" t="e">
        <f t="shared" si="34"/>
        <v>#DIV/0!</v>
      </c>
      <c r="W35" s="2358">
        <f t="shared" si="34"/>
        <v>4.9267826042377498</v>
      </c>
      <c r="X35" s="2846">
        <f t="shared" si="33"/>
        <v>158156022.91259223</v>
      </c>
      <c r="Y35" s="2846">
        <f t="shared" si="33"/>
        <v>14593470.544462804</v>
      </c>
      <c r="Z35" s="2846">
        <f t="shared" si="33"/>
        <v>205.18372151679969</v>
      </c>
      <c r="AA35" s="2846">
        <f t="shared" si="33"/>
        <v>48678.854836425046</v>
      </c>
      <c r="AB35" s="2846">
        <f t="shared" si="33"/>
        <v>632781.55637454055</v>
      </c>
      <c r="AC35" s="2846">
        <f t="shared" si="33"/>
        <v>17512481.365721785</v>
      </c>
      <c r="AD35" s="2846">
        <f t="shared" si="33"/>
        <v>12473436.648903195</v>
      </c>
      <c r="AE35" s="2846">
        <f t="shared" si="33"/>
        <v>17237638.530996829</v>
      </c>
      <c r="AF35" s="2846">
        <f t="shared" si="33"/>
        <v>19088100.720647261</v>
      </c>
      <c r="AG35" s="2846">
        <f t="shared" si="33"/>
        <v>13462477.524216363</v>
      </c>
      <c r="AH35" s="6022">
        <f>AH34</f>
        <v>18378781.032598667</v>
      </c>
      <c r="AI35" s="6022">
        <f>AI34</f>
        <v>-36402353.976178639</v>
      </c>
      <c r="AJ35" s="6022">
        <f>AJ34</f>
        <v>12485036.877508879</v>
      </c>
      <c r="AK35" s="6022">
        <f t="shared" ref="AK35:AL35" si="35">AK34</f>
        <v>7031569.223659588</v>
      </c>
      <c r="AL35" s="6022" t="e">
        <f t="shared" si="35"/>
        <v>#DIV/0!</v>
      </c>
      <c r="AM35" s="6343" t="e">
        <f t="shared" si="1"/>
        <v>#DIV/0!</v>
      </c>
      <c r="AN35" s="6356">
        <f t="shared" si="8"/>
        <v>205.18372151679969</v>
      </c>
      <c r="AO35" s="6357">
        <f t="shared" si="33"/>
        <v>0.69695417327485898</v>
      </c>
      <c r="AP35" s="6357">
        <f t="shared" si="33"/>
        <v>9.0100702198609568</v>
      </c>
      <c r="AQ35" s="6357">
        <f t="shared" si="33"/>
        <v>256.6201905437793</v>
      </c>
      <c r="AR35" s="6357">
        <f t="shared" si="33"/>
        <v>183.19494859784024</v>
      </c>
      <c r="AS35" s="6357">
        <f t="shared" si="33"/>
        <v>265.51776604946429</v>
      </c>
      <c r="AT35" s="6357">
        <f t="shared" si="33"/>
        <v>260.3006358383218</v>
      </c>
      <c r="AU35" s="6357">
        <f t="shared" si="33"/>
        <v>161.5863845460668</v>
      </c>
      <c r="AV35" s="6357">
        <f>AV34</f>
        <v>250.61461628471517</v>
      </c>
      <c r="AW35" s="6357">
        <f>AW34</f>
        <v>-479.21678366911959</v>
      </c>
      <c r="AX35" s="6714">
        <f>AX34</f>
        <v>164.48612693070211</v>
      </c>
      <c r="AY35" s="4804"/>
      <c r="AZ35" s="6396"/>
      <c r="BA35" s="6401" t="e">
        <f>AM35/년간!$V$13</f>
        <v>#DIV/0!</v>
      </c>
    </row>
    <row r="36" spans="2:53" ht="17.399999999999999">
      <c r="B36" s="7106" t="s">
        <v>1246</v>
      </c>
      <c r="C36" s="7133"/>
      <c r="D36" s="7133"/>
      <c r="E36" s="2065">
        <f t="shared" ref="E36:I37" si="36">E7+E15+E22+E27+E34</f>
        <v>1219.1841468321124</v>
      </c>
      <c r="F36" s="2065">
        <f t="shared" si="36"/>
        <v>650.07286202549881</v>
      </c>
      <c r="G36" s="2065">
        <f t="shared" si="36"/>
        <v>528.85712376459992</v>
      </c>
      <c r="H36" s="3047">
        <f t="shared" si="36"/>
        <v>624.47823387399649</v>
      </c>
      <c r="I36" s="4386">
        <f t="shared" si="36"/>
        <v>346.67029868503863</v>
      </c>
      <c r="J36" s="4386">
        <f t="shared" ref="J36:O37" si="37">J7+J15+J22+J27+J34</f>
        <v>68.538403230659355</v>
      </c>
      <c r="K36" s="4386">
        <f t="shared" si="37"/>
        <v>45.286473147159683</v>
      </c>
      <c r="L36" s="4436">
        <f t="shared" si="37"/>
        <v>81.86502123921305</v>
      </c>
      <c r="M36" s="4436">
        <f t="shared" si="37"/>
        <v>79.179919865172138</v>
      </c>
      <c r="N36" s="4436">
        <f t="shared" si="37"/>
        <v>42.464437259057213</v>
      </c>
      <c r="O36" s="4436">
        <f t="shared" si="37"/>
        <v>69.29232649773995</v>
      </c>
      <c r="P36" s="4436">
        <f>P7+P15+P22+P27+P34</f>
        <v>77.9774944419771</v>
      </c>
      <c r="Q36" s="4436">
        <f>Q7+Q15+Q22+Q27+Q34</f>
        <v>82.439369630595621</v>
      </c>
      <c r="R36" s="4436">
        <f t="shared" ref="R36:W36" si="38">R7+R15+R22+R27+R34</f>
        <v>65.067535207443029</v>
      </c>
      <c r="S36" s="4436">
        <f t="shared" si="38"/>
        <v>49.868405028111709</v>
      </c>
      <c r="T36" s="4436">
        <f t="shared" si="38"/>
        <v>66.501544793638757</v>
      </c>
      <c r="U36" s="4436">
        <f t="shared" si="38"/>
        <v>107.65329035464306</v>
      </c>
      <c r="V36" s="4436" t="e">
        <f t="shared" si="38"/>
        <v>#DIV/0!</v>
      </c>
      <c r="W36" s="4436">
        <f t="shared" si="38"/>
        <v>344.23774031546537</v>
      </c>
      <c r="X36" s="3562">
        <f>X15+X22+X27+X34</f>
        <v>734647574.33842206</v>
      </c>
      <c r="Y36" s="2065">
        <f>Y15+Y22+Y27+Y34</f>
        <v>69764674.186466888</v>
      </c>
      <c r="Z36" s="4794">
        <f>X36/(년간!E8+년간!E10+년간!E10+년간!E11+년간!E12)</f>
        <v>703.46170981873775</v>
      </c>
      <c r="AA36" s="4663">
        <f t="shared" ref="AA36:AF36" si="39">AA15+AA22+AA27+AA34</f>
        <v>60954989.195652165</v>
      </c>
      <c r="AB36" s="4663">
        <f t="shared" si="39"/>
        <v>57148285.749895424</v>
      </c>
      <c r="AC36" s="4663">
        <f t="shared" si="39"/>
        <v>9984778.9463397153</v>
      </c>
      <c r="AD36" s="4663">
        <f t="shared" si="39"/>
        <v>59064926.56134288</v>
      </c>
      <c r="AE36" s="4663">
        <f t="shared" si="39"/>
        <v>86800349.476222798</v>
      </c>
      <c r="AF36" s="4663">
        <f t="shared" si="39"/>
        <v>83160210.853495866</v>
      </c>
      <c r="AG36" s="4663">
        <f>AG15+AG22+AG27+AG34</f>
        <v>96039230.020962238</v>
      </c>
      <c r="AH36" s="4663">
        <f>AH15+AH22+AH27+AH34</f>
        <v>31215698.851939224</v>
      </c>
      <c r="AI36" s="4663">
        <f>AI15+AI22+AI27+AI34</f>
        <v>10485267.943392463</v>
      </c>
      <c r="AJ36" s="4663">
        <f>AJ15+AJ22+AJ27+AJ34</f>
        <v>45621310.094833523</v>
      </c>
      <c r="AK36" s="4663">
        <f t="shared" ref="AK36:AL36" si="40">AK15+AK22+AK27+AK34</f>
        <v>-49424579.938968047</v>
      </c>
      <c r="AL36" s="4663" t="e">
        <f t="shared" si="40"/>
        <v>#DIV/0!</v>
      </c>
      <c r="AM36" s="6343" t="e">
        <f t="shared" si="1"/>
        <v>#DIV/0!</v>
      </c>
      <c r="AN36" s="6355">
        <f t="shared" si="8"/>
        <v>703.46170981873775</v>
      </c>
      <c r="AO36" s="6355">
        <f>AA36/년간!F13</f>
        <v>659.00448838465502</v>
      </c>
      <c r="AP36" s="6355">
        <f>AB36/년간!G13</f>
        <v>587.51605308441731</v>
      </c>
      <c r="AQ36" s="6355">
        <f>AC36/년간!H13</f>
        <v>110.99026412465709</v>
      </c>
      <c r="AR36" s="6355">
        <f>AD36/년간!I13</f>
        <v>624.66831473980335</v>
      </c>
      <c r="AS36" s="6355">
        <f>AE36/년간!J13</f>
        <v>970.09570733732721</v>
      </c>
      <c r="AT36" s="6355">
        <f>AF36/년간!K13</f>
        <v>834.5194215287388</v>
      </c>
      <c r="AU36" s="6355">
        <f>AG36/년간!L13</f>
        <v>839.99453895057422</v>
      </c>
      <c r="AV36" s="6355">
        <f>AH36/년간!M13</f>
        <v>306.95340391303307</v>
      </c>
      <c r="AW36" s="6375">
        <f>AI36/년간!N13</f>
        <v>102.33674588680931</v>
      </c>
      <c r="AX36" s="6713">
        <f>AJ36/년간!O13</f>
        <v>431.13972202845923</v>
      </c>
      <c r="AY36" s="4794"/>
      <c r="AZ36" s="6395"/>
      <c r="BA36" s="6401" t="e">
        <f>AM36/년간!$V$13</f>
        <v>#DIV/0!</v>
      </c>
    </row>
    <row r="37" spans="2:53" ht="18" thickBot="1">
      <c r="B37" s="7134" t="s">
        <v>1245</v>
      </c>
      <c r="C37" s="7135"/>
      <c r="D37" s="7135"/>
      <c r="E37" s="2045">
        <f t="shared" si="36"/>
        <v>162.26748016544568</v>
      </c>
      <c r="F37" s="2045">
        <f t="shared" si="36"/>
        <v>95.489528692165578</v>
      </c>
      <c r="G37" s="2045">
        <f t="shared" si="36"/>
        <v>77.857123764599947</v>
      </c>
      <c r="H37" s="3557">
        <f t="shared" si="36"/>
        <v>95.671567207329787</v>
      </c>
      <c r="I37" s="4385">
        <f t="shared" si="36"/>
        <v>65.253632018371974</v>
      </c>
      <c r="J37" s="4385">
        <f t="shared" si="37"/>
        <v>42.046736563992695</v>
      </c>
      <c r="K37" s="4385">
        <f t="shared" si="37"/>
        <v>37.082306480493017</v>
      </c>
      <c r="L37" s="4435">
        <f t="shared" si="37"/>
        <v>42.402521239213058</v>
      </c>
      <c r="M37" s="4435">
        <f t="shared" si="37"/>
        <v>48.068253198505474</v>
      </c>
      <c r="N37" s="4435">
        <f t="shared" si="37"/>
        <v>37.94527059239055</v>
      </c>
      <c r="O37" s="4435">
        <f t="shared" si="37"/>
        <v>36.218993164406626</v>
      </c>
      <c r="P37" s="4435">
        <f>P8+P16+P23+P28+P35</f>
        <v>37.616661108643747</v>
      </c>
      <c r="Q37" s="4435">
        <f>Q8+Q16+Q23+Q28+Q35</f>
        <v>38.430202963928949</v>
      </c>
      <c r="R37" s="4435">
        <f t="shared" ref="R37:W37" si="41">R8+R16+R23+R28+R35</f>
        <v>41.518368540776372</v>
      </c>
      <c r="S37" s="4435">
        <f t="shared" si="41"/>
        <v>43.754238361445047</v>
      </c>
      <c r="T37" s="4435">
        <f t="shared" si="41"/>
        <v>40.165711460305417</v>
      </c>
      <c r="U37" s="4435">
        <f t="shared" si="41"/>
        <v>101.58495702130972</v>
      </c>
      <c r="V37" s="4435" t="e">
        <f t="shared" si="41"/>
        <v>#DIV/0!</v>
      </c>
      <c r="W37" s="4435">
        <f t="shared" si="41"/>
        <v>67.89940698213195</v>
      </c>
      <c r="X37" s="3563">
        <f>X8+X16+X23+X28+X35</f>
        <v>734647574.33842206</v>
      </c>
      <c r="Y37" s="5622">
        <f>Y8+Y16+Y23+Y28+Y35</f>
        <v>69764674.186466888</v>
      </c>
      <c r="Z37" s="4800"/>
      <c r="AA37" s="4494"/>
      <c r="AB37" s="4494"/>
      <c r="AC37" s="4494"/>
      <c r="AD37" s="4494"/>
      <c r="AE37" s="4494"/>
      <c r="AF37" s="4494"/>
      <c r="AG37" s="4494"/>
      <c r="AH37" s="4494"/>
      <c r="AI37" s="4494"/>
      <c r="AJ37" s="4494"/>
      <c r="AK37" s="3557"/>
      <c r="AL37" s="3557"/>
      <c r="AM37" s="6343"/>
      <c r="AN37" s="4649">
        <f t="shared" si="8"/>
        <v>0</v>
      </c>
      <c r="AO37" s="4649"/>
      <c r="AP37" s="4649"/>
      <c r="AQ37" s="4649"/>
      <c r="AR37" s="4649"/>
      <c r="AS37" s="4649"/>
      <c r="AT37" s="4649"/>
      <c r="AU37" s="4649"/>
      <c r="AV37" s="4649"/>
      <c r="AW37" s="4649"/>
      <c r="AX37" s="6717"/>
      <c r="AY37" s="4804"/>
      <c r="AZ37" s="6396"/>
      <c r="BA37" s="6402"/>
    </row>
    <row r="38" spans="2:53" s="299" customFormat="1" ht="17.399999999999999">
      <c r="B38" s="7106" t="s">
        <v>1452</v>
      </c>
      <c r="C38" s="3194" t="s">
        <v>1453</v>
      </c>
      <c r="D38" s="1225" t="s">
        <v>1097</v>
      </c>
      <c r="E38" s="3195">
        <f>CPL!H17</f>
        <v>6867</v>
      </c>
      <c r="F38" s="3195">
        <f>CPL!I17</f>
        <v>1908</v>
      </c>
      <c r="G38" s="3195">
        <f>CPL!J17</f>
        <v>1070.9100000000001</v>
      </c>
      <c r="H38" s="3558">
        <f>CPL!K17</f>
        <v>2761.3699999999994</v>
      </c>
      <c r="I38" s="4387">
        <f>CPL!L17</f>
        <v>1500</v>
      </c>
      <c r="J38" s="4387">
        <f>CPL!M17</f>
        <v>150</v>
      </c>
      <c r="K38" s="4768">
        <f>CPL!N17</f>
        <v>173.53</v>
      </c>
      <c r="L38" s="2995">
        <f>CPL!O17</f>
        <v>434.70000000000005</v>
      </c>
      <c r="M38" s="2995">
        <f>CPL!P17</f>
        <v>186.6</v>
      </c>
      <c r="N38" s="2995">
        <f>CPL!Q17</f>
        <v>541.08000000000004</v>
      </c>
      <c r="O38" s="2995">
        <f>CPL!R17</f>
        <v>685.14</v>
      </c>
      <c r="P38" s="2995">
        <f>CPL!S17</f>
        <v>1024.3</v>
      </c>
      <c r="Q38" s="2995">
        <f>CPL!T17</f>
        <v>328.19</v>
      </c>
      <c r="R38" s="2995">
        <f>CPL!U17</f>
        <v>143.68</v>
      </c>
      <c r="S38" s="2995">
        <f>CPL!V17</f>
        <v>68.17</v>
      </c>
      <c r="T38" s="2995">
        <f>CPL!W17</f>
        <v>529.76</v>
      </c>
      <c r="U38" s="2995">
        <f>CPL!X17</f>
        <v>0</v>
      </c>
      <c r="V38" s="2995">
        <f>CPL!Y17</f>
        <v>0</v>
      </c>
      <c r="W38" s="6037">
        <f>CPL!Z17</f>
        <v>4115.1500000000005</v>
      </c>
      <c r="X38" s="4457">
        <f>($H$38-I38)*년간!$E$213/60</f>
        <v>23260059.915272962</v>
      </c>
      <c r="Y38" s="3195">
        <f>($H$38/10-J38)*년간!$E$213/60</f>
        <v>2326005.9915272966</v>
      </c>
      <c r="Z38" s="4951">
        <f>X38/년간!E8</f>
        <v>84.096417470291414</v>
      </c>
      <c r="AA38" s="4498">
        <f>($H$38/12-K38)*년간!$E$213/60</f>
        <v>1043429.847643798</v>
      </c>
      <c r="AB38" s="4498">
        <f>($H$38/12-L38)*년간!$E$213/60</f>
        <v>-3772627.1761254719</v>
      </c>
      <c r="AC38" s="4498">
        <f>($H$38/12-M38)*년간!$E$213/60</f>
        <v>802414.93283480639</v>
      </c>
      <c r="AD38" s="4498">
        <f>($H$38/12-N38)*년간!$E$213/60</f>
        <v>-5734307.8675853442</v>
      </c>
      <c r="AE38" s="4498">
        <f>($H$38/12-O38)*년간!$E$213/60</f>
        <v>-8390819.6217845269</v>
      </c>
      <c r="AF38" s="4498">
        <f>($H$38/12-P38)*년간!$E$213/60</f>
        <v>-14645036.799031474</v>
      </c>
      <c r="AG38" s="4498">
        <f>($H$38/12-Q38)*년간!$E$213/60</f>
        <v>-1808549.2437378888</v>
      </c>
      <c r="AH38" s="4498">
        <f>($H$38/12-R38)*년간!$E$213/60</f>
        <v>1593873.2452756572</v>
      </c>
      <c r="AI38" s="4498">
        <f>($H$38/12-S38)*년간!$E$213/60</f>
        <v>2986301.4179785615</v>
      </c>
      <c r="AJ38" s="4498">
        <f>($H$38/12-T38)*년간!$E$213/60</f>
        <v>-5525563.5037262924</v>
      </c>
      <c r="AK38" s="4498">
        <f>($H$38/12-U38)*년간!$E$213/60</f>
        <v>4243377.6798399966</v>
      </c>
      <c r="AL38" s="4498">
        <f>($H$38/12-V38)*년간!$E$213/60</f>
        <v>4243377.6798399966</v>
      </c>
      <c r="AM38" s="6342">
        <f t="shared" si="1"/>
        <v>-24964129.40857818</v>
      </c>
      <c r="AN38" s="6360">
        <f t="shared" si="8"/>
        <v>84.096417470291414</v>
      </c>
      <c r="AO38" s="6361">
        <f>AA38/년간!F8</f>
        <v>39.755963419913229</v>
      </c>
      <c r="AP38" s="6362">
        <f>AB38/년간!G8</f>
        <v>-130.40464263334431</v>
      </c>
      <c r="AQ38" s="6362">
        <f>AC38/년간!H8</f>
        <v>33.710465629106345</v>
      </c>
      <c r="AR38" s="6362">
        <f>AD38/년간!I8</f>
        <v>-221.10007644336184</v>
      </c>
      <c r="AS38" s="6362">
        <f>AE38/년간!J8</f>
        <v>-329.83222345678075</v>
      </c>
      <c r="AT38" s="6362">
        <f>AF38/년간!K8</f>
        <v>-496.54796783826623</v>
      </c>
      <c r="AU38" s="6362">
        <f>AG38/년간!L8</f>
        <v>-55.762178816988758</v>
      </c>
      <c r="AV38" s="6362">
        <f>AH38/년간!M8</f>
        <v>55.785164441796418</v>
      </c>
      <c r="AW38" s="6376">
        <f>AI38/년간!N8</f>
        <v>100.95366971396625</v>
      </c>
      <c r="AX38" s="6718">
        <f>AJ38/년간!O8</f>
        <v>-180.41700791312513</v>
      </c>
      <c r="AY38" s="4805"/>
      <c r="AZ38" s="4952"/>
      <c r="BA38" s="4558">
        <f>AM38/년간!$V$8</f>
        <v>-88.615535885523201</v>
      </c>
    </row>
    <row r="39" spans="2:53" s="299" customFormat="1" ht="17.399999999999999">
      <c r="B39" s="7107"/>
      <c r="C39" s="3192" t="s">
        <v>1454</v>
      </c>
      <c r="D39" s="2702" t="s">
        <v>1097</v>
      </c>
      <c r="E39" s="3193">
        <f>CRM!H8</f>
        <v>538.38</v>
      </c>
      <c r="F39" s="3193">
        <f>CRM!I8</f>
        <v>1238</v>
      </c>
      <c r="G39" s="3193">
        <f>CRM!J8</f>
        <v>926.96999999999991</v>
      </c>
      <c r="H39" s="3559">
        <f>CRM!K8</f>
        <v>387.37</v>
      </c>
      <c r="I39" s="4388">
        <f>CRM!L8</f>
        <v>140</v>
      </c>
      <c r="J39" s="4388">
        <f>CRM!M8</f>
        <v>14</v>
      </c>
      <c r="K39" s="4769">
        <f>CRM!N8</f>
        <v>23.24</v>
      </c>
      <c r="L39" s="4437">
        <f>CRM!O8</f>
        <v>73.63</v>
      </c>
      <c r="M39" s="4437">
        <f>CRM!P8</f>
        <v>20.329999999999998</v>
      </c>
      <c r="N39" s="4437">
        <f>CRM!Q8</f>
        <v>19.04</v>
      </c>
      <c r="O39" s="4437">
        <f>CRM!R8</f>
        <v>21.05</v>
      </c>
      <c r="P39" s="4437">
        <f>CRM!S8</f>
        <v>79.36999999999999</v>
      </c>
      <c r="Q39" s="4437">
        <f>CRM!T8</f>
        <v>0</v>
      </c>
      <c r="R39" s="4437">
        <f>CRM!U8</f>
        <v>20.010000000000002</v>
      </c>
      <c r="S39" s="4437">
        <f>CRM!V8</f>
        <v>19.64</v>
      </c>
      <c r="T39" s="4437">
        <f>CRM!W8</f>
        <v>49.84</v>
      </c>
      <c r="U39" s="4437">
        <f>CRM!X8</f>
        <v>0</v>
      </c>
      <c r="V39" s="4437">
        <f>CRM!Y8</f>
        <v>0</v>
      </c>
      <c r="W39" s="6038">
        <f>CRM!Z8</f>
        <v>326.14999999999998</v>
      </c>
      <c r="X39" s="4458">
        <f>($H$39-I39)*년간!$E$214/48</f>
        <v>5800531.9079364538</v>
      </c>
      <c r="Y39" s="5623">
        <f>($H$39/10-J39)*년간!$E$214/48</f>
        <v>580053.19079364545</v>
      </c>
      <c r="Z39" s="4952">
        <f>X39/년간!E9</f>
        <v>21.779981931543734</v>
      </c>
      <c r="AA39" s="4495">
        <f>($H$39/12-K39)*년간!$E$214/48</f>
        <v>211996.77497002669</v>
      </c>
      <c r="AB39" s="4495">
        <f>($H$39/12-L39)*년간!$E$214/48</f>
        <v>-969588.71575608349</v>
      </c>
      <c r="AC39" s="4495">
        <f>($H$39/12-M39)*년간!$E$214/48</f>
        <v>280232.80946125474</v>
      </c>
      <c r="AD39" s="4495">
        <f>($H$39/12-N39)*년간!$E$214/48</f>
        <v>310481.7732047888</v>
      </c>
      <c r="AE39" s="4495">
        <f>($H$39/12-O39)*년간!$E$214/48</f>
        <v>263349.66690672404</v>
      </c>
      <c r="AF39" s="4495">
        <f>($H$39/12-P39)*년간!$E$214/48</f>
        <v>-1104184.8800102582</v>
      </c>
      <c r="AG39" s="4495">
        <f>($H$39/12-Q39)*년간!$E$214/48</f>
        <v>756947.09853571036</v>
      </c>
      <c r="AH39" s="4495">
        <f>($H$39/12-R39)*년간!$E$214/48</f>
        <v>287736.42837437935</v>
      </c>
      <c r="AI39" s="4495">
        <f>($H$39/12-S39)*년간!$E$214/48</f>
        <v>296412.48774267989</v>
      </c>
      <c r="AJ39" s="4495">
        <f>($H$39/12-T39)*년간!$E$214/48</f>
        <v>-411741.54718346684</v>
      </c>
      <c r="AK39" s="4495">
        <f>($H$39/12-U39)*년간!$E$214/48</f>
        <v>756947.09853571036</v>
      </c>
      <c r="AL39" s="4495">
        <f>($H$39/12-V39)*년간!$E$214/48</f>
        <v>756947.09853571036</v>
      </c>
      <c r="AM39" s="6342">
        <f t="shared" si="1"/>
        <v>1435536.0933171762</v>
      </c>
      <c r="AN39" s="6363">
        <f t="shared" si="8"/>
        <v>21.779981931543734</v>
      </c>
      <c r="AO39" s="6364">
        <f>AA39/년간!F9</f>
        <v>9.3595033281940641</v>
      </c>
      <c r="AP39" s="6365">
        <f>AB39/년간!G9</f>
        <v>-35.856854772725818</v>
      </c>
      <c r="AQ39" s="6365">
        <f>AC39/년간!H9</f>
        <v>12.903221489095694</v>
      </c>
      <c r="AR39" s="6365">
        <f>AD39/년간!I9</f>
        <v>11.731460114275617</v>
      </c>
      <c r="AS39" s="6365">
        <f>AE39/년간!J9</f>
        <v>10.724793624602999</v>
      </c>
      <c r="AT39" s="6365">
        <f>AF39/년간!K9</f>
        <v>-41.953205691696262</v>
      </c>
      <c r="AU39" s="6365">
        <f>AG39/년간!L9</f>
        <v>24.402904262544286</v>
      </c>
      <c r="AV39" s="6365">
        <f>AH39/년간!M9</f>
        <v>10.145710142919315</v>
      </c>
      <c r="AW39" s="6377">
        <f>AI39/년간!N9</f>
        <v>11.186938845902255</v>
      </c>
      <c r="AX39" s="6715">
        <f>AJ39/년간!O9</f>
        <v>-13.764947675525384</v>
      </c>
      <c r="AY39" s="4805"/>
      <c r="AZ39" s="4952"/>
      <c r="BA39" s="4558">
        <f>AM39/년간!$V$9</f>
        <v>5.426594932516295</v>
      </c>
    </row>
    <row r="40" spans="2:53" s="299" customFormat="1" ht="17.399999999999999">
      <c r="B40" s="7107"/>
      <c r="C40" s="3192" t="s">
        <v>1455</v>
      </c>
      <c r="D40" s="2702" t="s">
        <v>1097</v>
      </c>
      <c r="E40" s="2708"/>
      <c r="F40" s="2708"/>
      <c r="G40" s="2708"/>
      <c r="H40" s="3560"/>
      <c r="I40" s="4389"/>
      <c r="J40" s="4389"/>
      <c r="K40" s="4389"/>
      <c r="L40" s="4424"/>
      <c r="M40" s="4424"/>
      <c r="N40" s="4424"/>
      <c r="O40" s="4424"/>
      <c r="P40" s="4424"/>
      <c r="Q40" s="4424"/>
      <c r="R40" s="4424"/>
      <c r="S40" s="4424"/>
      <c r="T40" s="4424"/>
      <c r="U40" s="4424"/>
      <c r="V40" s="4424"/>
      <c r="W40" s="4424"/>
      <c r="X40" s="4459"/>
      <c r="Y40" s="5624"/>
      <c r="Z40" s="4953"/>
      <c r="AA40" s="4664"/>
      <c r="AB40" s="4664"/>
      <c r="AC40" s="4664"/>
      <c r="AD40" s="4664"/>
      <c r="AE40" s="4664"/>
      <c r="AF40" s="4664"/>
      <c r="AG40" s="4664"/>
      <c r="AH40" s="4664"/>
      <c r="AI40" s="4664"/>
      <c r="AJ40" s="4664"/>
      <c r="AK40" s="4664"/>
      <c r="AL40" s="4664"/>
      <c r="AM40" s="6345"/>
      <c r="AN40" s="6366">
        <f t="shared" si="8"/>
        <v>0</v>
      </c>
      <c r="AO40" s="6367"/>
      <c r="AP40" s="6368"/>
      <c r="AQ40" s="6368"/>
      <c r="AR40" s="6368"/>
      <c r="AS40" s="6368"/>
      <c r="AT40" s="6368"/>
      <c r="AU40" s="6368"/>
      <c r="AV40" s="6368"/>
      <c r="AW40" s="6378"/>
      <c r="AX40" s="6716"/>
      <c r="AY40" s="4806"/>
      <c r="AZ40" s="4953"/>
      <c r="BA40" s="6403"/>
    </row>
    <row r="41" spans="2:53" s="299" customFormat="1" ht="17.399999999999999">
      <c r="B41" s="7107"/>
      <c r="C41" s="3192" t="s">
        <v>1456</v>
      </c>
      <c r="D41" s="2702" t="s">
        <v>1097</v>
      </c>
      <c r="E41" s="3193">
        <f>'#1CCL'!H8</f>
        <v>420.60000000000008</v>
      </c>
      <c r="F41" s="3193">
        <f>'#1CCL'!I8</f>
        <v>1029.94</v>
      </c>
      <c r="G41" s="3193">
        <f>'#1CCL'!J8</f>
        <v>384</v>
      </c>
      <c r="H41" s="3559">
        <f>'#1CCL'!K8</f>
        <v>1686.7099999999998</v>
      </c>
      <c r="I41" s="4388">
        <f>'#1CCL'!L8</f>
        <v>200</v>
      </c>
      <c r="J41" s="4388">
        <f>'#1CCL'!M8</f>
        <v>16.666666666666668</v>
      </c>
      <c r="K41" s="4769">
        <f>'#1CCL'!N8</f>
        <v>0</v>
      </c>
      <c r="L41" s="4437">
        <f>'#1CCL'!O8</f>
        <v>0</v>
      </c>
      <c r="M41" s="4437">
        <f>'#1CCL'!P8</f>
        <v>3.51</v>
      </c>
      <c r="N41" s="4437">
        <f>'#1CCL'!Q8</f>
        <v>0</v>
      </c>
      <c r="O41" s="4437">
        <f>'#1CCL'!R8</f>
        <v>39.479999999999997</v>
      </c>
      <c r="P41" s="4437">
        <f>'#1CCL'!S8</f>
        <v>14.17</v>
      </c>
      <c r="Q41" s="4437">
        <f>'#1CCL'!T8</f>
        <v>0</v>
      </c>
      <c r="R41" s="4437">
        <f>'#1CCL'!U8</f>
        <v>1.65</v>
      </c>
      <c r="S41" s="4437">
        <f>'#1CCL'!V8</f>
        <v>0</v>
      </c>
      <c r="T41" s="4437">
        <f>'#1CCL'!W8</f>
        <v>0</v>
      </c>
      <c r="U41" s="4437">
        <f>'#1CCL'!X8</f>
        <v>36.6</v>
      </c>
      <c r="V41" s="4437">
        <f>'#1CCL'!Y8</f>
        <v>120.88</v>
      </c>
      <c r="W41" s="6038">
        <f>'#1CCL'!Z8</f>
        <v>216.29</v>
      </c>
      <c r="X41" s="4458">
        <f>($H$41-I41)*년간!$E$216/24.5</f>
        <v>63762317.06485495</v>
      </c>
      <c r="Y41" s="5623">
        <f>($H$41/12-J41)*년간!$E$216/24.5</f>
        <v>5313526.4220712455</v>
      </c>
      <c r="Z41" s="4952">
        <f>X41/년간!E11</f>
        <v>380.94346436166177</v>
      </c>
      <c r="AA41" s="4495">
        <f>($H$41/12-K41)*년간!$E$216/24.5</f>
        <v>6028329.7693375256</v>
      </c>
      <c r="AB41" s="4495">
        <f>($H$41/12-L41)*년간!$E$216/24.5</f>
        <v>6028329.7693375256</v>
      </c>
      <c r="AC41" s="4495">
        <f>($H$41/12-M41)*년간!$E$216/24.5</f>
        <v>5877792.1844032472</v>
      </c>
      <c r="AD41" s="4495">
        <f>($H$41/12-N41)*년간!$E$216/24.5</f>
        <v>6028329.7693375256</v>
      </c>
      <c r="AE41" s="4495">
        <f>($H$41/12-O41)*년간!$E$216/24.5</f>
        <v>4335103.6003331635</v>
      </c>
      <c r="AF41" s="4495">
        <f>($H$41/12-P41)*년간!$E$216/24.5</f>
        <v>5420603.963491735</v>
      </c>
      <c r="AG41" s="4495">
        <f>($H$41/12-Q41)*년간!$E$216/24.5</f>
        <v>6028329.7693375256</v>
      </c>
      <c r="AH41" s="4495">
        <f>($H$41/12-R41)*년간!$E$216/24.5</f>
        <v>5957564.2379581621</v>
      </c>
      <c r="AI41" s="4495">
        <f>($H$41/12-S41)*년간!$E$216/24.5</f>
        <v>6028329.7693375256</v>
      </c>
      <c r="AJ41" s="4495">
        <f>($H$41/12-T41)*년간!$E$216/24.5</f>
        <v>6028329.7693375256</v>
      </c>
      <c r="AK41" s="4495">
        <f>($H$41/12-U41)*년간!$E$216/24.5</f>
        <v>4458621.6187407766</v>
      </c>
      <c r="AL41" s="4495">
        <f>($H$41/12-V41)*년간!$E$216/24.5</f>
        <v>844004.05228465784</v>
      </c>
      <c r="AM41" s="6342">
        <f t="shared" si="1"/>
        <v>63063668.273236901</v>
      </c>
      <c r="AN41" s="6363">
        <f t="shared" si="8"/>
        <v>380.94346436166177</v>
      </c>
      <c r="AO41" s="6364">
        <f>AA41/년간!F11</f>
        <v>439.5649339512907</v>
      </c>
      <c r="AP41" s="6365">
        <f>AB41/년간!G11</f>
        <v>528.38695384558639</v>
      </c>
      <c r="AQ41" s="6365">
        <f>AC41/년간!H11</f>
        <v>441.96983433464925</v>
      </c>
      <c r="AR41" s="6365">
        <f>AD41/년간!I11</f>
        <v>467.1197435892737</v>
      </c>
      <c r="AS41" s="6365">
        <f>AE41/년간!J11</f>
        <v>342.99533239474039</v>
      </c>
      <c r="AT41" s="6365">
        <f>AF41/년간!K11</f>
        <v>398.80401286711339</v>
      </c>
      <c r="AU41" s="6365">
        <f>AG41/년간!L11</f>
        <v>400.32764037679249</v>
      </c>
      <c r="AV41" s="6365">
        <f>AH41/년간!M11</f>
        <v>479.86940266131631</v>
      </c>
      <c r="AW41" s="6377">
        <f>AI41/년간!N11</f>
        <v>463.15262835782846</v>
      </c>
      <c r="AX41" s="6715">
        <f>AJ41/년간!O11</f>
        <v>441.94443221806324</v>
      </c>
      <c r="AY41" s="4805"/>
      <c r="AZ41" s="4952"/>
      <c r="BA41" s="4558">
        <f>AM41/년간!$V$11</f>
        <v>400.07024658193234</v>
      </c>
    </row>
    <row r="42" spans="2:53" s="299" customFormat="1" ht="17.399999999999999">
      <c r="B42" s="7107"/>
      <c r="C42" s="3192" t="s">
        <v>1457</v>
      </c>
      <c r="D42" s="2702" t="s">
        <v>1097</v>
      </c>
      <c r="E42" s="3193">
        <f>'#2CCL'!H8</f>
        <v>401.6500000000002</v>
      </c>
      <c r="F42" s="3193">
        <f>'#2CCL'!I8</f>
        <v>321.48</v>
      </c>
      <c r="G42" s="3193">
        <f>'#2CCL'!J8</f>
        <v>171.09</v>
      </c>
      <c r="H42" s="3559">
        <f>'#2CCL'!K8</f>
        <v>226.51299999999998</v>
      </c>
      <c r="I42" s="4388">
        <f>'#2CCL'!L8</f>
        <v>60</v>
      </c>
      <c r="J42" s="4388">
        <f>'#2CCL'!M8</f>
        <v>5</v>
      </c>
      <c r="K42" s="4769">
        <f>'#2CCL'!N8</f>
        <v>0</v>
      </c>
      <c r="L42" s="4437">
        <f>'#2CCL'!O8</f>
        <v>0</v>
      </c>
      <c r="M42" s="4437">
        <f>'#2CCL'!P8</f>
        <v>8.43</v>
      </c>
      <c r="N42" s="4437">
        <f>'#2CCL'!Q8</f>
        <v>16.82</v>
      </c>
      <c r="O42" s="4437">
        <f>'#2CCL'!R8</f>
        <v>35.299999999999997</v>
      </c>
      <c r="P42" s="4437">
        <f>'#2CCL'!S8</f>
        <v>4.9000000000000004</v>
      </c>
      <c r="Q42" s="4437">
        <f>'#2CCL'!T8</f>
        <v>0</v>
      </c>
      <c r="R42" s="4437">
        <f>'#2CCL'!U8</f>
        <v>0</v>
      </c>
      <c r="S42" s="4437">
        <f>'#2CCL'!V8</f>
        <v>2</v>
      </c>
      <c r="T42" s="4437">
        <f>'#2CCL'!W8</f>
        <v>0</v>
      </c>
      <c r="U42" s="4437">
        <f>'#2CCL'!X8</f>
        <v>0</v>
      </c>
      <c r="V42" s="4437">
        <f>'#2CCL'!Y8</f>
        <v>1.25</v>
      </c>
      <c r="W42" s="6038">
        <f>'#2CCL'!Z8</f>
        <v>68.7</v>
      </c>
      <c r="X42" s="4458">
        <f>($H$42-I42)*년간!$E$217/9.5</f>
        <v>22847387.95245878</v>
      </c>
      <c r="Y42" s="5623">
        <f>($H$42/12-J42)*년간!$E$217/9.5</f>
        <v>1903948.9960382313</v>
      </c>
      <c r="Z42" s="4952">
        <f>X42/년간!E12</f>
        <v>428.62426745570275</v>
      </c>
      <c r="AA42" s="4495">
        <f>($H$42/12-K42)*년간!$E$217/9.5</f>
        <v>2590003.176566442</v>
      </c>
      <c r="AB42" s="4495">
        <f>($H$42/12-L42)*년간!$E$217/9.5</f>
        <v>2590003.176566442</v>
      </c>
      <c r="AC42" s="4495">
        <f>($H$42/12-M42)*년간!$E$217/9.5</f>
        <v>1433315.8281958792</v>
      </c>
      <c r="AD42" s="4495">
        <f>($H$42/12-N42)*년간!$E$217/9.5</f>
        <v>282116.91326954181</v>
      </c>
      <c r="AE42" s="4495">
        <f>($H$42/12-O42)*년간!$E$217/9.5</f>
        <v>-2253539.3379627238</v>
      </c>
      <c r="AF42" s="4495">
        <f>($H$42/12-P42)*년간!$E$217/9.5</f>
        <v>1917670.0796487958</v>
      </c>
      <c r="AG42" s="4495">
        <f>($H$42/12-Q42)*년간!$E$217/9.5</f>
        <v>2590003.176566442</v>
      </c>
      <c r="AH42" s="4495">
        <f>($H$42/12-R42)*년간!$E$217/9.5</f>
        <v>2590003.176566442</v>
      </c>
      <c r="AI42" s="4495">
        <f>($H$42/12-S42)*년간!$E$217/9.5</f>
        <v>2315581.5043551582</v>
      </c>
      <c r="AJ42" s="4495">
        <f>($H$42/12-T42)*년간!$E$217/9.5</f>
        <v>2590003.176566442</v>
      </c>
      <c r="AK42" s="4495">
        <f>($H$42/12-U42)*년간!$E$217/9.5</f>
        <v>2590003.176566442</v>
      </c>
      <c r="AL42" s="4495">
        <f>($H$42/12-V42)*년간!$E$217/9.5</f>
        <v>2418489.6314343899</v>
      </c>
      <c r="AM42" s="6342">
        <f t="shared" si="1"/>
        <v>21653653.678339694</v>
      </c>
      <c r="AN42" s="6363">
        <f t="shared" si="8"/>
        <v>428.62426745570275</v>
      </c>
      <c r="AO42" s="6364">
        <f>AA42/년간!F12</f>
        <v>503.22494449308249</v>
      </c>
      <c r="AP42" s="6365">
        <f>AB42/년간!G12</f>
        <v>491.41134998813061</v>
      </c>
      <c r="AQ42" s="6365">
        <f>AC42/년간!H12</f>
        <v>340.2284626096727</v>
      </c>
      <c r="AR42" s="6365">
        <f>AD42/년간!I12</f>
        <v>61.954534832906667</v>
      </c>
      <c r="AS42" s="6365">
        <f>AE42/년간!J12</f>
        <v>-559.0882413558611</v>
      </c>
      <c r="AT42" s="6365">
        <f>AF42/년간!K12</f>
        <v>364.92572344010148</v>
      </c>
      <c r="AU42" s="6365">
        <f>AG42/년간!L12</f>
        <v>520.73344442965526</v>
      </c>
      <c r="AV42" s="6365">
        <f>AH42/년간!M12</f>
        <v>560.91755963617106</v>
      </c>
      <c r="AW42" s="6377">
        <f>AI42/년간!N12</f>
        <v>564.90893694617353</v>
      </c>
      <c r="AX42" s="6715">
        <f>AJ42/년간!O12</f>
        <v>584.93075163880724</v>
      </c>
      <c r="AY42" s="4805"/>
      <c r="AZ42" s="4952"/>
      <c r="BA42" s="4558">
        <f>AM42/년간!$V$12</f>
        <v>385.89824078699002</v>
      </c>
    </row>
    <row r="43" spans="2:53" s="299" customFormat="1" ht="18" thickBot="1">
      <c r="B43" s="7136"/>
      <c r="C43" s="3196" t="s">
        <v>1458</v>
      </c>
      <c r="D43" s="3030" t="s">
        <v>1097</v>
      </c>
      <c r="E43" s="2457">
        <f t="shared" ref="E43:O43" si="42">SUM(E38:E42)</f>
        <v>8227.630000000001</v>
      </c>
      <c r="F43" s="2457">
        <f t="shared" si="42"/>
        <v>4497.42</v>
      </c>
      <c r="G43" s="2457">
        <f t="shared" si="42"/>
        <v>2552.9700000000003</v>
      </c>
      <c r="H43" s="2436">
        <f t="shared" si="42"/>
        <v>5061.9629999999988</v>
      </c>
      <c r="I43" s="4766">
        <f t="shared" si="42"/>
        <v>1900</v>
      </c>
      <c r="J43" s="4766">
        <f t="shared" si="42"/>
        <v>185.66666666666666</v>
      </c>
      <c r="K43" s="4766">
        <f t="shared" si="42"/>
        <v>196.77</v>
      </c>
      <c r="L43" s="4434">
        <f t="shared" si="42"/>
        <v>508.33000000000004</v>
      </c>
      <c r="M43" s="4434">
        <f t="shared" si="42"/>
        <v>218.87</v>
      </c>
      <c r="N43" s="4434">
        <f t="shared" si="42"/>
        <v>576.94000000000005</v>
      </c>
      <c r="O43" s="4434">
        <f t="shared" si="42"/>
        <v>780.96999999999991</v>
      </c>
      <c r="P43" s="4434">
        <f>SUM(P38:P42)</f>
        <v>1122.74</v>
      </c>
      <c r="Q43" s="4434">
        <f>SUM(Q38:Q42)</f>
        <v>328.19</v>
      </c>
      <c r="R43" s="4434">
        <f t="shared" ref="R43:W43" si="43">SUM(R38:R42)</f>
        <v>165.34</v>
      </c>
      <c r="S43" s="4434">
        <f t="shared" si="43"/>
        <v>89.81</v>
      </c>
      <c r="T43" s="4434">
        <f t="shared" si="43"/>
        <v>579.6</v>
      </c>
      <c r="U43" s="4434">
        <f t="shared" si="43"/>
        <v>36.6</v>
      </c>
      <c r="V43" s="4434">
        <f t="shared" si="43"/>
        <v>122.13</v>
      </c>
      <c r="W43" s="4434">
        <f t="shared" si="43"/>
        <v>4726.29</v>
      </c>
      <c r="X43" s="4364">
        <f>SUM(X38:X42)</f>
        <v>115670296.84052315</v>
      </c>
      <c r="Y43" s="2457">
        <f>SUM(Y38:Y42)</f>
        <v>10123534.60043042</v>
      </c>
      <c r="Z43" s="6369">
        <f>X43/(년간!E8+년간!E9+년간!E11+년간!E12)</f>
        <v>151.48101462098171</v>
      </c>
      <c r="AA43" s="4822">
        <f t="shared" ref="AA43:AF43" si="44">SUM(AA38:AA42)</f>
        <v>9873759.568517793</v>
      </c>
      <c r="AB43" s="4822">
        <f t="shared" si="44"/>
        <v>3876117.0540224123</v>
      </c>
      <c r="AC43" s="4822">
        <f t="shared" si="44"/>
        <v>8393755.7548951879</v>
      </c>
      <c r="AD43" s="4822">
        <f t="shared" si="44"/>
        <v>886620.58822651173</v>
      </c>
      <c r="AE43" s="4822">
        <f t="shared" si="44"/>
        <v>-6045905.6925073639</v>
      </c>
      <c r="AF43" s="4822">
        <f t="shared" si="44"/>
        <v>-8410947.6359012015</v>
      </c>
      <c r="AG43" s="4822">
        <f>SUM(AG38:AG42)</f>
        <v>7566730.8007017896</v>
      </c>
      <c r="AH43" s="4822">
        <f>SUM(AH38:AH42)</f>
        <v>10429177.088174641</v>
      </c>
      <c r="AI43" s="4822">
        <f>SUM(AI38:AI42)</f>
        <v>11626625.179413926</v>
      </c>
      <c r="AJ43" s="4822">
        <f>SUM(AJ38:AJ42)</f>
        <v>2681027.8949942081</v>
      </c>
      <c r="AK43" s="4822">
        <f t="shared" ref="AK43:AL43" si="45">SUM(AK38:AK42)</f>
        <v>12048949.573682925</v>
      </c>
      <c r="AL43" s="4822">
        <f t="shared" si="45"/>
        <v>8262818.462094754</v>
      </c>
      <c r="AM43" s="6343">
        <f t="shared" si="1"/>
        <v>61188728.636315584</v>
      </c>
      <c r="AN43" s="6370">
        <f t="shared" si="8"/>
        <v>151.48101462098171</v>
      </c>
      <c r="AO43" s="6371">
        <f>AA43/년간!F13</f>
        <v>106.74847061326828</v>
      </c>
      <c r="AP43" s="6372">
        <f>AB43/년간!G13</f>
        <v>39.848631730420962</v>
      </c>
      <c r="AQ43" s="6372">
        <f>AC43/년간!H13</f>
        <v>93.30453615852943</v>
      </c>
      <c r="AR43" s="6372">
        <f>AD43/년간!I13</f>
        <v>9.3768640867751589</v>
      </c>
      <c r="AS43" s="6372">
        <f>AE43/년간!J13</f>
        <v>-67.570086925448749</v>
      </c>
      <c r="AT43" s="6372">
        <f>AF43/년간!K13</f>
        <v>-84.404537742050678</v>
      </c>
      <c r="AU43" s="6372">
        <f>AG43/년간!L13</f>
        <v>66.181419289922445</v>
      </c>
      <c r="AV43" s="6372">
        <f>AH43/년간!M13</f>
        <v>102.55325124742953</v>
      </c>
      <c r="AW43" s="6379">
        <f>AI43/년간!N13</f>
        <v>113.47645028534167</v>
      </c>
      <c r="AX43" s="6719">
        <f>AJ43/년간!O13</f>
        <v>25.336791490546215</v>
      </c>
      <c r="AY43" s="4794"/>
      <c r="AZ43" s="6395"/>
      <c r="BA43" s="6401">
        <f>AM43/년간!$V$13</f>
        <v>59.68676299399521</v>
      </c>
    </row>
    <row r="44" spans="2:53" ht="17.399999999999999">
      <c r="B44" s="7103" t="s">
        <v>1241</v>
      </c>
      <c r="C44" s="7081" t="s">
        <v>39</v>
      </c>
      <c r="D44" s="1223" t="s">
        <v>1243</v>
      </c>
      <c r="E44" s="2715">
        <f>비가동!H4+비가동!H6+비가동!H8</f>
        <v>105</v>
      </c>
      <c r="F44" s="2715">
        <f>비가동!I4+비가동!I6+비가동!I8</f>
        <v>46</v>
      </c>
      <c r="G44" s="2715">
        <f>비가동!J4+비가동!J6+비가동!J8</f>
        <v>28</v>
      </c>
      <c r="H44" s="1321">
        <f>(비가동!K4+비가동!K6+비가동!K8)</f>
        <v>30</v>
      </c>
      <c r="I44" s="3191">
        <f>비가동!L4+비가동!L6+비가동!L8</f>
        <v>23</v>
      </c>
      <c r="J44" s="3191">
        <f>비가동!M4+비가동!M6+비가동!M8</f>
        <v>2.2999999999999998</v>
      </c>
      <c r="K44" s="4767">
        <f>비가동!N4+비가동!N6+비가동!N8</f>
        <v>2</v>
      </c>
      <c r="L44" s="1787">
        <f>비가동!O4+비가동!O6+비가동!O8</f>
        <v>7</v>
      </c>
      <c r="M44" s="1787">
        <f>비가동!P4+비가동!P6+비가동!P8</f>
        <v>0</v>
      </c>
      <c r="N44" s="1787">
        <f>비가동!Q4+비가동!Q6+비가동!Q8</f>
        <v>2</v>
      </c>
      <c r="O44" s="1787">
        <f>비가동!R4+비가동!R6+비가동!R8</f>
        <v>2</v>
      </c>
      <c r="P44" s="1787">
        <f>비가동!S4+비가동!S6+비가동!S8</f>
        <v>3</v>
      </c>
      <c r="Q44" s="1787">
        <f>비가동!T4+비가동!T6+비가동!T8</f>
        <v>0</v>
      </c>
      <c r="R44" s="1787">
        <f>비가동!U4+비가동!U6+비가동!U8</f>
        <v>2</v>
      </c>
      <c r="S44" s="1787">
        <f>비가동!V4+비가동!V6+비가동!V8</f>
        <v>1</v>
      </c>
      <c r="T44" s="1787">
        <f>비가동!W4+비가동!W6+비가동!W8</f>
        <v>1</v>
      </c>
      <c r="U44" s="1787">
        <f>비가동!X4+비가동!X6+비가동!X8</f>
        <v>0</v>
      </c>
      <c r="V44" s="1787">
        <f>비가동!Y4+비가동!Y6+비가동!Y8</f>
        <v>0</v>
      </c>
      <c r="W44" s="6039">
        <f>비가동!Z4+비가동!Z6+비가동!Z8</f>
        <v>20</v>
      </c>
      <c r="X44" s="4414"/>
      <c r="Y44" s="5625"/>
      <c r="Z44" s="4807"/>
      <c r="AA44" s="4665"/>
      <c r="AB44" s="4665"/>
      <c r="AC44" s="4665"/>
      <c r="AD44" s="4665"/>
      <c r="AE44" s="4665"/>
      <c r="AF44" s="4665"/>
      <c r="AG44" s="4665"/>
      <c r="AH44" s="4665"/>
      <c r="AI44" s="4665"/>
      <c r="AJ44" s="4665"/>
      <c r="AK44" s="6336"/>
      <c r="AL44" s="6336"/>
      <c r="AM44" s="6343"/>
      <c r="AN44" s="4649"/>
      <c r="AO44" s="4649"/>
      <c r="AP44" s="4649"/>
      <c r="AQ44" s="4649"/>
      <c r="AR44" s="4649"/>
      <c r="AS44" s="4649"/>
      <c r="AT44" s="4649"/>
      <c r="AU44" s="4649"/>
      <c r="AV44" s="4649"/>
      <c r="AW44" s="4649"/>
      <c r="AX44" s="6717"/>
      <c r="AY44" s="4804"/>
      <c r="AZ44" s="6396"/>
      <c r="BA44" s="6402"/>
    </row>
    <row r="45" spans="2:53" ht="17.399999999999999">
      <c r="B45" s="7107"/>
      <c r="C45" s="7128"/>
      <c r="D45" s="2702" t="s">
        <v>1244</v>
      </c>
      <c r="E45" s="2704">
        <f>비가동!H5+비가동!H7+비가동!H9</f>
        <v>166.75</v>
      </c>
      <c r="F45" s="2704">
        <f>비가동!I5+비가동!I7+비가동!I9</f>
        <v>58.35</v>
      </c>
      <c r="G45" s="2704">
        <f>비가동!J5+비가동!J7+비가동!J9</f>
        <v>39.266666666666673</v>
      </c>
      <c r="H45" s="3105">
        <f>(비가동!K5+비가동!K7+비가동!K9)</f>
        <v>33.616666666666667</v>
      </c>
      <c r="I45" s="4365">
        <f>비가동!L5+비가동!L7+비가동!L9</f>
        <v>25.962121212121207</v>
      </c>
      <c r="J45" s="4365">
        <f>비가동!M5+비가동!M7+비가동!M9</f>
        <v>2.5962121212121207</v>
      </c>
      <c r="K45" s="4770">
        <f>비가동!N5+비가동!N7+비가동!N9</f>
        <v>2.0833333333333335</v>
      </c>
      <c r="L45" s="3686">
        <f>비가동!O5+비가동!O7+비가동!O9</f>
        <v>7.4166666666666661</v>
      </c>
      <c r="M45" s="3686">
        <f>비가동!P5+비가동!P7+비가동!P9</f>
        <v>0</v>
      </c>
      <c r="N45" s="3686">
        <f>비가동!Q5+비가동!Q7+비가동!Q9</f>
        <v>2.1666666666666665</v>
      </c>
      <c r="O45" s="3686">
        <f>비가동!R5+비가동!R7+비가동!R9</f>
        <v>1.1666666666666667</v>
      </c>
      <c r="P45" s="3686">
        <f>비가동!S5+비가동!S7+비가동!S9</f>
        <v>1.4666666666666668</v>
      </c>
      <c r="Q45" s="3686">
        <f>비가동!T5+비가동!T7+비가동!T9</f>
        <v>0</v>
      </c>
      <c r="R45" s="3686">
        <f>비가동!U5+비가동!U7+비가동!U9</f>
        <v>9.5833333333333321</v>
      </c>
      <c r="S45" s="3686">
        <f>비가동!V5+비가동!V7+비가동!V9</f>
        <v>5.333333333333333</v>
      </c>
      <c r="T45" s="3686">
        <f>비가동!W5+비가동!W7+비가동!W9</f>
        <v>2.1666666666666665</v>
      </c>
      <c r="U45" s="3686">
        <f>비가동!X5+비가동!X7+비가동!X9</f>
        <v>0</v>
      </c>
      <c r="V45" s="3686">
        <f>비가동!Y5+비가동!Y7+비가동!Y9</f>
        <v>0</v>
      </c>
      <c r="W45" s="6040">
        <f>비가동!Z5+비가동!Z7+비가동!Z9</f>
        <v>31.383333333333333</v>
      </c>
      <c r="X45" s="4410">
        <f>($H$45-I45)*년간!$E$213</f>
        <v>8469133.6830703672</v>
      </c>
      <c r="Y45" s="5618">
        <f>($H$45/10-J45)*년간!$E$213</f>
        <v>846913.3683070367</v>
      </c>
      <c r="Z45" s="4803">
        <f>X45/년간!$E$8</f>
        <v>30.620032984331811</v>
      </c>
      <c r="AA45" s="4658">
        <f>($H$45/12-K45)*년간!$E$213</f>
        <v>794470.23052951193</v>
      </c>
      <c r="AB45" s="4658">
        <f>($H$45/12-L45)*년간!$E$213</f>
        <v>-5106430.5146026462</v>
      </c>
      <c r="AC45" s="4658">
        <f>($H$45/12-M45)*년간!$E$213</f>
        <v>3099509.5840967619</v>
      </c>
      <c r="AD45" s="4658">
        <f>($H$45/12-N45)*년간!$E$213</f>
        <v>702268.65638682235</v>
      </c>
      <c r="AE45" s="4658">
        <f>($H$45/12-O45)*년간!$E$213</f>
        <v>1808687.5460991019</v>
      </c>
      <c r="AF45" s="4658">
        <f>($H$45/12-P45)*년간!$E$213</f>
        <v>1476761.8791854179</v>
      </c>
      <c r="AG45" s="4658">
        <f>($H$45/12-Q45)*년간!$E$213</f>
        <v>3099509.5840967619</v>
      </c>
      <c r="AH45" s="4658">
        <f>($H$45/12-R45)*년간!$E$213</f>
        <v>-7503671.4423125861</v>
      </c>
      <c r="AI45" s="4658">
        <f>($H$45/12-S45)*년간!$E$213</f>
        <v>-2801391.1610353971</v>
      </c>
      <c r="AJ45" s="4658">
        <f>($H$45/12-T45)*년간!$E$213</f>
        <v>702268.65638682235</v>
      </c>
      <c r="AK45" s="4658">
        <f>($H$45/12-U45)*년간!$E$213</f>
        <v>3099509.5840967619</v>
      </c>
      <c r="AL45" s="4658">
        <f>($H$45/12-V45)*년간!$E$213</f>
        <v>3099509.5840967619</v>
      </c>
      <c r="AM45" s="6342">
        <f t="shared" si="1"/>
        <v>2471002.1870240951</v>
      </c>
      <c r="AN45" s="4510">
        <f t="shared" si="8"/>
        <v>30.620032984331811</v>
      </c>
      <c r="AO45" s="4510">
        <f>AA45/년간!$D$8</f>
        <v>2.8723958759219919</v>
      </c>
      <c r="AP45" s="4510">
        <f>AB45/년간!$D$8</f>
        <v>-18.462227264388353</v>
      </c>
      <c r="AQ45" s="4510">
        <f>AC45/년간!$D$8</f>
        <v>11.206233040105724</v>
      </c>
      <c r="AR45" s="4510">
        <f>AD45/년간!$D$8</f>
        <v>2.5390423893546443</v>
      </c>
      <c r="AS45" s="4510">
        <f>AE45/년간!$D$8</f>
        <v>6.5392842281628338</v>
      </c>
      <c r="AT45" s="4510">
        <f>AF45/년간!$D$8</f>
        <v>5.3392116765203763</v>
      </c>
      <c r="AU45" s="4510">
        <f>AG45/년간!$D$8</f>
        <v>11.206233040105724</v>
      </c>
      <c r="AV45" s="4510">
        <f>AH45/년간!$D$8</f>
        <v>-27.129417915139435</v>
      </c>
      <c r="AW45" s="6380">
        <f>AI45/년간!$D$8</f>
        <v>-10.128390100204626</v>
      </c>
      <c r="AX45" s="4803">
        <f>AJ45/년간!$D$8</f>
        <v>2.5390423893546443</v>
      </c>
      <c r="AY45" s="4799"/>
      <c r="AZ45" s="5835"/>
      <c r="BA45" s="4558">
        <f>AM45/년간!$V$8</f>
        <v>8.7713526634018244</v>
      </c>
    </row>
    <row r="46" spans="2:53" ht="17.399999999999999">
      <c r="B46" s="7107"/>
      <c r="C46" s="7128" t="s">
        <v>42</v>
      </c>
      <c r="D46" s="2702" t="s">
        <v>1243</v>
      </c>
      <c r="E46" s="2703">
        <f>비가동!H10+비가동!H12+비가동!H14</f>
        <v>347</v>
      </c>
      <c r="F46" s="2703">
        <f>비가동!I10+비가동!I12+비가동!I14</f>
        <v>242</v>
      </c>
      <c r="G46" s="2703">
        <f>비가동!J10+비가동!J12+비가동!J14</f>
        <v>175</v>
      </c>
      <c r="H46" s="2812">
        <f>(비가동!K10+비가동!K12+비가동!K14)</f>
        <v>77</v>
      </c>
      <c r="I46" s="4363">
        <f>비가동!L10+비가동!L12+비가동!L14</f>
        <v>66</v>
      </c>
      <c r="J46" s="4363">
        <f>비가동!M10+비가동!M12+비가동!M14</f>
        <v>6.6</v>
      </c>
      <c r="K46" s="4765">
        <f>비가동!N10+비가동!N12+비가동!N14</f>
        <v>10</v>
      </c>
      <c r="L46" s="3677">
        <f>비가동!O10+비가동!O12+비가동!O14</f>
        <v>5</v>
      </c>
      <c r="M46" s="3677">
        <f>비가동!P10+비가동!P12+비가동!P14</f>
        <v>3</v>
      </c>
      <c r="N46" s="3677">
        <f>비가동!Q10+비가동!Q12+비가동!Q14</f>
        <v>2</v>
      </c>
      <c r="O46" s="3677">
        <f>비가동!R10+비가동!R12+비가동!R14</f>
        <v>1</v>
      </c>
      <c r="P46" s="3677">
        <f>비가동!S10+비가동!S12+비가동!S14</f>
        <v>4</v>
      </c>
      <c r="Q46" s="3677">
        <f>비가동!T10+비가동!T12+비가동!T14</f>
        <v>7</v>
      </c>
      <c r="R46" s="3677">
        <f>비가동!U10+비가동!U12+비가동!U14</f>
        <v>14</v>
      </c>
      <c r="S46" s="3677">
        <f>비가동!V10+비가동!V12+비가동!V14</f>
        <v>11</v>
      </c>
      <c r="T46" s="3677">
        <f>비가동!W10+비가동!W12+비가동!W14</f>
        <v>9</v>
      </c>
      <c r="U46" s="3677">
        <f>비가동!X10+비가동!X12+비가동!X14</f>
        <v>0</v>
      </c>
      <c r="V46" s="3677">
        <f>비가동!Y10+비가동!Y12+비가동!Y14</f>
        <v>0</v>
      </c>
      <c r="W46" s="6041">
        <f>비가동!Z10+비가동!Z12+비가동!Z14</f>
        <v>66</v>
      </c>
      <c r="X46" s="4415"/>
      <c r="Y46" s="5626"/>
      <c r="Z46" s="4808"/>
      <c r="AA46" s="4666"/>
      <c r="AB46" s="4666"/>
      <c r="AC46" s="4666"/>
      <c r="AD46" s="4666"/>
      <c r="AE46" s="4666"/>
      <c r="AF46" s="4666"/>
      <c r="AG46" s="4666"/>
      <c r="AH46" s="4666"/>
      <c r="AI46" s="4666"/>
      <c r="AJ46" s="4666"/>
      <c r="AK46" s="4666"/>
      <c r="AL46" s="4666"/>
      <c r="AM46" s="6343"/>
      <c r="AN46" s="4511"/>
      <c r="AO46" s="4511"/>
      <c r="AP46" s="4511"/>
      <c r="AQ46" s="4511"/>
      <c r="AR46" s="4511"/>
      <c r="AS46" s="4511"/>
      <c r="AT46" s="4511"/>
      <c r="AU46" s="4511"/>
      <c r="AV46" s="4511"/>
      <c r="AW46" s="6381"/>
      <c r="AX46" s="4808"/>
      <c r="AY46" s="4804"/>
      <c r="AZ46" s="6396"/>
      <c r="BA46" s="6402"/>
    </row>
    <row r="47" spans="2:53" ht="17.399999999999999">
      <c r="B47" s="7107"/>
      <c r="C47" s="7128"/>
      <c r="D47" s="2702" t="s">
        <v>1244</v>
      </c>
      <c r="E47" s="2704">
        <f>비가동!H11+비가동!H13+비가동!H15</f>
        <v>365.26666666666665</v>
      </c>
      <c r="F47" s="2704">
        <f>비가동!I11+비가동!I13+비가동!I15</f>
        <v>211.08333333333331</v>
      </c>
      <c r="G47" s="2704">
        <f>비가동!J11+비가동!J13+비가동!J15</f>
        <v>154.65</v>
      </c>
      <c r="H47" s="3106">
        <f>(비가동!K11+비가동!K13+비가동!K15)</f>
        <v>66.083333333333329</v>
      </c>
      <c r="I47" s="4365">
        <f>비가동!L11+비가동!L13+비가동!L15</f>
        <v>48.215757575757571</v>
      </c>
      <c r="J47" s="4365">
        <f>비가동!M11+비가동!M13+비가동!M15</f>
        <v>4.821575757575757</v>
      </c>
      <c r="K47" s="4770">
        <f>비가동!N11+비가동!N13+비가동!N15</f>
        <v>11</v>
      </c>
      <c r="L47" s="3686">
        <f>비가동!O11+비가동!O13+비가동!O15</f>
        <v>12.166666666666666</v>
      </c>
      <c r="M47" s="3686">
        <f>비가동!P11+비가동!P13+비가동!P15</f>
        <v>2.083333333333333</v>
      </c>
      <c r="N47" s="3686">
        <f>비가동!Q11+비가동!Q13+비가동!Q15</f>
        <v>4.916666666666667</v>
      </c>
      <c r="O47" s="3686">
        <f>비가동!R11+비가동!R13+비가동!R15</f>
        <v>2.9166666666666665</v>
      </c>
      <c r="P47" s="3686">
        <f>비가동!S11+비가동!S13+비가동!S15</f>
        <v>9.4166666666666661</v>
      </c>
      <c r="Q47" s="3686">
        <f>비가동!T11+비가동!T13+비가동!T15</f>
        <v>16.083333333333336</v>
      </c>
      <c r="R47" s="3686">
        <f>비가동!U11+비가동!U13+비가동!U15</f>
        <v>13.583333333333334</v>
      </c>
      <c r="S47" s="3686">
        <f>비가동!V11+비가동!V13+비가동!V15</f>
        <v>12.583333333333334</v>
      </c>
      <c r="T47" s="3686">
        <f>비가동!W11+비가동!W13+비가동!W15</f>
        <v>14.416666666666666</v>
      </c>
      <c r="U47" s="3686">
        <f>비가동!X11+비가동!X13+비가동!X15</f>
        <v>0</v>
      </c>
      <c r="V47" s="3686">
        <f>비가동!Y11+비가동!Y13+비가동!Y15</f>
        <v>0</v>
      </c>
      <c r="W47" s="6040">
        <f>비가동!Z11+비가동!Z13+비가동!Z15</f>
        <v>99.166666666666671</v>
      </c>
      <c r="X47" s="4410">
        <f>($H$47-I47)*년간!$E$214</f>
        <v>20110721.907935165</v>
      </c>
      <c r="Y47" s="5618">
        <f>($H$47/10-J47)*년간!$E$214</f>
        <v>2011072.1907935163</v>
      </c>
      <c r="Z47" s="4803">
        <f>X47/년간!$E$9</f>
        <v>75.512240383649853</v>
      </c>
      <c r="AA47" s="4658">
        <f>($H$47/12-K47)*년간!$E$214</f>
        <v>-6182669.3336267341</v>
      </c>
      <c r="AB47" s="4658">
        <f>($H$47/12-L47)*년간!$E$214</f>
        <v>-7495802.6434235619</v>
      </c>
      <c r="AC47" s="4658">
        <f>($H$47/12-M47)*년간!$E$214</f>
        <v>3853420.9626775966</v>
      </c>
      <c r="AD47" s="4658">
        <f>($H$47/12-N47)*년간!$E$214</f>
        <v>664382.92459958466</v>
      </c>
      <c r="AE47" s="4658">
        <f>($H$47/12-O47)*년간!$E$214</f>
        <v>2915468.598537005</v>
      </c>
      <c r="AF47" s="4658">
        <f>($H$47/12-P47)*년간!$E$214</f>
        <v>-4400559.8417596091</v>
      </c>
      <c r="AG47" s="4658">
        <f>($H$47/12-Q47)*년간!$E$214</f>
        <v>-11904178.754884347</v>
      </c>
      <c r="AH47" s="4658">
        <f>($H$47/12-R47)*년간!$E$214</f>
        <v>-9090321.6624625679</v>
      </c>
      <c r="AI47" s="4658">
        <f>($H$47/12-S47)*년간!$E$214</f>
        <v>-7964778.8254938582</v>
      </c>
      <c r="AJ47" s="4658">
        <f>($H$47/12-T47)*년간!$E$214</f>
        <v>-10028274.026603159</v>
      </c>
      <c r="AK47" s="4658">
        <f>($H$47/12-U47)*년간!$E$214</f>
        <v>6198301.8730290756</v>
      </c>
      <c r="AL47" s="4658">
        <f>($H$47/12-V47)*년간!$E$214</f>
        <v>6198301.8730290756</v>
      </c>
      <c r="AM47" s="6342">
        <f t="shared" si="1"/>
        <v>-37236708.856381506</v>
      </c>
      <c r="AN47" s="4510">
        <f t="shared" si="8"/>
        <v>75.512240383649853</v>
      </c>
      <c r="AO47" s="4510">
        <f>AA47/년간!$D$9</f>
        <v>-23.214841071877615</v>
      </c>
      <c r="AP47" s="4510">
        <f>AB47/년간!$D$9</f>
        <v>-28.1454267862587</v>
      </c>
      <c r="AQ47" s="4510">
        <f>AC47/년간!$D$9</f>
        <v>14.468921173749255</v>
      </c>
      <c r="AR47" s="4510">
        <f>AD47/년간!$D$9</f>
        <v>2.4946415816809022</v>
      </c>
      <c r="AS47" s="4510">
        <f>AE47/년간!$D$9</f>
        <v>10.947074234905623</v>
      </c>
      <c r="AT47" s="4510">
        <f>AF47/년간!$D$9</f>
        <v>-16.523331888074711</v>
      </c>
      <c r="AU47" s="4510">
        <f>AG47/년간!$D$9</f>
        <v>-44.698107398823794</v>
      </c>
      <c r="AV47" s="4510">
        <f>AH47/년간!$D$9</f>
        <v>-34.132566582292874</v>
      </c>
      <c r="AW47" s="6380">
        <f>AI47/년간!$D$9</f>
        <v>-29.906350255680518</v>
      </c>
      <c r="AX47" s="4803">
        <f>AJ47/년간!$D$9</f>
        <v>-37.654413521136505</v>
      </c>
      <c r="AY47" s="4799"/>
      <c r="AZ47" s="5835"/>
      <c r="BA47" s="4558">
        <f>AM47/년간!$V$9</f>
        <v>-140.76172415609076</v>
      </c>
    </row>
    <row r="48" spans="2:53" ht="17.399999999999999">
      <c r="B48" s="7107"/>
      <c r="C48" s="7128" t="s">
        <v>29</v>
      </c>
      <c r="D48" s="2702" t="s">
        <v>1243</v>
      </c>
      <c r="E48" s="2703">
        <f>비가동!H16+비가동!H18+비가동!H20</f>
        <v>101</v>
      </c>
      <c r="F48" s="2703">
        <f>비가동!I16+비가동!I18+비가동!I20</f>
        <v>56</v>
      </c>
      <c r="G48" s="2703">
        <f>비가동!J16+비가동!J18+비가동!J20</f>
        <v>49</v>
      </c>
      <c r="H48" s="2812">
        <f>(비가동!K16+비가동!K18+비가동!K20)</f>
        <v>50</v>
      </c>
      <c r="I48" s="4363">
        <f>비가동!L16+비가동!L18+비가동!L20</f>
        <v>24</v>
      </c>
      <c r="J48" s="4363">
        <f>비가동!M16+비가동!M18+비가동!M20</f>
        <v>2.4000000000000004</v>
      </c>
      <c r="K48" s="4765">
        <f>비가동!N16+비가동!N18+비가동!N20</f>
        <v>0</v>
      </c>
      <c r="L48" s="3677">
        <f>비가동!O16+비가동!O18+비가동!O20</f>
        <v>2</v>
      </c>
      <c r="M48" s="3677">
        <f>비가동!P16+비가동!P18+비가동!P20</f>
        <v>1</v>
      </c>
      <c r="N48" s="3677">
        <f>비가동!Q16+비가동!Q18+비가동!Q20</f>
        <v>0</v>
      </c>
      <c r="O48" s="3677">
        <f>비가동!R16+비가동!R18+비가동!R20</f>
        <v>1</v>
      </c>
      <c r="P48" s="3677">
        <f>비가동!S16+비가동!S18+비가동!S20</f>
        <v>3</v>
      </c>
      <c r="Q48" s="3677">
        <f>비가동!T16+비가동!T18+비가동!T20</f>
        <v>1</v>
      </c>
      <c r="R48" s="3677">
        <f>비가동!U16+비가동!U18+비가동!U20</f>
        <v>3</v>
      </c>
      <c r="S48" s="3677">
        <f>비가동!V16+비가동!V18+비가동!V20</f>
        <v>2</v>
      </c>
      <c r="T48" s="3677">
        <f>비가동!W16+비가동!W18+비가동!W20</f>
        <v>1</v>
      </c>
      <c r="U48" s="3677">
        <f>비가동!X16+비가동!X18+비가동!X20</f>
        <v>0</v>
      </c>
      <c r="V48" s="3677">
        <f>비가동!Y16+비가동!Y18+비가동!Y20</f>
        <v>0</v>
      </c>
      <c r="W48" s="6041">
        <f>비가동!Z16+비가동!Z18+비가동!Z20</f>
        <v>14</v>
      </c>
      <c r="X48" s="4415"/>
      <c r="Y48" s="5626"/>
      <c r="Z48" s="4808"/>
      <c r="AA48" s="4666"/>
      <c r="AB48" s="4666"/>
      <c r="AC48" s="4666"/>
      <c r="AD48" s="4666"/>
      <c r="AE48" s="4666"/>
      <c r="AF48" s="4666"/>
      <c r="AG48" s="4666"/>
      <c r="AH48" s="4666"/>
      <c r="AI48" s="4666"/>
      <c r="AJ48" s="4666"/>
      <c r="AK48" s="4666"/>
      <c r="AL48" s="4666"/>
      <c r="AM48" s="6343"/>
      <c r="AN48" s="4511"/>
      <c r="AO48" s="4511"/>
      <c r="AP48" s="4511"/>
      <c r="AQ48" s="4511"/>
      <c r="AR48" s="4511"/>
      <c r="AS48" s="4511"/>
      <c r="AT48" s="4511"/>
      <c r="AU48" s="4511"/>
      <c r="AV48" s="4511"/>
      <c r="AW48" s="6381"/>
      <c r="AX48" s="4808"/>
      <c r="AY48" s="4804"/>
      <c r="AZ48" s="6396"/>
      <c r="BA48" s="6402"/>
    </row>
    <row r="49" spans="2:60" ht="17.399999999999999">
      <c r="B49" s="7107"/>
      <c r="C49" s="7128"/>
      <c r="D49" s="2702" t="s">
        <v>1244</v>
      </c>
      <c r="E49" s="2704">
        <f>비가동!H17+비가동!H19+비가동!H21</f>
        <v>141.85</v>
      </c>
      <c r="F49" s="2704">
        <f>비가동!I17+비가동!I19+비가동!I21</f>
        <v>95.483333333333334</v>
      </c>
      <c r="G49" s="2704">
        <f>비가동!J17+비가동!J19+비가동!J21</f>
        <v>81.05</v>
      </c>
      <c r="H49" s="3106">
        <f>(비가동!K17+비가동!K19+비가동!K21)</f>
        <v>127.65000000000002</v>
      </c>
      <c r="I49" s="4365">
        <f>비가동!L17+비가동!L19+비가동!L21</f>
        <v>79.754545454545422</v>
      </c>
      <c r="J49" s="4365">
        <f>비가동!M17+비가동!M19+비가동!M21</f>
        <v>7.9754545454545411</v>
      </c>
      <c r="K49" s="4770">
        <f>비가동!N17+비가동!N19+비가동!N21</f>
        <v>0</v>
      </c>
      <c r="L49" s="3686">
        <f>비가동!O17+비가동!O19+비가동!O21</f>
        <v>3.5833333333333335</v>
      </c>
      <c r="M49" s="3686">
        <f>비가동!P17+비가동!P19+비가동!P21</f>
        <v>1</v>
      </c>
      <c r="N49" s="3686">
        <f>비가동!Q17+비가동!Q19+비가동!Q21</f>
        <v>0</v>
      </c>
      <c r="O49" s="3686">
        <f>비가동!R17+비가동!R19+비가동!R21</f>
        <v>5.083333333333333</v>
      </c>
      <c r="P49" s="3686">
        <f>비가동!S17+비가동!S19+비가동!S21</f>
        <v>3.583333333333333</v>
      </c>
      <c r="Q49" s="3686">
        <f>비가동!T17+비가동!T19+비가동!T21</f>
        <v>0.25</v>
      </c>
      <c r="R49" s="3686">
        <f>비가동!U17+비가동!U19+비가동!U21</f>
        <v>9</v>
      </c>
      <c r="S49" s="3686">
        <f>비가동!V17+비가동!V19+비가동!V21</f>
        <v>0.18333333333333332</v>
      </c>
      <c r="T49" s="3686">
        <f>비가동!W17+비가동!W19+비가동!W21</f>
        <v>1.5</v>
      </c>
      <c r="U49" s="3686">
        <f>비가동!X17+비가동!X19+비가동!X21</f>
        <v>0</v>
      </c>
      <c r="V49" s="3686">
        <f>비가동!Y17+비가동!Y19+비가동!Y21</f>
        <v>0</v>
      </c>
      <c r="W49" s="6040">
        <f>비가동!Z17+비가동!Z19+비가동!Z21</f>
        <v>24.183333333333334</v>
      </c>
      <c r="X49" s="4410">
        <f>($H$49-I49)*년간!$E$215</f>
        <v>104992329.00227363</v>
      </c>
      <c r="Y49" s="5618">
        <f>($H$49/10-J49)*년간!$E$215</f>
        <v>10499232.900227366</v>
      </c>
      <c r="Z49" s="4803">
        <f>X49/년간!$E$10</f>
        <v>383.84209776724174</v>
      </c>
      <c r="AA49" s="4658">
        <f>($H$49/12-K49)*년간!$E$215</f>
        <v>23318619.905814808</v>
      </c>
      <c r="AB49" s="4658">
        <f>($H$49/12-L49)*년간!$E$215</f>
        <v>15463542.303386003</v>
      </c>
      <c r="AC49" s="4658">
        <f>($H$49/12-M49)*년간!$E$215</f>
        <v>21126505.226067234</v>
      </c>
      <c r="AD49" s="4658">
        <f>($H$49/12-N49)*년간!$E$215</f>
        <v>23318619.905814808</v>
      </c>
      <c r="AE49" s="4658">
        <f>($H$49/12-O49)*년간!$E$215</f>
        <v>12175370.283764645</v>
      </c>
      <c r="AF49" s="4658">
        <f>($H$49/12-P49)*년간!$E$215</f>
        <v>15463542.303386005</v>
      </c>
      <c r="AG49" s="4658">
        <f>($H$49/12-Q49)*년간!$E$215</f>
        <v>22770591.235877912</v>
      </c>
      <c r="AH49" s="4658">
        <f>($H$49/12-R49)*년간!$E$215</f>
        <v>3589587.7880866528</v>
      </c>
      <c r="AI49" s="4658">
        <f>($H$49/12-S49)*년간!$E$215</f>
        <v>22916732.214527752</v>
      </c>
      <c r="AJ49" s="4658">
        <f>($H$49/12-T49)*년간!$E$215</f>
        <v>20030447.886193447</v>
      </c>
      <c r="AK49" s="4658">
        <f>($H$49/12-U49)*년간!$E$215</f>
        <v>23318619.905814808</v>
      </c>
      <c r="AL49" s="4658">
        <f>($H$49/12-V49)*년간!$E$215</f>
        <v>23318619.905814808</v>
      </c>
      <c r="AM49" s="6343">
        <f t="shared" si="1"/>
        <v>226810798.86454889</v>
      </c>
      <c r="AN49" s="4510">
        <f t="shared" si="8"/>
        <v>383.84209776724174</v>
      </c>
      <c r="AO49" s="4487">
        <f>AA49/년간!$D$10</f>
        <v>85.250685138064597</v>
      </c>
      <c r="AP49" s="4487">
        <f>AB49/년간!$D$10</f>
        <v>56.533258887091009</v>
      </c>
      <c r="AQ49" s="4487">
        <f>AC49/년간!$D$10</f>
        <v>77.236519672676607</v>
      </c>
      <c r="AR49" s="4487">
        <f>AD49/년간!$D$10</f>
        <v>85.250685138064597</v>
      </c>
      <c r="AS49" s="4487">
        <f>AE49/년간!$D$10</f>
        <v>44.512010689009053</v>
      </c>
      <c r="AT49" s="4487">
        <f>AF49/년간!$D$10</f>
        <v>56.533258887091016</v>
      </c>
      <c r="AU49" s="4487">
        <f>AG49/년간!$D$10</f>
        <v>83.247143771717589</v>
      </c>
      <c r="AV49" s="4487">
        <f>AH49/년간!$D$10</f>
        <v>13.123195949572818</v>
      </c>
      <c r="AW49" s="4480">
        <f>AI49/년간!$D$10</f>
        <v>83.781421469410134</v>
      </c>
      <c r="AX49" s="4492">
        <f>AJ49/년간!$D$10</f>
        <v>73.229436939982619</v>
      </c>
      <c r="AY49" s="4799"/>
      <c r="AZ49" s="5835"/>
      <c r="BA49" s="4558">
        <f>AM49/년간!$V$10</f>
        <v>855.33998803632767</v>
      </c>
    </row>
    <row r="50" spans="2:60" ht="17.399999999999999">
      <c r="B50" s="7107"/>
      <c r="C50" s="7128" t="s">
        <v>505</v>
      </c>
      <c r="D50" s="2702" t="s">
        <v>1243</v>
      </c>
      <c r="E50" s="2703">
        <f>비가동!H22+비가동!H24+비가동!H26</f>
        <v>183</v>
      </c>
      <c r="F50" s="2703">
        <f>비가동!I22+비가동!I24+비가동!I26</f>
        <v>145</v>
      </c>
      <c r="G50" s="2703">
        <f>비가동!J22+비가동!J24+비가동!J26</f>
        <v>56</v>
      </c>
      <c r="H50" s="2812">
        <f>(비가동!K22+비가동!K24+비가동!K26)</f>
        <v>61</v>
      </c>
      <c r="I50" s="4363">
        <f>비가동!L22+비가동!L24+비가동!L26</f>
        <v>44</v>
      </c>
      <c r="J50" s="4363">
        <f>비가동!M22+비가동!M24+비가동!M26</f>
        <v>3.6666666666666665</v>
      </c>
      <c r="K50" s="4765">
        <f>비가동!N22+비가동!N24+비가동!N26</f>
        <v>5</v>
      </c>
      <c r="L50" s="3677">
        <f>비가동!O22+비가동!O24+비가동!O26</f>
        <v>5</v>
      </c>
      <c r="M50" s="3677">
        <f>비가동!P22+비가동!P24+비가동!P26</f>
        <v>4</v>
      </c>
      <c r="N50" s="3677">
        <f>비가동!Q22+비가동!Q24+비가동!Q26</f>
        <v>4</v>
      </c>
      <c r="O50" s="3677">
        <f>비가동!R22+비가동!R24+비가동!R26</f>
        <v>3</v>
      </c>
      <c r="P50" s="3677">
        <f>비가동!S22+비가동!S24+비가동!S26</f>
        <v>3</v>
      </c>
      <c r="Q50" s="3677">
        <f>비가동!T22+비가동!T24+비가동!T26</f>
        <v>1</v>
      </c>
      <c r="R50" s="3677">
        <f>비가동!U22+비가동!U24+비가동!U26</f>
        <v>5</v>
      </c>
      <c r="S50" s="3677">
        <f>비가동!V22+비가동!V24+비가동!V26</f>
        <v>2</v>
      </c>
      <c r="T50" s="3677">
        <f>비가동!W22+비가동!W24+비가동!W26</f>
        <v>3</v>
      </c>
      <c r="U50" s="3677">
        <f>비가동!X22+비가동!X24+비가동!X26</f>
        <v>5</v>
      </c>
      <c r="V50" s="3677">
        <f>비가동!Y22+비가동!Y24+비가동!Y26</f>
        <v>12</v>
      </c>
      <c r="W50" s="6041">
        <f>비가동!Z22+비가동!Z24+비가동!Z26</f>
        <v>52</v>
      </c>
      <c r="X50" s="4415"/>
      <c r="Y50" s="5626"/>
      <c r="Z50" s="4808"/>
      <c r="AA50" s="4666"/>
      <c r="AB50" s="4666"/>
      <c r="AC50" s="4666"/>
      <c r="AD50" s="4666"/>
      <c r="AE50" s="4666"/>
      <c r="AF50" s="4666"/>
      <c r="AG50" s="4666"/>
      <c r="AH50" s="4666"/>
      <c r="AI50" s="4666"/>
      <c r="AJ50" s="4666"/>
      <c r="AK50" s="4666"/>
      <c r="AL50" s="4666"/>
      <c r="AM50" s="6343"/>
      <c r="AN50" s="4511"/>
      <c r="AO50" s="4491"/>
      <c r="AP50" s="4491"/>
      <c r="AQ50" s="4491"/>
      <c r="AR50" s="4491"/>
      <c r="AS50" s="4491"/>
      <c r="AT50" s="4491"/>
      <c r="AU50" s="4491"/>
      <c r="AV50" s="4491"/>
      <c r="AW50" s="6333"/>
      <c r="AX50" s="4493"/>
      <c r="AY50" s="4804"/>
      <c r="AZ50" s="6396"/>
      <c r="BA50" s="6402"/>
    </row>
    <row r="51" spans="2:60" ht="17.399999999999999">
      <c r="B51" s="7107"/>
      <c r="C51" s="7128"/>
      <c r="D51" s="2702" t="s">
        <v>1244</v>
      </c>
      <c r="E51" s="2704">
        <f>비가동!H23+비가동!H25+비가동!H27</f>
        <v>149.81666666666666</v>
      </c>
      <c r="F51" s="2704">
        <f>비가동!I23+비가동!I25+비가동!I27</f>
        <v>138.06666666666666</v>
      </c>
      <c r="G51" s="2704">
        <f>비가동!J23+비가동!J25+비가동!J27</f>
        <v>30.799999999999997</v>
      </c>
      <c r="H51" s="3106">
        <f>(비가동!K23+비가동!K25+비가동!K27)</f>
        <v>47.3</v>
      </c>
      <c r="I51" s="4365">
        <f>비가동!L23+비가동!L25+비가동!L27</f>
        <v>39.741818181818189</v>
      </c>
      <c r="J51" s="4365">
        <f>비가동!M23+비가동!M25+비가동!M27</f>
        <v>3.3118181818181816</v>
      </c>
      <c r="K51" s="4770">
        <f>비가동!N23+비가동!N25+비가동!N27</f>
        <v>0.71666666666666667</v>
      </c>
      <c r="L51" s="3686">
        <f>비가동!O23+비가동!O25+비가동!O27</f>
        <v>2.2999999999999998</v>
      </c>
      <c r="M51" s="3686">
        <f>비가동!P23+비가동!P25+비가동!P27</f>
        <v>3.35</v>
      </c>
      <c r="N51" s="3686">
        <f>비가동!Q23+비가동!Q25+비가동!Q27</f>
        <v>4.25</v>
      </c>
      <c r="O51" s="3686">
        <f>비가동!R23+비가동!R25+비가동!R27</f>
        <v>5.4666666666666668</v>
      </c>
      <c r="P51" s="3686">
        <f>비가동!S23+비가동!S25+비가동!S27</f>
        <v>5.416666666666667</v>
      </c>
      <c r="Q51" s="3686">
        <f>비가동!T23+비가동!T25+비가동!T27</f>
        <v>0.23333333333333334</v>
      </c>
      <c r="R51" s="3686">
        <f>비가동!U23+비가동!U25+비가동!U27</f>
        <v>3.3666666666666667</v>
      </c>
      <c r="S51" s="3686">
        <f>비가동!V23+비가동!V25+비가동!V27</f>
        <v>0.7</v>
      </c>
      <c r="T51" s="3686">
        <f>비가동!W23+비가동!W25+비가동!W27</f>
        <v>2.4500000000000002</v>
      </c>
      <c r="U51" s="3686">
        <f>비가동!X23+비가동!X25+비가동!X27</f>
        <v>9.3000000000000007</v>
      </c>
      <c r="V51" s="3686">
        <f>비가동!Y23+비가동!Y25+비가동!Y27</f>
        <v>15.850000000000001</v>
      </c>
      <c r="W51" s="6040">
        <f>비가동!Z23+비가동!Z25+비가동!Z27</f>
        <v>53.399999999999991</v>
      </c>
      <c r="X51" s="4410">
        <f>($H$51-I51)*년간!$E$216</f>
        <v>7941842.0844387235</v>
      </c>
      <c r="Y51" s="5618">
        <f>($H$51/12-J51)*년간!$E$216</f>
        <v>661820.17370322789</v>
      </c>
      <c r="Z51" s="4803">
        <f>X51/년간!$E$11</f>
        <v>47.447975172892363</v>
      </c>
      <c r="AA51" s="4658">
        <f>($H$51/12-K51)*년간!$E$216</f>
        <v>3388703.9685526108</v>
      </c>
      <c r="AB51" s="4658">
        <f>($H$51/12-L51)*년간!$E$216</f>
        <v>1724999.1777903473</v>
      </c>
      <c r="AC51" s="4658">
        <f>($H$51/12-M51)*년간!$E$216</f>
        <v>621700.21128484572</v>
      </c>
      <c r="AD51" s="4658">
        <f>($H$51/12-N51)*년간!$E$216</f>
        <v>-323984.61714844115</v>
      </c>
      <c r="AE51" s="4658">
        <f>($H$51/12-O51)*년간!$E$216</f>
        <v>-1602410.4037341811</v>
      </c>
      <c r="AF51" s="4658">
        <f>($H$51/12-P51)*년간!$E$216</f>
        <v>-1549872.3577101096</v>
      </c>
      <c r="AG51" s="4658">
        <f>($H$51/12-Q51)*년간!$E$216</f>
        <v>3896571.7467853022</v>
      </c>
      <c r="AH51" s="4658">
        <f>($H$51/12-R51)*년간!$E$216</f>
        <v>604187.52927682188</v>
      </c>
      <c r="AI51" s="4658">
        <f>($H$51/12-S51)*년간!$E$216</f>
        <v>3406216.6505606347</v>
      </c>
      <c r="AJ51" s="4658">
        <f>($H$51/12-T51)*년간!$E$216</f>
        <v>1567385.0397181325</v>
      </c>
      <c r="AK51" s="4658">
        <f>($H$51/12-U51)*년간!$E$216</f>
        <v>-5630327.2655796632</v>
      </c>
      <c r="AL51" s="4658">
        <f>($H$51/12-V51)*년간!$E$216</f>
        <v>-12512811.294733029</v>
      </c>
      <c r="AM51" s="6342">
        <f t="shared" si="1"/>
        <v>-6409641.614936728</v>
      </c>
      <c r="AN51" s="4510">
        <f t="shared" si="8"/>
        <v>47.447975172892363</v>
      </c>
      <c r="AO51" s="4487">
        <f>AA51/년간!$D$11</f>
        <v>20.245572759903279</v>
      </c>
      <c r="AP51" s="4487">
        <f>AB51/년간!$D$11</f>
        <v>10.305885875196244</v>
      </c>
      <c r="AQ51" s="4487">
        <f>AC51/년간!$D$11</f>
        <v>3.7143040463905228</v>
      </c>
      <c r="AR51" s="4487">
        <f>AD51/년간!$D$11</f>
        <v>-1.935623235442951</v>
      </c>
      <c r="AS51" s="4487">
        <f>AE51/년간!$D$11</f>
        <v>-9.5734878942178341</v>
      </c>
      <c r="AT51" s="4487">
        <f>AF51/년간!$D$11</f>
        <v>-9.2596030452270846</v>
      </c>
      <c r="AU51" s="4487">
        <f>AG51/년간!$D$11</f>
        <v>23.279792966813851</v>
      </c>
      <c r="AV51" s="4487">
        <f>AH51/년간!$D$11</f>
        <v>3.6096757633936067</v>
      </c>
      <c r="AW51" s="4480">
        <f>AI51/년간!$D$11</f>
        <v>20.350201042900196</v>
      </c>
      <c r="AX51" s="4492">
        <f>AJ51/년간!$D$11</f>
        <v>9.3642313282239957</v>
      </c>
      <c r="AY51" s="4799"/>
      <c r="AZ51" s="5835"/>
      <c r="BA51" s="4558">
        <f>AM51/년간!$V$11</f>
        <v>-40.662190633743997</v>
      </c>
    </row>
    <row r="52" spans="2:60" ht="17.399999999999999">
      <c r="B52" s="7107"/>
      <c r="C52" s="7128" t="s">
        <v>492</v>
      </c>
      <c r="D52" s="2702" t="s">
        <v>1243</v>
      </c>
      <c r="E52" s="2703">
        <f>비가동!H28+비가동!H30+비가동!H32</f>
        <v>275</v>
      </c>
      <c r="F52" s="2703">
        <f>비가동!I28+비가동!I30+비가동!I32</f>
        <v>213</v>
      </c>
      <c r="G52" s="2703">
        <f>비가동!J28+비가동!J30+비가동!J32</f>
        <v>204</v>
      </c>
      <c r="H52" s="2812">
        <f>(비가동!K28+비가동!K30+비가동!K32)</f>
        <v>125</v>
      </c>
      <c r="I52" s="4363">
        <f>비가동!L28+비가동!L30+비가동!L32</f>
        <v>96</v>
      </c>
      <c r="J52" s="4363">
        <f>비가동!M28+비가동!M30+비가동!M32</f>
        <v>8</v>
      </c>
      <c r="K52" s="4765">
        <f>비가동!N28+비가동!N30+비가동!N32</f>
        <v>10</v>
      </c>
      <c r="L52" s="3677">
        <f>비가동!O28+비가동!O30+비가동!O32</f>
        <v>4</v>
      </c>
      <c r="M52" s="3677">
        <f>비가동!P28+비가동!P30+비가동!P32</f>
        <v>5</v>
      </c>
      <c r="N52" s="3677">
        <f>비가동!Q28+비가동!Q30+비가동!Q32</f>
        <v>6</v>
      </c>
      <c r="O52" s="3677">
        <f>비가동!R28+비가동!R30+비가동!R32</f>
        <v>3</v>
      </c>
      <c r="P52" s="3677">
        <f>비가동!S28+비가동!S30+비가동!S32</f>
        <v>4</v>
      </c>
      <c r="Q52" s="3677">
        <f>비가동!T28+비가동!T30+비가동!T32</f>
        <v>8</v>
      </c>
      <c r="R52" s="3677">
        <f>비가동!U28+비가동!U30+비가동!U32</f>
        <v>10</v>
      </c>
      <c r="S52" s="3677">
        <f>비가동!V28+비가동!V30+비가동!V32</f>
        <v>8</v>
      </c>
      <c r="T52" s="3677">
        <f>비가동!W28+비가동!W30+비가동!W32</f>
        <v>3</v>
      </c>
      <c r="U52" s="3677">
        <f>비가동!X28+비가동!X30+비가동!X32</f>
        <v>3</v>
      </c>
      <c r="V52" s="3677">
        <f>비가동!Y28+비가동!Y30+비가동!Y32</f>
        <v>6</v>
      </c>
      <c r="W52" s="6041">
        <f>비가동!Z28+비가동!Z30+비가동!Z32</f>
        <v>70</v>
      </c>
      <c r="X52" s="4415"/>
      <c r="Y52" s="5626"/>
      <c r="Z52" s="4808"/>
      <c r="AA52" s="4666"/>
      <c r="AB52" s="4666"/>
      <c r="AC52" s="4666"/>
      <c r="AD52" s="4666"/>
      <c r="AE52" s="4666"/>
      <c r="AF52" s="4666"/>
      <c r="AG52" s="4666"/>
      <c r="AH52" s="4666"/>
      <c r="AI52" s="4666"/>
      <c r="AJ52" s="4666"/>
      <c r="AK52" s="4666"/>
      <c r="AL52" s="4666"/>
      <c r="AM52" s="6343"/>
      <c r="AN52" s="4511"/>
      <c r="AO52" s="4491"/>
      <c r="AP52" s="4491"/>
      <c r="AQ52" s="4491"/>
      <c r="AR52" s="4491"/>
      <c r="AS52" s="4491"/>
      <c r="AT52" s="4491"/>
      <c r="AU52" s="4491"/>
      <c r="AV52" s="4491"/>
      <c r="AW52" s="6333"/>
      <c r="AX52" s="4493"/>
      <c r="AY52" s="4804"/>
      <c r="AZ52" s="6396"/>
      <c r="BA52" s="6402"/>
      <c r="BC52" s="2829" t="s">
        <v>1302</v>
      </c>
      <c r="BD52" s="2830">
        <f>BD53+BD58</f>
        <v>392246920.27272725</v>
      </c>
      <c r="BE52" s="7150" t="s">
        <v>1303</v>
      </c>
      <c r="BF52" s="2831"/>
    </row>
    <row r="53" spans="2:60" ht="18" customHeight="1" thickBot="1">
      <c r="B53" s="7107"/>
      <c r="C53" s="7080"/>
      <c r="D53" s="1769" t="s">
        <v>1244</v>
      </c>
      <c r="E53" s="2709">
        <f>비가동!H29+비가동!H31+비가동!H33</f>
        <v>136.38333333333333</v>
      </c>
      <c r="F53" s="2709">
        <f>비가동!I29+비가동!I31+비가동!I33</f>
        <v>137.19999999999999</v>
      </c>
      <c r="G53" s="2709">
        <f>비가동!J29+비가동!J31+비가동!J33</f>
        <v>83.98</v>
      </c>
      <c r="H53" s="3106">
        <f>(비가동!K29+비가동!K31+비가동!K33)</f>
        <v>74.75</v>
      </c>
      <c r="I53" s="2842">
        <f>비가동!L29+비가동!L31+비가동!L33</f>
        <v>56.889696969696978</v>
      </c>
      <c r="J53" s="2842">
        <f>비가동!M29+비가동!M31+비가동!M33</f>
        <v>4.7408080808080815</v>
      </c>
      <c r="K53" s="4771">
        <f>비가동!N29+비가동!N31+비가동!N33</f>
        <v>4.5666666666666673</v>
      </c>
      <c r="L53" s="4438">
        <f>비가동!O29+비가동!O31+비가동!O33</f>
        <v>2.1833333333333336</v>
      </c>
      <c r="M53" s="4438">
        <f>비가동!P29+비가동!P31+비가동!P33</f>
        <v>1.8499999999999999</v>
      </c>
      <c r="N53" s="4438">
        <f>비가동!Q29+비가동!Q31+비가동!Q33</f>
        <v>2.4666666666666668</v>
      </c>
      <c r="O53" s="4438">
        <f>비가동!R29+비가동!R31+비가동!R33</f>
        <v>3.1333333333333333</v>
      </c>
      <c r="P53" s="4438">
        <f>비가동!S29+비가동!S31+비가동!S33</f>
        <v>1.7833333333333334</v>
      </c>
      <c r="Q53" s="4438">
        <f>비가동!T29+비가동!T31+비가동!T33</f>
        <v>5</v>
      </c>
      <c r="R53" s="4438">
        <f>비가동!U29+비가동!U31+비가동!U33</f>
        <v>7.5166666666666666</v>
      </c>
      <c r="S53" s="4438">
        <f>비가동!V29+비가동!V31+비가동!V33</f>
        <v>16.933333333333334</v>
      </c>
      <c r="T53" s="4438">
        <f>비가동!W29+비가동!W31+비가동!W33</f>
        <v>0.96666666666666667</v>
      </c>
      <c r="U53" s="4438">
        <f>비가동!X29+비가동!X31+비가동!X33</f>
        <v>1.5</v>
      </c>
      <c r="V53" s="4438">
        <f>비가동!Y29+비가동!Y31+비가동!Y33</f>
        <v>3.1833333333333331</v>
      </c>
      <c r="W53" s="6042">
        <f>비가동!Z29+비가동!Z31+비가동!Z33</f>
        <v>51.083333333333329</v>
      </c>
      <c r="X53" s="4410">
        <f>($H$53-I53)*년간!$E$217</f>
        <v>23280957.562936105</v>
      </c>
      <c r="Y53" s="5618">
        <f>($H$53/12-J53)*년간!$E$217</f>
        <v>1940079.7969113425</v>
      </c>
      <c r="Z53" s="4803">
        <f>X53/년간!$E$12</f>
        <v>436.75817129926656</v>
      </c>
      <c r="AA53" s="4658">
        <f>($H$53/12-K53)*년간!$E$217</f>
        <v>2167073.6427434846</v>
      </c>
      <c r="AB53" s="4658">
        <f>($H$53/12-L53)*년간!$E$217</f>
        <v>5273755.6569020655</v>
      </c>
      <c r="AC53" s="4658">
        <f>($H$53/12-M53)*년간!$E$217</f>
        <v>5708256.6379032657</v>
      </c>
      <c r="AD53" s="4658">
        <f>($H$53/12-N53)*년간!$E$217</f>
        <v>4904429.8230510456</v>
      </c>
      <c r="AE53" s="4658">
        <f>($H$53/12-O53)*년간!$E$217</f>
        <v>4035427.8610486453</v>
      </c>
      <c r="AF53" s="4658">
        <f>($H$53/12-P53)*년간!$E$217</f>
        <v>5795156.8341035051</v>
      </c>
      <c r="AG53" s="4658">
        <f>($H$53/12-Q53)*년간!$E$217</f>
        <v>1602222.3674419255</v>
      </c>
      <c r="AH53" s="4658">
        <f>($H$53/12-R53)*년간!$E$217</f>
        <v>-1678260.0391171346</v>
      </c>
      <c r="AI53" s="4658">
        <f>($H$53/12-S53)*년간!$E$217</f>
        <v>-13952912.752401033</v>
      </c>
      <c r="AJ53" s="4658">
        <f>($H$53/12-T53)*년간!$E$217</f>
        <v>6859684.2375564454</v>
      </c>
      <c r="AK53" s="4658">
        <f>($H$53/12-U53)*년간!$E$217</f>
        <v>6164482.667954525</v>
      </c>
      <c r="AL53" s="4658">
        <f>($H$53/12-V53)*년간!$E$217</f>
        <v>3970252.7138984655</v>
      </c>
      <c r="AM53" s="6342">
        <f t="shared" si="1"/>
        <v>30849569.651085205</v>
      </c>
      <c r="AN53" s="4510">
        <f t="shared" si="8"/>
        <v>436.75817129926656</v>
      </c>
      <c r="AO53" s="4487">
        <f>AA53/년간!$D$12</f>
        <v>40.654991046515917</v>
      </c>
      <c r="AP53" s="4487">
        <f>AB53/년간!$D$12</f>
        <v>98.937334100669091</v>
      </c>
      <c r="AQ53" s="4487">
        <f>AC53/년간!$D$12</f>
        <v>107.08871075159961</v>
      </c>
      <c r="AR53" s="4487">
        <f>AD53/년간!$D$12</f>
        <v>92.008663947378167</v>
      </c>
      <c r="AS53" s="4487">
        <f>AE53/년간!$D$12</f>
        <v>75.705910645517136</v>
      </c>
      <c r="AT53" s="4487">
        <f>AF53/년간!$D$12</f>
        <v>108.7189860817857</v>
      </c>
      <c r="AU53" s="4487">
        <f>AG53/년간!$D$12</f>
        <v>30.05820140030627</v>
      </c>
      <c r="AV53" s="4487">
        <f>AH53/년간!$D$12</f>
        <v>-31.484692314219096</v>
      </c>
      <c r="AW53" s="4480">
        <f>AI53/년간!$D$12</f>
        <v>-261.76108270300602</v>
      </c>
      <c r="AX53" s="4492">
        <f>AJ53/년간!$D$12</f>
        <v>128.68985887656547</v>
      </c>
      <c r="AY53" s="4799"/>
      <c r="AZ53" s="5835"/>
      <c r="BA53" s="4558">
        <f>AM53/년간!$V$12</f>
        <v>549.78226003946622</v>
      </c>
      <c r="BC53" s="2832" t="s">
        <v>1304</v>
      </c>
      <c r="BD53" s="2833">
        <f>(((BD54+BD55+BD56+BD57)/11)*12)+69000000+42073369</f>
        <v>368639942.09090906</v>
      </c>
      <c r="BE53" s="7151"/>
      <c r="BF53" s="2834">
        <f>BD53*0.8</f>
        <v>294911953.67272729</v>
      </c>
    </row>
    <row r="54" spans="2:60" ht="17.399999999999999">
      <c r="B54" s="7129"/>
      <c r="C54" s="7132" t="s">
        <v>16</v>
      </c>
      <c r="D54" s="2718" t="s">
        <v>1243</v>
      </c>
      <c r="E54" s="2050">
        <f t="shared" ref="E54:I55" si="46">E44+E46+E48+E50+E52</f>
        <v>1011</v>
      </c>
      <c r="F54" s="2050">
        <f t="shared" si="46"/>
        <v>702</v>
      </c>
      <c r="G54" s="2050">
        <f t="shared" si="46"/>
        <v>512</v>
      </c>
      <c r="H54" s="2710">
        <f t="shared" si="46"/>
        <v>343</v>
      </c>
      <c r="I54" s="2809">
        <f t="shared" si="46"/>
        <v>253</v>
      </c>
      <c r="J54" s="2809">
        <f t="shared" ref="J54:O55" si="47">J44+J46+J48+J50+J52</f>
        <v>22.966666666666665</v>
      </c>
      <c r="K54" s="4772">
        <f t="shared" si="47"/>
        <v>27</v>
      </c>
      <c r="L54" s="4439">
        <f t="shared" si="47"/>
        <v>23</v>
      </c>
      <c r="M54" s="4439">
        <f t="shared" si="47"/>
        <v>13</v>
      </c>
      <c r="N54" s="4439">
        <f t="shared" si="47"/>
        <v>14</v>
      </c>
      <c r="O54" s="4439">
        <f t="shared" si="47"/>
        <v>10</v>
      </c>
      <c r="P54" s="4439">
        <f>P44+P46+P48+P50+P52</f>
        <v>17</v>
      </c>
      <c r="Q54" s="4439">
        <f>Q44+Q46+Q48+Q50+Q52</f>
        <v>17</v>
      </c>
      <c r="R54" s="4439">
        <f t="shared" ref="R54:W54" si="48">R44+R46+R48+R50+R52</f>
        <v>34</v>
      </c>
      <c r="S54" s="4439">
        <f t="shared" si="48"/>
        <v>24</v>
      </c>
      <c r="T54" s="4439">
        <f t="shared" si="48"/>
        <v>17</v>
      </c>
      <c r="U54" s="4439">
        <f t="shared" si="48"/>
        <v>8</v>
      </c>
      <c r="V54" s="4439">
        <f t="shared" si="48"/>
        <v>18</v>
      </c>
      <c r="W54" s="4439">
        <f t="shared" si="48"/>
        <v>222</v>
      </c>
      <c r="X54" s="7113">
        <f>X45+X47+X49+X51+X53</f>
        <v>164794984.24065399</v>
      </c>
      <c r="Y54" s="7114">
        <f>Y45+Y47+Y49+Y51+Y53</f>
        <v>15959118.429942489</v>
      </c>
      <c r="Z54" s="4804"/>
      <c r="AA54" s="7066">
        <f t="shared" ref="AA54:AF54" si="49">AA45+AA47+AA49+AA51+AA53</f>
        <v>23486198.41401368</v>
      </c>
      <c r="AB54" s="7066">
        <f t="shared" si="49"/>
        <v>9860063.9800522085</v>
      </c>
      <c r="AC54" s="7066">
        <f t="shared" si="49"/>
        <v>34409392.622029707</v>
      </c>
      <c r="AD54" s="7066">
        <f t="shared" si="49"/>
        <v>29265716.692703821</v>
      </c>
      <c r="AE54" s="7066">
        <f t="shared" si="49"/>
        <v>19332543.885715216</v>
      </c>
      <c r="AF54" s="7066">
        <f t="shared" si="49"/>
        <v>16785028.817205209</v>
      </c>
      <c r="AG54" s="7066">
        <f>AG45+AG47+AG49+AG51+AG53</f>
        <v>19464716.179317556</v>
      </c>
      <c r="AH54" s="7064">
        <f>AH45+AH47+AH49+AH51+AH53</f>
        <v>-14078477.826528814</v>
      </c>
      <c r="AI54" s="7064">
        <f>AI45+AI47+AI49+AI51+AI53</f>
        <v>1603866.1261580978</v>
      </c>
      <c r="AJ54" s="7064">
        <f>AJ45+AJ47+AJ49+AJ51+AJ53</f>
        <v>19131511.79325169</v>
      </c>
      <c r="AK54" s="7064">
        <f t="shared" ref="AK54:AL54" si="50">AK45+AK47+AK49+AK51+AK53</f>
        <v>33150586.76531551</v>
      </c>
      <c r="AL54" s="7064">
        <f t="shared" si="50"/>
        <v>24073872.782106083</v>
      </c>
      <c r="AM54" s="6343"/>
      <c r="AN54" s="4465"/>
      <c r="AO54" s="4668"/>
      <c r="AP54" s="4668"/>
      <c r="AQ54" s="4668"/>
      <c r="AR54" s="4668"/>
      <c r="AS54" s="4668"/>
      <c r="AT54" s="4668"/>
      <c r="AU54" s="4668"/>
      <c r="AV54" s="4668"/>
      <c r="AW54" s="4668"/>
      <c r="AX54" s="6711"/>
      <c r="AY54" s="4804"/>
      <c r="AZ54" s="6396"/>
      <c r="BA54" s="6402"/>
      <c r="BC54" s="2832" t="s">
        <v>1305</v>
      </c>
      <c r="BD54" s="2833">
        <f>442445</f>
        <v>442445</v>
      </c>
      <c r="BE54" s="7151"/>
      <c r="BF54" s="2835">
        <v>0</v>
      </c>
    </row>
    <row r="55" spans="2:60" ht="17.399999999999999">
      <c r="B55" s="7129"/>
      <c r="C55" s="7130"/>
      <c r="D55" s="2719" t="s">
        <v>1244</v>
      </c>
      <c r="E55" s="2705">
        <f t="shared" si="46"/>
        <v>960.06666666666672</v>
      </c>
      <c r="F55" s="2705">
        <f t="shared" si="46"/>
        <v>640.18333333333339</v>
      </c>
      <c r="G55" s="2705">
        <f t="shared" si="46"/>
        <v>389.74666666666673</v>
      </c>
      <c r="H55" s="2711">
        <f t="shared" si="46"/>
        <v>349.40000000000003</v>
      </c>
      <c r="I55" s="4390">
        <f t="shared" si="46"/>
        <v>250.56393939393936</v>
      </c>
      <c r="J55" s="4390">
        <f t="shared" si="47"/>
        <v>23.445868686868685</v>
      </c>
      <c r="K55" s="4773">
        <f t="shared" si="47"/>
        <v>18.366666666666667</v>
      </c>
      <c r="L55" s="4425">
        <f t="shared" si="47"/>
        <v>27.65</v>
      </c>
      <c r="M55" s="4425">
        <f t="shared" si="47"/>
        <v>8.2833333333333332</v>
      </c>
      <c r="N55" s="4425">
        <f t="shared" si="47"/>
        <v>13.8</v>
      </c>
      <c r="O55" s="4425">
        <f t="shared" si="47"/>
        <v>17.766666666666666</v>
      </c>
      <c r="P55" s="4425">
        <f>P45+P47+P49+P51+P53</f>
        <v>21.666666666666668</v>
      </c>
      <c r="Q55" s="4425">
        <f>Q45+Q47+Q49+Q51+Q53</f>
        <v>21.56666666666667</v>
      </c>
      <c r="R55" s="4425">
        <f t="shared" ref="R55:W55" si="51">R45+R47+R49+R51+R53</f>
        <v>43.05</v>
      </c>
      <c r="S55" s="4425">
        <f t="shared" si="51"/>
        <v>35.733333333333334</v>
      </c>
      <c r="T55" s="4425">
        <f t="shared" si="51"/>
        <v>21.499999999999996</v>
      </c>
      <c r="U55" s="4425">
        <f t="shared" si="51"/>
        <v>10.8</v>
      </c>
      <c r="V55" s="4425">
        <f t="shared" si="51"/>
        <v>19.033333333333335</v>
      </c>
      <c r="W55" s="4425">
        <f t="shared" si="51"/>
        <v>259.21666666666664</v>
      </c>
      <c r="X55" s="7113"/>
      <c r="Y55" s="7114"/>
      <c r="Z55" s="4794">
        <f>X54/년간!E13</f>
        <v>158.89581809794953</v>
      </c>
      <c r="AA55" s="7066"/>
      <c r="AB55" s="7066"/>
      <c r="AC55" s="7066"/>
      <c r="AD55" s="7066"/>
      <c r="AE55" s="7066"/>
      <c r="AF55" s="7066"/>
      <c r="AG55" s="7066"/>
      <c r="AH55" s="7065"/>
      <c r="AI55" s="7065"/>
      <c r="AJ55" s="7065"/>
      <c r="AK55" s="7065"/>
      <c r="AL55" s="7065"/>
      <c r="AM55" s="6343">
        <f>SUM(AA54:AL54)</f>
        <v>216485020.23133993</v>
      </c>
      <c r="AN55" s="4482">
        <f>Z55</f>
        <v>158.89581809794953</v>
      </c>
      <c r="AO55" s="4667">
        <f>AA54/년간!F13</f>
        <v>253.9170357367822</v>
      </c>
      <c r="AP55" s="4667">
        <f>AB54/년간!G13</f>
        <v>101.3669228517621</v>
      </c>
      <c r="AQ55" s="4667">
        <f>AC54/년간!H13</f>
        <v>382.492952123706</v>
      </c>
      <c r="AR55" s="4667">
        <f>AD54/년간!I13</f>
        <v>309.51305606208456</v>
      </c>
      <c r="AS55" s="4667">
        <f>AE54/년간!J13</f>
        <v>216.06385168506972</v>
      </c>
      <c r="AT55" s="4667">
        <f>AF54/년간!K13</f>
        <v>168.43911763949626</v>
      </c>
      <c r="AU55" s="4667">
        <f>AG54/년간!L13</f>
        <v>170.24558911270847</v>
      </c>
      <c r="AV55" s="4667">
        <f>AH54/년간!M13</f>
        <v>-138.437928660973</v>
      </c>
      <c r="AW55" s="6373">
        <f>AI54/년간!N13</f>
        <v>15.653814578246962</v>
      </c>
      <c r="AX55" s="6391">
        <f>AJ54/년간!O13</f>
        <v>180.80047809632774</v>
      </c>
      <c r="AY55" s="4794"/>
      <c r="AZ55" s="6395"/>
      <c r="BA55" s="6401">
        <f>AM55/년간!$V$13</f>
        <v>211.17108301265543</v>
      </c>
      <c r="BC55" s="2832" t="s">
        <v>1306</v>
      </c>
      <c r="BD55" s="2833">
        <f>209618+1840000</f>
        <v>2049618</v>
      </c>
      <c r="BE55" s="7151"/>
      <c r="BF55" s="2835">
        <f>BD55*0.44</f>
        <v>901831.92</v>
      </c>
    </row>
    <row r="56" spans="2:60" ht="17.399999999999999">
      <c r="B56" s="7129"/>
      <c r="C56" s="7130" t="s">
        <v>493</v>
      </c>
      <c r="D56" s="2719" t="s">
        <v>1243</v>
      </c>
      <c r="E56" s="2705">
        <f t="shared" ref="E56:H57" si="52">E54/12</f>
        <v>84.25</v>
      </c>
      <c r="F56" s="2705">
        <f t="shared" si="52"/>
        <v>58.5</v>
      </c>
      <c r="G56" s="2705">
        <f t="shared" si="52"/>
        <v>42.666666666666664</v>
      </c>
      <c r="H56" s="2711">
        <f t="shared" si="52"/>
        <v>28.583333333333332</v>
      </c>
      <c r="I56" s="4390">
        <f t="shared" ref="I56:O57" si="53">I54/12</f>
        <v>21.083333333333332</v>
      </c>
      <c r="J56" s="4390">
        <f t="shared" si="53"/>
        <v>1.9138888888888888</v>
      </c>
      <c r="K56" s="4773">
        <f t="shared" si="53"/>
        <v>2.25</v>
      </c>
      <c r="L56" s="4425">
        <f t="shared" si="53"/>
        <v>1.9166666666666667</v>
      </c>
      <c r="M56" s="4425">
        <f t="shared" si="53"/>
        <v>1.0833333333333333</v>
      </c>
      <c r="N56" s="4425">
        <f t="shared" si="53"/>
        <v>1.1666666666666667</v>
      </c>
      <c r="O56" s="4425">
        <f t="shared" si="53"/>
        <v>0.83333333333333337</v>
      </c>
      <c r="P56" s="4425">
        <f>P54/12</f>
        <v>1.4166666666666667</v>
      </c>
      <c r="Q56" s="4425">
        <f>Q54/12</f>
        <v>1.4166666666666667</v>
      </c>
      <c r="R56" s="4425">
        <f t="shared" ref="R56:W56" si="54">R54/12</f>
        <v>2.8333333333333335</v>
      </c>
      <c r="S56" s="4425">
        <f t="shared" si="54"/>
        <v>2</v>
      </c>
      <c r="T56" s="4425">
        <f t="shared" si="54"/>
        <v>1.4166666666666667</v>
      </c>
      <c r="U56" s="4425">
        <f t="shared" si="54"/>
        <v>0.66666666666666663</v>
      </c>
      <c r="V56" s="4425">
        <f t="shared" si="54"/>
        <v>1.5</v>
      </c>
      <c r="W56" s="4425">
        <f t="shared" si="54"/>
        <v>18.5</v>
      </c>
      <c r="X56" s="7113">
        <f>X54/12</f>
        <v>13732915.353387833</v>
      </c>
      <c r="Y56" s="7114">
        <f>Y54/12</f>
        <v>1329926.5358285408</v>
      </c>
      <c r="Z56" s="4804"/>
      <c r="AA56" s="7066"/>
      <c r="AB56" s="7066"/>
      <c r="AC56" s="7066"/>
      <c r="AD56" s="7066"/>
      <c r="AE56" s="7066"/>
      <c r="AF56" s="7066"/>
      <c r="AG56" s="7066"/>
      <c r="AH56" s="7066"/>
      <c r="AI56" s="7066"/>
      <c r="AJ56" s="7066"/>
      <c r="AK56" s="4390"/>
      <c r="AL56" s="4390"/>
      <c r="AM56" s="6343"/>
      <c r="AN56" s="4465"/>
      <c r="AO56" s="4668"/>
      <c r="AP56" s="4668"/>
      <c r="AQ56" s="4668"/>
      <c r="AR56" s="4668"/>
      <c r="AS56" s="4668"/>
      <c r="AT56" s="4668"/>
      <c r="AU56" s="4668"/>
      <c r="AV56" s="4668"/>
      <c r="AW56" s="4668"/>
      <c r="AX56" s="6711"/>
      <c r="AY56" s="4804"/>
      <c r="AZ56" s="6396"/>
      <c r="BA56" s="6402"/>
      <c r="BC56" s="2832" t="s">
        <v>1307</v>
      </c>
      <c r="BD56" s="2833">
        <f>11000000+97000000+74400000+8436000</f>
        <v>190836000</v>
      </c>
      <c r="BE56" s="7151"/>
      <c r="BF56" s="2835">
        <f>((BD56+69000000)/11*12)*0.75</f>
        <v>212593090.90909094</v>
      </c>
      <c r="BG56" s="2840">
        <v>69000000</v>
      </c>
    </row>
    <row r="57" spans="2:60" ht="18" thickBot="1">
      <c r="B57" s="7117"/>
      <c r="C57" s="7131"/>
      <c r="D57" s="2379" t="s">
        <v>1244</v>
      </c>
      <c r="E57" s="1948">
        <f t="shared" si="52"/>
        <v>80.00555555555556</v>
      </c>
      <c r="F57" s="1948">
        <f t="shared" si="52"/>
        <v>53.348611111111119</v>
      </c>
      <c r="G57" s="1948">
        <f t="shared" si="52"/>
        <v>32.478888888888896</v>
      </c>
      <c r="H57" s="3103">
        <f t="shared" si="52"/>
        <v>29.116666666666671</v>
      </c>
      <c r="I57" s="3800">
        <f t="shared" si="53"/>
        <v>20.88032828282828</v>
      </c>
      <c r="J57" s="3800">
        <f t="shared" si="53"/>
        <v>1.9538223905723904</v>
      </c>
      <c r="K57" s="4774">
        <f t="shared" si="53"/>
        <v>1.5305555555555557</v>
      </c>
      <c r="L57" s="4440">
        <f t="shared" si="53"/>
        <v>2.3041666666666667</v>
      </c>
      <c r="M57" s="4440">
        <f t="shared" si="53"/>
        <v>0.69027777777777777</v>
      </c>
      <c r="N57" s="4440">
        <f t="shared" si="53"/>
        <v>1.1500000000000001</v>
      </c>
      <c r="O57" s="4440">
        <f t="shared" si="53"/>
        <v>1.4805555555555554</v>
      </c>
      <c r="P57" s="4440">
        <f>P55/12</f>
        <v>1.8055555555555556</v>
      </c>
      <c r="Q57" s="4440">
        <f>Q55/12</f>
        <v>1.7972222222222225</v>
      </c>
      <c r="R57" s="4440">
        <f t="shared" ref="R57:W57" si="55">R55/12</f>
        <v>3.5874999999999999</v>
      </c>
      <c r="S57" s="4440">
        <f t="shared" si="55"/>
        <v>2.9777777777777779</v>
      </c>
      <c r="T57" s="4440">
        <f t="shared" si="55"/>
        <v>1.7916666666666663</v>
      </c>
      <c r="U57" s="4440">
        <f t="shared" si="55"/>
        <v>0.9</v>
      </c>
      <c r="V57" s="4440">
        <f t="shared" si="55"/>
        <v>1.5861111111111112</v>
      </c>
      <c r="W57" s="4440">
        <f t="shared" si="55"/>
        <v>21.601388888888888</v>
      </c>
      <c r="X57" s="7113"/>
      <c r="Y57" s="7114"/>
      <c r="Z57" s="4804"/>
      <c r="AA57" s="7066"/>
      <c r="AB57" s="7066"/>
      <c r="AC57" s="7066"/>
      <c r="AD57" s="7066"/>
      <c r="AE57" s="7066"/>
      <c r="AF57" s="7066"/>
      <c r="AG57" s="7066"/>
      <c r="AH57" s="7066"/>
      <c r="AI57" s="7066"/>
      <c r="AJ57" s="7066"/>
      <c r="AK57" s="4390"/>
      <c r="AL57" s="4390"/>
      <c r="AM57" s="6343"/>
      <c r="AN57" s="4465"/>
      <c r="AO57" s="4668"/>
      <c r="AP57" s="4668"/>
      <c r="AQ57" s="4668"/>
      <c r="AR57" s="4668"/>
      <c r="AS57" s="4668"/>
      <c r="AT57" s="4668"/>
      <c r="AU57" s="4668"/>
      <c r="AV57" s="4668"/>
      <c r="AW57" s="4668"/>
      <c r="AX57" s="6711"/>
      <c r="AY57" s="4804"/>
      <c r="AZ57" s="6396"/>
      <c r="BA57" s="6402"/>
      <c r="BC57" s="2832" t="s">
        <v>1308</v>
      </c>
      <c r="BD57" s="2833">
        <f>280410+3293716+3560000+4942138+927400+5000000+19182939+796720+206108+1278216+2282776+829628+194578</f>
        <v>42774629</v>
      </c>
      <c r="BE57" s="7151"/>
      <c r="BF57" s="2836">
        <f>((BD57+42073369)/11*12)*0.525137967407709</f>
        <v>48607532.954545483</v>
      </c>
      <c r="BG57" s="2840">
        <v>42073369</v>
      </c>
      <c r="BH57">
        <v>0.52513796740770902</v>
      </c>
    </row>
    <row r="58" spans="2:60" ht="17.399999999999999">
      <c r="B58" s="7106" t="s">
        <v>1248</v>
      </c>
      <c r="C58" s="2451" t="s">
        <v>39</v>
      </c>
      <c r="D58" s="1225" t="s">
        <v>1243</v>
      </c>
      <c r="E58" s="1236">
        <v>5</v>
      </c>
      <c r="F58" s="1236">
        <v>3</v>
      </c>
      <c r="G58" s="1236">
        <v>0</v>
      </c>
      <c r="H58" s="3107">
        <f>종합!BG211</f>
        <v>3</v>
      </c>
      <c r="I58" s="4370">
        <f t="shared" ref="I58:I69" si="56">H58-(H58*0.2)</f>
        <v>2.4</v>
      </c>
      <c r="J58" s="4474">
        <f>I58/12</f>
        <v>0.19999999999999998</v>
      </c>
      <c r="K58" s="4775">
        <f>종합!AS211</f>
        <v>1</v>
      </c>
      <c r="L58" s="4477">
        <f>종합!AT211</f>
        <v>0</v>
      </c>
      <c r="M58" s="4477">
        <f>종합!AU211</f>
        <v>0</v>
      </c>
      <c r="N58" s="4477">
        <f>종합!AV211</f>
        <v>0</v>
      </c>
      <c r="O58" s="4477">
        <f>종합!AW211</f>
        <v>0</v>
      </c>
      <c r="P58" s="4477">
        <f>종합!AX211</f>
        <v>0</v>
      </c>
      <c r="Q58" s="4477">
        <f>종합!AY211</f>
        <v>0</v>
      </c>
      <c r="R58" s="4477">
        <f>종합!AZ211</f>
        <v>0</v>
      </c>
      <c r="S58" s="4477">
        <f>종합!BA211</f>
        <v>0</v>
      </c>
      <c r="T58" s="4477">
        <f>종합!BB211</f>
        <v>0</v>
      </c>
      <c r="U58" s="4477">
        <f>종합!BC211</f>
        <v>0</v>
      </c>
      <c r="V58" s="4477">
        <f>종합!BD211</f>
        <v>0</v>
      </c>
      <c r="W58" s="6043">
        <f>종합!BE211</f>
        <v>1</v>
      </c>
      <c r="X58" s="4416">
        <f>$BD$54-BF54</f>
        <v>442445</v>
      </c>
      <c r="Y58" s="3929">
        <f>$BD$54/12</f>
        <v>36870.416666666664</v>
      </c>
      <c r="Z58" s="4492">
        <f>X58/년간!E8</f>
        <v>1.5996536364556668</v>
      </c>
      <c r="AA58" s="4492">
        <f>$X$58/12-종합!BK211</f>
        <v>-2365129.5833333335</v>
      </c>
      <c r="AB58" s="4492">
        <f>$X$58/12-종합!BL211</f>
        <v>36870.416666666664</v>
      </c>
      <c r="AC58" s="4492">
        <f>$X$58/12-종합!BM211</f>
        <v>36870.416666666664</v>
      </c>
      <c r="AD58" s="4492">
        <f>$X$58/12-종합!BN211</f>
        <v>36870.416666666664</v>
      </c>
      <c r="AE58" s="4492">
        <f>$X$58/12-종합!BO211</f>
        <v>36870.416666666664</v>
      </c>
      <c r="AF58" s="4492">
        <f>$X$58/12-종합!BP211</f>
        <v>36870.416666666664</v>
      </c>
      <c r="AG58" s="4492">
        <f>$X$58/12-종합!BQ211</f>
        <v>36870.416666666664</v>
      </c>
      <c r="AH58" s="4492">
        <f>$X$58/12-종합!BR211</f>
        <v>36870.416666666664</v>
      </c>
      <c r="AI58" s="4492">
        <f>$X$58/12-종합!BS211</f>
        <v>36870.416666666664</v>
      </c>
      <c r="AJ58" s="4492">
        <f>$X$58/12-종합!BT211</f>
        <v>36870.416666666664</v>
      </c>
      <c r="AK58" s="4492">
        <f>$X$58/12-종합!BU211</f>
        <v>36870.416666666664</v>
      </c>
      <c r="AL58" s="4492">
        <f>$X$58/12-종합!BV211</f>
        <v>36870.416666666664</v>
      </c>
      <c r="AM58" s="6342">
        <f t="shared" si="1"/>
        <v>-1959555.0000000009</v>
      </c>
      <c r="AN58" s="4487">
        <f t="shared" si="8"/>
        <v>1.5996536364556668</v>
      </c>
      <c r="AO58" s="4487">
        <f>AA58/년간!F8</f>
        <v>-90.114352594649503</v>
      </c>
      <c r="AP58" s="4487">
        <f>AB58/년간!G8</f>
        <v>1.2744629364879649</v>
      </c>
      <c r="AQ58" s="4487">
        <f>AC58/년간!H8</f>
        <v>1.5489728105899754</v>
      </c>
      <c r="AR58" s="4487">
        <f>AD58/년간!I8</f>
        <v>1.4216278811223548</v>
      </c>
      <c r="AS58" s="4487">
        <f>AE58/년간!J8</f>
        <v>1.4493282011892716</v>
      </c>
      <c r="AT58" s="4487">
        <f>AF58/년간!K8</f>
        <v>1.2501116057553532</v>
      </c>
      <c r="AU58" s="4487">
        <f>AG58/년간!L8</f>
        <v>1.1368088396499971</v>
      </c>
      <c r="AV58" s="4487">
        <f>AH58/년간!M8</f>
        <v>1.2904553501253031</v>
      </c>
      <c r="AW58" s="4480">
        <f>AI58/년간!N8</f>
        <v>1.2464260452659051</v>
      </c>
      <c r="AX58" s="4492">
        <f>AJ58/년간!O8</f>
        <v>1.2038682119976098</v>
      </c>
      <c r="AY58" s="4799"/>
      <c r="AZ58" s="5835"/>
      <c r="BA58" s="4558">
        <f>AM58/년간!$V$8</f>
        <v>-6.9558610909334524</v>
      </c>
      <c r="BC58" s="2832" t="s">
        <v>1309</v>
      </c>
      <c r="BD58" s="2833">
        <f>((BD59+BD60+BD61)/11)*12</f>
        <v>23606978.181818184</v>
      </c>
      <c r="BE58" s="7151"/>
      <c r="BF58" s="2836">
        <f>BD58*0.8</f>
        <v>18885582.545454547</v>
      </c>
    </row>
    <row r="59" spans="2:60" ht="17.399999999999999">
      <c r="B59" s="7107"/>
      <c r="C59" s="2701" t="s">
        <v>42</v>
      </c>
      <c r="D59" s="2702" t="s">
        <v>1243</v>
      </c>
      <c r="E59" s="2707">
        <v>0</v>
      </c>
      <c r="F59" s="2707">
        <v>0</v>
      </c>
      <c r="G59" s="2707">
        <v>0</v>
      </c>
      <c r="H59" s="3107">
        <f>종합!BG212</f>
        <v>0</v>
      </c>
      <c r="I59" s="4366">
        <f t="shared" si="56"/>
        <v>0</v>
      </c>
      <c r="J59" s="4475">
        <f>I59/12</f>
        <v>0</v>
      </c>
      <c r="K59" s="4776">
        <f>종합!AS212</f>
        <v>0</v>
      </c>
      <c r="L59" s="4478">
        <f>종합!AT212</f>
        <v>0</v>
      </c>
      <c r="M59" s="4478">
        <f>종합!AU212</f>
        <v>0</v>
      </c>
      <c r="N59" s="4478">
        <f>종합!AV212</f>
        <v>0</v>
      </c>
      <c r="O59" s="4478">
        <f>종합!AW212</f>
        <v>0</v>
      </c>
      <c r="P59" s="4478">
        <f>종합!AX212</f>
        <v>0</v>
      </c>
      <c r="Q59" s="4478">
        <f>종합!AY212</f>
        <v>0</v>
      </c>
      <c r="R59" s="4478">
        <f>종합!AZ212</f>
        <v>0</v>
      </c>
      <c r="S59" s="4478">
        <f>종합!BA212</f>
        <v>0</v>
      </c>
      <c r="T59" s="4478">
        <f>종합!BB212</f>
        <v>0</v>
      </c>
      <c r="U59" s="4478">
        <f>종합!BC212</f>
        <v>0</v>
      </c>
      <c r="V59" s="4478">
        <f>종합!BD212</f>
        <v>0</v>
      </c>
      <c r="W59" s="6044">
        <f>종합!BE212</f>
        <v>0</v>
      </c>
      <c r="X59" s="4417"/>
      <c r="Y59" s="4804"/>
      <c r="Z59" s="4492">
        <f>X59/년간!E9</f>
        <v>0</v>
      </c>
      <c r="AA59" s="4493"/>
      <c r="AB59" s="4493"/>
      <c r="AC59" s="4493"/>
      <c r="AD59" s="4493"/>
      <c r="AE59" s="4493"/>
      <c r="AF59" s="4493"/>
      <c r="AG59" s="4493"/>
      <c r="AH59" s="4493"/>
      <c r="AI59" s="4493"/>
      <c r="AJ59" s="4493"/>
      <c r="AK59" s="4493"/>
      <c r="AL59" s="4493"/>
      <c r="AM59" s="6343"/>
      <c r="AN59" s="4491"/>
      <c r="AO59" s="4491"/>
      <c r="AP59" s="4491"/>
      <c r="AQ59" s="4491"/>
      <c r="AR59" s="4491"/>
      <c r="AS59" s="4491"/>
      <c r="AT59" s="4491"/>
      <c r="AU59" s="4491"/>
      <c r="AV59" s="4491"/>
      <c r="AW59" s="6333"/>
      <c r="AX59" s="4493"/>
      <c r="AY59" s="6470"/>
      <c r="AZ59" s="6471"/>
      <c r="BA59" s="6402"/>
      <c r="BC59" s="2832" t="s">
        <v>1310</v>
      </c>
      <c r="BD59" s="2833">
        <f>1512000+465000+465000+1797600</f>
        <v>4239600</v>
      </c>
      <c r="BE59" s="7151"/>
      <c r="BF59" s="2835">
        <f>(BD59/11*12)*0.85</f>
        <v>3931265.4545454541</v>
      </c>
    </row>
    <row r="60" spans="2:60" ht="17.399999999999999">
      <c r="B60" s="7107"/>
      <c r="C60" s="2701" t="s">
        <v>29</v>
      </c>
      <c r="D60" s="2702" t="s">
        <v>1243</v>
      </c>
      <c r="E60" s="2707">
        <v>16</v>
      </c>
      <c r="F60" s="2707">
        <v>8</v>
      </c>
      <c r="G60" s="2707">
        <v>5</v>
      </c>
      <c r="H60" s="3107">
        <f>종합!BG213</f>
        <v>9</v>
      </c>
      <c r="I60" s="4671">
        <f t="shared" si="56"/>
        <v>7.2</v>
      </c>
      <c r="J60" s="4475">
        <f>I60/12</f>
        <v>0.6</v>
      </c>
      <c r="K60" s="4776">
        <f>종합!AS213</f>
        <v>1</v>
      </c>
      <c r="L60" s="4478">
        <f>종합!AT213</f>
        <v>0</v>
      </c>
      <c r="M60" s="4478">
        <f>종합!AU213</f>
        <v>1</v>
      </c>
      <c r="N60" s="4478">
        <f>종합!AV213</f>
        <v>0</v>
      </c>
      <c r="O60" s="4478">
        <f>종합!AW213</f>
        <v>1</v>
      </c>
      <c r="P60" s="4478">
        <f>종합!AX213</f>
        <v>1</v>
      </c>
      <c r="Q60" s="4478">
        <f>종합!AY213</f>
        <v>0</v>
      </c>
      <c r="R60" s="4478">
        <f>종합!AZ213</f>
        <v>0</v>
      </c>
      <c r="S60" s="4478">
        <f>종합!BA213</f>
        <v>1</v>
      </c>
      <c r="T60" s="4478">
        <f>종합!BB213</f>
        <v>0</v>
      </c>
      <c r="U60" s="4478">
        <f>종합!BC213</f>
        <v>1</v>
      </c>
      <c r="V60" s="4478">
        <f>종합!BD213</f>
        <v>0</v>
      </c>
      <c r="W60" s="6044">
        <f>종합!BE213</f>
        <v>6</v>
      </c>
      <c r="X60" s="4416">
        <f>$BD$55-BF55</f>
        <v>1147786.08</v>
      </c>
      <c r="Y60" s="3929">
        <f>$BD$55/12</f>
        <v>170801.5</v>
      </c>
      <c r="Z60" s="4492">
        <f>X60/년간!E10</f>
        <v>4.1961981501115053</v>
      </c>
      <c r="AA60" s="4492">
        <f>$X$60/12-종합!BK213</f>
        <v>-1352205.16</v>
      </c>
      <c r="AB60" s="4492">
        <f>$X$60/12-종합!BL213</f>
        <v>95648.840000000011</v>
      </c>
      <c r="AC60" s="4492">
        <f>$X$60/12-종합!BM213</f>
        <v>-2690984.16</v>
      </c>
      <c r="AD60" s="4492">
        <f>$X$60/12-종합!BN213</f>
        <v>95648.840000000011</v>
      </c>
      <c r="AE60" s="4492">
        <f>$X$60/12-종합!BO213</f>
        <v>-1980035.16</v>
      </c>
      <c r="AF60" s="4492">
        <f>$X$60/12-종합!BP213</f>
        <v>-3276151.16</v>
      </c>
      <c r="AG60" s="4492">
        <f>$X$60/12-종합!BQ213</f>
        <v>95648.840000000011</v>
      </c>
      <c r="AH60" s="4492">
        <f>$X$60/12-종합!BR213</f>
        <v>95648.840000000011</v>
      </c>
      <c r="AI60" s="4492">
        <f>$X$60/12-종합!BS213</f>
        <v>-2085471.16</v>
      </c>
      <c r="AJ60" s="4492">
        <f>$X$60/12-종합!BT213</f>
        <v>95648.840000000011</v>
      </c>
      <c r="AK60" s="4492">
        <f>$X$60/12-종합!BU213</f>
        <v>-2152656.16</v>
      </c>
      <c r="AL60" s="4492">
        <f>$X$60/12-종합!BV213</f>
        <v>95648.840000000011</v>
      </c>
      <c r="AM60" s="6342">
        <f t="shared" si="1"/>
        <v>-12963609.920000002</v>
      </c>
      <c r="AN60" s="4487">
        <f t="shared" si="8"/>
        <v>4.1961981501115053</v>
      </c>
      <c r="AO60" s="4487">
        <f>AA60/년간!F10</f>
        <v>-54.660744906448095</v>
      </c>
      <c r="AP60" s="4487">
        <f>AB60/년간!G10</f>
        <v>3.8848715621109751</v>
      </c>
      <c r="AQ60" s="4487">
        <f>AC60/년간!H10</f>
        <v>-99.933383294129712</v>
      </c>
      <c r="AR60" s="4487">
        <f>AD60/년간!I10</f>
        <v>3.8733572959305165</v>
      </c>
      <c r="AS60" s="4487">
        <f>AE60/년간!J10</f>
        <v>-86.799904784825529</v>
      </c>
      <c r="AT60" s="4487">
        <f>AF60/년간!K10</f>
        <v>-131.09759397395055</v>
      </c>
      <c r="AU60" s="4487">
        <f>AG60/년간!L10</f>
        <v>3.1005571669932048</v>
      </c>
      <c r="AV60" s="4487">
        <f>AH60/년간!M10</f>
        <v>3.4491927564991842</v>
      </c>
      <c r="AW60" s="4480">
        <f>AI60/년간!N10</f>
        <v>-71.258254693610894</v>
      </c>
      <c r="AX60" s="4492">
        <f>AJ60/년간!O10</f>
        <v>3.5154274558030254</v>
      </c>
      <c r="AY60" s="4799"/>
      <c r="AZ60" s="5835"/>
      <c r="BA60" s="4558">
        <f>AM60/년간!$V$10</f>
        <v>-48.887857233386562</v>
      </c>
      <c r="BC60" s="2832" t="s">
        <v>1311</v>
      </c>
      <c r="BD60" s="2833">
        <f>468750+712368+921614+301100+327500+2316571</f>
        <v>5047903</v>
      </c>
      <c r="BE60" s="7151"/>
      <c r="BF60" s="2835">
        <f>(BD60/11*12)*0.8</f>
        <v>4405442.6181818182</v>
      </c>
    </row>
    <row r="61" spans="2:60" ht="17.399999999999999">
      <c r="B61" s="7107"/>
      <c r="C61" s="2701" t="s">
        <v>505</v>
      </c>
      <c r="D61" s="2702" t="s">
        <v>1250</v>
      </c>
      <c r="E61" s="3038">
        <f>64/2</f>
        <v>32</v>
      </c>
      <c r="F61" s="3038">
        <f>24/2</f>
        <v>12</v>
      </c>
      <c r="G61" s="2707">
        <v>7</v>
      </c>
      <c r="H61" s="3107">
        <f>종합!BG214</f>
        <v>20</v>
      </c>
      <c r="I61" s="4671">
        <f t="shared" si="56"/>
        <v>16</v>
      </c>
      <c r="J61" s="4475">
        <f>I61/12</f>
        <v>1.3333333333333333</v>
      </c>
      <c r="K61" s="4776">
        <f>종합!AS214</f>
        <v>1</v>
      </c>
      <c r="L61" s="4478">
        <f>종합!AT214</f>
        <v>0</v>
      </c>
      <c r="M61" s="4478">
        <f>종합!AU214</f>
        <v>0</v>
      </c>
      <c r="N61" s="4478">
        <f>종합!AV214</f>
        <v>1</v>
      </c>
      <c r="O61" s="4478">
        <f>종합!AW214</f>
        <v>0</v>
      </c>
      <c r="P61" s="4478">
        <f>종합!AX214</f>
        <v>0</v>
      </c>
      <c r="Q61" s="4478">
        <f>종합!AY214</f>
        <v>1</v>
      </c>
      <c r="R61" s="4478">
        <f>종합!AZ214</f>
        <v>2</v>
      </c>
      <c r="S61" s="4478">
        <f>종합!BA214</f>
        <v>0</v>
      </c>
      <c r="T61" s="4478">
        <f>종합!BB214</f>
        <v>1</v>
      </c>
      <c r="U61" s="4478">
        <f>종합!BC214</f>
        <v>0</v>
      </c>
      <c r="V61" s="4478">
        <f>종합!BD214</f>
        <v>2</v>
      </c>
      <c r="W61" s="6044">
        <f>종합!BE214</f>
        <v>8</v>
      </c>
      <c r="X61" s="4416">
        <f>(BD56+BG56)-BF56</f>
        <v>47242909.090909064</v>
      </c>
      <c r="Y61" s="3929">
        <f>(BD56+BG56-BF56)/12</f>
        <v>3936909.0909090885</v>
      </c>
      <c r="Z61" s="4492">
        <f>X61/년간!E11</f>
        <v>282.24942699790336</v>
      </c>
      <c r="AA61" s="4492">
        <f>$X$61/12-종합!BK214</f>
        <v>-2487540.9090909115</v>
      </c>
      <c r="AB61" s="4492">
        <f>$X$61/12-종합!BL214</f>
        <v>3936909.0909090885</v>
      </c>
      <c r="AC61" s="4492">
        <f>$X$61/12-종합!BM214</f>
        <v>3936909.0909090885</v>
      </c>
      <c r="AD61" s="4492">
        <f>$X$61/12-종합!BN214</f>
        <v>3936909.0909090885</v>
      </c>
      <c r="AE61" s="4492">
        <f>$X$61/12-종합!BO214</f>
        <v>3936909.0909090885</v>
      </c>
      <c r="AF61" s="4492">
        <f>$X$61/12-종합!BP214</f>
        <v>3936909.0909090885</v>
      </c>
      <c r="AG61" s="4492">
        <f>$X$61/12-종합!BQ214</f>
        <v>-2098090.9090909115</v>
      </c>
      <c r="AH61" s="4492">
        <f>$X$61/12-종합!BR214</f>
        <v>3936909.0909090885</v>
      </c>
      <c r="AI61" s="4492">
        <f>$X$61/12-종합!BS214</f>
        <v>3936909.0909090885</v>
      </c>
      <c r="AJ61" s="4492">
        <f>$X$61/12-종합!BT214</f>
        <v>3936909.0909090885</v>
      </c>
      <c r="AK61" s="4492">
        <f>$X$61/12-종합!BU214</f>
        <v>3936909.0909090885</v>
      </c>
      <c r="AL61" s="4492">
        <f>$X$61/12-종합!BV214</f>
        <v>-5863090.909090912</v>
      </c>
      <c r="AM61" s="6342">
        <f t="shared" si="1"/>
        <v>24983459.090909064</v>
      </c>
      <c r="AN61" s="4487">
        <f t="shared" si="8"/>
        <v>282.24942699790336</v>
      </c>
      <c r="AO61" s="4487">
        <f>AA61/년간!F11</f>
        <v>-181.38287008904652</v>
      </c>
      <c r="AP61" s="4487">
        <f>AB61/년간!G11</f>
        <v>345.07259584457864</v>
      </c>
      <c r="AQ61" s="4487">
        <f>AC61/년간!H11</f>
        <v>296.02867949580639</v>
      </c>
      <c r="AR61" s="4487">
        <f>AD61/년간!I11</f>
        <v>305.06094315438042</v>
      </c>
      <c r="AS61" s="4487">
        <f>AE61/년간!J11</f>
        <v>311.49000502328499</v>
      </c>
      <c r="AT61" s="4487">
        <f>AF61/년간!K11</f>
        <v>289.64579488227309</v>
      </c>
      <c r="AU61" s="4487">
        <f>AG61/년간!L11</f>
        <v>-139.32943536110935</v>
      </c>
      <c r="AV61" s="4487">
        <f>AH61/년간!M11</f>
        <v>317.10983521579902</v>
      </c>
      <c r="AW61" s="4480">
        <f>AI61/년간!N11</f>
        <v>302.47014725950402</v>
      </c>
      <c r="AX61" s="4492">
        <f>AJ61/년간!O11</f>
        <v>288.61975363818755</v>
      </c>
      <c r="AY61" s="4799"/>
      <c r="AZ61" s="5835"/>
      <c r="BA61" s="4558">
        <f>AM61/년간!$V$11</f>
        <v>158.49282023467967</v>
      </c>
      <c r="BC61" s="2832" t="s">
        <v>1312</v>
      </c>
      <c r="BD61" s="2833">
        <f>255200+304800+309500+1428900+304800+604468+1860000+255200+309500+218800+3275904+218800+264600+218800+633255+218800+183380+422120+555000+255200+255200</f>
        <v>12352227</v>
      </c>
      <c r="BE61" s="7151"/>
      <c r="BF61" s="2835">
        <f>(BD61/11*12)*BH61</f>
        <v>7700089.5584415579</v>
      </c>
      <c r="BH61">
        <f>I62/H62</f>
        <v>0.5714285714285714</v>
      </c>
    </row>
    <row r="62" spans="2:60" ht="18" thickBot="1">
      <c r="B62" s="7107"/>
      <c r="C62" s="2609" t="s">
        <v>443</v>
      </c>
      <c r="D62" s="1769" t="s">
        <v>1243</v>
      </c>
      <c r="E62" s="3038">
        <f>64/2</f>
        <v>32</v>
      </c>
      <c r="F62" s="3038">
        <f>24/2</f>
        <v>12</v>
      </c>
      <c r="G62" s="2713">
        <v>8</v>
      </c>
      <c r="H62" s="3108">
        <f>종합!BG215</f>
        <v>21</v>
      </c>
      <c r="I62" s="4672">
        <v>12</v>
      </c>
      <c r="J62" s="4476">
        <f>I62/12</f>
        <v>1</v>
      </c>
      <c r="K62" s="4776">
        <f>종합!AS215</f>
        <v>1</v>
      </c>
      <c r="L62" s="4478">
        <f>종합!AT215</f>
        <v>0</v>
      </c>
      <c r="M62" s="4478">
        <f>종합!AU215</f>
        <v>0</v>
      </c>
      <c r="N62" s="4478">
        <f>종합!AV215</f>
        <v>0</v>
      </c>
      <c r="O62" s="4478">
        <f>종합!AW215</f>
        <v>1</v>
      </c>
      <c r="P62" s="4478">
        <f>종합!AX215</f>
        <v>1</v>
      </c>
      <c r="Q62" s="4478">
        <f>종합!AY215</f>
        <v>3</v>
      </c>
      <c r="R62" s="4478">
        <f>종합!AZ215</f>
        <v>0</v>
      </c>
      <c r="S62" s="4478">
        <f>종합!BA215</f>
        <v>1</v>
      </c>
      <c r="T62" s="4478">
        <f>종합!BB215</f>
        <v>0</v>
      </c>
      <c r="U62" s="4478">
        <f>종합!BC215</f>
        <v>2</v>
      </c>
      <c r="V62" s="4478">
        <f>종합!BD215</f>
        <v>0</v>
      </c>
      <c r="W62" s="6044">
        <f>종합!BE215</f>
        <v>9</v>
      </c>
      <c r="X62" s="4416">
        <f>($BD$57+BG57)-BF57</f>
        <v>36240465.045454517</v>
      </c>
      <c r="Y62" s="3929">
        <f>(BD57+BG57-BF57)/12</f>
        <v>3020038.7537878766</v>
      </c>
      <c r="Z62" s="4492">
        <f>X62/년간!E12</f>
        <v>679.88265506255664</v>
      </c>
      <c r="AA62" s="4492">
        <f>$X$62/12-종합!BK215</f>
        <v>3020038.7537878766</v>
      </c>
      <c r="AB62" s="4492">
        <f>$X$62/12-종합!BL215</f>
        <v>3020038.7537878766</v>
      </c>
      <c r="AC62" s="4492">
        <f>$X$62/12-종합!BM215</f>
        <v>3020038.7537878766</v>
      </c>
      <c r="AD62" s="4492">
        <f>$X$62/12-종합!BN215</f>
        <v>3020038.7537878766</v>
      </c>
      <c r="AE62" s="4492">
        <f>$X$62/12-종합!BO215</f>
        <v>-2518361.2462121234</v>
      </c>
      <c r="AF62" s="4492">
        <f>$X$62/12-종합!BP215</f>
        <v>3020038.7537878766</v>
      </c>
      <c r="AG62" s="4492">
        <f>$X$62/12-종합!BQ215</f>
        <v>-6327917.246212123</v>
      </c>
      <c r="AH62" s="4492">
        <f>$X$62/12-종합!BR215</f>
        <v>3020038.7537878766</v>
      </c>
      <c r="AI62" s="4492">
        <f>$X$62/12-종합!BS215</f>
        <v>-1979561.2462121234</v>
      </c>
      <c r="AJ62" s="4492">
        <f>$X$62/12-종합!BT215</f>
        <v>3020038.7537878766</v>
      </c>
      <c r="AK62" s="4492">
        <f>$X$62/12-종합!BU215</f>
        <v>1384438.7537878766</v>
      </c>
      <c r="AL62" s="4492">
        <f>$X$62/12-종합!BV215</f>
        <v>3020038.7537878766</v>
      </c>
      <c r="AM62" s="6342">
        <f t="shared" si="1"/>
        <v>14718909.045454523</v>
      </c>
      <c r="AN62" s="4487">
        <f t="shared" si="8"/>
        <v>679.88265506255664</v>
      </c>
      <c r="AO62" s="4487">
        <f>AA62/년간!F12</f>
        <v>586.77875301164727</v>
      </c>
      <c r="AP62" s="4487">
        <f>AB62/년간!G12</f>
        <v>573.00366827457458</v>
      </c>
      <c r="AQ62" s="4487">
        <f>AC62/년간!H12</f>
        <v>716.87141243406461</v>
      </c>
      <c r="AR62" s="4487">
        <f>AD62/년간!I12</f>
        <v>663.21828776537757</v>
      </c>
      <c r="AS62" s="4487">
        <f>AE62/년간!J12</f>
        <v>-624.78880955162651</v>
      </c>
      <c r="AT62" s="4487">
        <f>AF62/년간!K12</f>
        <v>574.70251986463768</v>
      </c>
      <c r="AU62" s="4487">
        <f>AG62/년간!L12</f>
        <v>-1272.2602711453956</v>
      </c>
      <c r="AV62" s="4487">
        <f>AH62/년간!M12</f>
        <v>654.05045951606871</v>
      </c>
      <c r="AW62" s="4480">
        <f>AI62/년간!N12</f>
        <v>-482.93348220059687</v>
      </c>
      <c r="AX62" s="4492">
        <f>AJ62/년간!O12</f>
        <v>682.05072264557225</v>
      </c>
      <c r="AY62" s="4799"/>
      <c r="AZ62" s="5835"/>
      <c r="BA62" s="4558">
        <f>AM62/년간!$V$12</f>
        <v>262.31144135395317</v>
      </c>
      <c r="BC62" s="2837" t="s">
        <v>1313</v>
      </c>
      <c r="BD62" s="2830" t="e">
        <f>SUM(BD63:BD66)</f>
        <v>#REF!</v>
      </c>
      <c r="BE62" s="7151"/>
      <c r="BF62" s="2838"/>
    </row>
    <row r="63" spans="2:60" ht="18" thickBot="1">
      <c r="B63" s="7108"/>
      <c r="C63" s="3171" t="s">
        <v>16</v>
      </c>
      <c r="D63" s="3011" t="s">
        <v>452</v>
      </c>
      <c r="E63" s="3012">
        <f t="shared" ref="E63:O63" si="57">SUM(E58:E62)</f>
        <v>85</v>
      </c>
      <c r="F63" s="3012">
        <f t="shared" si="57"/>
        <v>35</v>
      </c>
      <c r="G63" s="3012">
        <f t="shared" si="57"/>
        <v>20</v>
      </c>
      <c r="H63" s="3190">
        <f t="shared" si="57"/>
        <v>53</v>
      </c>
      <c r="I63" s="2844">
        <f t="shared" si="57"/>
        <v>37.6</v>
      </c>
      <c r="J63" s="2844">
        <f t="shared" si="57"/>
        <v>3.1333333333333333</v>
      </c>
      <c r="K63" s="4766">
        <f t="shared" si="57"/>
        <v>4</v>
      </c>
      <c r="L63" s="4434">
        <f t="shared" si="57"/>
        <v>0</v>
      </c>
      <c r="M63" s="4434">
        <f t="shared" si="57"/>
        <v>1</v>
      </c>
      <c r="N63" s="4434">
        <f t="shared" si="57"/>
        <v>1</v>
      </c>
      <c r="O63" s="4434">
        <f t="shared" si="57"/>
        <v>2</v>
      </c>
      <c r="P63" s="4434">
        <f>SUM(P58:P62)</f>
        <v>2</v>
      </c>
      <c r="Q63" s="4434">
        <f>SUM(Q58:Q62)</f>
        <v>4</v>
      </c>
      <c r="R63" s="4434">
        <f t="shared" ref="R63:W63" si="58">SUM(R58:R62)</f>
        <v>2</v>
      </c>
      <c r="S63" s="4434">
        <f t="shared" si="58"/>
        <v>2</v>
      </c>
      <c r="T63" s="4434">
        <f t="shared" si="58"/>
        <v>1</v>
      </c>
      <c r="U63" s="4434">
        <f t="shared" si="58"/>
        <v>3</v>
      </c>
      <c r="V63" s="4434">
        <f t="shared" si="58"/>
        <v>2</v>
      </c>
      <c r="W63" s="4434">
        <f t="shared" si="58"/>
        <v>24</v>
      </c>
      <c r="X63" s="3563">
        <f>SUM(X58:X62)</f>
        <v>85073605.216363579</v>
      </c>
      <c r="Y63" s="5622">
        <f>SUM(Y58:Y62)</f>
        <v>7164619.7613636311</v>
      </c>
      <c r="Z63" s="4809">
        <f>X63/(년간!E8+년간!E10+년간!E11+년간!E12)</f>
        <v>110.37024451981648</v>
      </c>
      <c r="AA63" s="4494">
        <f t="shared" ref="AA63:AF63" si="59">SUM(AA58:AA62)</f>
        <v>-3184836.8986363676</v>
      </c>
      <c r="AB63" s="4494">
        <f t="shared" si="59"/>
        <v>7089467.1013636319</v>
      </c>
      <c r="AC63" s="4494">
        <f t="shared" si="59"/>
        <v>4302834.101363631</v>
      </c>
      <c r="AD63" s="4494">
        <f t="shared" si="59"/>
        <v>7089467.1013636319</v>
      </c>
      <c r="AE63" s="4494">
        <f t="shared" si="59"/>
        <v>-524616.8986363681</v>
      </c>
      <c r="AF63" s="4494">
        <f t="shared" si="59"/>
        <v>3717667.1013636314</v>
      </c>
      <c r="AG63" s="4494">
        <f>SUM(AG58:AG62)</f>
        <v>-8293488.8986363681</v>
      </c>
      <c r="AH63" s="4494">
        <f>SUM(AH58:AH62)</f>
        <v>7089467.1013636319</v>
      </c>
      <c r="AI63" s="4494">
        <f>SUM(AI58:AI62)</f>
        <v>-91252.898636368103</v>
      </c>
      <c r="AJ63" s="4494">
        <f>SUM(AJ58:AJ62)</f>
        <v>7089467.1013636319</v>
      </c>
      <c r="AK63" s="4494">
        <f t="shared" ref="AK63:AL63" si="60">SUM(AK58:AK62)</f>
        <v>3205562.1013636314</v>
      </c>
      <c r="AL63" s="4494">
        <f t="shared" si="60"/>
        <v>-2710532.8986363686</v>
      </c>
      <c r="AM63" s="6343">
        <f t="shared" si="1"/>
        <v>24779203.21636359</v>
      </c>
      <c r="AN63" s="4512">
        <f t="shared" si="8"/>
        <v>110.37024451981648</v>
      </c>
      <c r="AO63" s="4512">
        <f>AA63/년간!F13</f>
        <v>-34.432321925899664</v>
      </c>
      <c r="AP63" s="4512">
        <f>AB63/년간!G13</f>
        <v>72.883651280346726</v>
      </c>
      <c r="AQ63" s="4512">
        <f>AC63/년간!H13</f>
        <v>47.830071748358797</v>
      </c>
      <c r="AR63" s="4512">
        <f>AD63/년간!I13</f>
        <v>74.977922168628055</v>
      </c>
      <c r="AS63" s="4512">
        <f>AE63/년간!J13</f>
        <v>-5.8632091280136276</v>
      </c>
      <c r="AT63" s="4512">
        <f>AF63/년간!K13</f>
        <v>37.307089135837373</v>
      </c>
      <c r="AU63" s="4512">
        <f>AG63/년간!L13</f>
        <v>-72.537913748175669</v>
      </c>
      <c r="AV63" s="4512">
        <f>AH63/년간!M13</f>
        <v>69.712873289006694</v>
      </c>
      <c r="AW63" s="6382">
        <f>AI63/년간!N13</f>
        <v>-0.89063290986947641</v>
      </c>
      <c r="AX63" s="4809">
        <f>AJ63/년간!O13</f>
        <v>66.998314363575631</v>
      </c>
      <c r="AY63" s="4794"/>
      <c r="AZ63" s="6395"/>
      <c r="BA63" s="6401">
        <f>AM63/년간!$V$13</f>
        <v>24.170961915972132</v>
      </c>
      <c r="BC63" s="2839" t="s">
        <v>1314</v>
      </c>
      <c r="BD63" s="2833" t="e">
        <f>#REF!*#REF!/58.56</f>
        <v>#REF!</v>
      </c>
      <c r="BE63" s="7151"/>
      <c r="BF63" s="2838"/>
    </row>
    <row r="64" spans="2:60" ht="17.399999999999999">
      <c r="B64" s="7106" t="s">
        <v>1249</v>
      </c>
      <c r="C64" s="3159" t="s">
        <v>39</v>
      </c>
      <c r="D64" s="1225" t="s">
        <v>452</v>
      </c>
      <c r="E64" s="1236">
        <v>204</v>
      </c>
      <c r="F64" s="1236">
        <v>52</v>
      </c>
      <c r="G64" s="1236">
        <v>0</v>
      </c>
      <c r="H64" s="2813">
        <f>종합!BG226</f>
        <v>0</v>
      </c>
      <c r="I64" s="2843">
        <f t="shared" si="56"/>
        <v>0</v>
      </c>
      <c r="J64" s="2843">
        <f>I64-(I64*0.2)</f>
        <v>0</v>
      </c>
      <c r="K64" s="4777">
        <f>종합!AS226</f>
        <v>0</v>
      </c>
      <c r="L64" s="4673">
        <f>종합!AT226</f>
        <v>0</v>
      </c>
      <c r="M64" s="4673">
        <f>종합!AU226</f>
        <v>0</v>
      </c>
      <c r="N64" s="4673">
        <f>종합!AV226</f>
        <v>0</v>
      </c>
      <c r="O64" s="4673">
        <f>종합!AW226</f>
        <v>0</v>
      </c>
      <c r="P64" s="4673">
        <f>종합!AX226</f>
        <v>0</v>
      </c>
      <c r="Q64" s="4673">
        <f>종합!AY226</f>
        <v>0</v>
      </c>
      <c r="R64" s="4673">
        <f>종합!AZ226</f>
        <v>0</v>
      </c>
      <c r="S64" s="4673">
        <f>종합!BA226</f>
        <v>0</v>
      </c>
      <c r="T64" s="4673">
        <f>종합!BB226</f>
        <v>0</v>
      </c>
      <c r="U64" s="4673">
        <f>종합!BC226</f>
        <v>0</v>
      </c>
      <c r="V64" s="4673">
        <f>종합!BD226</f>
        <v>0</v>
      </c>
      <c r="W64" s="6045">
        <f>종합!BE226</f>
        <v>0</v>
      </c>
      <c r="X64" s="4418">
        <v>0</v>
      </c>
      <c r="Y64" s="5627">
        <v>0</v>
      </c>
      <c r="Z64" s="4810">
        <f>X64/년간!E8</f>
        <v>0</v>
      </c>
      <c r="AA64" s="4497">
        <f>-종합!BK227</f>
        <v>0</v>
      </c>
      <c r="AB64" s="4497">
        <f>-종합!BL227</f>
        <v>0</v>
      </c>
      <c r="AC64" s="4497">
        <f>-종합!BM227</f>
        <v>0</v>
      </c>
      <c r="AD64" s="4497">
        <f>-종합!BN227</f>
        <v>0</v>
      </c>
      <c r="AE64" s="4497">
        <f>-종합!BO227</f>
        <v>0</v>
      </c>
      <c r="AF64" s="4497">
        <f>-종합!BP227</f>
        <v>0</v>
      </c>
      <c r="AG64" s="4497">
        <f>-종합!BQ227</f>
        <v>0</v>
      </c>
      <c r="AH64" s="4497">
        <f>-종합!BR227</f>
        <v>0</v>
      </c>
      <c r="AI64" s="4497">
        <f>-종합!BS227</f>
        <v>0</v>
      </c>
      <c r="AJ64" s="4497">
        <f>-종합!BT227</f>
        <v>0</v>
      </c>
      <c r="AK64" s="4497">
        <f>-종합!BU227</f>
        <v>0</v>
      </c>
      <c r="AL64" s="4497">
        <f>-종합!BV227</f>
        <v>0</v>
      </c>
      <c r="AM64" s="6342">
        <f t="shared" si="1"/>
        <v>0</v>
      </c>
      <c r="AN64" s="4513">
        <f t="shared" si="8"/>
        <v>0</v>
      </c>
      <c r="AO64" s="4513">
        <f>AA64/년간!F8</f>
        <v>0</v>
      </c>
      <c r="AP64" s="4513">
        <f>AB64/년간!G8</f>
        <v>0</v>
      </c>
      <c r="AQ64" s="4513">
        <f>AC64/년간!H8</f>
        <v>0</v>
      </c>
      <c r="AR64" s="4513">
        <f>AD64/년간!I8</f>
        <v>0</v>
      </c>
      <c r="AS64" s="4513">
        <f>AE64/년간!J8</f>
        <v>0</v>
      </c>
      <c r="AT64" s="4513">
        <f>AF64/년간!K8</f>
        <v>0</v>
      </c>
      <c r="AU64" s="4513">
        <f>AG64/년간!L8</f>
        <v>0</v>
      </c>
      <c r="AV64" s="4513">
        <f>AH64/년간!M8</f>
        <v>0</v>
      </c>
      <c r="AW64" s="4505">
        <f>AI64/년간!N8</f>
        <v>0</v>
      </c>
      <c r="AX64" s="4497">
        <f>AJ64/년간!O8</f>
        <v>0</v>
      </c>
      <c r="AY64" s="4799"/>
      <c r="AZ64" s="5835"/>
      <c r="BA64" s="4558">
        <f>AM64/년간!$V$8</f>
        <v>0</v>
      </c>
      <c r="BC64" s="2839" t="s">
        <v>1315</v>
      </c>
      <c r="BD64" s="2833" t="e">
        <f>#REF!*#REF!/46.99</f>
        <v>#REF!</v>
      </c>
      <c r="BE64" s="7151"/>
      <c r="BF64" s="2838"/>
    </row>
    <row r="65" spans="2:79" ht="17.399999999999999">
      <c r="B65" s="7107"/>
      <c r="C65" s="3162" t="s">
        <v>42</v>
      </c>
      <c r="D65" s="2702" t="s">
        <v>452</v>
      </c>
      <c r="E65" s="2707">
        <v>0</v>
      </c>
      <c r="F65" s="2707">
        <v>0</v>
      </c>
      <c r="G65" s="2707">
        <v>0</v>
      </c>
      <c r="H65" s="2811">
        <f>종합!BG227</f>
        <v>0</v>
      </c>
      <c r="I65" s="4366">
        <f t="shared" si="56"/>
        <v>0</v>
      </c>
      <c r="J65" s="4366">
        <f>I65-(I65*0.2)</f>
        <v>0</v>
      </c>
      <c r="K65" s="4778">
        <f>종합!AS227</f>
        <v>0</v>
      </c>
      <c r="L65" s="4674">
        <f>종합!AT227</f>
        <v>0</v>
      </c>
      <c r="M65" s="4674">
        <f>종합!AU227</f>
        <v>0</v>
      </c>
      <c r="N65" s="4674">
        <f>종합!AV227</f>
        <v>0</v>
      </c>
      <c r="O65" s="4674">
        <f>종합!AW227</f>
        <v>0</v>
      </c>
      <c r="P65" s="4674">
        <f>종합!AX227</f>
        <v>0</v>
      </c>
      <c r="Q65" s="4674">
        <f>종합!AY227</f>
        <v>0</v>
      </c>
      <c r="R65" s="4674">
        <f>종합!AZ227</f>
        <v>0</v>
      </c>
      <c r="S65" s="4674">
        <f>종합!BA227</f>
        <v>0</v>
      </c>
      <c r="T65" s="4674">
        <f>종합!BB227</f>
        <v>0</v>
      </c>
      <c r="U65" s="4674">
        <f>종합!BC227</f>
        <v>0</v>
      </c>
      <c r="V65" s="4674">
        <f>종합!BD227</f>
        <v>0</v>
      </c>
      <c r="W65" s="6046">
        <f>종합!BE227</f>
        <v>0</v>
      </c>
      <c r="X65" s="4416">
        <v>0</v>
      </c>
      <c r="Y65" s="3929">
        <v>0</v>
      </c>
      <c r="Z65" s="3834">
        <f>X65/년간!E9</f>
        <v>0</v>
      </c>
      <c r="AA65" s="4492">
        <f>-종합!BK228</f>
        <v>0</v>
      </c>
      <c r="AB65" s="4492">
        <f>-종합!BL228</f>
        <v>0</v>
      </c>
      <c r="AC65" s="4492">
        <f>-종합!BM228</f>
        <v>0</v>
      </c>
      <c r="AD65" s="4492">
        <f>-종합!BN228</f>
        <v>0</v>
      </c>
      <c r="AE65" s="4492">
        <f>-종합!BO228</f>
        <v>0</v>
      </c>
      <c r="AF65" s="4492">
        <f>-종합!BP228</f>
        <v>0</v>
      </c>
      <c r="AG65" s="4492">
        <f>-종합!BQ228</f>
        <v>0</v>
      </c>
      <c r="AH65" s="4492">
        <f>-종합!BR228</f>
        <v>0</v>
      </c>
      <c r="AI65" s="4492">
        <f>-종합!BS228</f>
        <v>0</v>
      </c>
      <c r="AJ65" s="4492">
        <f>-종합!BT228</f>
        <v>0</v>
      </c>
      <c r="AK65" s="4492">
        <f>-종합!BU228</f>
        <v>0</v>
      </c>
      <c r="AL65" s="4492">
        <f>-종합!BV228</f>
        <v>0</v>
      </c>
      <c r="AM65" s="6342">
        <f t="shared" si="1"/>
        <v>0</v>
      </c>
      <c r="AN65" s="4488">
        <f t="shared" si="8"/>
        <v>0</v>
      </c>
      <c r="AO65" s="4488">
        <f>AA65/년간!F9</f>
        <v>0</v>
      </c>
      <c r="AP65" s="4488">
        <f>AB65/년간!G9</f>
        <v>0</v>
      </c>
      <c r="AQ65" s="4488">
        <f>AC65/년간!H9</f>
        <v>0</v>
      </c>
      <c r="AR65" s="4488">
        <f>AD65/년간!I9</f>
        <v>0</v>
      </c>
      <c r="AS65" s="4488">
        <f>AE65/년간!J9</f>
        <v>0</v>
      </c>
      <c r="AT65" s="4488">
        <f>AF65/년간!K9</f>
        <v>0</v>
      </c>
      <c r="AU65" s="4488">
        <f>AG65/년간!L9</f>
        <v>0</v>
      </c>
      <c r="AV65" s="4488">
        <f>AH65/년간!M9</f>
        <v>0</v>
      </c>
      <c r="AW65" s="4480">
        <f>AI65/년간!N9</f>
        <v>0</v>
      </c>
      <c r="AX65" s="4492">
        <f>AJ65/년간!O9</f>
        <v>0</v>
      </c>
      <c r="AY65" s="4799"/>
      <c r="AZ65" s="5835"/>
      <c r="BA65" s="4558">
        <f>AM65/년간!$V$9</f>
        <v>0</v>
      </c>
      <c r="BC65" s="2839" t="s">
        <v>1316</v>
      </c>
      <c r="BD65" s="2833" t="e">
        <f>#REF!*#REF!/23.3</f>
        <v>#REF!</v>
      </c>
      <c r="BE65" s="7151"/>
      <c r="BF65" s="2838"/>
    </row>
    <row r="66" spans="2:79" ht="17.399999999999999">
      <c r="B66" s="7107"/>
      <c r="C66" s="3162" t="s">
        <v>29</v>
      </c>
      <c r="D66" s="2702" t="s">
        <v>452</v>
      </c>
      <c r="E66" s="2707">
        <v>431</v>
      </c>
      <c r="F66" s="2707">
        <v>104</v>
      </c>
      <c r="G66" s="2707">
        <v>122</v>
      </c>
      <c r="H66" s="2811">
        <f>종합!BG228</f>
        <v>68.194000000000003</v>
      </c>
      <c r="I66" s="4366">
        <f t="shared" si="56"/>
        <v>54.555199999999999</v>
      </c>
      <c r="J66" s="4366">
        <f>I66/12</f>
        <v>4.5462666666666669</v>
      </c>
      <c r="K66" s="4778">
        <f>종합!AS228</f>
        <v>28.92</v>
      </c>
      <c r="L66" s="4674">
        <f>종합!AT228</f>
        <v>13.26</v>
      </c>
      <c r="M66" s="4674">
        <f>종합!AU228</f>
        <v>14.71</v>
      </c>
      <c r="N66" s="4674">
        <f>종합!AV228</f>
        <v>0</v>
      </c>
      <c r="O66" s="4674">
        <f>종합!AW228</f>
        <v>0</v>
      </c>
      <c r="P66" s="4674">
        <f>종합!AX228</f>
        <v>0</v>
      </c>
      <c r="Q66" s="4674">
        <f>종합!AY228</f>
        <v>0</v>
      </c>
      <c r="R66" s="4674">
        <f>종합!AZ228</f>
        <v>0</v>
      </c>
      <c r="S66" s="4674">
        <f>종합!BA228</f>
        <v>4.83</v>
      </c>
      <c r="T66" s="4674">
        <f>종합!BB228</f>
        <v>0</v>
      </c>
      <c r="U66" s="4674">
        <f>종합!BC228</f>
        <v>0</v>
      </c>
      <c r="V66" s="4674">
        <f>종합!BD228</f>
        <v>11.26</v>
      </c>
      <c r="W66" s="6046">
        <f>종합!BE228</f>
        <v>72.98</v>
      </c>
      <c r="X66" s="4416">
        <f>$BD$59-BF59</f>
        <v>308334.54545454588</v>
      </c>
      <c r="Y66" s="3929">
        <f>(BD59-BF59)/12</f>
        <v>25694.545454545489</v>
      </c>
      <c r="Z66" s="3834">
        <f>X66/년간!E10</f>
        <v>1.1272421506033923</v>
      </c>
      <c r="AA66" s="4492">
        <f>$X$66/12-종합!BK229</f>
        <v>-911805.45454545447</v>
      </c>
      <c r="AB66" s="4492">
        <f>$X$66/12-종합!BL229</f>
        <v>-391055.45454545453</v>
      </c>
      <c r="AC66" s="4492">
        <f>$X$66/12-종합!BM229</f>
        <v>-599805.45454545447</v>
      </c>
      <c r="AD66" s="4492">
        <f>$X$66/12-종합!BN229</f>
        <v>25694.545454545489</v>
      </c>
      <c r="AE66" s="4492">
        <f>$X$66/12-종합!BO229</f>
        <v>25694.545454545489</v>
      </c>
      <c r="AF66" s="4492">
        <f>$X$66/12-종합!BP229</f>
        <v>25694.545454545489</v>
      </c>
      <c r="AG66" s="4492">
        <f>$X$66/12-종합!BQ229</f>
        <v>25694.545454545489</v>
      </c>
      <c r="AH66" s="4492">
        <f>$X$66/12-종합!BR229</f>
        <v>25694.545454545489</v>
      </c>
      <c r="AI66" s="4492">
        <f>$X$66/12-종합!BS229</f>
        <v>-283805.45454545453</v>
      </c>
      <c r="AJ66" s="4492">
        <f>$X$66/12-종합!BT229</f>
        <v>25694.545454545489</v>
      </c>
      <c r="AK66" s="4492">
        <f>$X$66/12-종합!BU229</f>
        <v>25694.545454545489</v>
      </c>
      <c r="AL66" s="4492">
        <f>$X$66/12-종합!BV229</f>
        <v>-391055.45454545453</v>
      </c>
      <c r="AM66" s="6342">
        <f t="shared" si="1"/>
        <v>-2397665.4545454546</v>
      </c>
      <c r="AN66" s="4488">
        <f t="shared" si="8"/>
        <v>1.1272421506033923</v>
      </c>
      <c r="AO66" s="4488">
        <f>AA66/년간!F10</f>
        <v>-36.858286619182138</v>
      </c>
      <c r="AP66" s="4488">
        <f>AB66/년간!G10</f>
        <v>-15.883101296074445</v>
      </c>
      <c r="AQ66" s="4488">
        <f>AC66/년간!H10</f>
        <v>-22.274597257755911</v>
      </c>
      <c r="AR66" s="4488">
        <f>AD66/년간!I10</f>
        <v>1.0405160700535629</v>
      </c>
      <c r="AS66" s="4488">
        <f>AE66/년간!J10</f>
        <v>1.12638610869108</v>
      </c>
      <c r="AT66" s="4488">
        <f>AF66/년간!K10</f>
        <v>1.0281861009567157</v>
      </c>
      <c r="AU66" s="4488">
        <f>AG66/년간!L10</f>
        <v>0.83291555926578598</v>
      </c>
      <c r="AV66" s="4488">
        <f>AH66/년간!M10</f>
        <v>0.92657098678203864</v>
      </c>
      <c r="AW66" s="4480">
        <f>AI66/년간!N10</f>
        <v>-9.6973200835038202</v>
      </c>
      <c r="AX66" s="4492">
        <f>AJ66/년간!O10</f>
        <v>0.94436388936120952</v>
      </c>
      <c r="AY66" s="4799"/>
      <c r="AZ66" s="5835"/>
      <c r="BA66" s="4558">
        <f>AM66/년간!$V$10</f>
        <v>-9.0419819138804396</v>
      </c>
      <c r="BC66" s="2839" t="s">
        <v>1317</v>
      </c>
      <c r="BD66" s="2833" t="e">
        <f>#REF!*#REF!/9.25</f>
        <v>#REF!</v>
      </c>
      <c r="BE66" s="7151"/>
      <c r="BF66" s="2838"/>
    </row>
    <row r="67" spans="2:79" ht="17.399999999999999">
      <c r="B67" s="7107"/>
      <c r="C67" s="3162" t="s">
        <v>505</v>
      </c>
      <c r="D67" s="2702" t="s">
        <v>452</v>
      </c>
      <c r="E67" s="7109">
        <v>332</v>
      </c>
      <c r="F67" s="7109">
        <v>86</v>
      </c>
      <c r="G67" s="7109">
        <v>101</v>
      </c>
      <c r="H67" s="2811">
        <f>종합!BG229</f>
        <v>308.73</v>
      </c>
      <c r="I67" s="4366">
        <f t="shared" si="56"/>
        <v>246.98400000000001</v>
      </c>
      <c r="J67" s="4366">
        <f>I67/12</f>
        <v>20.582000000000001</v>
      </c>
      <c r="K67" s="4778">
        <f>종합!AS229</f>
        <v>0</v>
      </c>
      <c r="L67" s="4674">
        <f>종합!AT229</f>
        <v>0</v>
      </c>
      <c r="M67" s="4674">
        <f>종합!AU229</f>
        <v>6.9</v>
      </c>
      <c r="N67" s="4674">
        <f>종합!AV229</f>
        <v>4.32</v>
      </c>
      <c r="O67" s="4674">
        <f>종합!AW229</f>
        <v>0</v>
      </c>
      <c r="P67" s="4674">
        <f>종합!AX229</f>
        <v>0</v>
      </c>
      <c r="Q67" s="4674">
        <f>종합!AY229</f>
        <v>2.12</v>
      </c>
      <c r="R67" s="4674">
        <f>종합!AZ229</f>
        <v>0</v>
      </c>
      <c r="S67" s="4674">
        <f>종합!BA229</f>
        <v>0</v>
      </c>
      <c r="T67" s="4674">
        <f>종합!BB229</f>
        <v>0</v>
      </c>
      <c r="U67" s="4674">
        <f>종합!BC229</f>
        <v>0</v>
      </c>
      <c r="V67" s="4674">
        <f>종합!BD229</f>
        <v>31.27</v>
      </c>
      <c r="W67" s="6046">
        <f>종합!BE229</f>
        <v>44.61</v>
      </c>
      <c r="X67" s="4416">
        <f>$BD$60-BF60</f>
        <v>642460.38181818184</v>
      </c>
      <c r="Y67" s="3929">
        <f>(BD60-BF60)/12</f>
        <v>53538.365151515151</v>
      </c>
      <c r="Z67" s="3834">
        <f>X67/년간!E11</f>
        <v>3.8383342204455837</v>
      </c>
      <c r="AA67" s="4492">
        <f>$X$67/12-종합!BK230</f>
        <v>53538.365151515151</v>
      </c>
      <c r="AB67" s="4492">
        <f>$X$67/12-종합!BL230</f>
        <v>53538.365151515151</v>
      </c>
      <c r="AC67" s="4492">
        <f>$X$67/12-종합!BM230</f>
        <v>-230461.63484848486</v>
      </c>
      <c r="AD67" s="4492">
        <f>$X$67/12-종합!BN230</f>
        <v>-183961.63484848486</v>
      </c>
      <c r="AE67" s="4492">
        <f>$X$67/12-종합!BO230</f>
        <v>53538.365151515151</v>
      </c>
      <c r="AF67" s="4492">
        <f>$X$67/12-종합!BP230</f>
        <v>53538.365151515151</v>
      </c>
      <c r="AG67" s="4492">
        <f>$X$67/12-종합!BQ230</f>
        <v>-230461.63484848486</v>
      </c>
      <c r="AH67" s="4492">
        <f>$X$67/12-종합!BR230</f>
        <v>53538.365151515151</v>
      </c>
      <c r="AI67" s="4492">
        <f>$X$67/12-종합!BS230</f>
        <v>-291711.63484848483</v>
      </c>
      <c r="AJ67" s="4492">
        <f>$X$67/12-종합!BT230</f>
        <v>53538.365151515151</v>
      </c>
      <c r="AK67" s="4492">
        <f>$X$67/12-종합!BU230</f>
        <v>53538.365151515151</v>
      </c>
      <c r="AL67" s="4492">
        <f>$X$67/12-종합!BV230</f>
        <v>-666461.63484848489</v>
      </c>
      <c r="AM67" s="6342">
        <f t="shared" ref="AM67:AM105" si="61">SUM(AA67:AL67)</f>
        <v>-1228289.6181818182</v>
      </c>
      <c r="AN67" s="4488">
        <f t="shared" si="8"/>
        <v>3.8383342204455837</v>
      </c>
      <c r="AO67" s="4488">
        <f>AA67/년간!F11</f>
        <v>3.9038322125951033</v>
      </c>
      <c r="AP67" s="4488">
        <f>AB67/년간!G11</f>
        <v>4.6926718939913865</v>
      </c>
      <c r="AQ67" s="4488">
        <f>AC67/년간!H11</f>
        <v>-17.329141177320903</v>
      </c>
      <c r="AR67" s="4488">
        <f>AD67/년간!I11</f>
        <v>-14.254713160811576</v>
      </c>
      <c r="AS67" s="4488">
        <f>AE67/년간!J11</f>
        <v>4.2359793545888156</v>
      </c>
      <c r="AT67" s="4488">
        <f>AF67/년간!K11</f>
        <v>3.9389180631110716</v>
      </c>
      <c r="AU67" s="4488">
        <f>AG67/년간!L11</f>
        <v>-15.304431908410795</v>
      </c>
      <c r="AV67" s="4488">
        <f>AH67/년간!M11</f>
        <v>4.312403908468176</v>
      </c>
      <c r="AW67" s="4480">
        <f>AI67/년간!N11</f>
        <v>-22.412013869885264</v>
      </c>
      <c r="AX67" s="4492">
        <f>AJ67/년간!O11</f>
        <v>3.9249648400322825</v>
      </c>
      <c r="AY67" s="4799"/>
      <c r="AZ67" s="5835"/>
      <c r="BA67" s="4558">
        <f>AM67/년간!$V$11</f>
        <v>-7.7921590017713864</v>
      </c>
      <c r="BC67" s="2829" t="s">
        <v>1318</v>
      </c>
      <c r="BD67" s="2830" t="e">
        <f>BD52+BD62</f>
        <v>#REF!</v>
      </c>
      <c r="BE67" s="7151"/>
      <c r="BF67" s="2838"/>
    </row>
    <row r="68" spans="2:79" ht="18" thickBot="1">
      <c r="B68" s="7107"/>
      <c r="C68" s="3163" t="s">
        <v>443</v>
      </c>
      <c r="D68" s="1769" t="s">
        <v>452</v>
      </c>
      <c r="E68" s="7110"/>
      <c r="F68" s="7110"/>
      <c r="G68" s="7110"/>
      <c r="H68" s="2811">
        <f>종합!BG230</f>
        <v>229.05600000000001</v>
      </c>
      <c r="I68" s="4367">
        <v>48</v>
      </c>
      <c r="J68" s="4366">
        <f>I68/12</f>
        <v>4</v>
      </c>
      <c r="K68" s="4779">
        <f>종합!AS230</f>
        <v>2.15</v>
      </c>
      <c r="L68" s="4819">
        <f>종합!AT230</f>
        <v>2.15</v>
      </c>
      <c r="M68" s="4819">
        <f>종합!AU230</f>
        <v>0</v>
      </c>
      <c r="N68" s="4819">
        <f>종합!AV230</f>
        <v>0</v>
      </c>
      <c r="O68" s="4819">
        <f>종합!AW230</f>
        <v>23.19</v>
      </c>
      <c r="P68" s="4819">
        <f>종합!AX230</f>
        <v>18.257999999999999</v>
      </c>
      <c r="Q68" s="4819">
        <f>종합!AY230</f>
        <v>0</v>
      </c>
      <c r="R68" s="4819">
        <f>종합!AZ230</f>
        <v>0</v>
      </c>
      <c r="S68" s="4819">
        <f>종합!BA230</f>
        <v>0</v>
      </c>
      <c r="T68" s="4819">
        <f>종합!BB230</f>
        <v>0</v>
      </c>
      <c r="U68" s="4819">
        <f>종합!BC230</f>
        <v>19.873000000000001</v>
      </c>
      <c r="V68" s="4819">
        <f>종합!BD230</f>
        <v>0</v>
      </c>
      <c r="W68" s="6047">
        <f>종합!BE230</f>
        <v>65.621000000000009</v>
      </c>
      <c r="X68" s="4416">
        <f>$BD$61-BF61</f>
        <v>4652137.4415584421</v>
      </c>
      <c r="Y68" s="3929">
        <f>(BD61-BF61)/12</f>
        <v>387678.12012987019</v>
      </c>
      <c r="Z68" s="3834">
        <f>X68/년간!E12</f>
        <v>87.275578597449382</v>
      </c>
      <c r="AA68" s="4492">
        <f>$X$68/12-종합!BK231</f>
        <v>137978.12012987019</v>
      </c>
      <c r="AB68" s="4492">
        <f>$X$68/12-종합!BL231</f>
        <v>168878.12012987019</v>
      </c>
      <c r="AC68" s="4492">
        <f>$X$68/12-종합!BM231</f>
        <v>387678.12012987019</v>
      </c>
      <c r="AD68" s="4492">
        <f>$X$68/12-종합!BN231</f>
        <v>387678.12012987019</v>
      </c>
      <c r="AE68" s="4492">
        <f>$X$68/12-종합!BO231</f>
        <v>-449021.87987012981</v>
      </c>
      <c r="AF68" s="4492">
        <f>$X$68/12-종합!BP231</f>
        <v>-251821.87987012981</v>
      </c>
      <c r="AG68" s="4492">
        <f>$X$68/12-종합!BQ231</f>
        <v>387678.12012987019</v>
      </c>
      <c r="AH68" s="4492">
        <f>$X$68/12-종합!BR231</f>
        <v>387678.12012987019</v>
      </c>
      <c r="AI68" s="4492">
        <f>$X$68/12-종합!BS231</f>
        <v>387678.12012987019</v>
      </c>
      <c r="AJ68" s="4492">
        <f>$X$68/12-종합!BT231</f>
        <v>387678.12012987019</v>
      </c>
      <c r="AK68" s="4492">
        <f>$X$68/12-종합!BU231</f>
        <v>-229521.87987012981</v>
      </c>
      <c r="AL68" s="4492">
        <f>$X$68/12-종합!BV231</f>
        <v>387678.12012987019</v>
      </c>
      <c r="AM68" s="6342">
        <f t="shared" si="61"/>
        <v>2090237.4415584425</v>
      </c>
      <c r="AN68" s="4488">
        <f t="shared" si="8"/>
        <v>87.275578597449382</v>
      </c>
      <c r="AO68" s="4488">
        <f>AA68/년간!F12</f>
        <v>26.808473623442516</v>
      </c>
      <c r="AP68" s="4488">
        <f>AB68/년간!G12</f>
        <v>32.041900854536763</v>
      </c>
      <c r="AQ68" s="4488">
        <f>AC68/년간!H12</f>
        <v>92.023773270693411</v>
      </c>
      <c r="AR68" s="4488">
        <f>AD68/년간!I12</f>
        <v>85.136397244620355</v>
      </c>
      <c r="AS68" s="4488">
        <f>AE68/년간!J12</f>
        <v>-111.39936584104402</v>
      </c>
      <c r="AT68" s="4488">
        <f>AF68/년간!K12</f>
        <v>-47.92079861124153</v>
      </c>
      <c r="AU68" s="4488">
        <f>AG68/년간!L12</f>
        <v>77.944677694514851</v>
      </c>
      <c r="AV68" s="4488">
        <f>AH68/년간!M12</f>
        <v>83.959536048085113</v>
      </c>
      <c r="AW68" s="4480">
        <f>AI68/년간!N12</f>
        <v>94.577899464110502</v>
      </c>
      <c r="AX68" s="4492">
        <f>AJ68/년간!O12</f>
        <v>87.553890378662061</v>
      </c>
      <c r="AY68" s="4799"/>
      <c r="AZ68" s="5835"/>
      <c r="BA68" s="4558">
        <f>AM68/년간!$V$12</f>
        <v>37.250939887866068</v>
      </c>
      <c r="BC68" s="2829" t="s">
        <v>1319</v>
      </c>
      <c r="BD68" s="2830">
        <v>350431000000</v>
      </c>
      <c r="BE68" s="7152"/>
      <c r="BF68" s="2838"/>
    </row>
    <row r="69" spans="2:79" ht="18" thickBot="1">
      <c r="B69" s="7108"/>
      <c r="C69" s="3171" t="s">
        <v>16</v>
      </c>
      <c r="D69" s="3011" t="s">
        <v>452</v>
      </c>
      <c r="E69" s="3012">
        <f>SUM(E64:E68)</f>
        <v>967</v>
      </c>
      <c r="F69" s="3012">
        <f>SUM(F64:F68)</f>
        <v>242</v>
      </c>
      <c r="G69" s="3012">
        <f>SUM(G64:G68)</f>
        <v>223</v>
      </c>
      <c r="H69" s="3013">
        <f>SUM(H64:H68)</f>
        <v>605.98</v>
      </c>
      <c r="I69" s="4391">
        <f t="shared" si="56"/>
        <v>484.78399999999999</v>
      </c>
      <c r="J69" s="5867">
        <f>SUM(J64:J68)</f>
        <v>29.128266666666669</v>
      </c>
      <c r="K69" s="4391">
        <f t="shared" ref="K69:P69" si="62">SUM(K64:K68)</f>
        <v>31.07</v>
      </c>
      <c r="L69" s="4442">
        <f t="shared" si="62"/>
        <v>15.41</v>
      </c>
      <c r="M69" s="4442">
        <f t="shared" si="62"/>
        <v>21.61</v>
      </c>
      <c r="N69" s="4442">
        <f t="shared" si="62"/>
        <v>4.32</v>
      </c>
      <c r="O69" s="4442">
        <f t="shared" si="62"/>
        <v>23.19</v>
      </c>
      <c r="P69" s="4442">
        <f t="shared" si="62"/>
        <v>18.257999999999999</v>
      </c>
      <c r="Q69" s="4442">
        <f t="shared" ref="Q69:W69" si="63">SUM(Q64:Q68)</f>
        <v>2.12</v>
      </c>
      <c r="R69" s="4442">
        <f t="shared" si="63"/>
        <v>0</v>
      </c>
      <c r="S69" s="4442">
        <f t="shared" si="63"/>
        <v>4.83</v>
      </c>
      <c r="T69" s="4442">
        <f t="shared" si="63"/>
        <v>0</v>
      </c>
      <c r="U69" s="4442">
        <f t="shared" si="63"/>
        <v>19.873000000000001</v>
      </c>
      <c r="V69" s="4442">
        <f t="shared" si="63"/>
        <v>42.53</v>
      </c>
      <c r="W69" s="4442">
        <f t="shared" si="63"/>
        <v>183.21100000000001</v>
      </c>
      <c r="X69" s="3563">
        <f>SUM(X64:X68)</f>
        <v>5602932.3688311698</v>
      </c>
      <c r="Y69" s="5622">
        <f>SUM(Y64:Y68)</f>
        <v>466911.03073593084</v>
      </c>
      <c r="Z69" s="4811">
        <f>X69/(년간!E8+년간!E10+년간!E11+년간!E12)</f>
        <v>7.2689644926079202</v>
      </c>
      <c r="AA69" s="4494">
        <f t="shared" ref="AA69:AF69" si="64">SUM(AA64:AA68)</f>
        <v>-720288.96926406911</v>
      </c>
      <c r="AB69" s="4494">
        <f t="shared" si="64"/>
        <v>-168638.96926406916</v>
      </c>
      <c r="AC69" s="4494">
        <f t="shared" si="64"/>
        <v>-442588.96926406916</v>
      </c>
      <c r="AD69" s="4494">
        <f t="shared" si="64"/>
        <v>229411.03073593084</v>
      </c>
      <c r="AE69" s="4494">
        <f t="shared" si="64"/>
        <v>-369788.96926406916</v>
      </c>
      <c r="AF69" s="4494">
        <f t="shared" si="64"/>
        <v>-172588.96926406916</v>
      </c>
      <c r="AG69" s="4494">
        <f>SUM(AG64:AG68)</f>
        <v>182911.03073593084</v>
      </c>
      <c r="AH69" s="4494">
        <f>SUM(AH64:AH68)</f>
        <v>466911.03073593084</v>
      </c>
      <c r="AI69" s="4494">
        <f>SUM(AI64:AI68)</f>
        <v>-187838.96926406916</v>
      </c>
      <c r="AJ69" s="4494">
        <f>SUM(AJ64:AJ68)</f>
        <v>466911.03073593084</v>
      </c>
      <c r="AK69" s="4494">
        <f t="shared" ref="AK69:AL69" si="65">SUM(AK64:AK68)</f>
        <v>-150288.96926406916</v>
      </c>
      <c r="AL69" s="4494">
        <f t="shared" si="65"/>
        <v>-669838.96926406911</v>
      </c>
      <c r="AM69" s="6343">
        <f t="shared" si="61"/>
        <v>-1535717.6311688293</v>
      </c>
      <c r="AN69" s="4514">
        <f t="shared" si="8"/>
        <v>7.2689644926079202</v>
      </c>
      <c r="AO69" s="4514">
        <f>AA69/년간!F13</f>
        <v>-7.7872815653429104</v>
      </c>
      <c r="AP69" s="4514">
        <f>AB69/년간!G13</f>
        <v>-1.7337020755418124</v>
      </c>
      <c r="AQ69" s="4514">
        <f>AC69/년간!H13</f>
        <v>-4.9197951062588752</v>
      </c>
      <c r="AR69" s="4514">
        <f>AD69/년간!I13</f>
        <v>2.4262419390922711</v>
      </c>
      <c r="AS69" s="4514">
        <f>AE69/년간!J13</f>
        <v>-4.1328254306399463</v>
      </c>
      <c r="AT69" s="4514">
        <f>AF69/년간!K13</f>
        <v>-1.7319442232563513</v>
      </c>
      <c r="AU69" s="4514">
        <f>AG69/년간!L13</f>
        <v>1.5998073589143416</v>
      </c>
      <c r="AV69" s="4514">
        <f>AH69/년간!M13</f>
        <v>4.5912773213479818</v>
      </c>
      <c r="AW69" s="6382">
        <f>AI69/년간!N13</f>
        <v>-1.8333178483370036</v>
      </c>
      <c r="AX69" s="4809">
        <f>AJ69/년간!O13</f>
        <v>4.4124969577826239</v>
      </c>
      <c r="AY69" s="4794"/>
      <c r="AZ69" s="6395"/>
      <c r="BA69" s="6401">
        <f>AM69/년간!$V$13</f>
        <v>-1.4980212258058283</v>
      </c>
    </row>
    <row r="70" spans="2:79" s="299" customFormat="1" ht="17.399999999999999">
      <c r="B70" s="7106" t="s">
        <v>1449</v>
      </c>
      <c r="C70" s="3159" t="s">
        <v>27</v>
      </c>
      <c r="D70" s="1225" t="s">
        <v>1459</v>
      </c>
      <c r="E70" s="3016">
        <f>CPL!H6</f>
        <v>54.062042613628726</v>
      </c>
      <c r="F70" s="3016">
        <f>CPL!I6</f>
        <v>58.04</v>
      </c>
      <c r="G70" s="3016">
        <f>CPL!J6</f>
        <v>60.206775876441782</v>
      </c>
      <c r="H70" s="3016">
        <f>CPL!K6</f>
        <v>58.694362011852682</v>
      </c>
      <c r="I70" s="4392">
        <f>CPL!L6</f>
        <v>60</v>
      </c>
      <c r="J70" s="4392">
        <f>CPL!M6</f>
        <v>60</v>
      </c>
      <c r="K70" s="4780">
        <f>CPL!N6</f>
        <v>60.874104140090452</v>
      </c>
      <c r="L70" s="4443">
        <f>CPL!O6</f>
        <v>62.159699194270374</v>
      </c>
      <c r="M70" s="4443">
        <f>CPL!P6</f>
        <v>60.15957877000843</v>
      </c>
      <c r="N70" s="4443">
        <f>CPL!Q6</f>
        <v>62.721523579201929</v>
      </c>
      <c r="O70" s="4443">
        <f>CPL!R6</f>
        <v>57.555791855203616</v>
      </c>
      <c r="P70" s="4443">
        <f>CPL!S6</f>
        <v>60.661661867544225</v>
      </c>
      <c r="Q70" s="4443">
        <f>CPL!T6</f>
        <v>60.070862787467199</v>
      </c>
      <c r="R70" s="4443">
        <f>CPL!U6</f>
        <v>60.769159163417235</v>
      </c>
      <c r="S70" s="4443">
        <f>CPL!V6</f>
        <v>62.188318149964957</v>
      </c>
      <c r="T70" s="4443">
        <f>CPL!W6</f>
        <v>56.385312058913776</v>
      </c>
      <c r="U70" s="4443">
        <f>CPL!X6</f>
        <v>68.682105263157894</v>
      </c>
      <c r="V70" s="4443" t="e">
        <f>CPL!Y6</f>
        <v>#DIV/0!</v>
      </c>
      <c r="W70" s="6048">
        <f>CPL!Z6</f>
        <v>60.293596370134942</v>
      </c>
      <c r="X70" s="4457">
        <f>(년간!$D$14/성과개선!$H$70-년간!$D$14/성과개선!I70)*년간!$E$213</f>
        <v>113450000.77900608</v>
      </c>
      <c r="Y70" s="3195">
        <f>X70/10</f>
        <v>11345000.077900607</v>
      </c>
      <c r="Z70" s="4812">
        <f>X70/년간!E8</f>
        <v>410.17687238421797</v>
      </c>
      <c r="AA70" s="4498">
        <f>(년간!F8/성과개선!$H$70-년간!F14/성과개선!K70)*년간!$E$213</f>
        <v>17715634.185618967</v>
      </c>
      <c r="AB70" s="4498">
        <f>(년간!G8/성과개선!$H$70-년간!G14/성과개선!L70)*년간!$E$213</f>
        <v>30402592.980827082</v>
      </c>
      <c r="AC70" s="4498">
        <f>(년간!H8/성과개선!$H$70-년간!H14/성과개선!M70)*년간!$E$213</f>
        <v>10928348.521921707</v>
      </c>
      <c r="AD70" s="4498">
        <f>(년간!I8/성과개선!$H$70-년간!I14/성과개선!N70)*년간!$E$213</f>
        <v>31390465.998231091</v>
      </c>
      <c r="AE70" s="4498">
        <f>(년간!J8/성과개선!$H$70-년간!J14/성과개선!O70)*년간!$E$213</f>
        <v>-9486483.6169369631</v>
      </c>
      <c r="AF70" s="4498">
        <f>(년간!K8/성과개선!$H$70-년간!K14/성과개선!P70)*년간!$E$213</f>
        <v>18030539.019309398</v>
      </c>
      <c r="AG70" s="4498">
        <f>(년간!L8/성과개선!$H$70-년간!L14/성과개선!Q70)*년간!$E$213</f>
        <v>14075743.741182659</v>
      </c>
      <c r="AH70" s="4498">
        <f>(년간!M8/성과개선!$H$70-년간!M14/성과개선!R70)*년간!$E$213</f>
        <v>18479719.613709893</v>
      </c>
      <c r="AI70" s="4498">
        <f>(년간!N8/성과개선!$H$70-년간!N14/성과개선!S70)*년간!$E$213</f>
        <v>31328771.3122596</v>
      </c>
      <c r="AJ70" s="4498">
        <f>(년간!O8/성과개선!$H$70-년간!O14/성과개선!T70)*년간!$E$213</f>
        <v>-23642295.102817044</v>
      </c>
      <c r="AK70" s="4498">
        <f>(년간!P8/성과개선!$H$70-년간!P14/성과개선!U70)*년간!$E$213</f>
        <v>1788603.8878450419</v>
      </c>
      <c r="AL70" s="4498" t="e">
        <f>(년간!Q8/성과개선!$H$70-년간!Q14/성과개선!V70)*년간!$E$213</f>
        <v>#DIV/0!</v>
      </c>
      <c r="AM70" s="6342" t="e">
        <f t="shared" si="61"/>
        <v>#DIV/0!</v>
      </c>
      <c r="AN70" s="4515">
        <f t="shared" si="8"/>
        <v>410.17687238421797</v>
      </c>
      <c r="AO70" s="4515">
        <f>AA70/년간!F8</f>
        <v>674.9875003426813</v>
      </c>
      <c r="AP70" s="4515">
        <f>AB70/년간!G8</f>
        <v>1050.8961229674183</v>
      </c>
      <c r="AQ70" s="4515">
        <f>AC70/년간!H8</f>
        <v>459.11373549547278</v>
      </c>
      <c r="AR70" s="4515">
        <f>AD70/년간!I8</f>
        <v>1210.3351602438793</v>
      </c>
      <c r="AS70" s="4515">
        <f>AE70/년간!J8</f>
        <v>-372.90135233477815</v>
      </c>
      <c r="AT70" s="4515">
        <f>AF70/년간!K8</f>
        <v>611.33526886451671</v>
      </c>
      <c r="AU70" s="4515">
        <f>AG70/년간!L8</f>
        <v>433.99102468215222</v>
      </c>
      <c r="AV70" s="4515">
        <f>AH70/년간!M8</f>
        <v>646.78555872917354</v>
      </c>
      <c r="AW70" s="4954">
        <f>AI70/년간!N8</f>
        <v>1059.0874760870981</v>
      </c>
      <c r="AX70" s="6720">
        <f>AJ70/년간!O8</f>
        <v>-771.95242435868522</v>
      </c>
      <c r="AY70" s="4805"/>
      <c r="AZ70" s="4952"/>
      <c r="BA70" s="4558" t="e">
        <f>AM70/년간!$V$8</f>
        <v>#DIV/0!</v>
      </c>
      <c r="BC70" s="3826"/>
    </row>
    <row r="71" spans="2:79" s="299" customFormat="1" ht="17.399999999999999">
      <c r="B71" s="7107"/>
      <c r="C71" s="3162" t="s">
        <v>28</v>
      </c>
      <c r="D71" s="2702" t="s">
        <v>1459</v>
      </c>
      <c r="E71" s="3017">
        <f>CRM!H6</f>
        <v>44.110170695309336</v>
      </c>
      <c r="F71" s="3017">
        <f>CRM!I6</f>
        <v>44.71</v>
      </c>
      <c r="G71" s="3017">
        <f>CRM!J6</f>
        <v>46.04272455659865</v>
      </c>
      <c r="H71" s="3017">
        <f>CRM!K6</f>
        <v>46.906486455981941</v>
      </c>
      <c r="I71" s="4393">
        <f>CRM!L6</f>
        <v>48</v>
      </c>
      <c r="J71" s="4393">
        <f>CRM!M6</f>
        <v>48</v>
      </c>
      <c r="K71" s="4781">
        <f>CRM!N6</f>
        <v>45.826335311572706</v>
      </c>
      <c r="L71" s="4444">
        <f>CRM!O6</f>
        <v>46.538706901497335</v>
      </c>
      <c r="M71" s="4444">
        <f>CRM!P6</f>
        <v>46.942721279585001</v>
      </c>
      <c r="N71" s="4444">
        <f>CRM!Q6</f>
        <v>51.131646058732613</v>
      </c>
      <c r="O71" s="4444">
        <f>CRM!R6</f>
        <v>46.019465875370919</v>
      </c>
      <c r="P71" s="4444">
        <f>CRM!S6</f>
        <v>50.388206764518188</v>
      </c>
      <c r="Q71" s="4444">
        <f>CRM!T6</f>
        <v>52.402404550061938</v>
      </c>
      <c r="R71" s="4444">
        <f>CRM!U6</f>
        <v>52.771722127461615</v>
      </c>
      <c r="S71" s="4444">
        <f>CRM!V6</f>
        <v>52.825319820568197</v>
      </c>
      <c r="T71" s="4444">
        <f>CRM!W6</f>
        <v>47.64499508879981</v>
      </c>
      <c r="U71" s="4444" t="e">
        <f>CRM!X6</f>
        <v>#DIV/0!</v>
      </c>
      <c r="V71" s="4444" t="e">
        <f>CRM!Y6</f>
        <v>#DIV/0!</v>
      </c>
      <c r="W71" s="6049">
        <f>CRM!Z6</f>
        <v>49.260056236092275</v>
      </c>
      <c r="X71" s="4458">
        <f>(년간!$D$15/성과개선!$H$71-년간!$D$15/성과개선!I71)*년간!$E$214</f>
        <v>145584733.72970402</v>
      </c>
      <c r="Y71" s="5623">
        <f>X71/10</f>
        <v>14558473.372970402</v>
      </c>
      <c r="Z71" s="4813">
        <f>X71/년간!E9</f>
        <v>546.64519055625487</v>
      </c>
      <c r="AA71" s="4495">
        <f>(년간!F9/성과개선!$H$71-년간!F9/성과개선!K71)*년간!$E$214</f>
        <v>-12810762.445024246</v>
      </c>
      <c r="AB71" s="4495">
        <f>(년간!G9/성과개선!$H$71-년간!G9/성과개선!L71)*년간!$E$214</f>
        <v>-5127642.7040531011</v>
      </c>
      <c r="AC71" s="4495">
        <f>(년간!H9/성과개선!$H$71-년간!H9/성과개선!M71)*년간!$E$214</f>
        <v>402260.92059641529</v>
      </c>
      <c r="AD71" s="4495">
        <f>(년간!I9/성과개선!$H$71-년간!I9/성과개선!N71)*년간!$E$214</f>
        <v>52476699.406786799</v>
      </c>
      <c r="AE71" s="4495">
        <f>(년간!J9/성과개선!$H$71-년간!J9/성과개선!O71)*년간!$E$214</f>
        <v>-11357037.961378811</v>
      </c>
      <c r="AF71" s="4495">
        <f>(년간!K9/성과개선!$H$71-년간!K9/성과개선!P71)*년간!$E$214</f>
        <v>43638593.81407132</v>
      </c>
      <c r="AG71" s="4495">
        <f>(년간!L9/성과개선!$H$71-년간!L9/성과개선!Q71)*년간!$E$214</f>
        <v>78062449.353455812</v>
      </c>
      <c r="AH71" s="4495">
        <f>(년간!M9/성과개선!$H$71-년간!M9/성과개선!R71)*년간!$E$214</f>
        <v>75635507.162539765</v>
      </c>
      <c r="AI71" s="4495">
        <f>(년간!N9/성과개선!$H$71-년간!N9/성과개선!S71)*년간!$E$214</f>
        <v>71237445.179704055</v>
      </c>
      <c r="AJ71" s="4495">
        <f>(년간!O9/성과개선!$H$71-년간!O9/성과개선!T71)*년간!$E$214</f>
        <v>11125448.874969235</v>
      </c>
      <c r="AK71" s="4495" t="e">
        <f>(년간!P9/성과개선!$H$71-년간!P9/성과개선!U71)*년간!$E$214</f>
        <v>#DIV/0!</v>
      </c>
      <c r="AL71" s="4495" t="e">
        <f>(년간!Q9/성과개선!$H$71-년간!Q9/성과개선!V71)*년간!$E$214</f>
        <v>#DIV/0!</v>
      </c>
      <c r="AM71" s="6342" t="e">
        <f t="shared" si="61"/>
        <v>#DIV/0!</v>
      </c>
      <c r="AN71" s="4490">
        <f t="shared" si="8"/>
        <v>546.64519055625487</v>
      </c>
      <c r="AO71" s="4490">
        <f>AA71/년간!F9</f>
        <v>-565.58583854806488</v>
      </c>
      <c r="AP71" s="4490">
        <f>AB71/년간!G9</f>
        <v>-189.62796985759533</v>
      </c>
      <c r="AQ71" s="4490">
        <f>AC71/년간!H9</f>
        <v>18.521963095048374</v>
      </c>
      <c r="AR71" s="4490">
        <f>AD71/년간!I9</f>
        <v>1982.8162525131281</v>
      </c>
      <c r="AS71" s="4490">
        <f>AE71/년간!J9</f>
        <v>-462.5101286560988</v>
      </c>
      <c r="AT71" s="4490">
        <f>AF71/년간!K9</f>
        <v>1658.0365621028154</v>
      </c>
      <c r="AU71" s="4490">
        <f>AG71/년간!L9</f>
        <v>2516.6230001504191</v>
      </c>
      <c r="AV71" s="4490">
        <f>AH71/년간!M9</f>
        <v>2666.9404931424906</v>
      </c>
      <c r="AW71" s="4557">
        <f>AI71/년간!N9</f>
        <v>2688.5808652417149</v>
      </c>
      <c r="AX71" s="6392">
        <f>AJ71/년간!O9</f>
        <v>371.93531398094854</v>
      </c>
      <c r="AY71" s="4805"/>
      <c r="AZ71" s="4952"/>
      <c r="BA71" s="4558" t="e">
        <f>AM71/년간!$V$9</f>
        <v>#DIV/0!</v>
      </c>
    </row>
    <row r="72" spans="2:79" s="299" customFormat="1" ht="17.399999999999999">
      <c r="B72" s="7107"/>
      <c r="C72" s="3162" t="s">
        <v>29</v>
      </c>
      <c r="D72" s="2702" t="s">
        <v>1459</v>
      </c>
      <c r="E72" s="3017">
        <f>CGL!H6</f>
        <v>39.166384432747506</v>
      </c>
      <c r="F72" s="3017">
        <f>CGL!I6</f>
        <v>39.29</v>
      </c>
      <c r="G72" s="3017">
        <f>CGL!J6</f>
        <v>39.056847287531163</v>
      </c>
      <c r="H72" s="3017">
        <f>CGL!K6</f>
        <v>39.078220717254119</v>
      </c>
      <c r="I72" s="4393">
        <f>CGL!L6</f>
        <v>40.049999999999997</v>
      </c>
      <c r="J72" s="4393">
        <f>CGL!M6</f>
        <v>40.049999999999997</v>
      </c>
      <c r="K72" s="4781">
        <f>CGL!N6</f>
        <v>39.686855614973261</v>
      </c>
      <c r="L72" s="4444">
        <f>CGL!O6</f>
        <v>38.205425955619923</v>
      </c>
      <c r="M72" s="4444">
        <f>CGL!P6</f>
        <v>37.873108298171587</v>
      </c>
      <c r="N72" s="4444">
        <f>CGL!Q6</f>
        <v>41.862582996637755</v>
      </c>
      <c r="O72" s="4444">
        <f>CGL!R6</f>
        <v>37.883401145893878</v>
      </c>
      <c r="P72" s="4444">
        <f>CGL!S6</f>
        <v>40.279656145063804</v>
      </c>
      <c r="Q72" s="4444">
        <f>CGL!T6</f>
        <v>41.477539495798318</v>
      </c>
      <c r="R72" s="4444">
        <f>CGL!U6</f>
        <v>39.763105821623178</v>
      </c>
      <c r="S72" s="4444">
        <f>CGL!V6</f>
        <v>42.75064637857578</v>
      </c>
      <c r="T72" s="4444">
        <f>CGL!W6</f>
        <v>36.644188552188552</v>
      </c>
      <c r="U72" s="4444">
        <f>CGL!X6</f>
        <v>26.318565789473681</v>
      </c>
      <c r="V72" s="4444" t="e">
        <f>CGL!Y6</f>
        <v>#DIV/0!</v>
      </c>
      <c r="W72" s="6049">
        <f>CGL!Z6</f>
        <v>39.517993080100446</v>
      </c>
      <c r="X72" s="4458">
        <f>(년간!$D$16/성과개선!$H$72-년간!$D$16/성과개선!I72)*년간!$E$215</f>
        <v>372059743.93755233</v>
      </c>
      <c r="Y72" s="5623">
        <f>X72/10</f>
        <v>37205974.393755235</v>
      </c>
      <c r="Z72" s="4813">
        <f>X72/년간!E10</f>
        <v>1360.2154935018182</v>
      </c>
      <c r="AA72" s="4495">
        <f>(년간!F16/성과개선!$H$72-년간!F16/성과개선!K72)*년간!$E$215</f>
        <v>21277505.583189853</v>
      </c>
      <c r="AB72" s="4495">
        <f>(년간!G16/성과개선!$H$72-년간!G16/성과개선!L72)*년간!$E$215</f>
        <v>-31498396.193020746</v>
      </c>
      <c r="AC72" s="4495">
        <f>(년간!H16/성과개선!$H$72-년간!H16/성과개선!M72)*년간!$E$215</f>
        <v>-48024313.397627249</v>
      </c>
      <c r="AD72" s="4495">
        <f>(년간!I16/성과개선!$H$72-년간!I16/성과개선!N72)*년간!$E$215</f>
        <v>92134091.163219541</v>
      </c>
      <c r="AE72" s="4495">
        <f>(년간!J16/성과개선!$H$72-년간!J16/성과개선!O72)*년간!$E$215</f>
        <v>-40311395.903552338</v>
      </c>
      <c r="AF72" s="4495">
        <f>(년간!K16/성과개선!$H$72-년간!K16/성과개선!P72)*년간!$E$215</f>
        <v>41745236.901289955</v>
      </c>
      <c r="AG72" s="4495">
        <f>(년간!L16/성과개선!$H$72-년간!L16/성과개선!Q72)*년간!$E$215</f>
        <v>99979333.459800884</v>
      </c>
      <c r="AH72" s="4495">
        <f>(년간!M16/성과개선!$H$72-년간!M16/성과개선!R72)*년간!$E$215</f>
        <v>26786202.554098718</v>
      </c>
      <c r="AI72" s="4495">
        <f>(년간!N16/성과개선!$H$72-년간!N16/성과개선!S72)*년간!$E$215</f>
        <v>141028804.36427099</v>
      </c>
      <c r="AJ72" s="4495">
        <f>(년간!O16/성과개선!$H$72-년간!O16/성과개선!T72)*년간!$E$215</f>
        <v>-101289552.3790842</v>
      </c>
      <c r="AK72" s="4495">
        <f>(년간!P16/성과개선!$H$72-년간!P16/성과개선!U72)*년간!$E$215</f>
        <v>-36265172.834318042</v>
      </c>
      <c r="AL72" s="4495" t="e">
        <f>(년간!Q16/성과개선!$H$72-년간!Q16/성과개선!V72)*년간!$E$215</f>
        <v>#DIV/0!</v>
      </c>
      <c r="AM72" s="6342" t="e">
        <f t="shared" si="61"/>
        <v>#DIV/0!</v>
      </c>
      <c r="AN72" s="4490">
        <f t="shared" si="8"/>
        <v>1360.2154935018182</v>
      </c>
      <c r="AO72" s="4490">
        <f>AA72/년간!F10</f>
        <v>860.10935273184862</v>
      </c>
      <c r="AP72" s="4490">
        <f>AB72/년간!G10</f>
        <v>-1279.3382922612641</v>
      </c>
      <c r="AQ72" s="4490">
        <f>AC72/년간!H10</f>
        <v>-1783.4486689072494</v>
      </c>
      <c r="AR72" s="4490">
        <f>AD72/년간!I10</f>
        <v>3731.0254281283878</v>
      </c>
      <c r="AS72" s="4490">
        <f>AE72/년간!J10</f>
        <v>-1767.1531278120076</v>
      </c>
      <c r="AT72" s="4490">
        <f>AF72/년간!K10</f>
        <v>1670.4663034020957</v>
      </c>
      <c r="AU72" s="4490">
        <f>AG72/년간!L10</f>
        <v>3240.9346408172764</v>
      </c>
      <c r="AV72" s="4490">
        <f>AH72/년간!M10</f>
        <v>965.93723273295552</v>
      </c>
      <c r="AW72" s="4557">
        <f>AI72/년간!N10</f>
        <v>4818.7990576310076</v>
      </c>
      <c r="AX72" s="6392">
        <f>AJ72/년간!O10</f>
        <v>-3722.7432493633087</v>
      </c>
      <c r="AY72" s="4805"/>
      <c r="AZ72" s="4952"/>
      <c r="BA72" s="4558" t="e">
        <f>AM72/년간!$V$10</f>
        <v>#DIV/0!</v>
      </c>
    </row>
    <row r="73" spans="2:79" s="299" customFormat="1" ht="17.399999999999999">
      <c r="B73" s="7107"/>
      <c r="C73" s="3162" t="s">
        <v>505</v>
      </c>
      <c r="D73" s="2702" t="s">
        <v>1459</v>
      </c>
      <c r="E73" s="3017">
        <f>'#1CCL'!H6</f>
        <v>19.959255318262262</v>
      </c>
      <c r="F73" s="3017">
        <f>'#1CCL'!I6</f>
        <v>22.3</v>
      </c>
      <c r="G73" s="3017">
        <f>'#1CCL'!J6</f>
        <v>23.635136290988044</v>
      </c>
      <c r="H73" s="3017">
        <f>'#1CCL'!K6</f>
        <v>23.126629659404287</v>
      </c>
      <c r="I73" s="4393">
        <f>'#1CCL'!L6</f>
        <v>24.5</v>
      </c>
      <c r="J73" s="4393">
        <f>'#1CCL'!M6</f>
        <v>24.5</v>
      </c>
      <c r="K73" s="4781">
        <f>'#1CCL'!N6</f>
        <v>23.168020947715178</v>
      </c>
      <c r="L73" s="4444">
        <f>'#1CCL'!O6</f>
        <v>22.388742436631237</v>
      </c>
      <c r="M73" s="4444">
        <f>'#1CCL'!P6</f>
        <v>24.288338964478129</v>
      </c>
      <c r="N73" s="4444">
        <f>'#1CCL'!Q6</f>
        <v>22.942111344849042</v>
      </c>
      <c r="O73" s="4444">
        <f>'#1CCL'!R6</f>
        <v>21.184386401095065</v>
      </c>
      <c r="P73" s="4444">
        <f>'#1CCL'!S6</f>
        <v>22.248172195547795</v>
      </c>
      <c r="Q73" s="4444">
        <f>'#1CCL'!T6</f>
        <v>23.236019956794568</v>
      </c>
      <c r="R73" s="4444">
        <f>'#1CCL'!U6</f>
        <v>22.968708951312014</v>
      </c>
      <c r="S73" s="4444">
        <f>'#1CCL'!V6</f>
        <v>22.938130764260119</v>
      </c>
      <c r="T73" s="4444">
        <f>'#1CCL'!W6</f>
        <v>22.080294609615283</v>
      </c>
      <c r="U73" s="4444">
        <f>'#1CCL'!X6</f>
        <v>21.626852304184986</v>
      </c>
      <c r="V73" s="4444">
        <f>'#1CCL'!Y6</f>
        <v>21.470551661768035</v>
      </c>
      <c r="W73" s="6049">
        <f>'#1CCL'!Z6</f>
        <v>22.529190340300048</v>
      </c>
      <c r="X73" s="4458">
        <f>(년간!$D$17/성과개선!$H$73-년간!$D$17/성과개선!I73)*년간!$E$216</f>
        <v>426148537.29105282</v>
      </c>
      <c r="Y73" s="5623">
        <f>X73/12</f>
        <v>35512378.107587732</v>
      </c>
      <c r="Z73" s="4813">
        <f>X73/년간!E11</f>
        <v>2545.9943678519107</v>
      </c>
      <c r="AA73" s="4495">
        <f>(년간!F17/성과개선!$H$73-년간!F17/성과개선!K73)*년간!$E$216</f>
        <v>1113083.8903085422</v>
      </c>
      <c r="AB73" s="4495">
        <f>(년간!G17/성과개선!$H$73-년간!G17/성과개선!L73)*년간!$E$216</f>
        <v>-17081752.906193033</v>
      </c>
      <c r="AC73" s="4495">
        <f>(년간!H17/성과개선!$H$73-년간!H17/성과개선!M73)*년간!$E$216</f>
        <v>28890869.60941292</v>
      </c>
      <c r="AD73" s="4495">
        <f>(년간!I17/성과개선!$H$73-년간!I17/성과개선!N73)*년간!$E$216</f>
        <v>-4714118.5747836977</v>
      </c>
      <c r="AE73" s="4495">
        <f>(년간!J17/성과개선!$H$73-년간!J17/성과개선!O73)*년간!$E$216</f>
        <v>-52630183.548417054</v>
      </c>
      <c r="AF73" s="4495">
        <f>(년간!K17/성과개선!$H$73-년간!K17/성과개선!P73)*년간!$E$216</f>
        <v>-24377840.881709475</v>
      </c>
      <c r="AG73" s="4495">
        <f>(년간!L17/성과개선!$H$73-년간!L17/성과개선!Q73)*년간!$E$216</f>
        <v>3220011.0863500759</v>
      </c>
      <c r="AH73" s="4495">
        <f>(년간!M17/성과개선!$H$73-년간!M17/성과개선!R73)*년간!$E$216</f>
        <v>-3876776.3314035912</v>
      </c>
      <c r="AI73" s="4495">
        <f>(년간!N17/성과개선!$H$73-년간!N17/성과개선!S73)*년간!$E$216</f>
        <v>-4859764.4513989789</v>
      </c>
      <c r="AJ73" s="4495">
        <f>(년간!O17/성과개선!$H$73-년간!O17/성과개선!T73)*년간!$E$216</f>
        <v>-29363932.201508906</v>
      </c>
      <c r="AK73" s="4495">
        <f>(년간!P17/성과개선!$H$73-년간!P17/성과개선!U73)*년간!$E$216</f>
        <v>-41830079.449330963</v>
      </c>
      <c r="AL73" s="4495">
        <f>(년간!Q17/성과개선!$H$73-년간!Q17/성과개선!V73)*년간!$E$216</f>
        <v>-44331188.666744292</v>
      </c>
      <c r="AM73" s="6342">
        <f t="shared" si="61"/>
        <v>-189841672.42541847</v>
      </c>
      <c r="AN73" s="4490">
        <f t="shared" si="8"/>
        <v>2545.9943678519107</v>
      </c>
      <c r="AO73" s="4490">
        <f>AA73/년간!F11</f>
        <v>81.162223276894153</v>
      </c>
      <c r="AP73" s="4490">
        <f>AB73/년간!G11</f>
        <v>-1497.2265502718512</v>
      </c>
      <c r="AQ73" s="4490">
        <f>AC73/년간!H11</f>
        <v>2172.3961063030615</v>
      </c>
      <c r="AR73" s="4490">
        <f>AD73/년간!I11</f>
        <v>-365.2849038058489</v>
      </c>
      <c r="AS73" s="4490">
        <f>AE73/년간!J11</f>
        <v>-4164.1236206669137</v>
      </c>
      <c r="AT73" s="4490">
        <f>AF73/년간!K11</f>
        <v>-1793.5235324587704</v>
      </c>
      <c r="AU73" s="4490">
        <f>AG73/년간!L11</f>
        <v>213.83359728299956</v>
      </c>
      <c r="AV73" s="4490">
        <f>AH73/년간!M11</f>
        <v>-312.26626656396201</v>
      </c>
      <c r="AW73" s="4557">
        <f>AI73/년간!N11</f>
        <v>-373.37252024829542</v>
      </c>
      <c r="AX73" s="6392">
        <f>AJ73/년간!O11</f>
        <v>-2152.7067763434034</v>
      </c>
      <c r="AY73" s="4805"/>
      <c r="AZ73" s="4952"/>
      <c r="BA73" s="4558">
        <f>AM73/년간!$V$11</f>
        <v>-1204.3385165876152</v>
      </c>
    </row>
    <row r="74" spans="2:79" s="299" customFormat="1" ht="18" thickBot="1">
      <c r="B74" s="7107"/>
      <c r="C74" s="3163" t="s">
        <v>443</v>
      </c>
      <c r="D74" s="1769" t="s">
        <v>1459</v>
      </c>
      <c r="E74" s="3199">
        <f>'#2CCL'!H6</f>
        <v>9.6301471114610937</v>
      </c>
      <c r="F74" s="3199">
        <f>'#2CCL'!I6</f>
        <v>9.7799999999999994</v>
      </c>
      <c r="G74" s="3199">
        <f>'#2CCL'!J6</f>
        <v>9.9899535671630861</v>
      </c>
      <c r="H74" s="3199">
        <f>'#2CCL'!K6</f>
        <v>9.3511203248380532</v>
      </c>
      <c r="I74" s="4394">
        <f>'#2CCL'!L6</f>
        <v>9.5</v>
      </c>
      <c r="J74" s="4394">
        <f>'#2CCL'!M6</f>
        <v>9.5</v>
      </c>
      <c r="K74" s="4782">
        <f>'#2CCL'!N6</f>
        <v>9.7591442025092441</v>
      </c>
      <c r="L74" s="4445">
        <f>'#2CCL'!O6</f>
        <v>10.472311819054873</v>
      </c>
      <c r="M74" s="4445">
        <f>'#2CCL'!P6</f>
        <v>9.9624877818067148</v>
      </c>
      <c r="N74" s="4445">
        <f>'#2CCL'!Q6</f>
        <v>9.7368752672843897</v>
      </c>
      <c r="O74" s="4445">
        <f>'#2CCL'!R6</f>
        <v>9.1052445314558934</v>
      </c>
      <c r="P74" s="4445">
        <f>'#2CCL'!S6</f>
        <v>9.7512711078122098</v>
      </c>
      <c r="Q74" s="4445">
        <f>'#2CCL'!T6</f>
        <v>9.6621640872887404</v>
      </c>
      <c r="R74" s="4445">
        <f>'#2CCL'!U6</f>
        <v>10.378213148529689</v>
      </c>
      <c r="S74" s="4445">
        <f>'#2CCL'!V6</f>
        <v>8.9028814479638001</v>
      </c>
      <c r="T74" s="4445">
        <f>'#2CCL'!W6</f>
        <v>8.7014542119743208</v>
      </c>
      <c r="U74" s="4445">
        <f>'#2CCL'!X6</f>
        <v>9.1654691183404058</v>
      </c>
      <c r="V74" s="4445">
        <f>'#2CCL'!Y6</f>
        <v>8.7790909946363058</v>
      </c>
      <c r="W74" s="6050">
        <f>'#2CCL'!Z6</f>
        <v>9.5212979035692769</v>
      </c>
      <c r="X74" s="4458">
        <f>(년간!$D$18/성과개선!$H$74-년간!$D$18/성과개선!I74)*년간!$E$217</f>
        <v>116304956.93343122</v>
      </c>
      <c r="Y74" s="5623">
        <f>X74/12</f>
        <v>9692079.7444526013</v>
      </c>
      <c r="Z74" s="4814">
        <f>X74/년간!E12</f>
        <v>2181.9179974004055</v>
      </c>
      <c r="AA74" s="4495">
        <f>(년간!F18/성과개선!$H$74-년간!F18/성과개선!K74)*년간!$E$217</f>
        <v>29982446.976952035</v>
      </c>
      <c r="AB74" s="4495">
        <f>(년간!G18/성과개선!$H$74-년간!G18/성과개선!L74)*년간!$E$217</f>
        <v>78657604.100983247</v>
      </c>
      <c r="AC74" s="4495">
        <f>(년간!H18/성과개선!$H$74-년간!H18/성과개선!M74)*년간!$E$217</f>
        <v>35980229.229228139</v>
      </c>
      <c r="AD74" s="4495">
        <f>(년간!I18/성과개선!$H$74-년간!I18/성과개선!N74)*년간!$E$217</f>
        <v>25147585.082905196</v>
      </c>
      <c r="AE74" s="4495">
        <f>(년간!J18/성과개선!$H$74-년간!J18/성과개선!O74)*년간!$E$217</f>
        <v>-15154061.377782851</v>
      </c>
      <c r="AF74" s="4495">
        <f>(년간!K18/성과개선!$H$74-년간!K18/성과개선!P74)*년간!$E$217</f>
        <v>30059394.307427596</v>
      </c>
      <c r="AG74" s="4495">
        <f>(년간!L18/성과개선!$H$74-년간!L18/성과개선!Q74)*년간!$E$217</f>
        <v>22310445.129262205</v>
      </c>
      <c r="AH74" s="4495">
        <f>(년간!M18/성과개선!$H$74-년간!M18/성과개선!R74)*년간!$E$217</f>
        <v>63583861.438013792</v>
      </c>
      <c r="AI74" s="4495">
        <f>(년간!N18/성과개선!$H$74-년간!N18/성과개선!S74)*년간!$E$217</f>
        <v>-28721139.306133408</v>
      </c>
      <c r="AJ74" s="4495">
        <f>(년간!O18/성과개선!$H$74-년간!O18/성과개선!T74)*년간!$E$217</f>
        <v>-46059882.891632475</v>
      </c>
      <c r="AK74" s="4495">
        <f>(년간!P18/성과개선!$H$74-년간!P18/성과개선!U74)*년간!$E$217</f>
        <v>-13718174.942483636</v>
      </c>
      <c r="AL74" s="4495">
        <f>(년간!Q18/성과개선!$H$74-년간!Q18/성과개선!V74)*년간!$E$217</f>
        <v>-42345664.194401264</v>
      </c>
      <c r="AM74" s="6342">
        <f t="shared" si="61"/>
        <v>139722643.55233857</v>
      </c>
      <c r="AN74" s="4516">
        <f t="shared" ref="AN74:AN104" si="66">Z74</f>
        <v>2181.9179974004055</v>
      </c>
      <c r="AO74" s="4516">
        <f>AA74/년간!F12</f>
        <v>5825.4427454971201</v>
      </c>
      <c r="AP74" s="4516">
        <f>AB74/년간!G12</f>
        <v>14924.01235945145</v>
      </c>
      <c r="AQ74" s="4516">
        <f>AC74/년간!H12</f>
        <v>8540.6843587378262</v>
      </c>
      <c r="AR74" s="4516">
        <f>AD74/년간!I12</f>
        <v>5522.5577152610267</v>
      </c>
      <c r="AS74" s="4516">
        <f>AE74/년간!J12</f>
        <v>-3759.6226444233193</v>
      </c>
      <c r="AT74" s="4516">
        <f>AF74/년간!K12</f>
        <v>5720.1946936660979</v>
      </c>
      <c r="AU74" s="4516">
        <f>AG74/년간!L12</f>
        <v>4485.6296100459622</v>
      </c>
      <c r="AV74" s="4516">
        <f>AH74/년간!M12</f>
        <v>13770.370906392673</v>
      </c>
      <c r="AW74" s="6383">
        <f>AI74/년간!N12</f>
        <v>-7006.8050909868807</v>
      </c>
      <c r="AX74" s="6721">
        <f>AJ74/년간!O12</f>
        <v>-10402.242809568568</v>
      </c>
      <c r="AY74" s="4805"/>
      <c r="AZ74" s="4952"/>
      <c r="BA74" s="4558">
        <f>AM74/년간!$V$12</f>
        <v>2490.0519397745065</v>
      </c>
    </row>
    <row r="75" spans="2:79" s="299" customFormat="1" ht="18" thickBot="1">
      <c r="B75" s="7115"/>
      <c r="C75" s="2462" t="s">
        <v>1460</v>
      </c>
      <c r="D75" s="1972" t="s">
        <v>1459</v>
      </c>
      <c r="E75" s="3200">
        <f t="shared" ref="E75:O75" si="67">(E70+E71+E72+E73+E74)/5</f>
        <v>33.385600034281786</v>
      </c>
      <c r="F75" s="3200">
        <f t="shared" si="67"/>
        <v>34.823999999999998</v>
      </c>
      <c r="G75" s="3200">
        <f t="shared" si="67"/>
        <v>35.786287515744547</v>
      </c>
      <c r="H75" s="3200">
        <f t="shared" si="67"/>
        <v>35.431363833866214</v>
      </c>
      <c r="I75" s="4395">
        <f t="shared" si="67"/>
        <v>36.410000000000004</v>
      </c>
      <c r="J75" s="4395">
        <f t="shared" si="67"/>
        <v>36.410000000000004</v>
      </c>
      <c r="K75" s="4783">
        <f t="shared" si="67"/>
        <v>35.86289204337217</v>
      </c>
      <c r="L75" s="4446">
        <f t="shared" si="67"/>
        <v>35.952977261414752</v>
      </c>
      <c r="M75" s="4446">
        <f t="shared" si="67"/>
        <v>35.845247018809971</v>
      </c>
      <c r="N75" s="4446">
        <f t="shared" si="67"/>
        <v>37.678947849341149</v>
      </c>
      <c r="O75" s="4446">
        <f t="shared" si="67"/>
        <v>34.349657961803871</v>
      </c>
      <c r="P75" s="4446">
        <f>(P70+P71+P72+P73+P74)/5</f>
        <v>36.665793616097247</v>
      </c>
      <c r="Q75" s="4446">
        <f>(Q70+Q71+Q72+Q73+Q74)/5</f>
        <v>37.369798175482153</v>
      </c>
      <c r="R75" s="4446">
        <f t="shared" ref="R75:W75" si="68">(R70+R71+R72+R73+R74)/5</f>
        <v>37.330181842468747</v>
      </c>
      <c r="S75" s="4446">
        <f t="shared" si="68"/>
        <v>37.921059312266571</v>
      </c>
      <c r="T75" s="4446">
        <f t="shared" si="68"/>
        <v>34.291248904298349</v>
      </c>
      <c r="U75" s="4446" t="e">
        <f t="shared" si="68"/>
        <v>#DIV/0!</v>
      </c>
      <c r="V75" s="4446" t="e">
        <f t="shared" si="68"/>
        <v>#DIV/0!</v>
      </c>
      <c r="W75" s="4446">
        <f t="shared" si="68"/>
        <v>36.224426786039395</v>
      </c>
      <c r="X75" s="3563">
        <f>SUM(X70:X74)</f>
        <v>1173547972.6707463</v>
      </c>
      <c r="Y75" s="5622">
        <f>SUM(Y70:Y74)</f>
        <v>108313905.69666657</v>
      </c>
      <c r="Z75" s="5636">
        <f>X75/년간!E13</f>
        <v>1131.5384752390223</v>
      </c>
      <c r="AA75" s="4494">
        <f t="shared" ref="AA75:AF75" si="69">SUM(AA70:AA74)</f>
        <v>57277908.19104515</v>
      </c>
      <c r="AB75" s="4494">
        <f t="shared" si="69"/>
        <v>55352405.27854345</v>
      </c>
      <c r="AC75" s="4494">
        <f t="shared" si="69"/>
        <v>28177394.883531932</v>
      </c>
      <c r="AD75" s="4494">
        <f t="shared" si="69"/>
        <v>196434723.07635894</v>
      </c>
      <c r="AE75" s="4494">
        <f t="shared" si="69"/>
        <v>-128939162.40806802</v>
      </c>
      <c r="AF75" s="4494">
        <f t="shared" si="69"/>
        <v>109095923.1603888</v>
      </c>
      <c r="AG75" s="4494">
        <f>SUM(AG70:AG74)</f>
        <v>217647982.77005166</v>
      </c>
      <c r="AH75" s="4494">
        <f>SUM(AH70:AH74)</f>
        <v>180608514.43695855</v>
      </c>
      <c r="AI75" s="4494">
        <f>SUM(AI70:AI74)</f>
        <v>210014117.09870225</v>
      </c>
      <c r="AJ75" s="4494">
        <f>SUM(AJ70:AJ74)</f>
        <v>-189230213.70007339</v>
      </c>
      <c r="AK75" s="4494" t="e">
        <f t="shared" ref="AK75:AL75" si="70">SUM(AK70:AK74)</f>
        <v>#DIV/0!</v>
      </c>
      <c r="AL75" s="4494" t="e">
        <f t="shared" si="70"/>
        <v>#DIV/0!</v>
      </c>
      <c r="AM75" s="6343" t="e">
        <f t="shared" si="61"/>
        <v>#DIV/0!</v>
      </c>
      <c r="AN75" s="6340">
        <f t="shared" si="66"/>
        <v>1131.5384752390223</v>
      </c>
      <c r="AO75" s="4517">
        <f>AA75/년간!F13</f>
        <v>619.25035310932924</v>
      </c>
      <c r="AP75" s="4517">
        <f>AB75/년간!G13</f>
        <v>569.05340643640261</v>
      </c>
      <c r="AQ75" s="4517">
        <f>AC75/년간!H13</f>
        <v>313.21840145639271</v>
      </c>
      <c r="AR75" s="4517">
        <f>AD75/년간!I13</f>
        <v>2077.4858205072028</v>
      </c>
      <c r="AS75" s="4517">
        <f>AE75/년간!J13</f>
        <v>-1441.046363459646</v>
      </c>
      <c r="AT75" s="4517">
        <f>AF75/년간!K13</f>
        <v>1094.7863858515479</v>
      </c>
      <c r="AU75" s="4517">
        <f>AG75/년간!L13</f>
        <v>1903.629557427186</v>
      </c>
      <c r="AV75" s="4517">
        <f>AH75/년간!M13</f>
        <v>1775.9781238617563</v>
      </c>
      <c r="AW75" s="6384">
        <f>AI75/년간!N13</f>
        <v>2049.7484136985067</v>
      </c>
      <c r="AX75" s="6418">
        <f>AJ75/년간!O13</f>
        <v>-1788.3015977499251</v>
      </c>
      <c r="AY75" s="4794"/>
      <c r="AZ75" s="6395"/>
      <c r="BA75" s="6401" t="e">
        <f>AM75/년간!$V$13</f>
        <v>#DIV/0!</v>
      </c>
    </row>
    <row r="76" spans="2:79" s="299" customFormat="1" ht="17.399999999999999">
      <c r="B76" s="7118" t="s">
        <v>1328</v>
      </c>
      <c r="C76" s="3160" t="s">
        <v>39</v>
      </c>
      <c r="D76" s="1223" t="s">
        <v>457</v>
      </c>
      <c r="E76" s="2879">
        <f>종합!F82</f>
        <v>3.7</v>
      </c>
      <c r="F76" s="2879">
        <f>종합!G82</f>
        <v>3.48</v>
      </c>
      <c r="G76" s="2879">
        <f>종합!H82</f>
        <v>6</v>
      </c>
      <c r="H76" s="1268">
        <f>종합!I82</f>
        <v>7.1107920973624523</v>
      </c>
      <c r="I76" s="3564">
        <f>종합!J82</f>
        <v>6.6</v>
      </c>
      <c r="J76" s="3564">
        <f>종합!K82</f>
        <v>6.6</v>
      </c>
      <c r="K76" s="4784">
        <f>종합!L82</f>
        <v>7.740673103996933</v>
      </c>
      <c r="L76" s="4447">
        <f>종합!M82</f>
        <v>6.6424620707248083</v>
      </c>
      <c r="M76" s="4447">
        <f>종합!N82</f>
        <v>6.7953151474973463</v>
      </c>
      <c r="N76" s="4447">
        <f>종합!O82</f>
        <v>5.8767885085558067</v>
      </c>
      <c r="O76" s="4447">
        <f>종합!P82</f>
        <v>6.1396442593686382</v>
      </c>
      <c r="P76" s="4447">
        <f>종합!Q82</f>
        <v>5.4748537109564506</v>
      </c>
      <c r="Q76" s="4447">
        <f>종합!R82</f>
        <v>5.4884445546922871</v>
      </c>
      <c r="R76" s="4447">
        <f>종합!S82</f>
        <v>5.4210803795430582</v>
      </c>
      <c r="S76" s="4447">
        <f>종합!T82</f>
        <v>5.3893528997677356</v>
      </c>
      <c r="T76" s="4447">
        <f>종합!U82</f>
        <v>6.2621957352149931</v>
      </c>
      <c r="U76" s="4447">
        <f>종합!V82</f>
        <v>17.681900268328771</v>
      </c>
      <c r="V76" s="4447">
        <f>종합!W82</f>
        <v>0</v>
      </c>
      <c r="W76" s="6051">
        <f>종합!X82</f>
        <v>7.1738827853315295</v>
      </c>
      <c r="X76" s="4419">
        <f>종합!AK82*1000</f>
        <v>85381942.271291628</v>
      </c>
      <c r="Y76" s="5628">
        <f>X76/10</f>
        <v>8538194.2271291632</v>
      </c>
      <c r="Z76" s="4500">
        <f>X76/년간!E8</f>
        <v>308.69720404099826</v>
      </c>
      <c r="AA76" s="4492">
        <f>종합!Y82*1000</f>
        <v>-9990978.2306764796</v>
      </c>
      <c r="AB76" s="4492">
        <f>종합!Z82*1000</f>
        <v>8188255.1143837078</v>
      </c>
      <c r="AC76" s="4492">
        <f>종합!AA82*1000</f>
        <v>4538270.840366452</v>
      </c>
      <c r="AD76" s="4492">
        <f>종합!AB82*1000</f>
        <v>19341807.756323621</v>
      </c>
      <c r="AE76" s="4492">
        <f>종합!AC82*1000</f>
        <v>14930872.152994724</v>
      </c>
      <c r="AF76" s="4492">
        <f>종합!AD82*1000</f>
        <v>29159812.552829687</v>
      </c>
      <c r="AG76" s="4492">
        <f>종합!AE82*1000</f>
        <v>31799700.182598289</v>
      </c>
      <c r="AH76" s="4492">
        <f>종합!AF82*1000</f>
        <v>29176702.376787584</v>
      </c>
      <c r="AI76" s="4492">
        <f>종합!AG82*1000</f>
        <v>30774552.344902087</v>
      </c>
      <c r="AJ76" s="4492">
        <f>종합!AH82*1000</f>
        <v>15706838.94250039</v>
      </c>
      <c r="AK76" s="4492">
        <f>종합!AI82*1000</f>
        <v>-4168465.8451036182</v>
      </c>
      <c r="AL76" s="4492">
        <f>종합!AJ82*1000</f>
        <v>0</v>
      </c>
      <c r="AM76" s="6342">
        <f t="shared" si="61"/>
        <v>169457368.18790644</v>
      </c>
      <c r="AN76" s="4506">
        <f t="shared" si="66"/>
        <v>308.69720404099826</v>
      </c>
      <c r="AO76" s="4506">
        <f>AA76/년간!F8</f>
        <v>-380.66858635954839</v>
      </c>
      <c r="AP76" s="4506">
        <f>AB76/년간!G8</f>
        <v>283.03525159846015</v>
      </c>
      <c r="AQ76" s="4506">
        <f>AC76/년간!H8</f>
        <v>190.65849465097682</v>
      </c>
      <c r="AR76" s="4506">
        <f>AD76/년간!I8</f>
        <v>745.77006889529628</v>
      </c>
      <c r="AS76" s="4506">
        <f>AE76/년간!J8</f>
        <v>586.9131958915616</v>
      </c>
      <c r="AT76" s="4506">
        <f>AF76/년간!K8</f>
        <v>988.67936382446715</v>
      </c>
      <c r="AU76" s="4506">
        <f>AG76/년간!L8</f>
        <v>980.46573741271436</v>
      </c>
      <c r="AV76" s="4506">
        <f>AH76/년간!M8</f>
        <v>1021.1772766641509</v>
      </c>
      <c r="AW76" s="4507">
        <f>AI76/년간!N8</f>
        <v>1040.351779066367</v>
      </c>
      <c r="AX76" s="6708">
        <f>AJ76/년간!O8</f>
        <v>512.84921146381703</v>
      </c>
      <c r="AY76" s="4799"/>
      <c r="AZ76" s="5835"/>
      <c r="BA76" s="4558">
        <f>AM76/년간!$V$8</f>
        <v>601.52530240296494</v>
      </c>
    </row>
    <row r="77" spans="2:79" s="299" customFormat="1" ht="18" thickBot="1">
      <c r="B77" s="7118"/>
      <c r="C77" s="2985" t="s">
        <v>29</v>
      </c>
      <c r="D77" s="2702" t="s">
        <v>457</v>
      </c>
      <c r="E77" s="2878">
        <f>종합!F83</f>
        <v>19.101947616711083</v>
      </c>
      <c r="F77" s="2878">
        <f>종합!G83</f>
        <v>20.55</v>
      </c>
      <c r="G77" s="2878">
        <f>종합!H83</f>
        <v>20.22</v>
      </c>
      <c r="H77" s="2224">
        <f>종합!I83</f>
        <v>19.778588486790369</v>
      </c>
      <c r="I77" s="4368">
        <f>종합!J83</f>
        <v>19</v>
      </c>
      <c r="J77" s="4368">
        <f>종합!K83</f>
        <v>19</v>
      </c>
      <c r="K77" s="4785">
        <f>종합!L83</f>
        <v>19.843488637383409</v>
      </c>
      <c r="L77" s="4448">
        <f>종합!M83</f>
        <v>18.508702989539355</v>
      </c>
      <c r="M77" s="4448">
        <f>종합!N83</f>
        <v>20.58138472610813</v>
      </c>
      <c r="N77" s="4448">
        <f>종합!O83</f>
        <v>18.97166279798688</v>
      </c>
      <c r="O77" s="4448">
        <f>종합!P83</f>
        <v>19.389789969879214</v>
      </c>
      <c r="P77" s="4448">
        <f>종합!Q83</f>
        <v>21.213221038512344</v>
      </c>
      <c r="Q77" s="4448">
        <f>종합!R83</f>
        <v>19.295262200427114</v>
      </c>
      <c r="R77" s="4448">
        <f>종합!S83</f>
        <v>20.093297017502927</v>
      </c>
      <c r="S77" s="4448">
        <f>종합!T83</f>
        <v>18.665752306913255</v>
      </c>
      <c r="T77" s="4448">
        <f>종합!U83</f>
        <v>21.003877124305038</v>
      </c>
      <c r="U77" s="4448">
        <f>종합!V83</f>
        <v>41.579363377163709</v>
      </c>
      <c r="V77" s="4448">
        <f>종합!W83</f>
        <v>0</v>
      </c>
      <c r="W77" s="5951">
        <f>종합!X83</f>
        <v>21.740527471429214</v>
      </c>
      <c r="X77" s="4416">
        <f>종합!AK83*1000</f>
        <v>128706793.06830597</v>
      </c>
      <c r="Y77" s="3929">
        <f>X77/10</f>
        <v>12870679.306830596</v>
      </c>
      <c r="Z77" s="4492">
        <f>X77/년간!E10</f>
        <v>470.53995199175949</v>
      </c>
      <c r="AA77" s="4492">
        <f>종합!Y83*1000</f>
        <v>-970289.37103457784</v>
      </c>
      <c r="AB77" s="4492">
        <f>종합!Z83*1000</f>
        <v>18895401.829496298</v>
      </c>
      <c r="AC77" s="4492">
        <f>종합!AA83*1000</f>
        <v>-13064548.524555327</v>
      </c>
      <c r="AD77" s="4492">
        <f>종합!AB83*1000</f>
        <v>12042432.352082623</v>
      </c>
      <c r="AE77" s="4492">
        <f>종합!AC83*1000</f>
        <v>5360024.5579605103</v>
      </c>
      <c r="AF77" s="4492">
        <f>종합!AD83*1000</f>
        <v>-21666981.757434115</v>
      </c>
      <c r="AG77" s="4492">
        <f>종합!AE83*1000</f>
        <v>9010915.2737976238</v>
      </c>
      <c r="AH77" s="4492">
        <f>종합!AF83*1000</f>
        <v>-5274232.6612064298</v>
      </c>
      <c r="AI77" s="4492">
        <f>종합!AG83*1000</f>
        <v>19682885.697172619</v>
      </c>
      <c r="AJ77" s="4492">
        <f>종합!AH83*1000</f>
        <v>-20147840.2973231</v>
      </c>
      <c r="AK77" s="4492">
        <f>종합!AI83*1000</f>
        <v>-17568917.731957741</v>
      </c>
      <c r="AL77" s="4492">
        <f>종합!AJ83*1000</f>
        <v>0</v>
      </c>
      <c r="AM77" s="6342">
        <f t="shared" si="61"/>
        <v>-13701150.633001618</v>
      </c>
      <c r="AN77" s="4487">
        <f t="shared" si="66"/>
        <v>470.53995199175949</v>
      </c>
      <c r="AO77" s="4487">
        <f>AA77/년간!F10</f>
        <v>-39.222406010903725</v>
      </c>
      <c r="AP77" s="4487">
        <f>AB77/년간!G10</f>
        <v>767.45530026365043</v>
      </c>
      <c r="AQ77" s="4487">
        <f>AC77/년간!H10</f>
        <v>-485.16990723168891</v>
      </c>
      <c r="AR77" s="4487">
        <f>AD77/년간!I10</f>
        <v>487.66554002838836</v>
      </c>
      <c r="AS77" s="4487">
        <f>AE77/년간!J10</f>
        <v>234.97038369525663</v>
      </c>
      <c r="AT77" s="4487">
        <f>AF77/년간!K10</f>
        <v>-867.02018263317586</v>
      </c>
      <c r="AU77" s="4487">
        <f>AG77/년간!L10</f>
        <v>292.09824116363308</v>
      </c>
      <c r="AV77" s="4487">
        <f>AH77/년간!M10</f>
        <v>-190.19410053613436</v>
      </c>
      <c r="AW77" s="4480">
        <f>AI77/년간!N10</f>
        <v>672.54254530873368</v>
      </c>
      <c r="AX77" s="4492">
        <f>AJ77/년간!O10</f>
        <v>-740.50318808199052</v>
      </c>
      <c r="AY77" s="4799"/>
      <c r="AZ77" s="5835"/>
      <c r="BA77" s="4558">
        <f>AM77/년간!$V$10</f>
        <v>-51.669241840262572</v>
      </c>
    </row>
    <row r="78" spans="2:79" s="299" customFormat="1" ht="17.399999999999999">
      <c r="B78" s="7118"/>
      <c r="C78" s="2985" t="s">
        <v>505</v>
      </c>
      <c r="D78" s="2702" t="s">
        <v>457</v>
      </c>
      <c r="E78" s="2878">
        <f>종합!F84</f>
        <v>36.084247210762676</v>
      </c>
      <c r="F78" s="2878">
        <f>종합!G84</f>
        <v>27.81</v>
      </c>
      <c r="G78" s="2878">
        <f>종합!H84</f>
        <v>24.83</v>
      </c>
      <c r="H78" s="2224">
        <f>종합!I84</f>
        <v>23.751775128874105</v>
      </c>
      <c r="I78" s="4368">
        <f>종합!J84</f>
        <v>22.220362270190495</v>
      </c>
      <c r="J78" s="4368">
        <f>종합!K84</f>
        <v>22.220362270190495</v>
      </c>
      <c r="K78" s="4785">
        <f>종합!L84</f>
        <v>24.794174843648715</v>
      </c>
      <c r="L78" s="4448">
        <f>종합!M84</f>
        <v>23.919946918773277</v>
      </c>
      <c r="M78" s="4448">
        <f>종합!N84</f>
        <v>25.361378381060945</v>
      </c>
      <c r="N78" s="4448">
        <f>종합!O84</f>
        <v>24.434419293748626</v>
      </c>
      <c r="O78" s="4448">
        <f>종합!P84</f>
        <v>24.606458855231576</v>
      </c>
      <c r="P78" s="4448">
        <f>종합!Q84</f>
        <v>27.007353509194648</v>
      </c>
      <c r="Q78" s="4448">
        <f>종합!R84</f>
        <v>24.345402493875547</v>
      </c>
      <c r="R78" s="4448">
        <f>종합!S84</f>
        <v>24.659262164950864</v>
      </c>
      <c r="S78" s="4448">
        <f>종합!T84</f>
        <v>25.014482331555502</v>
      </c>
      <c r="T78" s="4448">
        <f>종합!U84</f>
        <v>25.385195671410152</v>
      </c>
      <c r="U78" s="4448">
        <f>종합!V84</f>
        <v>27.327959762217596</v>
      </c>
      <c r="V78" s="4448">
        <f>종합!W84</f>
        <v>29.321112945134619</v>
      </c>
      <c r="W78" s="5951">
        <f>종합!X84</f>
        <v>25.514762264233507</v>
      </c>
      <c r="X78" s="4416">
        <f>종합!AK84*1000</f>
        <v>154911756.86852363</v>
      </c>
      <c r="Y78" s="3929">
        <f>X78/12</f>
        <v>12909313.072376968</v>
      </c>
      <c r="Z78" s="4492">
        <f>X78/년간!E11</f>
        <v>925.50936114543924</v>
      </c>
      <c r="AA78" s="4492">
        <f>종합!Y84*1000</f>
        <v>-8639662.3982189931</v>
      </c>
      <c r="AB78" s="4492">
        <f>종합!Z84*1000</f>
        <v>-1159542.2791389863</v>
      </c>
      <c r="AC78" s="4492">
        <f>종합!AA84*1000</f>
        <v>-12936862.605978834</v>
      </c>
      <c r="AD78" s="4492">
        <f>종합!AB84*1000</f>
        <v>-5324167.2113662688</v>
      </c>
      <c r="AE78" s="4492">
        <f>종합!AC84*1000</f>
        <v>-6528377.0884144586</v>
      </c>
      <c r="AF78" s="4492">
        <f>종합!AD84*1000</f>
        <v>-26742674.656361341</v>
      </c>
      <c r="AG78" s="4492">
        <f>종합!AE84*1000</f>
        <v>-5402364.2668276019</v>
      </c>
      <c r="AH78" s="4492">
        <f>종합!AF84*1000</f>
        <v>-6808863.5427971557</v>
      </c>
      <c r="AI78" s="4492">
        <f>종합!AG84*1000</f>
        <v>-9932625.3103998732</v>
      </c>
      <c r="AJ78" s="4492">
        <f>종합!AH84*1000</f>
        <v>-13465295.058707142</v>
      </c>
      <c r="AK78" s="4492">
        <f>종합!AI84*1000</f>
        <v>-28703897.52292224</v>
      </c>
      <c r="AL78" s="4492">
        <f>종합!AJ84*1000</f>
        <v>-42617794.130881749</v>
      </c>
      <c r="AM78" s="6342">
        <f t="shared" si="61"/>
        <v>-168262126.07201466</v>
      </c>
      <c r="AN78" s="4487">
        <f t="shared" si="66"/>
        <v>925.50936114543924</v>
      </c>
      <c r="AO78" s="4487">
        <f>AA78/년간!F11</f>
        <v>-629.97426762403597</v>
      </c>
      <c r="AP78" s="4487">
        <f>AB78/년간!G11</f>
        <v>-101.63462122556508</v>
      </c>
      <c r="AQ78" s="4487">
        <f>AC78/년간!H11</f>
        <v>-972.76372545911704</v>
      </c>
      <c r="AR78" s="4487">
        <f>AD78/년간!I11</f>
        <v>-412.55600104191672</v>
      </c>
      <c r="AS78" s="4487">
        <f>AE78/년간!J11</f>
        <v>-516.52811002413796</v>
      </c>
      <c r="AT78" s="4487">
        <f>AF78/년간!K11</f>
        <v>-1967.5087941467202</v>
      </c>
      <c r="AU78" s="4487">
        <f>AG78/년간!L11</f>
        <v>-358.75869803862156</v>
      </c>
      <c r="AV78" s="4487">
        <f>AH78/년간!M11</f>
        <v>-548.43979025298938</v>
      </c>
      <c r="AW78" s="4480">
        <f>AI78/년간!N11</f>
        <v>-763.11709794050284</v>
      </c>
      <c r="AX78" s="4492">
        <f>AJ78/년간!O11</f>
        <v>-987.15770488166027</v>
      </c>
      <c r="AY78" s="4799"/>
      <c r="AZ78" s="5835"/>
      <c r="BA78" s="4558">
        <f>AM78/년간!$V$11</f>
        <v>-1067.4398129897415</v>
      </c>
      <c r="BW78" s="7141" t="s">
        <v>1439</v>
      </c>
      <c r="BX78" s="7142"/>
      <c r="BY78" s="3128" t="s">
        <v>1440</v>
      </c>
      <c r="BZ78" s="3128" t="s">
        <v>1441</v>
      </c>
      <c r="CA78" s="3129" t="s">
        <v>1442</v>
      </c>
    </row>
    <row r="79" spans="2:79" s="299" customFormat="1" ht="18" thickBot="1">
      <c r="B79" s="7118"/>
      <c r="C79" s="3014" t="s">
        <v>443</v>
      </c>
      <c r="D79" s="1769" t="s">
        <v>457</v>
      </c>
      <c r="E79" s="1655">
        <f>종합!F85</f>
        <v>42.62</v>
      </c>
      <c r="F79" s="1655">
        <f>종합!G85</f>
        <v>48.67</v>
      </c>
      <c r="G79" s="1655">
        <f>종합!H85</f>
        <v>52.269771847106512</v>
      </c>
      <c r="H79" s="1272">
        <f>종합!I85</f>
        <v>61.248628266089717</v>
      </c>
      <c r="I79" s="3565">
        <f>종합!J85</f>
        <v>60.71</v>
      </c>
      <c r="J79" s="3565">
        <f>종합!K85</f>
        <v>60.71</v>
      </c>
      <c r="K79" s="4786">
        <f>종합!L85</f>
        <v>58.191442854894575</v>
      </c>
      <c r="L79" s="4449">
        <f>종합!M85</f>
        <v>56.771319352476212</v>
      </c>
      <c r="M79" s="4449">
        <f>종합!N85</f>
        <v>67.732361201707945</v>
      </c>
      <c r="N79" s="4449">
        <f>종합!O85</f>
        <v>62.560980855335757</v>
      </c>
      <c r="O79" s="4449">
        <f>종합!P85</f>
        <v>58.778670298930237</v>
      </c>
      <c r="P79" s="4449">
        <f>종합!Q85</f>
        <v>57.711249392034134</v>
      </c>
      <c r="Q79" s="4449">
        <f>종합!R85</f>
        <v>56.51194483893088</v>
      </c>
      <c r="R79" s="4449">
        <f>종합!S85</f>
        <v>49.374302845774942</v>
      </c>
      <c r="S79" s="4449">
        <f>종합!T85</f>
        <v>64.418829532739196</v>
      </c>
      <c r="T79" s="4449">
        <f>종합!U85</f>
        <v>66.926858525424876</v>
      </c>
      <c r="U79" s="4449">
        <f>종합!V85</f>
        <v>67.253001284554259</v>
      </c>
      <c r="V79" s="4449">
        <f>종합!W85</f>
        <v>75.824576639013472</v>
      </c>
      <c r="W79" s="6052">
        <f>종합!X85</f>
        <v>61.837961468484707</v>
      </c>
      <c r="X79" s="4420">
        <f>종합!AK85*1000</f>
        <v>17351517.686153814</v>
      </c>
      <c r="Y79" s="5629">
        <f>X79/12</f>
        <v>1445959.8071794845</v>
      </c>
      <c r="Z79" s="4492">
        <f>X79/년간!E12</f>
        <v>325.51999261132022</v>
      </c>
      <c r="AA79" s="4492">
        <f>종합!Y85*1000</f>
        <v>9509297.6408569049</v>
      </c>
      <c r="AB79" s="4492">
        <f>종합!Z85*1000</f>
        <v>13875527.404275237</v>
      </c>
      <c r="AC79" s="4492">
        <f>종합!AA85*1000</f>
        <v>-16061041.275109274</v>
      </c>
      <c r="AD79" s="4492">
        <f>종합!AB85*1000</f>
        <v>-3513855.3651896389</v>
      </c>
      <c r="AE79" s="4492">
        <f>종합!AC85*1000</f>
        <v>5853985.9254104616</v>
      </c>
      <c r="AF79" s="4492">
        <f>종합!AD85*1000</f>
        <v>10930205.278948193</v>
      </c>
      <c r="AG79" s="4492">
        <f>종합!AE85*1000</f>
        <v>13852766.418847337</v>
      </c>
      <c r="AH79" s="4492">
        <f>종합!AF85*1000</f>
        <v>32239443.279241621</v>
      </c>
      <c r="AI79" s="4492">
        <f>종합!AG85*1000</f>
        <v>-7640922.3780358396</v>
      </c>
      <c r="AJ79" s="4492">
        <f>종합!AH85*1000</f>
        <v>-14783803.054014519</v>
      </c>
      <c r="AK79" s="4492">
        <f>종합!AI85*1000</f>
        <v>-17158541.381692402</v>
      </c>
      <c r="AL79" s="4492">
        <f>종합!AJ85*1000</f>
        <v>-41091839.508046433</v>
      </c>
      <c r="AM79" s="6342">
        <f t="shared" si="61"/>
        <v>-13988777.014508359</v>
      </c>
      <c r="AN79" s="4487">
        <f t="shared" si="66"/>
        <v>325.51999261132022</v>
      </c>
      <c r="AO79" s="4487">
        <f>AA79/년간!F12</f>
        <v>1847.6100032557845</v>
      </c>
      <c r="AP79" s="4487">
        <f>AB79/년간!G12</f>
        <v>2632.6576412047411</v>
      </c>
      <c r="AQ79" s="4487">
        <f>AC79/년간!H12</f>
        <v>-3812.4349661435181</v>
      </c>
      <c r="AR79" s="4487">
        <f>AD79/년간!I12</f>
        <v>-771.66332247667106</v>
      </c>
      <c r="AS79" s="4487">
        <f>AE79/년간!J12</f>
        <v>1452.3352846897744</v>
      </c>
      <c r="AT79" s="4487">
        <f>AF79/년간!K12</f>
        <v>2079.9787779446833</v>
      </c>
      <c r="AU79" s="4487">
        <f>AG79/년간!L12</f>
        <v>2785.1698551693962</v>
      </c>
      <c r="AV79" s="4487">
        <f>AH79/년간!M12</f>
        <v>6982.1033471450883</v>
      </c>
      <c r="AW79" s="4480">
        <f>AI79/년간!N12</f>
        <v>-1864.0783447898932</v>
      </c>
      <c r="AX79" s="4492">
        <f>AJ79/년간!O12</f>
        <v>-3338.7993924890734</v>
      </c>
      <c r="AY79" s="4492"/>
      <c r="AZ79" s="6337"/>
      <c r="BA79" s="4558">
        <f>AM79/년간!$V$12</f>
        <v>-249.29947254398741</v>
      </c>
    </row>
    <row r="80" spans="2:79" s="299" customFormat="1" ht="18" thickBot="1">
      <c r="B80" s="7118"/>
      <c r="C80" s="3793" t="s">
        <v>16</v>
      </c>
      <c r="D80" s="3011" t="s">
        <v>457</v>
      </c>
      <c r="E80" s="3827">
        <f t="shared" ref="E80:O80" si="71">(E76+E77+E78+E79)/4</f>
        <v>25.376548706868441</v>
      </c>
      <c r="F80" s="3827">
        <f t="shared" si="71"/>
        <v>25.127500000000001</v>
      </c>
      <c r="G80" s="3827">
        <f t="shared" si="71"/>
        <v>25.829942961776627</v>
      </c>
      <c r="H80" s="3828">
        <f t="shared" si="71"/>
        <v>27.972445994779161</v>
      </c>
      <c r="I80" s="4369">
        <f t="shared" si="71"/>
        <v>27.132590567547624</v>
      </c>
      <c r="J80" s="4369">
        <f t="shared" si="71"/>
        <v>27.132590567547624</v>
      </c>
      <c r="K80" s="4369">
        <f t="shared" si="71"/>
        <v>27.642444859980909</v>
      </c>
      <c r="L80" s="4450">
        <f t="shared" si="71"/>
        <v>26.460607832878413</v>
      </c>
      <c r="M80" s="4450">
        <f t="shared" si="71"/>
        <v>30.117609864093591</v>
      </c>
      <c r="N80" s="4450">
        <f t="shared" si="71"/>
        <v>27.960962863906765</v>
      </c>
      <c r="O80" s="4450">
        <f t="shared" si="71"/>
        <v>27.228640845852418</v>
      </c>
      <c r="P80" s="4450">
        <f>(P76+P77+P78+P79)/4</f>
        <v>27.851669412674394</v>
      </c>
      <c r="Q80" s="4450">
        <f>(Q76+Q77+Q78+Q79)/4</f>
        <v>26.410263521981456</v>
      </c>
      <c r="R80" s="4450">
        <f t="shared" ref="R80:W80" si="72">(R76+R77+R78+R79)/4</f>
        <v>24.886985601942946</v>
      </c>
      <c r="S80" s="4450">
        <f t="shared" si="72"/>
        <v>28.372104267743921</v>
      </c>
      <c r="T80" s="4450">
        <f t="shared" si="72"/>
        <v>29.894531764088764</v>
      </c>
      <c r="U80" s="4450">
        <f t="shared" si="72"/>
        <v>38.460556173066081</v>
      </c>
      <c r="V80" s="4450">
        <f t="shared" si="72"/>
        <v>26.286422396037022</v>
      </c>
      <c r="W80" s="4450">
        <f t="shared" si="72"/>
        <v>29.066783497369741</v>
      </c>
      <c r="X80" s="4421">
        <f>SUM(X76:X79)</f>
        <v>386352009.89427501</v>
      </c>
      <c r="Y80" s="3012">
        <f>SUM(Y76:Y79)</f>
        <v>35764146.413516209</v>
      </c>
      <c r="Z80" s="4809">
        <f>X80/(년간!E8+년간!E10+년간!E11+년간!E12)</f>
        <v>501.23379271755266</v>
      </c>
      <c r="AA80" s="4499">
        <f t="shared" ref="AA80:AF80" si="73">SUM(AA76:AA79)</f>
        <v>-10091632.359073145</v>
      </c>
      <c r="AB80" s="4499">
        <f t="shared" si="73"/>
        <v>39799642.069016255</v>
      </c>
      <c r="AC80" s="4499">
        <f t="shared" si="73"/>
        <v>-37524181.565276988</v>
      </c>
      <c r="AD80" s="4499">
        <f t="shared" si="73"/>
        <v>22546217.531850338</v>
      </c>
      <c r="AE80" s="4499">
        <f t="shared" si="73"/>
        <v>19616505.547951236</v>
      </c>
      <c r="AF80" s="4499">
        <f t="shared" si="73"/>
        <v>-8319638.5820175763</v>
      </c>
      <c r="AG80" s="4499">
        <f>SUM(AG76:AG79)</f>
        <v>49261017.608415648</v>
      </c>
      <c r="AH80" s="4499">
        <f>SUM(AH76:AH79)</f>
        <v>49333049.452025622</v>
      </c>
      <c r="AI80" s="4499">
        <f>SUM(AI76:AI79)</f>
        <v>32883890.353638995</v>
      </c>
      <c r="AJ80" s="4499">
        <f>SUM(AJ76:AJ79)</f>
        <v>-32690099.467544369</v>
      </c>
      <c r="AK80" s="4499">
        <f t="shared" ref="AK80:AL80" si="74">SUM(AK76:AK79)</f>
        <v>-67599822.481676012</v>
      </c>
      <c r="AL80" s="4499">
        <f t="shared" si="74"/>
        <v>-83709633.638928175</v>
      </c>
      <c r="AM80" s="6343">
        <f t="shared" si="61"/>
        <v>-26494685.531618178</v>
      </c>
      <c r="AN80" s="4512">
        <f t="shared" si="66"/>
        <v>501.23379271755266</v>
      </c>
      <c r="AO80" s="4512">
        <f>AA80/년간!F13</f>
        <v>-109.10396519652561</v>
      </c>
      <c r="AP80" s="4512">
        <f>AB80/년간!G13</f>
        <v>409.1623802137189</v>
      </c>
      <c r="AQ80" s="4512">
        <f>AC80/년간!H13</f>
        <v>-417.11677798519992</v>
      </c>
      <c r="AR80" s="4512">
        <f>AD80/년간!I13</f>
        <v>238.44790012141769</v>
      </c>
      <c r="AS80" s="4512">
        <f>AE80/년간!J13</f>
        <v>219.23745629894279</v>
      </c>
      <c r="AT80" s="4512">
        <f>AF80/년간!K13</f>
        <v>-83.488244023633584</v>
      </c>
      <c r="AU80" s="4512">
        <f>AG80/년간!L13</f>
        <v>430.85503460602024</v>
      </c>
      <c r="AV80" s="4512">
        <f>AH80/년간!M13</f>
        <v>485.10678958477092</v>
      </c>
      <c r="AW80" s="6382">
        <f>AI80/년간!N13</f>
        <v>320.94843441847684</v>
      </c>
      <c r="AX80" s="4809">
        <f>AJ80/년간!O13</f>
        <v>-308.93458272509946</v>
      </c>
      <c r="AY80" s="4794"/>
      <c r="AZ80" s="6395"/>
      <c r="BA80" s="6401">
        <f>AM80/년간!$V$13</f>
        <v>-25.844335242284735</v>
      </c>
    </row>
    <row r="81" spans="2:73" s="299" customFormat="1" ht="17.399999999999999">
      <c r="B81" s="7119" t="s">
        <v>454</v>
      </c>
      <c r="C81" s="2877" t="s">
        <v>39</v>
      </c>
      <c r="D81" s="1225" t="s">
        <v>456</v>
      </c>
      <c r="E81" s="1004">
        <f>종합!F87</f>
        <v>14.92</v>
      </c>
      <c r="F81" s="1004">
        <f>종합!G87</f>
        <v>14.55</v>
      </c>
      <c r="G81" s="1004">
        <f>종합!H87</f>
        <v>13.6</v>
      </c>
      <c r="H81" s="1005">
        <f>종합!I87</f>
        <v>13.953402383827582</v>
      </c>
      <c r="I81" s="4370">
        <f>종합!J87</f>
        <v>13.674334336151031</v>
      </c>
      <c r="J81" s="4370">
        <f>종합!K87</f>
        <v>13.674334336151031</v>
      </c>
      <c r="K81" s="4787">
        <f>종합!L87</f>
        <v>18.337987334516225</v>
      </c>
      <c r="L81" s="4441">
        <f>종합!M87</f>
        <v>14.568369124112346</v>
      </c>
      <c r="M81" s="4441">
        <f>종합!N87</f>
        <v>14.951002262726682</v>
      </c>
      <c r="N81" s="4441">
        <f>종합!O87</f>
        <v>12.019155322754465</v>
      </c>
      <c r="O81" s="4441">
        <f>종합!P87</f>
        <v>13.580370177903321</v>
      </c>
      <c r="P81" s="4441">
        <f>종합!Q87</f>
        <v>13.304061545346972</v>
      </c>
      <c r="Q81" s="4441">
        <f>종합!R87</f>
        <v>11.636357245617617</v>
      </c>
      <c r="R81" s="4441">
        <f>종합!S87</f>
        <v>13.853810875983182</v>
      </c>
      <c r="S81" s="4441">
        <f>종합!T87</f>
        <v>12.851220601394616</v>
      </c>
      <c r="T81" s="4441">
        <f>종합!U87</f>
        <v>16.99141293643158</v>
      </c>
      <c r="U81" s="4441">
        <f>종합!V87</f>
        <v>140.3074423737126</v>
      </c>
      <c r="V81" s="4441">
        <f>종합!W87</f>
        <v>0</v>
      </c>
      <c r="W81" s="6053">
        <f>종합!X87</f>
        <v>25.672835436409059</v>
      </c>
      <c r="X81" s="4418">
        <f>종합!AK87*1000</f>
        <v>7828292.6769786775</v>
      </c>
      <c r="Y81" s="5627">
        <f>X81/10</f>
        <v>782829.2676978677</v>
      </c>
      <c r="Z81" s="4810">
        <f>X81/년간!E8</f>
        <v>28.303081395355829</v>
      </c>
      <c r="AA81" s="4492">
        <f>종합!Y87*1000</f>
        <v>-11671134.352173071</v>
      </c>
      <c r="AB81" s="4492">
        <f>종합!Z87*1000</f>
        <v>-1804371.9615030526</v>
      </c>
      <c r="AC81" s="4492">
        <f>종합!AA87*1000</f>
        <v>-2408320.2917474471</v>
      </c>
      <c r="AD81" s="4492">
        <f>종합!AB87*1000</f>
        <v>5087772.2833521394</v>
      </c>
      <c r="AE81" s="4492">
        <f>종합!AC87*1000</f>
        <v>962456.7825089423</v>
      </c>
      <c r="AF81" s="4492">
        <f>종합!AD87*1000</f>
        <v>1942341.467510368</v>
      </c>
      <c r="AG81" s="4492">
        <f>종합!AE87*1000</f>
        <v>7621644.7848369768</v>
      </c>
      <c r="AH81" s="4492">
        <f>종합!AF87*1000</f>
        <v>288589.79986178724</v>
      </c>
      <c r="AI81" s="4492">
        <f>종합!AG87*1000</f>
        <v>3306651.0379348164</v>
      </c>
      <c r="AJ81" s="4492">
        <f>종합!AH87*1000</f>
        <v>-9436522.5638351683</v>
      </c>
      <c r="AK81" s="4492">
        <f>종합!AI87*1000</f>
        <v>-8361418.1485579098</v>
      </c>
      <c r="AL81" s="4492">
        <f>종합!AJ87*1000</f>
        <v>0</v>
      </c>
      <c r="AM81" s="6342">
        <f t="shared" si="61"/>
        <v>-14472311.16181162</v>
      </c>
      <c r="AN81" s="4513">
        <f t="shared" si="66"/>
        <v>28.303081395355829</v>
      </c>
      <c r="AO81" s="4513">
        <f>AA81/년간!F8</f>
        <v>-444.68460569884223</v>
      </c>
      <c r="AP81" s="4513">
        <f>AB81/년간!G8</f>
        <v>-62.369926799680769</v>
      </c>
      <c r="AQ81" s="4513">
        <f>AC81/년간!H8</f>
        <v>-101.17657971794675</v>
      </c>
      <c r="AR81" s="4513">
        <f>AD81/년간!I8</f>
        <v>196.17133693403559</v>
      </c>
      <c r="AS81" s="4513">
        <f>AE81/년간!J8</f>
        <v>37.832926324838553</v>
      </c>
      <c r="AT81" s="4513">
        <f>AF81/년간!K8</f>
        <v>65.85614783870345</v>
      </c>
      <c r="AU81" s="4513">
        <f>AG81/년간!L8</f>
        <v>234.9947179172546</v>
      </c>
      <c r="AV81" s="4513">
        <f>AH81/년간!M8</f>
        <v>10.100570725579011</v>
      </c>
      <c r="AW81" s="4505">
        <f>AI81/년간!N8</f>
        <v>111.78327637435144</v>
      </c>
      <c r="AX81" s="4497">
        <f>AJ81/년간!O8</f>
        <v>-308.1150302450975</v>
      </c>
      <c r="AY81" s="4799"/>
      <c r="AZ81" s="5835"/>
      <c r="BA81" s="4558">
        <f>AM81/년간!$V$8</f>
        <v>-51.372574950091888</v>
      </c>
    </row>
    <row r="82" spans="2:73" s="299" customFormat="1" ht="17.399999999999999">
      <c r="B82" s="7118"/>
      <c r="C82" s="3795" t="s">
        <v>42</v>
      </c>
      <c r="D82" s="3803" t="s">
        <v>456</v>
      </c>
      <c r="E82" s="1655">
        <f>종합!F88</f>
        <v>78.94</v>
      </c>
      <c r="F82" s="1655">
        <f>종합!G88</f>
        <v>77.63</v>
      </c>
      <c r="G82" s="1655">
        <f>종합!H88</f>
        <v>77.150000000000006</v>
      </c>
      <c r="H82" s="1272">
        <f>종합!I88</f>
        <v>76.986409573006</v>
      </c>
      <c r="I82" s="3565">
        <f>종합!J88</f>
        <v>75.599999999999994</v>
      </c>
      <c r="J82" s="3565">
        <f>종합!K88</f>
        <v>75.599999999999994</v>
      </c>
      <c r="K82" s="4786">
        <f>종합!L88</f>
        <v>79.119246963523423</v>
      </c>
      <c r="L82" s="4449">
        <f>종합!M88</f>
        <v>78.904765770211327</v>
      </c>
      <c r="M82" s="4449">
        <f>종합!N88</f>
        <v>87.163773911562046</v>
      </c>
      <c r="N82" s="4449">
        <f>종합!O88</f>
        <v>74.561565253796033</v>
      </c>
      <c r="O82" s="4449">
        <f>종합!P88</f>
        <v>83.524562190849849</v>
      </c>
      <c r="P82" s="4449">
        <f>종합!Q88</f>
        <v>73.667790804059663</v>
      </c>
      <c r="Q82" s="4449">
        <f>종합!R88</f>
        <v>71.601674214257002</v>
      </c>
      <c r="R82" s="4449">
        <f>종합!S88</f>
        <v>72.925056812486062</v>
      </c>
      <c r="S82" s="4449">
        <f>종합!T88</f>
        <v>74.183103395569546</v>
      </c>
      <c r="T82" s="4449">
        <f>종합!U88</f>
        <v>71.914617661577736</v>
      </c>
      <c r="U82" s="4449">
        <f>종합!V88</f>
        <v>0</v>
      </c>
      <c r="V82" s="4449">
        <f>종합!W88</f>
        <v>0</v>
      </c>
      <c r="W82" s="6052">
        <f>종합!X88</f>
        <v>76.756615697789272</v>
      </c>
      <c r="X82" s="4422">
        <f>종합!AK88*1000</f>
        <v>37447726.795357324</v>
      </c>
      <c r="Y82" s="5630">
        <f>X82/10</f>
        <v>3744772.6795357326</v>
      </c>
      <c r="Z82" s="3834">
        <f>X82/년간!E9</f>
        <v>140.6096588942691</v>
      </c>
      <c r="AA82" s="4492">
        <f>종합!Y88*1000</f>
        <v>-4899568.152831479</v>
      </c>
      <c r="AB82" s="4492">
        <f>종합!Z88*1000</f>
        <v>-5446705.6859017462</v>
      </c>
      <c r="AC82" s="4492">
        <f>종합!AA88*1000</f>
        <v>-23208413.2951626</v>
      </c>
      <c r="AD82" s="4492">
        <f>종합!AB88*1000</f>
        <v>6738406.4257322401</v>
      </c>
      <c r="AE82" s="4492">
        <f>종합!AC88*1000</f>
        <v>-16857306.472096823</v>
      </c>
      <c r="AF82" s="4492">
        <f>종합!AD88*1000</f>
        <v>9171139.6950764824</v>
      </c>
      <c r="AG82" s="4492">
        <f>종합!AE88*1000</f>
        <v>17537903.482521273</v>
      </c>
      <c r="AH82" s="4492">
        <f>종합!AF88*1000</f>
        <v>12094068.106418332</v>
      </c>
      <c r="AI82" s="4492">
        <f>종합!AG88*1000</f>
        <v>7799110.3542669993</v>
      </c>
      <c r="AJ82" s="4492">
        <f>종합!AH88*1000</f>
        <v>15929452.641021958</v>
      </c>
      <c r="AK82" s="4492">
        <f>종합!AI88*1000</f>
        <v>0</v>
      </c>
      <c r="AL82" s="4492">
        <f>종합!AJ88*1000</f>
        <v>0</v>
      </c>
      <c r="AM82" s="6342">
        <f t="shared" si="61"/>
        <v>18858087.099044628</v>
      </c>
      <c r="AN82" s="4488">
        <f t="shared" si="66"/>
        <v>140.6096588942691</v>
      </c>
      <c r="AO82" s="4488">
        <f>AA82/년간!F9</f>
        <v>-216.31236814627709</v>
      </c>
      <c r="AP82" s="4488">
        <f>AB82/년간!G9</f>
        <v>-201.42740070655933</v>
      </c>
      <c r="AQ82" s="4488">
        <f>AC82/년간!H9</f>
        <v>-1068.6232555483848</v>
      </c>
      <c r="AR82" s="4488">
        <f>AD82/년간!I9</f>
        <v>254.60865351704655</v>
      </c>
      <c r="AS82" s="4488">
        <f>AE82/년간!J9</f>
        <v>-686.50602487360413</v>
      </c>
      <c r="AT82" s="4488">
        <f>AF82/년간!K9</f>
        <v>348.45497073936536</v>
      </c>
      <c r="AU82" s="4488">
        <f>AG82/년간!L9</f>
        <v>565.39721266864478</v>
      </c>
      <c r="AV82" s="4488">
        <f>AH82/년간!M9</f>
        <v>426.44203985459347</v>
      </c>
      <c r="AW82" s="4480">
        <f>AI82/년간!N9</f>
        <v>294.34714863082769</v>
      </c>
      <c r="AX82" s="4492">
        <f>AJ82/년간!O9</f>
        <v>532.53815069996767</v>
      </c>
      <c r="AY82" s="4799"/>
      <c r="AZ82" s="5835"/>
      <c r="BA82" s="4558">
        <f>AM82/년간!$V$9</f>
        <v>71.287096412988575</v>
      </c>
    </row>
    <row r="83" spans="2:73" s="299" customFormat="1" ht="17.399999999999999">
      <c r="B83" s="7118"/>
      <c r="C83" s="3795" t="s">
        <v>29</v>
      </c>
      <c r="D83" s="3803" t="s">
        <v>456</v>
      </c>
      <c r="E83" s="1655">
        <f>종합!F89</f>
        <v>81.21731478694231</v>
      </c>
      <c r="F83" s="1655">
        <f>종합!G89</f>
        <v>85.08</v>
      </c>
      <c r="G83" s="1655">
        <f>종합!H89</f>
        <v>82.8</v>
      </c>
      <c r="H83" s="1272">
        <f>종합!I89</f>
        <v>82.462816674231007</v>
      </c>
      <c r="I83" s="3565">
        <f>종합!J89</f>
        <v>81.225874424117535</v>
      </c>
      <c r="J83" s="3565">
        <f>종합!K89</f>
        <v>81.225874424117535</v>
      </c>
      <c r="K83" s="4786">
        <f>종합!L89</f>
        <v>79.290355297528436</v>
      </c>
      <c r="L83" s="4449">
        <f>종합!M89</f>
        <v>78.765102545199298</v>
      </c>
      <c r="M83" s="4449">
        <f>종합!N89</f>
        <v>78.709590987448664</v>
      </c>
      <c r="N83" s="4449">
        <f>종합!O89</f>
        <v>76.58236562344598</v>
      </c>
      <c r="O83" s="4449">
        <f>종합!P89</f>
        <v>82.539588602059794</v>
      </c>
      <c r="P83" s="4449">
        <f>종합!Q89</f>
        <v>74.823900757777963</v>
      </c>
      <c r="Q83" s="4449">
        <f>종합!R89</f>
        <v>69.994703218135356</v>
      </c>
      <c r="R83" s="4449">
        <f>종합!S89</f>
        <v>74.467009414445101</v>
      </c>
      <c r="S83" s="4449">
        <f>종합!T89</f>
        <v>64.833699111404613</v>
      </c>
      <c r="T83" s="4449">
        <f>종합!U89</f>
        <v>71.735139925999434</v>
      </c>
      <c r="U83" s="4449">
        <f>종합!V89</f>
        <v>349.79191570291516</v>
      </c>
      <c r="V83" s="4449">
        <f>종합!W89</f>
        <v>0</v>
      </c>
      <c r="W83" s="6052">
        <f>종합!X89</f>
        <v>100.13939738057816</v>
      </c>
      <c r="X83" s="4422">
        <f>종합!AK89*1000</f>
        <v>34314525.32277023</v>
      </c>
      <c r="Y83" s="5630">
        <f>X83/10</f>
        <v>3431452.532277023</v>
      </c>
      <c r="Z83" s="3834">
        <f>X83/년간!E10</f>
        <v>125.45068300650836</v>
      </c>
      <c r="AA83" s="4492">
        <f>종합!Y89*1000</f>
        <v>7959522.0951737706</v>
      </c>
      <c r="AB83" s="4492">
        <f>종합!Z89*1000</f>
        <v>9233364.5195545908</v>
      </c>
      <c r="AC83" s="4492">
        <f>종합!AA89*1000</f>
        <v>10250117.328931699</v>
      </c>
      <c r="AD83" s="4492">
        <f>종합!AB89*1000</f>
        <v>14727410.519334652</v>
      </c>
      <c r="AE83" s="4492">
        <f>종합!AC89*1000</f>
        <v>-177615.02692551466</v>
      </c>
      <c r="AF83" s="4492">
        <f>종합!AD89*1000</f>
        <v>19360855.62324911</v>
      </c>
      <c r="AG83" s="4492">
        <f>종합!AE89*1000</f>
        <v>39008954.980874203</v>
      </c>
      <c r="AH83" s="4492">
        <f>종합!AF89*1000</f>
        <v>22487861.87400211</v>
      </c>
      <c r="AI83" s="4492">
        <f>종합!AG89*1000</f>
        <v>52326680.810029969</v>
      </c>
      <c r="AJ83" s="4492">
        <f>종합!AH89*1000</f>
        <v>29602667.830022521</v>
      </c>
      <c r="AK83" s="4492">
        <f>종합!AI89*1000</f>
        <v>-36153836.792074963</v>
      </c>
      <c r="AL83" s="4492">
        <f>종합!AJ89*1000</f>
        <v>0</v>
      </c>
      <c r="AM83" s="6342">
        <f t="shared" si="61"/>
        <v>168625983.76217216</v>
      </c>
      <c r="AN83" s="4488">
        <f t="shared" si="66"/>
        <v>125.45068300650836</v>
      </c>
      <c r="AO83" s="4488">
        <f>AA83/년간!F10</f>
        <v>321.75103282517483</v>
      </c>
      <c r="AP83" s="4488">
        <f>AB83/년간!G10</f>
        <v>375.02216696639596</v>
      </c>
      <c r="AQ83" s="4488">
        <f>AC83/년간!H10</f>
        <v>380.65214915346525</v>
      </c>
      <c r="AR83" s="4488">
        <f>AD83/년간!I10</f>
        <v>596.39534557061745</v>
      </c>
      <c r="AS83" s="4488">
        <f>AE83/년간!J10</f>
        <v>-7.7862089203955831</v>
      </c>
      <c r="AT83" s="4488">
        <f>AF83/년간!K10</f>
        <v>774.73885224666776</v>
      </c>
      <c r="AU83" s="4488">
        <f>AG83/년간!L10</f>
        <v>1264.5160667172208</v>
      </c>
      <c r="AV83" s="4488">
        <f>AH83/년간!M10</f>
        <v>810.93477228748657</v>
      </c>
      <c r="AW83" s="4480">
        <f>AI83/년간!N10</f>
        <v>1787.9451032218528</v>
      </c>
      <c r="AX83" s="4492">
        <f>AJ83/년간!O10</f>
        <v>1088.0009758056462</v>
      </c>
      <c r="AY83" s="4799"/>
      <c r="AZ83" s="5835"/>
      <c r="BA83" s="4558">
        <f>AM83/년간!$V$10</f>
        <v>635.91569561855749</v>
      </c>
    </row>
    <row r="84" spans="2:73" s="299" customFormat="1" ht="18" thickBot="1">
      <c r="B84" s="7118"/>
      <c r="C84" s="3795" t="s">
        <v>505</v>
      </c>
      <c r="D84" s="3803" t="s">
        <v>456</v>
      </c>
      <c r="E84" s="1655">
        <f>종합!F90</f>
        <v>79.070682134390594</v>
      </c>
      <c r="F84" s="1655">
        <f>종합!G90</f>
        <v>72.349999999999994</v>
      </c>
      <c r="G84" s="1655">
        <f>종합!H90</f>
        <v>65.83</v>
      </c>
      <c r="H84" s="1272">
        <f>종합!I90</f>
        <v>67.750527960591967</v>
      </c>
      <c r="I84" s="3565">
        <f>종합!J90</f>
        <v>63.356954989929271</v>
      </c>
      <c r="J84" s="3565">
        <f>종합!K90</f>
        <v>63.356954989929271</v>
      </c>
      <c r="K84" s="4786">
        <f>종합!L90</f>
        <v>63.412496115856392</v>
      </c>
      <c r="L84" s="4449">
        <f>종합!M90</f>
        <v>72.355967566665313</v>
      </c>
      <c r="M84" s="4449">
        <f>종합!N90</f>
        <v>58.194672112657422</v>
      </c>
      <c r="N84" s="4449">
        <f>종합!O90</f>
        <v>59.030926780583513</v>
      </c>
      <c r="O84" s="4449">
        <f>종합!P90</f>
        <v>56.592481753638232</v>
      </c>
      <c r="P84" s="4449">
        <f>종합!Q90</f>
        <v>63.324271730373781</v>
      </c>
      <c r="Q84" s="4449">
        <f>종합!R90</f>
        <v>53.561811310430194</v>
      </c>
      <c r="R84" s="4449">
        <f>종합!S90</f>
        <v>60.199259442431199</v>
      </c>
      <c r="S84" s="4449">
        <f>종합!T90</f>
        <v>57.911399054691742</v>
      </c>
      <c r="T84" s="4449">
        <f>종합!U90</f>
        <v>56.2657646693971</v>
      </c>
      <c r="U84" s="4449">
        <f>종합!V90</f>
        <v>52.788360107069849</v>
      </c>
      <c r="V84" s="4449">
        <f>종합!W90</f>
        <v>60.293634841534761</v>
      </c>
      <c r="W84" s="6052">
        <f>종합!X90</f>
        <v>59.494253790444112</v>
      </c>
      <c r="X84" s="4423">
        <f>종합!AK90*1000</f>
        <v>74583887.049190134</v>
      </c>
      <c r="Y84" s="5631">
        <f>X84/12</f>
        <v>6215323.9207658442</v>
      </c>
      <c r="Z84" s="3834">
        <f>X84/년간!E11</f>
        <v>445.59617068461068</v>
      </c>
      <c r="AA84" s="4492">
        <f>종합!Y90*1000</f>
        <v>6033791.5720397318</v>
      </c>
      <c r="AB84" s="4492">
        <f>종합!Z90*1000</f>
        <v>-5517029.4989164304</v>
      </c>
      <c r="AC84" s="4492">
        <f>종합!AA90*1000</f>
        <v>13343829.595965682</v>
      </c>
      <c r="AD84" s="4492">
        <f>종합!AB90*1000</f>
        <v>11815570.567540603</v>
      </c>
      <c r="AE84" s="4492">
        <f>종합!AC90*1000</f>
        <v>14807738.124033496</v>
      </c>
      <c r="AF84" s="4492">
        <f>종합!AD90*1000</f>
        <v>6317045.5550538125</v>
      </c>
      <c r="AG84" s="4492">
        <f>종합!AE90*1000</f>
        <v>22434368.017875928</v>
      </c>
      <c r="AH84" s="4492">
        <f>종합!AF90*1000</f>
        <v>9843621.0720655899</v>
      </c>
      <c r="AI84" s="4492">
        <f>종합!AG90*1000</f>
        <v>13446796.057920802</v>
      </c>
      <c r="AJ84" s="4492">
        <f>종합!AH90*1000</f>
        <v>16449044.758717712</v>
      </c>
      <c r="AK84" s="4492">
        <f>종합!AI90*1000</f>
        <v>20864896.433957089</v>
      </c>
      <c r="AL84" s="4492">
        <f>종합!AJ90*1000</f>
        <v>9575917.6760965958</v>
      </c>
      <c r="AM84" s="6342">
        <f t="shared" si="61"/>
        <v>139415589.93235061</v>
      </c>
      <c r="AN84" s="4488">
        <f t="shared" si="66"/>
        <v>445.59617068461068</v>
      </c>
      <c r="AO84" s="4488">
        <f>AA84/년간!F11</f>
        <v>439.96318969308203</v>
      </c>
      <c r="AP84" s="4488">
        <f>AB84/년간!G11</f>
        <v>-483.57115863770139</v>
      </c>
      <c r="AQ84" s="4488">
        <f>AC84/년간!H11</f>
        <v>1003.3648640331272</v>
      </c>
      <c r="AR84" s="4488">
        <f>AD84/년간!I11</f>
        <v>915.55812390088761</v>
      </c>
      <c r="AS84" s="4488">
        <f>AE84/년간!J11</f>
        <v>1171.5948517301422</v>
      </c>
      <c r="AT84" s="4488">
        <f>AF84/년간!K11</f>
        <v>464.75690417290957</v>
      </c>
      <c r="AU84" s="4488">
        <f>AG84/년간!L11</f>
        <v>1489.8152482669861</v>
      </c>
      <c r="AV84" s="4488">
        <f>AH84/년간!M11</f>
        <v>792.88319440688065</v>
      </c>
      <c r="AW84" s="4480">
        <f>AI84/년간!N11</f>
        <v>1033.1085351195236</v>
      </c>
      <c r="AX84" s="4492">
        <f>AJ84/년간!O11</f>
        <v>1205.9001455754612</v>
      </c>
      <c r="AY84" s="4799"/>
      <c r="AZ84" s="5835"/>
      <c r="BA84" s="4558">
        <f>AM84/년간!$V$11</f>
        <v>884.43997897393842</v>
      </c>
      <c r="BC84" s="1707"/>
      <c r="BE84" s="300" t="s">
        <v>1685</v>
      </c>
    </row>
    <row r="85" spans="2:73" s="299" customFormat="1" ht="35.4" thickBot="1">
      <c r="B85" s="7118"/>
      <c r="C85" s="3796" t="s">
        <v>443</v>
      </c>
      <c r="D85" s="3413" t="s">
        <v>456</v>
      </c>
      <c r="E85" s="1655">
        <f>종합!F91</f>
        <v>114.7</v>
      </c>
      <c r="F85" s="1655">
        <f>종합!G91</f>
        <v>144.24</v>
      </c>
      <c r="G85" s="1655">
        <f>종합!H91</f>
        <v>126.50420240387075</v>
      </c>
      <c r="H85" s="1272">
        <f>종합!I91</f>
        <v>130.19365474477331</v>
      </c>
      <c r="I85" s="3565">
        <f>종합!J91</f>
        <v>130</v>
      </c>
      <c r="J85" s="3565">
        <f>종합!K91</f>
        <v>130</v>
      </c>
      <c r="K85" s="4786">
        <f>종합!L91</f>
        <v>113.92732245798852</v>
      </c>
      <c r="L85" s="4449">
        <f>종합!M91</f>
        <v>106.17750742808138</v>
      </c>
      <c r="M85" s="4449">
        <f>종합!N91</f>
        <v>132.57977347154056</v>
      </c>
      <c r="N85" s="4449">
        <f>종합!O91</f>
        <v>126.94010820421239</v>
      </c>
      <c r="O85" s="4449">
        <f>종합!P91</f>
        <v>137.60971930712475</v>
      </c>
      <c r="P85" s="4449">
        <f>종합!Q91</f>
        <v>113.0160838522082</v>
      </c>
      <c r="Q85" s="4449">
        <f>종합!R91</f>
        <v>122.16150357073923</v>
      </c>
      <c r="R85" s="4449">
        <f>종합!S91</f>
        <v>116.3436882774871</v>
      </c>
      <c r="S85" s="4449">
        <f>종합!T91</f>
        <v>141.42895218021533</v>
      </c>
      <c r="T85" s="4449">
        <f>종합!U91</f>
        <v>134.54320408412491</v>
      </c>
      <c r="U85" s="4449">
        <f>종합!V91</f>
        <v>112.54000265432336</v>
      </c>
      <c r="V85" s="4449">
        <f>종합!W91</f>
        <v>121.62397074239458</v>
      </c>
      <c r="W85" s="6052">
        <f>종합!X91</f>
        <v>123.24098635253669</v>
      </c>
      <c r="X85" s="4422">
        <f>종합!AK91*1000</f>
        <v>1046915.304511525</v>
      </c>
      <c r="Y85" s="5630">
        <f>X85/12</f>
        <v>87242.942042627081</v>
      </c>
      <c r="Z85" s="3834">
        <f>X85/년간!E12</f>
        <v>19.640464214909294</v>
      </c>
      <c r="AA85" s="4500">
        <f>종합!Y91*1000</f>
        <v>8490854.1724759471</v>
      </c>
      <c r="AB85" s="4500">
        <f>종합!Z91*1000</f>
        <v>13290696.833244335</v>
      </c>
      <c r="AC85" s="4500">
        <f>종합!AA91*1000</f>
        <v>-1055486.3042429977</v>
      </c>
      <c r="AD85" s="5255">
        <f>종합!AB91*1000</f>
        <v>1555615.7998139521</v>
      </c>
      <c r="AE85" s="5430">
        <f>종합!AC91*1000</f>
        <v>-3138683.9477755055</v>
      </c>
      <c r="AF85" s="5579">
        <f>종합!AD91*1000</f>
        <v>9478082.0334473681</v>
      </c>
      <c r="AG85" s="5720">
        <f>종합!AE91*1000</f>
        <v>4194749.1834531957</v>
      </c>
      <c r="AH85" s="5990">
        <f>종합!AF91*1000</f>
        <v>6714895.8622941347</v>
      </c>
      <c r="AI85" s="6103">
        <f>종합!AG91*1000</f>
        <v>-4835657.129445144</v>
      </c>
      <c r="AJ85" s="6708">
        <f>종합!AH91*1000</f>
        <v>-2022224.6655164559</v>
      </c>
      <c r="AK85" s="7026">
        <f>종합!AI91*1000</f>
        <v>9008640.1254219152</v>
      </c>
      <c r="AL85" s="7026">
        <f>종합!AJ91*1000</f>
        <v>4054325.8432557881</v>
      </c>
      <c r="AM85" s="6342">
        <f t="shared" si="61"/>
        <v>45735807.806426533</v>
      </c>
      <c r="AN85" s="4488">
        <f t="shared" si="66"/>
        <v>19.640464214909294</v>
      </c>
      <c r="AO85" s="4488">
        <f>AA85/년간!F12</f>
        <v>1649.7314205257132</v>
      </c>
      <c r="AP85" s="4488">
        <f>AB85/년간!G12</f>
        <v>2521.6954682526525</v>
      </c>
      <c r="AQ85" s="4488">
        <f>AC85/년간!H12</f>
        <v>-250.54246631056131</v>
      </c>
      <c r="AR85" s="4488">
        <f>AD85/년간!I12</f>
        <v>341.62238675889648</v>
      </c>
      <c r="AS85" s="4488">
        <f>AE85/년간!J12</f>
        <v>-778.68677904690094</v>
      </c>
      <c r="AT85" s="4488">
        <f>AF85/년간!K12</f>
        <v>1803.6449437193371</v>
      </c>
      <c r="AU85" s="4488">
        <f>AG85/년간!L12</f>
        <v>843.3758732735788</v>
      </c>
      <c r="AV85" s="4488">
        <f>AH85/년간!M12</f>
        <v>1454.246479065052</v>
      </c>
      <c r="AW85" s="4480">
        <f>AI85/년간!N12</f>
        <v>-1179.7062307214123</v>
      </c>
      <c r="AX85" s="4492">
        <f>AJ85/년간!O12</f>
        <v>-456.7026806319177</v>
      </c>
      <c r="AY85" s="4799"/>
      <c r="AZ85" s="5835"/>
      <c r="BA85" s="4558">
        <f>AM85/년간!$V$12</f>
        <v>815.07573897917632</v>
      </c>
      <c r="BC85" s="1707"/>
      <c r="BE85" s="5193" t="s">
        <v>1959</v>
      </c>
      <c r="BF85" s="7052" t="s">
        <v>1786</v>
      </c>
      <c r="BG85" s="7053"/>
      <c r="BH85" s="7053"/>
      <c r="BI85" s="7053"/>
      <c r="BJ85" s="7053"/>
      <c r="BK85" s="7053"/>
      <c r="BL85" s="7053"/>
      <c r="BM85" s="7053"/>
      <c r="BN85" s="7053"/>
      <c r="BO85" s="7054"/>
      <c r="BP85" s="5194" t="s">
        <v>1682</v>
      </c>
      <c r="BQ85" s="3126" t="s">
        <v>1683</v>
      </c>
      <c r="BR85" s="4429" t="s">
        <v>1784</v>
      </c>
      <c r="BS85" s="5222" t="s">
        <v>1785</v>
      </c>
      <c r="BT85" s="4464"/>
      <c r="BU85" s="6189"/>
    </row>
    <row r="86" spans="2:73" s="299" customFormat="1" ht="18" thickBot="1">
      <c r="B86" s="7118"/>
      <c r="C86" s="2462" t="s">
        <v>16</v>
      </c>
      <c r="D86" s="1972" t="s">
        <v>452</v>
      </c>
      <c r="E86" s="3008">
        <f t="shared" ref="E86:O86" si="75">(E81+E82+E83+E84+E85)/5</f>
        <v>73.76959938426657</v>
      </c>
      <c r="F86" s="3008">
        <f t="shared" si="75"/>
        <v>78.77000000000001</v>
      </c>
      <c r="G86" s="3008">
        <f t="shared" si="75"/>
        <v>73.176840480774146</v>
      </c>
      <c r="H86" s="3009">
        <f t="shared" si="75"/>
        <v>74.26936226728597</v>
      </c>
      <c r="I86" s="4396">
        <f t="shared" si="75"/>
        <v>72.771432750039565</v>
      </c>
      <c r="J86" s="4396">
        <f t="shared" si="75"/>
        <v>72.771432750039565</v>
      </c>
      <c r="K86" s="4396">
        <f t="shared" si="75"/>
        <v>70.817481633882593</v>
      </c>
      <c r="L86" s="4451">
        <f t="shared" si="75"/>
        <v>70.154342486853949</v>
      </c>
      <c r="M86" s="4451">
        <f t="shared" si="75"/>
        <v>74.319762549187061</v>
      </c>
      <c r="N86" s="4451">
        <f t="shared" si="75"/>
        <v>69.826824236958473</v>
      </c>
      <c r="O86" s="4451">
        <f t="shared" si="75"/>
        <v>74.769344406315184</v>
      </c>
      <c r="P86" s="4451">
        <f>(P81+P82+P83+P84+P85)/5</f>
        <v>67.62722173795332</v>
      </c>
      <c r="Q86" s="4451">
        <f>(Q81+Q82+Q83+Q84+Q85)/5</f>
        <v>65.791209911835878</v>
      </c>
      <c r="R86" s="4451">
        <f t="shared" ref="R86:W86" si="76">(R81+R82+R83+R84+R85)/5</f>
        <v>67.55776496456653</v>
      </c>
      <c r="S86" s="4451">
        <f t="shared" si="76"/>
        <v>70.241674868655167</v>
      </c>
      <c r="T86" s="4451">
        <f t="shared" si="76"/>
        <v>70.290027855506153</v>
      </c>
      <c r="U86" s="4451">
        <f t="shared" si="76"/>
        <v>131.08554416760421</v>
      </c>
      <c r="V86" s="4451">
        <f t="shared" si="76"/>
        <v>36.383521116785872</v>
      </c>
      <c r="W86" s="4451">
        <f t="shared" si="76"/>
        <v>77.060817731551467</v>
      </c>
      <c r="X86" s="2996">
        <f>SUM(X81:X85)</f>
        <v>155221347.14880788</v>
      </c>
      <c r="Y86" s="2570">
        <f>SUM(Y81:Y85)</f>
        <v>14261621.342319094</v>
      </c>
      <c r="Z86" s="4816">
        <f>X86/년간!E13</f>
        <v>149.66488849841571</v>
      </c>
      <c r="AA86" s="4501">
        <f t="shared" ref="AA86:AF86" si="77">SUM(AA81:AA85)</f>
        <v>5913465.3346848981</v>
      </c>
      <c r="AB86" s="4501">
        <f t="shared" si="77"/>
        <v>9755954.2064776961</v>
      </c>
      <c r="AC86" s="4501">
        <f t="shared" si="77"/>
        <v>-3078272.9662556639</v>
      </c>
      <c r="AD86" s="4501">
        <f t="shared" si="77"/>
        <v>39924775.595773585</v>
      </c>
      <c r="AE86" s="4501">
        <f t="shared" si="77"/>
        <v>-4403410.540255405</v>
      </c>
      <c r="AF86" s="4501">
        <f t="shared" si="77"/>
        <v>46269464.374337144</v>
      </c>
      <c r="AG86" s="4501">
        <f>SUM(AG81:AG85)</f>
        <v>90797620.449561581</v>
      </c>
      <c r="AH86" s="4501">
        <f>SUM(AH81:AH85)</f>
        <v>51429036.714641958</v>
      </c>
      <c r="AI86" s="4501">
        <f>SUM(AI81:AI85)</f>
        <v>72043581.130707428</v>
      </c>
      <c r="AJ86" s="4501">
        <f>SUM(AJ81:AJ85)</f>
        <v>50522418.000410564</v>
      </c>
      <c r="AK86" s="4501">
        <f t="shared" ref="AK86:AL86" si="78">SUM(AK81:AK85)</f>
        <v>-14641718.381253868</v>
      </c>
      <c r="AL86" s="4501">
        <f t="shared" si="78"/>
        <v>13630243.519352384</v>
      </c>
      <c r="AM86" s="6343">
        <f t="shared" si="61"/>
        <v>358163157.43818229</v>
      </c>
      <c r="AN86" s="4518">
        <f t="shared" si="66"/>
        <v>149.66488849841571</v>
      </c>
      <c r="AO86" s="4518">
        <f>AA86/년간!F13</f>
        <v>63.932423725905309</v>
      </c>
      <c r="AP86" s="4518">
        <f>AB86/년간!G13</f>
        <v>100.29661667450075</v>
      </c>
      <c r="AQ86" s="4518">
        <f>AC86/년간!H13</f>
        <v>-34.217916231160544</v>
      </c>
      <c r="AR86" s="4518">
        <f>AD86/년간!I13</f>
        <v>422.242839189432</v>
      </c>
      <c r="AS86" s="4518">
        <f>AE86/년간!J13</f>
        <v>-49.213277233588364</v>
      </c>
      <c r="AT86" s="4518">
        <f>AF86/년간!K13</f>
        <v>464.31780592933922</v>
      </c>
      <c r="AU86" s="4518">
        <f>AG86/년간!L13</f>
        <v>794.14948777381449</v>
      </c>
      <c r="AV86" s="4518">
        <f>AH86/년간!M13</f>
        <v>505.71726599505564</v>
      </c>
      <c r="AW86" s="6373">
        <f>AI86/년간!N13</f>
        <v>703.14899864767108</v>
      </c>
      <c r="AX86" s="6391">
        <f>AJ86/년간!O13</f>
        <v>477.4571621819648</v>
      </c>
      <c r="AY86" s="4794"/>
      <c r="AZ86" s="6395"/>
      <c r="BA86" s="6401">
        <f>AM86/년간!$V$13</f>
        <v>349.37152589416849</v>
      </c>
      <c r="BC86" s="1707"/>
      <c r="BE86" s="7068" t="s">
        <v>27</v>
      </c>
      <c r="BF86" s="7070" t="s">
        <v>1399</v>
      </c>
      <c r="BG86" s="7071"/>
      <c r="BH86" s="7071"/>
      <c r="BI86" s="7071"/>
      <c r="BJ86" s="7071"/>
      <c r="BK86" s="7071"/>
      <c r="BL86" s="7071"/>
      <c r="BM86" s="7071"/>
      <c r="BN86" s="7071"/>
      <c r="BO86" s="7072"/>
      <c r="BP86" s="3344">
        <v>348308763.28744811</v>
      </c>
      <c r="BQ86" s="3345">
        <v>1259.305404744415</v>
      </c>
      <c r="BR86" s="3344">
        <v>-35821910.337595627</v>
      </c>
      <c r="BS86" s="3345">
        <v>-1259.2926323030767</v>
      </c>
      <c r="BT86" s="4650"/>
      <c r="BU86" s="3783"/>
    </row>
    <row r="87" spans="2:73" s="299" customFormat="1" ht="17.399999999999999" customHeight="1" thickBot="1">
      <c r="B87" s="7121" t="s">
        <v>1369</v>
      </c>
      <c r="C87" s="2877" t="s">
        <v>1370</v>
      </c>
      <c r="D87" s="1225" t="s">
        <v>321</v>
      </c>
      <c r="E87" s="3016">
        <f>종합!F93</f>
        <v>2.1</v>
      </c>
      <c r="F87" s="3016">
        <f>종합!G93</f>
        <v>1.87</v>
      </c>
      <c r="G87" s="3016">
        <f>종합!H93</f>
        <v>1.7517361678383541</v>
      </c>
      <c r="H87" s="3566">
        <f>종합!I93</f>
        <v>1.5030626334880381</v>
      </c>
      <c r="I87" s="4397">
        <f>종합!J93</f>
        <v>1.45</v>
      </c>
      <c r="J87" s="4397">
        <f>종합!K93</f>
        <v>1.45</v>
      </c>
      <c r="K87" s="4780">
        <f>종합!L93</f>
        <v>2.1748183618984624</v>
      </c>
      <c r="L87" s="4443">
        <f>종합!M93</f>
        <v>1.0884834373539587</v>
      </c>
      <c r="M87" s="4443">
        <f>종합!N93</f>
        <v>1.9472220891865528</v>
      </c>
      <c r="N87" s="4443">
        <f>종합!O93</f>
        <v>1.2612129776540515</v>
      </c>
      <c r="O87" s="4443">
        <f>종합!P93</f>
        <v>1.2724226660261968</v>
      </c>
      <c r="P87" s="4443">
        <f>종합!Q93</f>
        <v>1.1595696708110546</v>
      </c>
      <c r="Q87" s="4443">
        <f>종합!R93</f>
        <v>1.7765713344881151</v>
      </c>
      <c r="R87" s="4443">
        <f>종합!S93</f>
        <v>1.9757358636098958</v>
      </c>
      <c r="S87" s="4443">
        <f>종합!T93</f>
        <v>0.96278309220372205</v>
      </c>
      <c r="T87" s="4443">
        <f>종합!U93</f>
        <v>2.2173519495555207</v>
      </c>
      <c r="U87" s="4443">
        <f>종합!V93</f>
        <v>0</v>
      </c>
      <c r="V87" s="4443">
        <f>종합!W93</f>
        <v>0</v>
      </c>
      <c r="W87" s="6048">
        <f>종합!X93</f>
        <v>1.5836171442787532</v>
      </c>
      <c r="X87" s="3573">
        <f>종합!AK93*1000</f>
        <v>1673119.5945156037</v>
      </c>
      <c r="Y87" s="5632">
        <f>X87/10</f>
        <v>167311.95945156037</v>
      </c>
      <c r="Z87" s="3834">
        <f>X87/년간!E8</f>
        <v>6.0491402176363538</v>
      </c>
      <c r="AA87" s="4495">
        <f>종합!Y93*1000</f>
        <v>-2009912.7412361444</v>
      </c>
      <c r="AB87" s="4495">
        <f>종합!Z93*1000</f>
        <v>1367298.0423586541</v>
      </c>
      <c r="AC87" s="4495">
        <f>종합!AA93*1000</f>
        <v>-1205252.4265199718</v>
      </c>
      <c r="AD87" s="4495">
        <f>종합!AB93*1000</f>
        <v>715059.92374347441</v>
      </c>
      <c r="AE87" s="4495">
        <f>종합!AC93*1000</f>
        <v>668883.86842899502</v>
      </c>
      <c r="AF87" s="4495">
        <f>종합!AD93*1000</f>
        <v>1154920.1368369013</v>
      </c>
      <c r="AG87" s="4495">
        <f>종합!AE93*1000</f>
        <v>-1011268.7845449442</v>
      </c>
      <c r="AH87" s="4495">
        <f>종합!AF93*1000</f>
        <v>-1539575.250836154</v>
      </c>
      <c r="AI87" s="4495">
        <f>종합!AG93*1000</f>
        <v>1821943.4953552808</v>
      </c>
      <c r="AJ87" s="4495">
        <f>종합!AH93*1000</f>
        <v>-2493894.6525294539</v>
      </c>
      <c r="AK87" s="4495">
        <f>종합!AI93*1000</f>
        <v>111801.88700920338</v>
      </c>
      <c r="AL87" s="4495">
        <f>종합!AJ93*1000</f>
        <v>0</v>
      </c>
      <c r="AM87" s="6342">
        <f t="shared" si="61"/>
        <v>-2419996.5019341591</v>
      </c>
      <c r="AN87" s="4488">
        <f t="shared" si="66"/>
        <v>6.0491402176363538</v>
      </c>
      <c r="AO87" s="4488">
        <f>AA87/년간!F8</f>
        <v>-76.580153038788367</v>
      </c>
      <c r="AP87" s="4488">
        <f>AB87/년간!G8</f>
        <v>47.262028359285054</v>
      </c>
      <c r="AQ87" s="4488">
        <f>AC87/년간!H8</f>
        <v>-50.634177949630669</v>
      </c>
      <c r="AR87" s="4488">
        <f>AD87/년간!I8</f>
        <v>27.570860765074482</v>
      </c>
      <c r="AS87" s="4488">
        <f>AE87/년간!J8</f>
        <v>26.292956290649915</v>
      </c>
      <c r="AT87" s="4488">
        <f>AF87/년간!K8</f>
        <v>39.158197745176132</v>
      </c>
      <c r="AU87" s="4488">
        <f>AG87/년간!L8</f>
        <v>-31.179991914008774</v>
      </c>
      <c r="AV87" s="4488">
        <f>AH87/년간!M8</f>
        <v>-53.88474823389177</v>
      </c>
      <c r="AW87" s="4480">
        <f>AI87/년간!N8</f>
        <v>61.591867706412032</v>
      </c>
      <c r="AX87" s="4492">
        <f>AJ87/년간!O8</f>
        <v>-81.42898203169301</v>
      </c>
      <c r="AY87" s="4799"/>
      <c r="AZ87" s="5835"/>
      <c r="BA87" s="4558">
        <f>AM87/년간!$V$8</f>
        <v>-8.5902970358060227</v>
      </c>
      <c r="BE87" s="7069"/>
      <c r="BF87" s="7070" t="s">
        <v>1398</v>
      </c>
      <c r="BG87" s="7071"/>
      <c r="BH87" s="7071"/>
      <c r="BI87" s="7071"/>
      <c r="BJ87" s="7071"/>
      <c r="BK87" s="7071"/>
      <c r="BL87" s="7071"/>
      <c r="BM87" s="7071"/>
      <c r="BN87" s="7071"/>
      <c r="BO87" s="7072"/>
      <c r="BP87" s="5581">
        <v>593406269.93564129</v>
      </c>
      <c r="BQ87" s="3309">
        <v>2145.451971653295</v>
      </c>
      <c r="BR87" s="5581">
        <v>19315522.742429279</v>
      </c>
      <c r="BS87" s="3309">
        <v>610.17213746215805</v>
      </c>
      <c r="BT87" s="4473"/>
      <c r="BU87" s="3783"/>
    </row>
    <row r="88" spans="2:73" s="299" customFormat="1" ht="18" thickBot="1">
      <c r="B88" s="7122"/>
      <c r="C88" s="3795" t="s">
        <v>1371</v>
      </c>
      <c r="D88" s="3803" t="s">
        <v>329</v>
      </c>
      <c r="E88" s="3829">
        <f>종합!F94</f>
        <v>1298</v>
      </c>
      <c r="F88" s="3829">
        <f>종합!G94</f>
        <v>1232</v>
      </c>
      <c r="G88" s="3829">
        <f>종합!H94</f>
        <v>2157.8430560543561</v>
      </c>
      <c r="H88" s="3830">
        <f>종합!I94</f>
        <v>1232.6363636363637</v>
      </c>
      <c r="I88" s="4398">
        <f>종합!J94</f>
        <v>1189</v>
      </c>
      <c r="J88" s="4398">
        <f>종합!K94</f>
        <v>1189</v>
      </c>
      <c r="K88" s="4788">
        <f>종합!L94</f>
        <v>1473</v>
      </c>
      <c r="L88" s="4452">
        <f>종합!M94</f>
        <v>1316</v>
      </c>
      <c r="M88" s="4452">
        <f>종합!N94</f>
        <v>1308</v>
      </c>
      <c r="N88" s="4452">
        <f>종합!O94</f>
        <v>947</v>
      </c>
      <c r="O88" s="4452">
        <f>종합!P94</f>
        <v>1346</v>
      </c>
      <c r="P88" s="4452">
        <f>종합!Q94</f>
        <v>1147</v>
      </c>
      <c r="Q88" s="4452">
        <f>종합!R94</f>
        <v>1049</v>
      </c>
      <c r="R88" s="4452">
        <f>종합!S94</f>
        <v>1085</v>
      </c>
      <c r="S88" s="4452">
        <f>종합!T94</f>
        <v>810</v>
      </c>
      <c r="T88" s="4452">
        <f>종합!U94</f>
        <v>965</v>
      </c>
      <c r="U88" s="4452">
        <f>종합!V94</f>
        <v>0</v>
      </c>
      <c r="V88" s="4452">
        <f>종합!W94</f>
        <v>0</v>
      </c>
      <c r="W88" s="6054">
        <f>종합!X94</f>
        <v>1144.5999999999999</v>
      </c>
      <c r="X88" s="3831">
        <f>종합!AK94*1000</f>
        <v>24991844.159999982</v>
      </c>
      <c r="Y88" s="5633">
        <f>X88/10</f>
        <v>2499184.4159999983</v>
      </c>
      <c r="Z88" s="3834">
        <f>X88/년간!E9</f>
        <v>93.839999999999932</v>
      </c>
      <c r="AA88" s="4495">
        <f>종합!Y94*1000</f>
        <v>-5438821.2515999991</v>
      </c>
      <c r="AB88" s="4495">
        <f>종합!Z94*1000</f>
        <v>-2251395.3604000024</v>
      </c>
      <c r="AC88" s="4495">
        <f>종합!AA94*1000</f>
        <v>-1643404.8435000018</v>
      </c>
      <c r="AD88" s="4495">
        <f>종합!AB94*1000</f>
        <v>7572377.5287999995</v>
      </c>
      <c r="AE88" s="4495">
        <f>종합!AC94*1000</f>
        <v>-2789964.0964000029</v>
      </c>
      <c r="AF88" s="4495">
        <f>종합!AD94*1000</f>
        <v>2270051.6999999979</v>
      </c>
      <c r="AG88" s="4495">
        <f>종합!AE94*1000</f>
        <v>5657506.1647000005</v>
      </c>
      <c r="AH88" s="4495">
        <f>종합!AF94*1000</f>
        <v>4168128.4289099984</v>
      </c>
      <c r="AI88" s="4495">
        <f>종합!AG94*1000</f>
        <v>11201045.861999998</v>
      </c>
      <c r="AJ88" s="4495">
        <f>종합!AH94*1000</f>
        <v>8028766.3480199995</v>
      </c>
      <c r="AK88" s="4495">
        <f>종합!AI94*1000</f>
        <v>0</v>
      </c>
      <c r="AL88" s="4495">
        <f>종합!AJ94*1000</f>
        <v>0</v>
      </c>
      <c r="AM88" s="6342">
        <f t="shared" si="61"/>
        <v>26774290.480529986</v>
      </c>
      <c r="AN88" s="4488">
        <f t="shared" si="66"/>
        <v>93.839999999999932</v>
      </c>
      <c r="AO88" s="4488">
        <f>AA88/년간!F9</f>
        <v>-240.11999999999995</v>
      </c>
      <c r="AP88" s="4488">
        <f>AB88/년간!G9</f>
        <v>-83.26000000000009</v>
      </c>
      <c r="AQ88" s="4488">
        <f>AC88/년간!H9</f>
        <v>-75.670000000000087</v>
      </c>
      <c r="AR88" s="4488">
        <f>AD88/년간!I9</f>
        <v>286.11999999999995</v>
      </c>
      <c r="AS88" s="4488">
        <f>AE88/년간!J9</f>
        <v>-113.62000000000012</v>
      </c>
      <c r="AT88" s="4488">
        <f>AF88/년간!K9</f>
        <v>86.249999999999929</v>
      </c>
      <c r="AU88" s="4488">
        <f>AG88/년간!L9</f>
        <v>182.39000000000001</v>
      </c>
      <c r="AV88" s="4488">
        <f>AH88/년간!M9</f>
        <v>146.96999999999994</v>
      </c>
      <c r="AW88" s="4480">
        <f>AI88/년간!N9</f>
        <v>422.73999999999995</v>
      </c>
      <c r="AX88" s="4492">
        <f>AJ88/년간!O9</f>
        <v>268.40999999999997</v>
      </c>
      <c r="AY88" s="4799"/>
      <c r="AZ88" s="5835"/>
      <c r="BA88" s="4558">
        <f>AM88/년간!$V$9</f>
        <v>101.21182582572747</v>
      </c>
      <c r="BE88" s="7069"/>
      <c r="BF88" s="7067" t="s">
        <v>1397</v>
      </c>
      <c r="BG88" s="7067"/>
      <c r="BH88" s="3043" t="s">
        <v>1387</v>
      </c>
      <c r="BI88" s="3158"/>
      <c r="BJ88" s="3058"/>
      <c r="BK88" s="3119">
        <v>675705.65334639058</v>
      </c>
      <c r="BL88" s="3119">
        <v>632046.04277022346</v>
      </c>
      <c r="BM88" s="3120">
        <v>630823.38745964819</v>
      </c>
      <c r="BN88" s="4675"/>
      <c r="BO88" s="4675"/>
      <c r="BP88" s="4531">
        <v>338171787.04139227</v>
      </c>
      <c r="BQ88" s="4548">
        <v>1222.6553105752682</v>
      </c>
      <c r="BR88" s="4531">
        <v>65189282.48892533</v>
      </c>
      <c r="BS88" s="4548">
        <v>2210.2782115816372</v>
      </c>
      <c r="BT88" s="4652"/>
      <c r="BU88" s="6190"/>
    </row>
    <row r="89" spans="2:73" s="299" customFormat="1" ht="18" thickBot="1">
      <c r="B89" s="7122"/>
      <c r="C89" s="3795" t="s">
        <v>1372</v>
      </c>
      <c r="D89" s="3803" t="s">
        <v>1412</v>
      </c>
      <c r="E89" s="3832">
        <f>종합!F95</f>
        <v>102.28</v>
      </c>
      <c r="F89" s="3832">
        <f>종합!G95</f>
        <v>101.81</v>
      </c>
      <c r="G89" s="3832">
        <f>종합!H95</f>
        <v>101.58</v>
      </c>
      <c r="H89" s="3833">
        <f>종합!I95</f>
        <v>99.984010721754942</v>
      </c>
      <c r="I89" s="4399">
        <f>종합!J95</f>
        <v>100</v>
      </c>
      <c r="J89" s="4399">
        <f>종합!K95</f>
        <v>100</v>
      </c>
      <c r="K89" s="4781">
        <f>종합!L95</f>
        <v>99.622247799999997</v>
      </c>
      <c r="L89" s="4444">
        <f>종합!M95</f>
        <v>100.06858792211101</v>
      </c>
      <c r="M89" s="4444">
        <f>종합!N95</f>
        <v>100.7185573</v>
      </c>
      <c r="N89" s="4444">
        <f>종합!O95</f>
        <v>100.8135599</v>
      </c>
      <c r="O89" s="4444">
        <f>종합!P95</f>
        <v>100.5854544</v>
      </c>
      <c r="P89" s="4444">
        <f>종합!Q95</f>
        <v>100.080066</v>
      </c>
      <c r="Q89" s="4444">
        <f>종합!R95</f>
        <v>100.220308</v>
      </c>
      <c r="R89" s="4444">
        <f>종합!S95</f>
        <v>100.20377581177</v>
      </c>
      <c r="S89" s="4444">
        <f>종합!T95</f>
        <v>100.71383498362999</v>
      </c>
      <c r="T89" s="4444">
        <f>종합!U95</f>
        <v>100.346099148183</v>
      </c>
      <c r="U89" s="4444">
        <f>종합!V95</f>
        <v>0</v>
      </c>
      <c r="V89" s="4444">
        <f>종합!W95</f>
        <v>0</v>
      </c>
      <c r="W89" s="6049">
        <f>종합!X95</f>
        <v>100.3372491265694</v>
      </c>
      <c r="X89" s="3831">
        <f>종합!AK95*1000</f>
        <v>-4643693.1414636504</v>
      </c>
      <c r="Y89" s="5633">
        <f>X89/10</f>
        <v>-464369.31414636504</v>
      </c>
      <c r="Z89" s="3834">
        <f>X89/년간!E10</f>
        <v>-16.976906158240961</v>
      </c>
      <c r="AA89" s="4495">
        <f>종합!Y95*1000</f>
        <v>9502125.9669158962</v>
      </c>
      <c r="AB89" s="4495">
        <f>종합!Z95*1000</f>
        <v>-2210986.2174032074</v>
      </c>
      <c r="AC89" s="4495">
        <f>종합!AA95*1000</f>
        <v>-21001464.393208895</v>
      </c>
      <c r="AD89" s="4495">
        <f>종합!AB95*1000</f>
        <v>-21750235.950475197</v>
      </c>
      <c r="AE89" s="4495">
        <f>종합!AC95*1000</f>
        <v>-14567274.558024738</v>
      </c>
      <c r="AF89" s="4495">
        <f>종합!AD95*1000</f>
        <v>-2548708.2970768656</v>
      </c>
      <c r="AG89" s="4495">
        <f>종합!AE95*1000</f>
        <v>-7739775.6381341517</v>
      </c>
      <c r="AH89" s="4495">
        <f>종합!AF95*1000</f>
        <v>-6470690.613893358</v>
      </c>
      <c r="AI89" s="4495">
        <f>종합!AG95*1000</f>
        <v>-22678639.20446926</v>
      </c>
      <c r="AJ89" s="4495">
        <f>종합!AH95*1000</f>
        <v>-10460342.35015724</v>
      </c>
      <c r="AK89" s="4495">
        <f>종합!AI95*1000</f>
        <v>141561382.07548392</v>
      </c>
      <c r="AL89" s="4495">
        <f>종합!AJ95*1000</f>
        <v>0</v>
      </c>
      <c r="AM89" s="6342">
        <f t="shared" si="61"/>
        <v>41635390.819556892</v>
      </c>
      <c r="AN89" s="4488">
        <f t="shared" si="66"/>
        <v>-16.976906158240961</v>
      </c>
      <c r="AO89" s="4488">
        <f>AA89/년간!F10</f>
        <v>384.10834310566179</v>
      </c>
      <c r="AP89" s="4488">
        <f>AB89/년간!G10</f>
        <v>-89.80137637015811</v>
      </c>
      <c r="AQ89" s="4488">
        <f>AC89/년간!H10</f>
        <v>-779.91815118843419</v>
      </c>
      <c r="AR89" s="4488">
        <f>AD89/년간!I10</f>
        <v>-880.78888470558877</v>
      </c>
      <c r="AS89" s="4488">
        <f>AE89/년간!J10</f>
        <v>-638.5937331592429</v>
      </c>
      <c r="AT89" s="4488">
        <f>AF89/년간!K10</f>
        <v>-101.9884337352193</v>
      </c>
      <c r="AU89" s="4488">
        <f>AG89/년간!L10</f>
        <v>-250.89292066413191</v>
      </c>
      <c r="AV89" s="4488">
        <f>AH89/년간!M10</f>
        <v>-233.3395699831616</v>
      </c>
      <c r="AW89" s="4480">
        <f>AI89/년간!N10</f>
        <v>-774.90414613864982</v>
      </c>
      <c r="AX89" s="4492">
        <f>AJ89/년간!O10</f>
        <v>-384.45395359569341</v>
      </c>
      <c r="AY89" s="4492"/>
      <c r="AZ89" s="6337"/>
      <c r="BA89" s="4558">
        <f>AM89/년간!$V$10</f>
        <v>157.01375271269737</v>
      </c>
      <c r="BE89" s="7068" t="s">
        <v>1497</v>
      </c>
      <c r="BF89" s="7070" t="s">
        <v>1399</v>
      </c>
      <c r="BG89" s="7071"/>
      <c r="BH89" s="7071"/>
      <c r="BI89" s="7071"/>
      <c r="BJ89" s="7071"/>
      <c r="BK89" s="7071"/>
      <c r="BL89" s="7071"/>
      <c r="BM89" s="7071"/>
      <c r="BN89" s="7071"/>
      <c r="BO89" s="7072"/>
      <c r="BP89" s="3344">
        <v>330511230.2258271</v>
      </c>
      <c r="BQ89" s="3345">
        <v>1241.0118135272342</v>
      </c>
      <c r="BR89" s="3344">
        <v>-2612359.5809434056</v>
      </c>
      <c r="BS89" s="3345">
        <v>-99.255895298053673</v>
      </c>
      <c r="BT89" s="4650"/>
      <c r="BU89" s="3783"/>
    </row>
    <row r="90" spans="2:73" s="299" customFormat="1" ht="18" thickBot="1">
      <c r="B90" s="7122"/>
      <c r="C90" s="3795" t="s">
        <v>1324</v>
      </c>
      <c r="D90" s="3803" t="s">
        <v>334</v>
      </c>
      <c r="E90" s="3832">
        <f>종합!F96</f>
        <v>5.35</v>
      </c>
      <c r="F90" s="3832">
        <f>종합!G96</f>
        <v>4.5</v>
      </c>
      <c r="G90" s="3832">
        <f>종합!H96</f>
        <v>4.18</v>
      </c>
      <c r="H90" s="3833">
        <f>종합!I96</f>
        <v>4.1374715776825299</v>
      </c>
      <c r="I90" s="4399">
        <f>종합!J96</f>
        <v>3.5</v>
      </c>
      <c r="J90" s="4399">
        <f>종합!K96</f>
        <v>3.5</v>
      </c>
      <c r="K90" s="4781">
        <f>종합!L96</f>
        <v>3.80206434275172</v>
      </c>
      <c r="L90" s="4444">
        <f>종합!M96</f>
        <v>4.8069420836404904</v>
      </c>
      <c r="M90" s="4444">
        <f>종합!N96</f>
        <v>5.9326465085499098</v>
      </c>
      <c r="N90" s="4444">
        <f>종합!O96</f>
        <v>3.97261849417916</v>
      </c>
      <c r="O90" s="4444">
        <f>종합!P96</f>
        <v>5.4446246168049504</v>
      </c>
      <c r="P90" s="4444">
        <f>종합!Q96</f>
        <v>4.6098125783057897</v>
      </c>
      <c r="Q90" s="4444">
        <f>종합!R96</f>
        <v>4.36157894668598</v>
      </c>
      <c r="R90" s="4444">
        <f>종합!S96</f>
        <v>3.4564467871272302</v>
      </c>
      <c r="S90" s="4444">
        <f>종합!T96</f>
        <v>2.9983209402734499</v>
      </c>
      <c r="T90" s="4444">
        <f>종합!U96</f>
        <v>3.3739692027913502</v>
      </c>
      <c r="U90" s="4444">
        <f>종합!V96</f>
        <v>0</v>
      </c>
      <c r="V90" s="4444">
        <f>종합!W96</f>
        <v>0</v>
      </c>
      <c r="W90" s="6049">
        <f>종합!X96</f>
        <v>4.275902450111003</v>
      </c>
      <c r="X90" s="3831">
        <f>종합!AK96*1000</f>
        <v>112580092.62027605</v>
      </c>
      <c r="Y90" s="5633">
        <f>X90/10</f>
        <v>11258009.262027605</v>
      </c>
      <c r="Z90" s="3834">
        <f>X90/년간!E10</f>
        <v>411.58224918757008</v>
      </c>
      <c r="AA90" s="4495">
        <f>종합!Y96*1000</f>
        <v>5357168.1654369729</v>
      </c>
      <c r="AB90" s="4495">
        <f>종합!Z96*1000</f>
        <v>-10642172.665290195</v>
      </c>
      <c r="AC90" s="4495">
        <f>종합!AA96*1000</f>
        <v>-31210673.130931996</v>
      </c>
      <c r="AD90" s="4495">
        <f>종합!AB96*1000</f>
        <v>2628361.1074478589</v>
      </c>
      <c r="AE90" s="4495">
        <f>종합!AC96*1000</f>
        <v>-19252002.104160212</v>
      </c>
      <c r="AF90" s="4495">
        <f>종합!AD96*1000</f>
        <v>-7621152.7432602607</v>
      </c>
      <c r="AG90" s="4495">
        <f>종합!AE96*1000</f>
        <v>-4463668.2708326261</v>
      </c>
      <c r="AH90" s="4495">
        <f>종합!AF96*1000</f>
        <v>12193291.976668226</v>
      </c>
      <c r="AI90" s="4495">
        <f>종합!AG96*1000</f>
        <v>21525139.505818062</v>
      </c>
      <c r="AJ90" s="4495">
        <f>종합!AH96*1000</f>
        <v>13412439.298472706</v>
      </c>
      <c r="AK90" s="4495">
        <f>종합!AI96*1000</f>
        <v>3562176.102185146</v>
      </c>
      <c r="AL90" s="4495">
        <f>종합!AJ96*1000</f>
        <v>0</v>
      </c>
      <c r="AM90" s="6342">
        <f t="shared" si="61"/>
        <v>-14511092.758446325</v>
      </c>
      <c r="AN90" s="4488">
        <f t="shared" si="66"/>
        <v>411.58224918757008</v>
      </c>
      <c r="AO90" s="4488">
        <f>AA90/년간!F10</f>
        <v>216.55501041860759</v>
      </c>
      <c r="AP90" s="4488">
        <f>AB90/년간!G10</f>
        <v>-432.24229323074525</v>
      </c>
      <c r="AQ90" s="4488">
        <f>AC90/년간!H10</f>
        <v>-1159.0511037646622</v>
      </c>
      <c r="AR90" s="4488">
        <f>AD90/년간!I10</f>
        <v>106.43706365778377</v>
      </c>
      <c r="AS90" s="4488">
        <f>AE90/년간!J10</f>
        <v>-843.96074540331256</v>
      </c>
      <c r="AT90" s="4488">
        <f>AF90/년간!K10</f>
        <v>-304.96602237040645</v>
      </c>
      <c r="AU90" s="4488">
        <f>AG90/년간!L10</f>
        <v>-144.69447458233955</v>
      </c>
      <c r="AV90" s="4488">
        <f>AH90/년간!M10</f>
        <v>439.70229397244816</v>
      </c>
      <c r="AW90" s="4480">
        <f>AI90/년간!N10</f>
        <v>735.49033074189776</v>
      </c>
      <c r="AX90" s="4492">
        <f>AJ90/년간!O10</f>
        <v>492.9537813437405</v>
      </c>
      <c r="AY90" s="4492"/>
      <c r="AZ90" s="6337"/>
      <c r="BA90" s="4558">
        <f>AM90/년간!$V$10</f>
        <v>-54.723663813802368</v>
      </c>
      <c r="BE90" s="7069"/>
      <c r="BF90" s="7070" t="s">
        <v>1398</v>
      </c>
      <c r="BG90" s="7071"/>
      <c r="BH90" s="7071"/>
      <c r="BI90" s="7071"/>
      <c r="BJ90" s="7071"/>
      <c r="BK90" s="7071"/>
      <c r="BL90" s="7071"/>
      <c r="BM90" s="7071"/>
      <c r="BN90" s="7071"/>
      <c r="BO90" s="7072"/>
      <c r="BP90" s="3052">
        <v>580724559.83952618</v>
      </c>
      <c r="BQ90" s="3309">
        <v>2180.5190663985454</v>
      </c>
      <c r="BR90" s="3052">
        <v>85865168.3772953</v>
      </c>
      <c r="BS90" s="3309">
        <v>3262.4238349028446</v>
      </c>
      <c r="BT90" s="4473"/>
      <c r="BU90" s="3783"/>
    </row>
    <row r="91" spans="2:73" s="299" customFormat="1" ht="18" thickBot="1">
      <c r="B91" s="7122"/>
      <c r="C91" s="3795" t="s">
        <v>1373</v>
      </c>
      <c r="D91" s="3803" t="s">
        <v>1365</v>
      </c>
      <c r="E91" s="3832">
        <f>종합!F97</f>
        <v>26.925635918047181</v>
      </c>
      <c r="F91" s="3832">
        <f>종합!G97</f>
        <v>24.51</v>
      </c>
      <c r="G91" s="3832">
        <f>종합!H97</f>
        <v>25.5164081871166</v>
      </c>
      <c r="H91" s="3833">
        <f>종합!I97</f>
        <v>24.863893783777399</v>
      </c>
      <c r="I91" s="4399">
        <f>종합!J97</f>
        <v>24.363893783777399</v>
      </c>
      <c r="J91" s="4399">
        <f>종합!K97</f>
        <v>24.35</v>
      </c>
      <c r="K91" s="4781">
        <f>종합!L97</f>
        <v>23.86</v>
      </c>
      <c r="L91" s="4444">
        <f>종합!M97</f>
        <v>25.8</v>
      </c>
      <c r="M91" s="4444">
        <f>종합!N97</f>
        <v>24.39</v>
      </c>
      <c r="N91" s="4444">
        <f>종합!O97</f>
        <v>23.94</v>
      </c>
      <c r="O91" s="4444">
        <f>종합!P97</f>
        <v>25.22</v>
      </c>
      <c r="P91" s="4444">
        <f>종합!Q97</f>
        <v>24.06</v>
      </c>
      <c r="Q91" s="4444">
        <f>종합!R97</f>
        <v>23.66</v>
      </c>
      <c r="R91" s="4444">
        <f>종합!S97</f>
        <v>24.03</v>
      </c>
      <c r="S91" s="4444">
        <f>종합!T97</f>
        <v>23.96</v>
      </c>
      <c r="T91" s="4444">
        <f>종합!U97</f>
        <v>24.45</v>
      </c>
      <c r="U91" s="4444">
        <f>종합!V97</f>
        <v>25.211862013922094</v>
      </c>
      <c r="V91" s="4444">
        <f>종합!W97</f>
        <v>25.48</v>
      </c>
      <c r="W91" s="6049">
        <f>종합!X97</f>
        <v>24.505155167826842</v>
      </c>
      <c r="X91" s="3831">
        <f>종합!AK97*1000</f>
        <v>316766650</v>
      </c>
      <c r="Y91" s="5633">
        <f>X91/12</f>
        <v>26397220.833333332</v>
      </c>
      <c r="Z91" s="3834">
        <f>X91/년간!E11</f>
        <v>1892.5</v>
      </c>
      <c r="AA91" s="4495">
        <f>종합!Y97*1000</f>
        <v>52110784.461258754</v>
      </c>
      <c r="AB91" s="4495">
        <f>종합!Z97*1000</f>
        <v>-40423687.560702659</v>
      </c>
      <c r="AC91" s="4495">
        <f>종합!AA97*1000</f>
        <v>23854399.82931228</v>
      </c>
      <c r="AD91" s="4495">
        <f>종합!AB97*1000</f>
        <v>45129103.543616034</v>
      </c>
      <c r="AE91" s="4495">
        <f>종합!AC97*1000</f>
        <v>-17035571.566774495</v>
      </c>
      <c r="AF91" s="4495">
        <f>종합!AD97*1000</f>
        <v>41357350.920648448</v>
      </c>
      <c r="AG91" s="4495">
        <f>종합!AE97*1000</f>
        <v>68617593.17792058</v>
      </c>
      <c r="AH91" s="4495">
        <f>종합!AF97*1000</f>
        <v>39185220.478743225</v>
      </c>
      <c r="AI91" s="4495">
        <f>종합!AG97*1000</f>
        <v>44530354.464996442</v>
      </c>
      <c r="AJ91" s="4495">
        <f>종합!AH97*1000</f>
        <v>21368996.228936002</v>
      </c>
      <c r="AK91" s="4495">
        <f>종합!AI97*1000</f>
        <v>-17491936.407315679</v>
      </c>
      <c r="AL91" s="4495">
        <f>종합!AJ97*1000</f>
        <v>-29527070.007430185</v>
      </c>
      <c r="AM91" s="6342">
        <f t="shared" si="61"/>
        <v>231675537.56320876</v>
      </c>
      <c r="AN91" s="4488">
        <f t="shared" si="66"/>
        <v>1892.5</v>
      </c>
      <c r="AO91" s="4488">
        <f>AA91/년간!F11</f>
        <v>3799.7379715974598</v>
      </c>
      <c r="AP91" s="4488">
        <f>AB91/년간!G11</f>
        <v>-3543.1620284025457</v>
      </c>
      <c r="AQ91" s="4488">
        <f>AC91/년간!H11</f>
        <v>1793.6879715974549</v>
      </c>
      <c r="AR91" s="4488">
        <f>AD91/년간!I11</f>
        <v>3496.9379715974524</v>
      </c>
      <c r="AS91" s="4488">
        <f>AE91/년간!J11</f>
        <v>-1347.8620284025387</v>
      </c>
      <c r="AT91" s="4488">
        <f>AF91/년간!K11</f>
        <v>3042.7379715974625</v>
      </c>
      <c r="AU91" s="4488">
        <f>AG91/년간!L11</f>
        <v>4556.7379715974566</v>
      </c>
      <c r="AV91" s="4488">
        <f>AH91/년간!M11</f>
        <v>3156.2879715974527</v>
      </c>
      <c r="AW91" s="4480">
        <f>AI91/년간!N11</f>
        <v>3421.2379715974544</v>
      </c>
      <c r="AX91" s="4492">
        <f>AJ91/년간!O11</f>
        <v>1566.5879715974595</v>
      </c>
      <c r="AY91" s="4492"/>
      <c r="AZ91" s="6337"/>
      <c r="BA91" s="4558">
        <f>AM91/년간!$V$11</f>
        <v>1469.728799129326</v>
      </c>
      <c r="BE91" s="7069"/>
      <c r="BF91" s="7067" t="s">
        <v>1397</v>
      </c>
      <c r="BG91" s="7067"/>
      <c r="BH91" s="3043" t="s">
        <v>1387</v>
      </c>
      <c r="BI91" s="3158"/>
      <c r="BJ91" s="3058"/>
      <c r="BK91" s="3119">
        <v>700688.84038055351</v>
      </c>
      <c r="BL91" s="3119">
        <v>700184.69670821552</v>
      </c>
      <c r="BM91" s="3120">
        <v>699508.34808593057</v>
      </c>
      <c r="BN91" s="4675"/>
      <c r="BO91" s="4675"/>
      <c r="BP91" s="4531">
        <v>180127870.48141596</v>
      </c>
      <c r="BQ91" s="4548">
        <v>676.34862228494603</v>
      </c>
      <c r="BR91" s="4531">
        <v>37373492.265928522</v>
      </c>
      <c r="BS91" s="4548">
        <v>1419.9957242984092</v>
      </c>
      <c r="BT91" s="4652"/>
      <c r="BU91" s="6190"/>
    </row>
    <row r="92" spans="2:73" s="299" customFormat="1" ht="16.8" customHeight="1" thickBot="1">
      <c r="B92" s="7122"/>
      <c r="C92" s="3796" t="s">
        <v>1374</v>
      </c>
      <c r="D92" s="3413" t="s">
        <v>1365</v>
      </c>
      <c r="E92" s="3835">
        <f>종합!F98</f>
        <v>32.450000000000003</v>
      </c>
      <c r="F92" s="3835">
        <f>종합!G98</f>
        <v>33.229999999999997</v>
      </c>
      <c r="G92" s="3835">
        <f>종합!H98</f>
        <v>38.068566825581534</v>
      </c>
      <c r="H92" s="3567">
        <f>종합!I98</f>
        <v>36.189847966144271</v>
      </c>
      <c r="I92" s="4400">
        <f>종합!J98</f>
        <v>35.49126354565324</v>
      </c>
      <c r="J92" s="4400">
        <f>종합!K98</f>
        <v>35.49126354565324</v>
      </c>
      <c r="K92" s="4782">
        <f>종합!L98</f>
        <v>35.114729636954607</v>
      </c>
      <c r="L92" s="4445">
        <f>종합!M98</f>
        <v>34.141379863289046</v>
      </c>
      <c r="M92" s="4445">
        <f>종합!N98</f>
        <v>31.489715638325446</v>
      </c>
      <c r="N92" s="4445">
        <f>종합!O98</f>
        <v>35.601408288628896</v>
      </c>
      <c r="O92" s="4445">
        <f>종합!P98</f>
        <v>35.390523824409414</v>
      </c>
      <c r="P92" s="4445">
        <f>종합!Q98</f>
        <v>36.704370727845692</v>
      </c>
      <c r="Q92" s="4445">
        <f>종합!R98</f>
        <v>34.693069227304896</v>
      </c>
      <c r="R92" s="4445">
        <f>종합!S98</f>
        <v>30.280848262240546</v>
      </c>
      <c r="S92" s="4445">
        <f>종합!T98</f>
        <v>44.107942479144484</v>
      </c>
      <c r="T92" s="4445">
        <f>종합!U98</f>
        <v>41.098674760833624</v>
      </c>
      <c r="U92" s="4445">
        <f>종합!V98</f>
        <v>35.97</v>
      </c>
      <c r="V92" s="4445">
        <f>종합!W98</f>
        <v>40.82</v>
      </c>
      <c r="W92" s="6050">
        <f>종합!X98</f>
        <v>36.284388559081385</v>
      </c>
      <c r="X92" s="3574">
        <f>종합!AK98*1000</f>
        <v>197283448.246326</v>
      </c>
      <c r="Y92" s="5634">
        <f>X92/12</f>
        <v>16440287.353860499</v>
      </c>
      <c r="Z92" s="4817">
        <f>X92/년간!E12</f>
        <v>3701.1002597614811</v>
      </c>
      <c r="AA92" s="4495">
        <f>종합!Y98*1000</f>
        <v>28104289.790943947</v>
      </c>
      <c r="AB92" s="4495">
        <f>종합!Z98*1000</f>
        <v>54835591.487023853</v>
      </c>
      <c r="AC92" s="4495">
        <f>종합!AA98*1000</f>
        <v>100567939.52124426</v>
      </c>
      <c r="AD92" s="4495">
        <f>종합!AB98*1000</f>
        <v>13609312.436218701</v>
      </c>
      <c r="AE92" s="4495">
        <f>종합!AC98*1000</f>
        <v>16363866.510775244</v>
      </c>
      <c r="AF92" s="4495">
        <f>종합!AD98*1000</f>
        <v>-13732582.585167117</v>
      </c>
      <c r="AG92" s="4495">
        <f>종합!AE98*1000</f>
        <v>37811215.939835727</v>
      </c>
      <c r="AH92" s="4495">
        <f>종합!AF98*1000</f>
        <v>138577729.63979673</v>
      </c>
      <c r="AI92" s="4495">
        <f>종합!AG98*1000</f>
        <v>-164846799.88730472</v>
      </c>
      <c r="AJ92" s="4495">
        <f>종합!AH98*1000</f>
        <v>-110395599.92137134</v>
      </c>
      <c r="AK92" s="4495">
        <f>종합!AI98*1000</f>
        <v>5426702.839349037</v>
      </c>
      <c r="AL92" s="4495">
        <f>종합!AJ98*1000</f>
        <v>-109699260.46478055</v>
      </c>
      <c r="AM92" s="6342">
        <f t="shared" si="61"/>
        <v>-3377594.6934362501</v>
      </c>
      <c r="AN92" s="4489">
        <f t="shared" si="66"/>
        <v>3701.1002597614811</v>
      </c>
      <c r="AO92" s="4489">
        <f>AA92/년간!F12</f>
        <v>5460.525993954303</v>
      </c>
      <c r="AP92" s="4489">
        <f>AB92/년간!G12</f>
        <v>10404.169494401684</v>
      </c>
      <c r="AQ92" s="4489">
        <f>AC92/년간!H12</f>
        <v>23871.972092991811</v>
      </c>
      <c r="AR92" s="4489">
        <f>AD92/년간!I12</f>
        <v>2988.6851221005877</v>
      </c>
      <c r="AS92" s="4489">
        <f>AE92/년간!J12</f>
        <v>4059.7673158713396</v>
      </c>
      <c r="AT92" s="4489">
        <f>AF92/년간!K12</f>
        <v>-2613.2611066815193</v>
      </c>
      <c r="AU92" s="4489">
        <f>AG92/년간!L12</f>
        <v>7602.1392145651835</v>
      </c>
      <c r="AV92" s="4489">
        <f>AH92/년간!M12</f>
        <v>30011.809496127014</v>
      </c>
      <c r="AW92" s="6385">
        <f>AI92/년간!N12</f>
        <v>-40216.002031528085</v>
      </c>
      <c r="AX92" s="6409">
        <f>AJ92/년간!O12</f>
        <v>-24931.931290227229</v>
      </c>
      <c r="AY92" s="4492"/>
      <c r="AZ92" s="6337"/>
      <c r="BA92" s="4558">
        <f>AM92/년간!$V$12</f>
        <v>-60.193437544091239</v>
      </c>
      <c r="BE92" s="7068" t="s">
        <v>1498</v>
      </c>
      <c r="BF92" s="7070" t="s">
        <v>1399</v>
      </c>
      <c r="BG92" s="7071"/>
      <c r="BH92" s="7071"/>
      <c r="BI92" s="7071"/>
      <c r="BJ92" s="7071"/>
      <c r="BK92" s="7071"/>
      <c r="BL92" s="7071"/>
      <c r="BM92" s="7071"/>
      <c r="BN92" s="7071"/>
      <c r="BO92" s="7072"/>
      <c r="BP92" s="3344">
        <v>553238472.10681677</v>
      </c>
      <c r="BQ92" s="3345">
        <v>2022.5879139648919</v>
      </c>
      <c r="BR92" s="3344">
        <v>48690060.391356334</v>
      </c>
      <c r="BS92" s="3345">
        <v>1386.1167746442993</v>
      </c>
      <c r="BT92" s="4650"/>
      <c r="BU92" s="3783"/>
    </row>
    <row r="93" spans="2:73" ht="18" thickBot="1">
      <c r="B93" s="7123"/>
      <c r="C93" s="2462" t="s">
        <v>16</v>
      </c>
      <c r="D93" s="1972" t="s">
        <v>452</v>
      </c>
      <c r="E93" s="3008">
        <f t="shared" ref="E93:O93" si="79">(E87+E88+E89+E90+E91+E92)</f>
        <v>1467.105635918047</v>
      </c>
      <c r="F93" s="3008">
        <f t="shared" si="79"/>
        <v>1397.9199999999998</v>
      </c>
      <c r="G93" s="3008">
        <f t="shared" si="79"/>
        <v>2328.9397672348923</v>
      </c>
      <c r="H93" s="3009">
        <f t="shared" si="79"/>
        <v>1399.3146503192111</v>
      </c>
      <c r="I93" s="4396">
        <f>X93/년간!D13</f>
        <v>625.43168475156722</v>
      </c>
      <c r="J93" s="4396">
        <v>625.43168475156722</v>
      </c>
      <c r="K93" s="4396">
        <f t="shared" si="79"/>
        <v>1637.5738601416044</v>
      </c>
      <c r="L93" s="4451">
        <f t="shared" si="79"/>
        <v>1481.9053933063944</v>
      </c>
      <c r="M93" s="4451">
        <f t="shared" si="79"/>
        <v>1472.4781415360619</v>
      </c>
      <c r="N93" s="4451">
        <f t="shared" si="79"/>
        <v>1112.5887996604622</v>
      </c>
      <c r="O93" s="4451">
        <f t="shared" si="79"/>
        <v>1513.9130255072405</v>
      </c>
      <c r="P93" s="4451">
        <f>(P87+P88+P89+P90+P91+P92)</f>
        <v>1313.6138189769626</v>
      </c>
      <c r="Q93" s="4923">
        <f>AG93/년간!L13</f>
        <v>864.76751441965382</v>
      </c>
      <c r="R93" s="4923">
        <f>AH93/년간!M13</f>
        <v>1830.1162569639807</v>
      </c>
      <c r="S93" s="4923">
        <f>AI93/년간!N13</f>
        <v>-1058.4477777863317</v>
      </c>
      <c r="T93" s="4451">
        <f>(T87+T88+T89+T90+T91+T92)</f>
        <v>1136.4860950613636</v>
      </c>
      <c r="U93" s="4451">
        <f>(U87+U88+U89+U90+U91+U92)</f>
        <v>61.181862013922093</v>
      </c>
      <c r="V93" s="4451">
        <f>(V87+V88+V89+V90+V91+V92)</f>
        <v>66.3</v>
      </c>
      <c r="W93" s="4451">
        <f>(W87+W88+W89+W90+W91+W92)</f>
        <v>1311.5863124478674</v>
      </c>
      <c r="X93" s="2996">
        <f>SUM(X87:X92)</f>
        <v>648651461.47965395</v>
      </c>
      <c r="Y93" s="2570">
        <f>SUM(Y87:Y92)</f>
        <v>56297644.510526627</v>
      </c>
      <c r="Z93" s="4815">
        <f>X93/년간!E13</f>
        <v>625.43168475156722</v>
      </c>
      <c r="AA93" s="4502">
        <f t="shared" ref="AA93:AF93" si="80">SUM(AA87:AA92)</f>
        <v>87625634.391719431</v>
      </c>
      <c r="AB93" s="4502">
        <f t="shared" si="80"/>
        <v>674647.72558644414</v>
      </c>
      <c r="AC93" s="4502">
        <f t="shared" si="80"/>
        <v>69361544.55639568</v>
      </c>
      <c r="AD93" s="4502">
        <f t="shared" si="80"/>
        <v>47903978.589350872</v>
      </c>
      <c r="AE93" s="4502">
        <f t="shared" si="80"/>
        <v>-36612061.946155205</v>
      </c>
      <c r="AF93" s="4502">
        <f t="shared" si="80"/>
        <v>20879879.131981105</v>
      </c>
      <c r="AG93" s="4502">
        <f>SUM(AG87:AG92)</f>
        <v>98871602.588944584</v>
      </c>
      <c r="AH93" s="4502">
        <f>SUM(AH87:AH92)</f>
        <v>186114104.65938866</v>
      </c>
      <c r="AI93" s="4502">
        <f>SUM(AI87:AI92)</f>
        <v>-108446955.76360419</v>
      </c>
      <c r="AJ93" s="4502">
        <f>SUM(AJ87:AJ92)</f>
        <v>-80539635.048629329</v>
      </c>
      <c r="AK93" s="4502">
        <f t="shared" ref="AK93:AL93" si="81">SUM(AK87:AK92)</f>
        <v>133170126.49671164</v>
      </c>
      <c r="AL93" s="4502">
        <f t="shared" si="81"/>
        <v>-139226330.47221074</v>
      </c>
      <c r="AM93" s="6343">
        <f t="shared" si="61"/>
        <v>279776534.9094789</v>
      </c>
      <c r="AN93" s="4517">
        <f t="shared" si="66"/>
        <v>625.43168475156722</v>
      </c>
      <c r="AO93" s="4517">
        <f>AA93/년간!F13</f>
        <v>947.34962836831767</v>
      </c>
      <c r="AP93" s="4517">
        <f>AB93/년간!G13</f>
        <v>6.935752555966249</v>
      </c>
      <c r="AQ93" s="4517">
        <f>AC93/년간!H13</f>
        <v>771.01918748343223</v>
      </c>
      <c r="AR93" s="4517">
        <f>AD93/년간!I13</f>
        <v>506.63057277593077</v>
      </c>
      <c r="AS93" s="4517">
        <f>AE93/년간!J13</f>
        <v>-409.18273192509088</v>
      </c>
      <c r="AT93" s="4517">
        <f>AF93/년간!K13</f>
        <v>209.53127073605015</v>
      </c>
      <c r="AU93" s="4517">
        <f>AG93/년간!L13</f>
        <v>864.76751441965382</v>
      </c>
      <c r="AV93" s="4517">
        <f>AH93/년간!M13</f>
        <v>1830.1162569639807</v>
      </c>
      <c r="AW93" s="6384">
        <f>AI93/년간!N13</f>
        <v>-1058.4477777863317</v>
      </c>
      <c r="AX93" s="6418">
        <f>AJ93/년간!O13</f>
        <v>-761.13193143640069</v>
      </c>
      <c r="AY93" s="4794"/>
      <c r="AZ93" s="6395"/>
      <c r="BA93" s="6401">
        <f>AM93/년간!$V$13</f>
        <v>272.90901613066762</v>
      </c>
      <c r="BB93" s="269"/>
      <c r="BC93" s="207"/>
      <c r="BD93" s="207"/>
      <c r="BE93" s="7148"/>
      <c r="BF93" s="7070" t="s">
        <v>1398</v>
      </c>
      <c r="BG93" s="7071"/>
      <c r="BH93" s="7071"/>
      <c r="BI93" s="7071"/>
      <c r="BJ93" s="7071"/>
      <c r="BK93" s="7071"/>
      <c r="BL93" s="7071"/>
      <c r="BM93" s="7071"/>
      <c r="BN93" s="7071"/>
      <c r="BO93" s="7072"/>
      <c r="BP93" s="3052">
        <v>1124526441.7929168</v>
      </c>
      <c r="BQ93" s="3309">
        <v>4111.1630965265849</v>
      </c>
      <c r="BR93" s="3052">
        <v>82618389.419597238</v>
      </c>
      <c r="BS93" s="3309">
        <v>2743.7837704366807</v>
      </c>
      <c r="BT93" s="4473"/>
      <c r="BU93" s="3783"/>
    </row>
    <row r="94" spans="2:73" s="299" customFormat="1" ht="18" thickBot="1">
      <c r="B94" s="7106" t="s">
        <v>1461</v>
      </c>
      <c r="C94" s="3790" t="s">
        <v>27</v>
      </c>
      <c r="D94" s="3198" t="s">
        <v>719</v>
      </c>
      <c r="E94" s="3201">
        <f>CPL!H33</f>
        <v>804.55310718712531</v>
      </c>
      <c r="F94" s="3201">
        <f>CPL!I33</f>
        <v>671</v>
      </c>
      <c r="G94" s="3201">
        <f>CPL!J33</f>
        <v>517.23473829824388</v>
      </c>
      <c r="H94" s="3568">
        <f>CPL!K33</f>
        <v>635.2418619413146</v>
      </c>
      <c r="I94" s="4401">
        <f>CPL!L33</f>
        <v>621.51204352886725</v>
      </c>
      <c r="J94" s="4401">
        <f>CPL!M33</f>
        <v>621.51204352886725</v>
      </c>
      <c r="K94" s="4789">
        <f>CPL!N33</f>
        <v>582.04639434699629</v>
      </c>
      <c r="L94" s="4453">
        <f>CPL!O33</f>
        <v>355.55344318869999</v>
      </c>
      <c r="M94" s="4453">
        <f>CPL!P33</f>
        <v>1749.7565447247716</v>
      </c>
      <c r="N94" s="4453">
        <f>CPL!Q33</f>
        <v>488.87803711922146</v>
      </c>
      <c r="O94" s="4453">
        <f>CPL!R33</f>
        <v>410.602657425453</v>
      </c>
      <c r="P94" s="4453">
        <f>CPL!S33</f>
        <v>565.86782940085504</v>
      </c>
      <c r="Q94" s="4453">
        <f>CPL!T33</f>
        <v>867.1569247124711</v>
      </c>
      <c r="R94" s="4453">
        <f>CPL!U33</f>
        <v>444.21328665393395</v>
      </c>
      <c r="S94" s="4453">
        <f>CPL!V33</f>
        <v>507.59104435935205</v>
      </c>
      <c r="T94" s="4453">
        <f>CPL!W33</f>
        <v>396.69552848498932</v>
      </c>
      <c r="U94" s="4453">
        <f>CPL!X33</f>
        <v>0</v>
      </c>
      <c r="V94" s="4453">
        <f>CPL!Y33</f>
        <v>0</v>
      </c>
      <c r="W94" s="6055">
        <f>CPL!Z33</f>
        <v>636.83616904167434</v>
      </c>
      <c r="X94" s="4460">
        <f>($H$94-I94)*년간!$D$14</f>
        <v>3797297.067785799</v>
      </c>
      <c r="Y94" s="3201">
        <f>X94/10</f>
        <v>379729.70677857992</v>
      </c>
      <c r="Z94" s="4812">
        <f>X94/년간!E8</f>
        <v>13.729073812984652</v>
      </c>
      <c r="AA94" s="4498">
        <f>CPL!AA33*1000</f>
        <v>1396161.3270696909</v>
      </c>
      <c r="AB94" s="4498">
        <f>CPL!AB33*1000</f>
        <v>8091430.7046601409</v>
      </c>
      <c r="AC94" s="4498">
        <f>CPL!AC33*1000</f>
        <v>-26528949.026350215</v>
      </c>
      <c r="AD94" s="4498">
        <f>CPL!AD33*1000</f>
        <v>3795997.0240996731</v>
      </c>
      <c r="AE94" s="4498">
        <f>CPL!AE33*1000</f>
        <v>5714744.9855539836</v>
      </c>
      <c r="AF94" s="4498">
        <f>CPL!AF33*1000</f>
        <v>2046096.9035385519</v>
      </c>
      <c r="AG94" s="4498">
        <f>CPL!AG33*1000</f>
        <v>-7521761.5287732389</v>
      </c>
      <c r="AH94" s="4498">
        <f>CPL!AH33*1000</f>
        <v>5457998.3456239095</v>
      </c>
      <c r="AI94" s="4498">
        <f>CPL!AI33*1000</f>
        <v>3776027.3463184517</v>
      </c>
      <c r="AJ94" s="4498">
        <f>CPL!AJ33*1000</f>
        <v>7305868.3842528276</v>
      </c>
      <c r="AK94" s="4498">
        <f>CPL!AK33*1000</f>
        <v>414482.61007946898</v>
      </c>
      <c r="AL94" s="4498">
        <f>CPL!AL33*1000</f>
        <v>0</v>
      </c>
      <c r="AM94" s="6342">
        <f t="shared" si="61"/>
        <v>3948097.076073247</v>
      </c>
      <c r="AN94" s="4515">
        <f t="shared" si="66"/>
        <v>13.729073812984652</v>
      </c>
      <c r="AO94" s="4515">
        <f>AA94/년간!F8</f>
        <v>53.195467594318302</v>
      </c>
      <c r="AP94" s="4515">
        <f>AB94/년간!G8</f>
        <v>279.68841875261461</v>
      </c>
      <c r="AQ94" s="4515">
        <f>AC94/년간!H8</f>
        <v>-1114.5146827834569</v>
      </c>
      <c r="AR94" s="4515">
        <f>AD94/년간!I8</f>
        <v>146.36382482209314</v>
      </c>
      <c r="AS94" s="4515">
        <f>AE94/년간!J8</f>
        <v>224.63920451586159</v>
      </c>
      <c r="AT94" s="4515">
        <f>AF94/년간!K8</f>
        <v>69.374032540459552</v>
      </c>
      <c r="AU94" s="4515">
        <f>AG94/년간!L8</f>
        <v>-231.9150627711565</v>
      </c>
      <c r="AV94" s="4515">
        <f>AH94/년간!M8</f>
        <v>191.02857528738065</v>
      </c>
      <c r="AW94" s="4954">
        <f>AI94/년간!N8</f>
        <v>127.65081758196254</v>
      </c>
      <c r="AX94" s="6720">
        <f>AJ94/년간!O8</f>
        <v>238.54633345632527</v>
      </c>
      <c r="AY94" s="6393"/>
      <c r="AZ94" s="6397"/>
      <c r="BA94" s="4558">
        <f>AM94/년간!$V$8</f>
        <v>14.014618030464067</v>
      </c>
      <c r="BE94" s="7069"/>
      <c r="BF94" s="7067" t="s">
        <v>1397</v>
      </c>
      <c r="BG94" s="7067"/>
      <c r="BH94" s="3043" t="s">
        <v>1387</v>
      </c>
      <c r="BI94" s="3158"/>
      <c r="BJ94" s="3058"/>
      <c r="BK94" s="3119">
        <v>857251.34557613404</v>
      </c>
      <c r="BL94" s="3119">
        <v>857562.09199926944</v>
      </c>
      <c r="BM94" s="3120">
        <v>855054.67282669106</v>
      </c>
      <c r="BN94" s="4675"/>
      <c r="BO94" s="4675"/>
      <c r="BP94" s="4531">
        <v>685854366.27536285</v>
      </c>
      <c r="BQ94" s="4548">
        <v>2507.4191725783749</v>
      </c>
      <c r="BR94" s="4531">
        <v>-19366323.085976731</v>
      </c>
      <c r="BS94" s="4548">
        <v>-774.95763678185176</v>
      </c>
      <c r="BT94" s="4652"/>
      <c r="BU94" s="6190"/>
    </row>
    <row r="95" spans="2:73" s="299" customFormat="1" ht="18" thickBot="1">
      <c r="B95" s="7116"/>
      <c r="C95" s="3836" t="s">
        <v>28</v>
      </c>
      <c r="D95" s="3837" t="s">
        <v>719</v>
      </c>
      <c r="E95" s="3838">
        <f>CRM!H34</f>
        <v>4795.3802621839413</v>
      </c>
      <c r="F95" s="3838">
        <f>CRM!I34</f>
        <v>4044</v>
      </c>
      <c r="G95" s="3838">
        <f>CRM!J34</f>
        <v>2721.9102889024402</v>
      </c>
      <c r="H95" s="3814">
        <f>CRM!K34</f>
        <v>2354.2727272727275</v>
      </c>
      <c r="I95" s="4402">
        <f>CRM!L34</f>
        <v>2300</v>
      </c>
      <c r="J95" s="4402">
        <f>CRM!M34</f>
        <v>2300</v>
      </c>
      <c r="K95" s="3340">
        <f>CRM!N34</f>
        <v>1677</v>
      </c>
      <c r="L95" s="4454">
        <f>CRM!O34</f>
        <v>1556</v>
      </c>
      <c r="M95" s="4454">
        <f>CRM!P34</f>
        <v>1502</v>
      </c>
      <c r="N95" s="4454">
        <f>CRM!Q34</f>
        <v>1567</v>
      </c>
      <c r="O95" s="4454">
        <f>CRM!R34</f>
        <v>1423</v>
      </c>
      <c r="P95" s="4454">
        <f>CRM!S34</f>
        <v>1291</v>
      </c>
      <c r="Q95" s="4454">
        <f>CRM!T34</f>
        <v>1497</v>
      </c>
      <c r="R95" s="4454">
        <f>CRM!U34</f>
        <v>1621</v>
      </c>
      <c r="S95" s="4454">
        <f>CRM!V34</f>
        <v>993</v>
      </c>
      <c r="T95" s="4454">
        <f>CRM!W34</f>
        <v>1270</v>
      </c>
      <c r="U95" s="4454">
        <f>CRM!X34</f>
        <v>0</v>
      </c>
      <c r="V95" s="4454">
        <f>CRM!Y34</f>
        <v>0</v>
      </c>
      <c r="W95" s="6056">
        <f>CRM!Z34</f>
        <v>1439.7</v>
      </c>
      <c r="X95" s="4382">
        <f>($H$95-I95)*년간!$D$15</f>
        <v>14453912.727272782</v>
      </c>
      <c r="Y95" s="3838">
        <f>X95/10</f>
        <v>1445391.2727272783</v>
      </c>
      <c r="Z95" s="4813">
        <f>X95/년간!E9</f>
        <v>54.271912134365593</v>
      </c>
      <c r="AA95" s="4495">
        <f>CRM!AA34*1000</f>
        <v>15340518.500000006</v>
      </c>
      <c r="AB95" s="4495">
        <f>CRM!AB34*1000</f>
        <v>21585725.612727281</v>
      </c>
      <c r="AC95" s="4495">
        <f>CRM!AC34*1000</f>
        <v>18509701.704545457</v>
      </c>
      <c r="AD95" s="4495">
        <f>CRM!AD34*1000</f>
        <v>20835755.309090916</v>
      </c>
      <c r="AE95" s="4495">
        <f>CRM!AE34*1000</f>
        <v>22867606.698181823</v>
      </c>
      <c r="AF95" s="4495">
        <f>CRM!AF34*1000</f>
        <v>27984742.749090914</v>
      </c>
      <c r="AG95" s="4495">
        <f>CRM!AG34*1000</f>
        <v>26591511.263636369</v>
      </c>
      <c r="AH95" s="4495">
        <f>CRM!AH34*1000</f>
        <v>20795910.054363642</v>
      </c>
      <c r="AI95" s="4495">
        <f>CRM!AI34*1000</f>
        <v>36068690.56363637</v>
      </c>
      <c r="AJ95" s="4495">
        <f>CRM!AJ34*1000</f>
        <v>32433114.954000007</v>
      </c>
      <c r="AK95" s="4495">
        <f>CRM!AK34*1000</f>
        <v>0</v>
      </c>
      <c r="AL95" s="4495">
        <f>CRM!AL34*1000</f>
        <v>0</v>
      </c>
      <c r="AM95" s="6342">
        <f t="shared" si="61"/>
        <v>243013277.40927276</v>
      </c>
      <c r="AN95" s="4490">
        <f t="shared" si="66"/>
        <v>54.271912134365593</v>
      </c>
      <c r="AO95" s="4490">
        <f>AA95/년간!F9</f>
        <v>677.27272727272748</v>
      </c>
      <c r="AP95" s="4490">
        <f>AB95/년간!G9</f>
        <v>798.27272727272759</v>
      </c>
      <c r="AQ95" s="4490">
        <f>AC95/년간!H9</f>
        <v>852.27272727272737</v>
      </c>
      <c r="AR95" s="4490">
        <f>AD95/년간!I9</f>
        <v>787.27272727272748</v>
      </c>
      <c r="AS95" s="4490">
        <f>AE95/년간!J9</f>
        <v>931.27272727272737</v>
      </c>
      <c r="AT95" s="4490">
        <f>AF95/년간!K9</f>
        <v>1063.2727272727275</v>
      </c>
      <c r="AU95" s="4490">
        <f>AG95/년간!L9</f>
        <v>857.27272727272748</v>
      </c>
      <c r="AV95" s="4490">
        <f>AH95/년간!M9</f>
        <v>733.27272727272748</v>
      </c>
      <c r="AW95" s="4557">
        <f>AI95/년간!N9</f>
        <v>1361.2727272727275</v>
      </c>
      <c r="AX95" s="6392">
        <f>AJ95/년간!O9</f>
        <v>1084.2727272727275</v>
      </c>
      <c r="AY95" s="6393"/>
      <c r="AZ95" s="6397"/>
      <c r="BA95" s="4558">
        <f>AM95/년간!$V$9</f>
        <v>918.63564132063016</v>
      </c>
      <c r="BE95" s="7068" t="s">
        <v>1499</v>
      </c>
      <c r="BF95" s="7070" t="s">
        <v>1399</v>
      </c>
      <c r="BG95" s="7071"/>
      <c r="BH95" s="7071"/>
      <c r="BI95" s="7071"/>
      <c r="BJ95" s="7071"/>
      <c r="BK95" s="7071"/>
      <c r="BL95" s="7071"/>
      <c r="BM95" s="7071"/>
      <c r="BN95" s="7071"/>
      <c r="BO95" s="7072"/>
      <c r="BP95" s="3344">
        <v>164326328.57798642</v>
      </c>
      <c r="BQ95" s="3345">
        <v>981.75605555016386</v>
      </c>
      <c r="BR95" s="3344">
        <v>24854301.46665059</v>
      </c>
      <c r="BS95" s="3345">
        <v>1933.3450492254365</v>
      </c>
      <c r="BT95" s="4650"/>
      <c r="BU95" s="3783"/>
    </row>
    <row r="96" spans="2:73" s="299" customFormat="1" ht="18" thickBot="1">
      <c r="B96" s="7116"/>
      <c r="C96" s="3836" t="s">
        <v>29</v>
      </c>
      <c r="D96" s="3837" t="s">
        <v>719</v>
      </c>
      <c r="E96" s="3838">
        <f>CGL!H38</f>
        <v>6617.8326432033155</v>
      </c>
      <c r="F96" s="3838">
        <f>CGL!I38</f>
        <v>7820</v>
      </c>
      <c r="G96" s="3838">
        <f>CGL!J38</f>
        <v>5759</v>
      </c>
      <c r="H96" s="3814">
        <f>CGL!K38</f>
        <v>6270.6033332895695</v>
      </c>
      <c r="I96" s="4402">
        <f>CGL!L38</f>
        <v>6532.36</v>
      </c>
      <c r="J96" s="4402">
        <f>CGL!M38</f>
        <v>6532.36</v>
      </c>
      <c r="K96" s="3340">
        <f>CGL!N38</f>
        <v>4855.9523068427943</v>
      </c>
      <c r="L96" s="4454">
        <f>CGL!O38</f>
        <v>6622.2340409999997</v>
      </c>
      <c r="M96" s="4454">
        <f>CGL!P38</f>
        <v>5456.6663869060103</v>
      </c>
      <c r="N96" s="4454">
        <f>CGL!Q38</f>
        <v>5494.0822157897201</v>
      </c>
      <c r="O96" s="4454">
        <f>CGL!R38</f>
        <v>4394.7677683483198</v>
      </c>
      <c r="P96" s="4454">
        <f>CGL!S38</f>
        <v>6084.1668544071499</v>
      </c>
      <c r="Q96" s="4454">
        <f>CGL!T38</f>
        <v>4847.8562620668699</v>
      </c>
      <c r="R96" s="4454">
        <f>CGL!U38</f>
        <v>9318.7816863493608</v>
      </c>
      <c r="S96" s="4454">
        <f>CGL!V38</f>
        <v>5346.4099420563798</v>
      </c>
      <c r="T96" s="4454">
        <f>CGL!W38</f>
        <v>4396.5049648434597</v>
      </c>
      <c r="U96" s="4454">
        <f>CGL!X38</f>
        <v>0</v>
      </c>
      <c r="V96" s="4454">
        <f>CGL!Y38</f>
        <v>0</v>
      </c>
      <c r="W96" s="6056">
        <f>CGL!Z38</f>
        <v>5681.7422428610062</v>
      </c>
      <c r="X96" s="4461">
        <f>($H$96-I96)*년간!$D$16</f>
        <v>-71551184.845296085</v>
      </c>
      <c r="Y96" s="4495">
        <f>X96/10</f>
        <v>-7155118.4845296089</v>
      </c>
      <c r="Z96" s="4813">
        <f>X96/년간!E10</f>
        <v>-261.58441430664311</v>
      </c>
      <c r="AA96" s="4495">
        <f>CGL!AA38*1000</f>
        <v>34995835.143384025</v>
      </c>
      <c r="AB96" s="4495">
        <f>CGL!AB38*1000</f>
        <v>-8657446.909932347</v>
      </c>
      <c r="AC96" s="4495">
        <f>CGL!AC38*1000</f>
        <v>21917515.026088275</v>
      </c>
      <c r="AD96" s="4495">
        <f>CGL!AD38*1000</f>
        <v>19175443.536385983</v>
      </c>
      <c r="AE96" s="4495">
        <f>CGL!AE38*1000</f>
        <v>42790604.231301673</v>
      </c>
      <c r="AF96" s="4495">
        <f>CGL!AF38*1000</f>
        <v>4659079.3014730755</v>
      </c>
      <c r="AG96" s="4495">
        <f>CGL!AG38*1000</f>
        <v>43890210.58038336</v>
      </c>
      <c r="AH96" s="4495">
        <f>CGL!AH38*1000</f>
        <v>-84528393.791246936</v>
      </c>
      <c r="AI96" s="4495">
        <f>CGL!AI38*1000</f>
        <v>27047794.9813192</v>
      </c>
      <c r="AJ96" s="4495">
        <f>CGL!AJ38*1000</f>
        <v>50991049.379175968</v>
      </c>
      <c r="AK96" s="4495">
        <f>CGL!AK38*1000</f>
        <v>8361686.5092549762</v>
      </c>
      <c r="AL96" s="4495">
        <f>CGL!AL38*1000</f>
        <v>0</v>
      </c>
      <c r="AM96" s="6342">
        <f t="shared" si="61"/>
        <v>160643377.98758724</v>
      </c>
      <c r="AN96" s="4490">
        <f t="shared" si="66"/>
        <v>-261.58441430664311</v>
      </c>
      <c r="AO96" s="4490">
        <f>AA96/년간!F10</f>
        <v>1414.6510264467752</v>
      </c>
      <c r="AP96" s="4490">
        <f>AB96/년간!G10</f>
        <v>-351.63070771043022</v>
      </c>
      <c r="AQ96" s="4490">
        <f>AC96/년간!H10</f>
        <v>813.93694638355919</v>
      </c>
      <c r="AR96" s="4490">
        <f>AD96/년간!I10</f>
        <v>776.52111749984942</v>
      </c>
      <c r="AS96" s="4490">
        <f>AE96/년간!J10</f>
        <v>1875.8355649412497</v>
      </c>
      <c r="AT96" s="4490">
        <f>AF96/년간!K10</f>
        <v>186.43647888241958</v>
      </c>
      <c r="AU96" s="4490">
        <f>AG96/년간!L10</f>
        <v>1422.7470712226996</v>
      </c>
      <c r="AV96" s="4490">
        <f>AH96/년간!M10</f>
        <v>-3048.1783530597913</v>
      </c>
      <c r="AW96" s="4557">
        <f>AI96/년간!N10</f>
        <v>924.19339123318969</v>
      </c>
      <c r="AX96" s="6392">
        <f>AJ96/년간!O10</f>
        <v>1874.0983684461098</v>
      </c>
      <c r="AY96" s="6392"/>
      <c r="AZ96" s="6398"/>
      <c r="BA96" s="4558">
        <f>AM96/년간!$V$10</f>
        <v>605.81200583873454</v>
      </c>
      <c r="BB96" s="3826"/>
      <c r="BC96" s="3826"/>
      <c r="BE96" s="7069"/>
      <c r="BF96" s="7070" t="s">
        <v>1398</v>
      </c>
      <c r="BG96" s="7071"/>
      <c r="BH96" s="7071"/>
      <c r="BI96" s="7071"/>
      <c r="BJ96" s="7071"/>
      <c r="BK96" s="7071"/>
      <c r="BL96" s="7071"/>
      <c r="BM96" s="7071"/>
      <c r="BN96" s="7071"/>
      <c r="BO96" s="7072"/>
      <c r="BP96" s="3052">
        <v>1276045153.1241944</v>
      </c>
      <c r="BQ96" s="3309">
        <v>7623.6417321316421</v>
      </c>
      <c r="BR96" s="3052">
        <v>36586499.046992764</v>
      </c>
      <c r="BS96" s="3309">
        <v>2796.5048569337218</v>
      </c>
      <c r="BT96" s="4473"/>
      <c r="BU96" s="3783"/>
    </row>
    <row r="97" spans="1:74" s="299" customFormat="1" ht="18" thickBot="1">
      <c r="B97" s="7116"/>
      <c r="C97" s="3836" t="s">
        <v>505</v>
      </c>
      <c r="D97" s="3837" t="s">
        <v>719</v>
      </c>
      <c r="E97" s="3838">
        <f>'#1CCL'!H37</f>
        <v>7519.3209617538841</v>
      </c>
      <c r="F97" s="3838">
        <f>'#1CCL'!I37</f>
        <v>5677</v>
      </c>
      <c r="G97" s="3838">
        <f>'#1CCL'!J37</f>
        <v>4118</v>
      </c>
      <c r="H97" s="3814">
        <f>'#1CCL'!K37</f>
        <v>4571.6205676967529</v>
      </c>
      <c r="I97" s="4402">
        <f>'#1CCL'!L37</f>
        <v>4343.0395393119152</v>
      </c>
      <c r="J97" s="4402">
        <f>'#1CCL'!M37</f>
        <v>4343.0395393119152</v>
      </c>
      <c r="K97" s="3340">
        <f>'#1CCL'!N37</f>
        <v>2137.9207557653285</v>
      </c>
      <c r="L97" s="4454">
        <f>'#1CCL'!O37</f>
        <v>4358.3918912641238</v>
      </c>
      <c r="M97" s="4454">
        <f>'#1CCL'!P37</f>
        <v>4618.2844226818697</v>
      </c>
      <c r="N97" s="4454">
        <f>'#1CCL'!Q37</f>
        <v>3741.03679722781</v>
      </c>
      <c r="O97" s="4454">
        <f>'#1CCL'!R37</f>
        <v>3096.9971575188397</v>
      </c>
      <c r="P97" s="4454">
        <f>'#1CCL'!S37</f>
        <v>4223.3597333755142</v>
      </c>
      <c r="Q97" s="4454">
        <f>'#1CCL'!T37</f>
        <v>5002.3673688397712</v>
      </c>
      <c r="R97" s="4454">
        <f>'#1CCL'!U37</f>
        <v>5230.2993080128272</v>
      </c>
      <c r="S97" s="4454">
        <f>'#1CCL'!V37</f>
        <v>5136.2944899530266</v>
      </c>
      <c r="T97" s="4454">
        <f>'#1CCL'!W37</f>
        <v>4290.8784667976979</v>
      </c>
      <c r="U97" s="4454">
        <f>'#1CCL'!X37</f>
        <v>4977.7525120378286</v>
      </c>
      <c r="V97" s="4454">
        <f>'#1CCL'!Y37</f>
        <v>5247.7553921607332</v>
      </c>
      <c r="W97" s="6056">
        <f>'#1CCL'!Z37</f>
        <v>4338.4448579696145</v>
      </c>
      <c r="X97" s="4382">
        <f>($H$97-I97)*년간!$D$17</f>
        <v>38246177.669351049</v>
      </c>
      <c r="Y97" s="3838">
        <f>X97/12</f>
        <v>3187181.4724459206</v>
      </c>
      <c r="Z97" s="4813">
        <f>X97/년간!E11</f>
        <v>228.49908991128598</v>
      </c>
      <c r="AA97" s="4495">
        <f>'#1CCL'!AA37*1000</f>
        <v>33376513.66776925</v>
      </c>
      <c r="AB97" s="4495">
        <f>'#1CCL'!AB37*1000</f>
        <v>2432711.043412515</v>
      </c>
      <c r="AC97" s="4495">
        <f>'#1CCL'!AC37*1000</f>
        <v>-620586.34055546729</v>
      </c>
      <c r="AD97" s="4495">
        <f>'#1CCL'!AD37*1000</f>
        <v>10718949.344708258</v>
      </c>
      <c r="AE97" s="4495">
        <f>'#1CCL'!AE37*1000</f>
        <v>18637703.34705542</v>
      </c>
      <c r="AF97" s="4495">
        <f>'#1CCL'!AF37*1000</f>
        <v>4733613.4992194241</v>
      </c>
      <c r="AG97" s="4495">
        <f>'#1CCL'!AG37*1000</f>
        <v>-6486396.3975441288</v>
      </c>
      <c r="AH97" s="4495">
        <f>'#1CCL'!AH37*1000</f>
        <v>-8177476.8006618517</v>
      </c>
      <c r="AI97" s="4495">
        <f>'#1CCL'!AI37*1000</f>
        <v>-7349716.7177385436</v>
      </c>
      <c r="AJ97" s="4495">
        <f>'#1CCL'!AJ37*1000</f>
        <v>3829454.2050505332</v>
      </c>
      <c r="AK97" s="4495">
        <f>'#1CCL'!AK37*1000</f>
        <v>-5393858.6593910437</v>
      </c>
      <c r="AL97" s="4495">
        <f>'#1CCL'!AL37*1000</f>
        <v>-8561151.5338804722</v>
      </c>
      <c r="AM97" s="6342">
        <f t="shared" si="61"/>
        <v>37139758.657443888</v>
      </c>
      <c r="AN97" s="4490">
        <f t="shared" si="66"/>
        <v>228.49908991128598</v>
      </c>
      <c r="AO97" s="4490">
        <f>AA97/년간!F11</f>
        <v>2433.6998119314244</v>
      </c>
      <c r="AP97" s="4490">
        <f>AB97/년간!G11</f>
        <v>213.22867643262907</v>
      </c>
      <c r="AQ97" s="4490">
        <f>AC97/년간!H11</f>
        <v>-46.663854985116814</v>
      </c>
      <c r="AR97" s="4490">
        <f>AD97/년간!I11</f>
        <v>830.58377046894293</v>
      </c>
      <c r="AS97" s="4490">
        <f>AE97/년간!J11</f>
        <v>1474.6234101779135</v>
      </c>
      <c r="AT97" s="4490">
        <f>AF97/년간!K11</f>
        <v>348.26083432123869</v>
      </c>
      <c r="AU97" s="4490">
        <f>AG97/년간!L11</f>
        <v>-430.74680114301827</v>
      </c>
      <c r="AV97" s="4490">
        <f>AH97/년간!M11</f>
        <v>-658.67874031607425</v>
      </c>
      <c r="AW97" s="4557">
        <f>AI97/년간!N11</f>
        <v>-564.67392225627373</v>
      </c>
      <c r="AX97" s="6392">
        <f>AJ97/년간!O11</f>
        <v>280.742100899055</v>
      </c>
      <c r="AY97" s="6393"/>
      <c r="AZ97" s="6397"/>
      <c r="BA97" s="4558">
        <f>AM97/년간!$V$11</f>
        <v>235.61129269707772</v>
      </c>
      <c r="BB97" s="3826"/>
      <c r="BC97" s="3826"/>
      <c r="BE97" s="7069"/>
      <c r="BF97" s="7067" t="s">
        <v>1397</v>
      </c>
      <c r="BG97" s="7067"/>
      <c r="BH97" s="3043" t="s">
        <v>1387</v>
      </c>
      <c r="BI97" s="3158"/>
      <c r="BJ97" s="3058"/>
      <c r="BK97" s="3119">
        <v>1034164.5312201697</v>
      </c>
      <c r="BL97" s="3119">
        <v>1036344.7752443228</v>
      </c>
      <c r="BM97" s="3120">
        <v>1032440.3507815433</v>
      </c>
      <c r="BN97" s="4675"/>
      <c r="BO97" s="4675"/>
      <c r="BP97" s="4531">
        <v>653522566.58003962</v>
      </c>
      <c r="BQ97" s="4548">
        <v>3904.4244627795415</v>
      </c>
      <c r="BR97" s="4536">
        <v>-36837047.687268749</v>
      </c>
      <c r="BS97" s="4552">
        <v>-2710.1707741062855</v>
      </c>
      <c r="BT97" s="4652"/>
      <c r="BU97" s="6190"/>
    </row>
    <row r="98" spans="1:74" s="299" customFormat="1" ht="18" thickBot="1">
      <c r="B98" s="7116"/>
      <c r="C98" s="3810" t="s">
        <v>443</v>
      </c>
      <c r="D98" s="3839" t="s">
        <v>719</v>
      </c>
      <c r="E98" s="3840">
        <f>'#2CCL'!H41</f>
        <v>15121.883998696972</v>
      </c>
      <c r="F98" s="3840">
        <f>'#2CCL'!I41</f>
        <v>22325</v>
      </c>
      <c r="G98" s="3840">
        <f>'#2CCL'!J41</f>
        <v>16135.219800729554</v>
      </c>
      <c r="H98" s="3569">
        <f>'#2CCL'!K41</f>
        <v>18457.150704298372</v>
      </c>
      <c r="I98" s="4403">
        <f>'#2CCL'!L41</f>
        <v>18401.779252185475</v>
      </c>
      <c r="J98" s="4403">
        <f>'#2CCL'!M41</f>
        <v>18401.779252185475</v>
      </c>
      <c r="K98" s="4790">
        <f>'#2CCL'!N41</f>
        <v>19091.827170616361</v>
      </c>
      <c r="L98" s="4455">
        <f>'#2CCL'!O41</f>
        <v>11882.18057352757</v>
      </c>
      <c r="M98" s="4455">
        <f>'#2CCL'!P41</f>
        <v>14366.13215331167</v>
      </c>
      <c r="N98" s="4455">
        <f>'#2CCL'!Q41</f>
        <v>18990.798293750104</v>
      </c>
      <c r="O98" s="4455">
        <f>'#2CCL'!R41</f>
        <v>14986.369748482908</v>
      </c>
      <c r="P98" s="4455">
        <f>'#2CCL'!S41</f>
        <v>14967.443900619604</v>
      </c>
      <c r="Q98" s="4455">
        <f>'#2CCL'!T41</f>
        <v>15561.531517403331</v>
      </c>
      <c r="R98" s="4455">
        <f>'#2CCL'!U41</f>
        <v>18261.720563775598</v>
      </c>
      <c r="S98" s="4455">
        <f>'#2CCL'!V41</f>
        <v>26814.558060616706</v>
      </c>
      <c r="T98" s="4455">
        <f>'#2CCL'!W41</f>
        <v>21224.51331111051</v>
      </c>
      <c r="U98" s="4455">
        <f>'#2CCL'!X41</f>
        <v>29191.047718205184</v>
      </c>
      <c r="V98" s="4455">
        <f>'#2CCL'!Y41</f>
        <v>15668.240663526818</v>
      </c>
      <c r="W98" s="6057">
        <f>'#2CCL'!Z41</f>
        <v>18417.196972912196</v>
      </c>
      <c r="X98" s="4462">
        <f>($H$98-I98)*년간!$D$18</f>
        <v>2947976.1104906257</v>
      </c>
      <c r="Y98" s="3840">
        <f>X98/12</f>
        <v>245664.67587421881</v>
      </c>
      <c r="Z98" s="4818">
        <f>X98/년간!E12</f>
        <v>55.304969805092036</v>
      </c>
      <c r="AA98" s="4496">
        <f>'#2CCL'!AA41*1000</f>
        <v>-3266559.1836100905</v>
      </c>
      <c r="AB98" s="4496">
        <f>'#2CCL'!AB41*1000</f>
        <v>34653643.073032744</v>
      </c>
      <c r="AC98" s="4496">
        <f>'#2CCL'!AC41*1000</f>
        <v>17234659.315670982</v>
      </c>
      <c r="AD98" s="4496">
        <f>'#2CCL'!AD41*1000</f>
        <v>-2430024.0670984788</v>
      </c>
      <c r="AE98" s="4496">
        <f>'#2CCL'!AE41*1000</f>
        <v>13989815.629843624</v>
      </c>
      <c r="AF98" s="4496">
        <f>'#2CCL'!AF41*1000</f>
        <v>18338269.665059779</v>
      </c>
      <c r="AG98" s="4496">
        <f>'#2CCL'!AG41*1000</f>
        <v>14402114.887011079</v>
      </c>
      <c r="AH98" s="4496">
        <f>'#2CCL'!AH41*1000</f>
        <v>902386.94805547909</v>
      </c>
      <c r="AI98" s="4496">
        <f>'#2CCL'!AI41*1000</f>
        <v>-34257305.262806319</v>
      </c>
      <c r="AJ98" s="4496">
        <f>'#2CCL'!AJ41*1000</f>
        <v>-12253549.539451327</v>
      </c>
      <c r="AK98" s="4496">
        <f>'#2CCL'!AK41*1000</f>
        <v>-52166632.148616962</v>
      </c>
      <c r="AL98" s="4496">
        <f>'#2CCL'!AL41*1000</f>
        <v>13009623.890889924</v>
      </c>
      <c r="AM98" s="6342">
        <f t="shared" si="61"/>
        <v>8156443.2079804428</v>
      </c>
      <c r="AN98" s="4519">
        <f t="shared" si="66"/>
        <v>55.304969805092036</v>
      </c>
      <c r="AO98" s="4519">
        <f>AA98/년간!F12</f>
        <v>-634.67646631798925</v>
      </c>
      <c r="AP98" s="4519">
        <f>AB98/년간!G12</f>
        <v>6574.9701307708019</v>
      </c>
      <c r="AQ98" s="4519">
        <f>AC98/년간!H12</f>
        <v>4091.0185509867028</v>
      </c>
      <c r="AR98" s="4519">
        <f>AD98/년간!I12</f>
        <v>-533.64758945173162</v>
      </c>
      <c r="AS98" s="4519">
        <f>AE98/년간!J12</f>
        <v>3470.780955815464</v>
      </c>
      <c r="AT98" s="4519">
        <f>AF98/년간!K12</f>
        <v>3489.7068036787682</v>
      </c>
      <c r="AU98" s="4519">
        <f>AG98/년간!L12</f>
        <v>2895.6191868950409</v>
      </c>
      <c r="AV98" s="4519">
        <f>AH98/년간!M12</f>
        <v>195.43014052277431</v>
      </c>
      <c r="AW98" s="4955">
        <f>AI98/년간!N12</f>
        <v>-8357.4073563183338</v>
      </c>
      <c r="AX98" s="6722">
        <f>AJ98/년간!O12</f>
        <v>-2767.3626068121375</v>
      </c>
      <c r="AY98" s="6393"/>
      <c r="AZ98" s="6397"/>
      <c r="BA98" s="4558">
        <f>AM98/년간!$V$12</f>
        <v>145.35916810137084</v>
      </c>
      <c r="BE98" s="7068" t="s">
        <v>1500</v>
      </c>
      <c r="BF98" s="7070" t="s">
        <v>1399</v>
      </c>
      <c r="BG98" s="7071"/>
      <c r="BH98" s="7071"/>
      <c r="BI98" s="7071"/>
      <c r="BJ98" s="7071"/>
      <c r="BK98" s="7071"/>
      <c r="BL98" s="7071"/>
      <c r="BM98" s="7071"/>
      <c r="BN98" s="7071"/>
      <c r="BO98" s="7072"/>
      <c r="BP98" s="3344">
        <v>232866747.3054429</v>
      </c>
      <c r="BQ98" s="3345">
        <v>4368.65427182656</v>
      </c>
      <c r="BR98" s="3344">
        <v>42493549.193800762</v>
      </c>
      <c r="BS98" s="3345">
        <v>7092.2911464212111</v>
      </c>
      <c r="BT98" s="4650"/>
      <c r="BU98" s="3783"/>
    </row>
    <row r="99" spans="1:74" s="299" customFormat="1" ht="18" thickBot="1">
      <c r="B99" s="7117"/>
      <c r="C99" s="2462" t="s">
        <v>16</v>
      </c>
      <c r="D99" s="1972" t="s">
        <v>548</v>
      </c>
      <c r="E99" s="3202">
        <f>SUM(E94:E98)</f>
        <v>34858.970973025236</v>
      </c>
      <c r="F99" s="3202">
        <f>SUM(F94:F98)</f>
        <v>40537</v>
      </c>
      <c r="G99" s="3202">
        <f>SUM(G94:G98)</f>
        <v>29251.364827930236</v>
      </c>
      <c r="H99" s="3186">
        <f>SUM(H94:H98)</f>
        <v>32288.889194498737</v>
      </c>
      <c r="I99" s="4924">
        <f>X99/년간!D13</f>
        <v>-11.672469179632785</v>
      </c>
      <c r="J99" s="4924">
        <v>-11.672469179632785</v>
      </c>
      <c r="K99" s="4923">
        <f>AA99/년간!F13</f>
        <v>884.82592520779247</v>
      </c>
      <c r="L99" s="4923">
        <f>AB99/년간!G13</f>
        <v>597.36253946859324</v>
      </c>
      <c r="M99" s="4923">
        <f>AC99/년간!H13</f>
        <v>339.17353296133706</v>
      </c>
      <c r="N99" s="4923">
        <f>AD99/년간!I13</f>
        <v>550.9665057772595</v>
      </c>
      <c r="O99" s="4923">
        <f>AE99/년간!J13</f>
        <v>1162.3272816585604</v>
      </c>
      <c r="P99" s="4923">
        <f>AF99/년간!K13</f>
        <v>579.64434187414099</v>
      </c>
      <c r="Q99" s="4923">
        <f>AG99/년간!L13</f>
        <v>619.90483604855706</v>
      </c>
      <c r="R99" s="4923">
        <f>AH99/년간!M13</f>
        <v>-644.56879026138222</v>
      </c>
      <c r="S99" s="4923">
        <f>AI99/년간!N13</f>
        <v>246.78767122829461</v>
      </c>
      <c r="T99" s="4456">
        <f t="shared" ref="T99:Y99" si="82">SUM(T94:T98)</f>
        <v>31578.592271236656</v>
      </c>
      <c r="U99" s="4456">
        <f t="shared" si="82"/>
        <v>34168.80023024301</v>
      </c>
      <c r="V99" s="4456">
        <f t="shared" si="82"/>
        <v>20915.996055687552</v>
      </c>
      <c r="W99" s="4456">
        <f t="shared" si="82"/>
        <v>30513.92024278449</v>
      </c>
      <c r="X99" s="5871">
        <f t="shared" si="82"/>
        <v>-12105821.270395832</v>
      </c>
      <c r="Y99" s="5872">
        <f t="shared" si="82"/>
        <v>-1897151.3567036111</v>
      </c>
      <c r="Z99" s="4815">
        <f>X99/년간!E13</f>
        <v>-11.672469179632785</v>
      </c>
      <c r="AA99" s="4502">
        <f t="shared" ref="AA99:AF99" si="83">SUM(AA94:AA98)</f>
        <v>81842469.454612881</v>
      </c>
      <c r="AB99" s="4502">
        <f t="shared" si="83"/>
        <v>58106063.52390033</v>
      </c>
      <c r="AC99" s="4502">
        <f t="shared" si="83"/>
        <v>30512340.679399032</v>
      </c>
      <c r="AD99" s="4502">
        <f t="shared" si="83"/>
        <v>52096121.147186354</v>
      </c>
      <c r="AE99" s="4502">
        <f t="shared" si="83"/>
        <v>104000474.89193653</v>
      </c>
      <c r="AF99" s="4502">
        <f t="shared" si="83"/>
        <v>57761802.118381739</v>
      </c>
      <c r="AG99" s="4502">
        <f>SUM(AG94:AG98)</f>
        <v>70875678.804713443</v>
      </c>
      <c r="AH99" s="4502">
        <f>SUM(AH94:AH98)</f>
        <v>-65549575.243865766</v>
      </c>
      <c r="AI99" s="4502">
        <f>SUM(AI94:AI98)</f>
        <v>25285490.910729155</v>
      </c>
      <c r="AJ99" s="4502">
        <f>SUM(AJ94:AJ98)</f>
        <v>82305937.383028001</v>
      </c>
      <c r="AK99" s="4502">
        <f t="shared" ref="AK99:AL99" si="84">SUM(AK94:AK98)</f>
        <v>-48784321.688673563</v>
      </c>
      <c r="AL99" s="4502">
        <f t="shared" si="84"/>
        <v>4448472.3570094518</v>
      </c>
      <c r="AM99" s="6343">
        <f t="shared" si="61"/>
        <v>452900954.33835757</v>
      </c>
      <c r="AN99" s="5635">
        <f t="shared" si="66"/>
        <v>-11.672469179632785</v>
      </c>
      <c r="AO99" s="4561">
        <f>AA99/년간!F13</f>
        <v>884.82592520779247</v>
      </c>
      <c r="AP99" s="4561">
        <f>AB99/년간!G13</f>
        <v>597.36253946859324</v>
      </c>
      <c r="AQ99" s="4561">
        <f>AC99/년간!H13</f>
        <v>339.17353296133706</v>
      </c>
      <c r="AR99" s="4561">
        <f>AD99/년간!I13</f>
        <v>550.9665057772595</v>
      </c>
      <c r="AS99" s="4561">
        <f>AE99/년간!J13</f>
        <v>1162.3272816585604</v>
      </c>
      <c r="AT99" s="4561">
        <f>AF99/년간!K13</f>
        <v>579.64434187414099</v>
      </c>
      <c r="AU99" s="4561">
        <f>AG99/년간!L13</f>
        <v>619.90483604855706</v>
      </c>
      <c r="AV99" s="4561">
        <f>AH99/년간!M13</f>
        <v>-644.56879026138222</v>
      </c>
      <c r="AW99" s="6386">
        <f>AI99/년간!N13</f>
        <v>246.78767122829461</v>
      </c>
      <c r="AX99" s="6418">
        <f>AJ99/년간!O13</f>
        <v>777.82419862223719</v>
      </c>
      <c r="AY99" s="4794"/>
      <c r="AZ99" s="6395"/>
      <c r="BA99" s="6401">
        <f>AM99/년간!$V$13</f>
        <v>441.78384685875227</v>
      </c>
      <c r="BE99" s="7069"/>
      <c r="BF99" s="7070" t="s">
        <v>1398</v>
      </c>
      <c r="BG99" s="7071"/>
      <c r="BH99" s="7071"/>
      <c r="BI99" s="7071"/>
      <c r="BJ99" s="7071"/>
      <c r="BK99" s="7071"/>
      <c r="BL99" s="7071"/>
      <c r="BM99" s="7071"/>
      <c r="BN99" s="7071"/>
      <c r="BO99" s="7072"/>
      <c r="BP99" s="3052">
        <v>588998600.90049446</v>
      </c>
      <c r="BQ99" s="3309">
        <v>11049.801157521057</v>
      </c>
      <c r="BR99" s="3052">
        <v>101236075.15351658</v>
      </c>
      <c r="BS99" s="3309">
        <v>18270.782697206723</v>
      </c>
      <c r="BT99" s="4473"/>
      <c r="BU99" s="3783"/>
    </row>
    <row r="100" spans="1:74" s="299" customFormat="1" ht="18" thickBot="1">
      <c r="B100" s="7103" t="s">
        <v>1393</v>
      </c>
      <c r="C100" s="3792" t="s">
        <v>1388</v>
      </c>
      <c r="D100" s="3041" t="s">
        <v>1394</v>
      </c>
      <c r="E100" s="3042"/>
      <c r="F100" s="3042"/>
      <c r="G100" s="3116">
        <v>675705.65334639058</v>
      </c>
      <c r="H100" s="3570">
        <v>632046.04277022346</v>
      </c>
      <c r="I100" s="4404">
        <v>630823.38745964819</v>
      </c>
      <c r="J100" s="4405">
        <v>630823.38745964819</v>
      </c>
      <c r="K100" s="4428">
        <v>633425.39789688878</v>
      </c>
      <c r="L100" s="4426">
        <v>630469.33049561502</v>
      </c>
      <c r="M100" s="3842">
        <v>634808.31456153875</v>
      </c>
      <c r="N100" s="3842">
        <v>629857.80846905836</v>
      </c>
      <c r="O100" s="3842">
        <v>632763.13604322833</v>
      </c>
      <c r="P100" s="3842">
        <v>629835.76455864182</v>
      </c>
      <c r="Q100" s="3842">
        <v>630982.38245340984</v>
      </c>
      <c r="R100" s="3842">
        <v>631553.0595576932</v>
      </c>
      <c r="S100" s="3842">
        <v>630371.87476650847</v>
      </c>
      <c r="T100" s="3842"/>
      <c r="U100" s="3842"/>
      <c r="V100" s="3842"/>
      <c r="W100" s="4798"/>
      <c r="X100" s="4508">
        <f>Z100*년간!D8</f>
        <v>338171787.04139227</v>
      </c>
      <c r="Y100" s="4824">
        <f>X100/10</f>
        <v>33817178.704139225</v>
      </c>
      <c r="Z100" s="3197">
        <f>H100-I100</f>
        <v>1222.6553105752682</v>
      </c>
      <c r="AA100" s="4553">
        <f>AO100*년간!F8</f>
        <v>-36202375.3382916</v>
      </c>
      <c r="AB100" s="4824">
        <f>AP100*년간!G8</f>
        <v>45614538.378385969</v>
      </c>
      <c r="AC100" s="4824">
        <f>AQ100*년간!H8</f>
        <v>-65750742.166728586</v>
      </c>
      <c r="AD100" s="4824">
        <f>AR100*년간!I8</f>
        <v>56752622.482722156</v>
      </c>
      <c r="AE100" s="4824">
        <f>AS100*년간!J8</f>
        <v>-18242609.053530976</v>
      </c>
      <c r="AF100" s="4824">
        <f>AT100*년간!K8</f>
        <v>65189282.48892533</v>
      </c>
      <c r="AG100" s="4824">
        <f>AU100*년간!L8</f>
        <v>34497971.606898531</v>
      </c>
      <c r="AH100" s="4824">
        <f>AV100*년간!M8</f>
        <v>14085335.423575697</v>
      </c>
      <c r="AI100" s="4824">
        <f>AW100*년간!N8</f>
        <v>49523413.042772867</v>
      </c>
      <c r="AJ100" s="4824">
        <f>AX100*년간!O8</f>
        <v>19357435238.519466</v>
      </c>
      <c r="AK100" s="4824">
        <f>AY100*년간!P8</f>
        <v>0</v>
      </c>
      <c r="AL100" s="4824">
        <f>AZ100*년간!Q8</f>
        <v>0</v>
      </c>
      <c r="AM100" s="6342">
        <f t="shared" si="61"/>
        <v>19502902675.384197</v>
      </c>
      <c r="AN100" s="6341">
        <f t="shared" si="66"/>
        <v>1222.6553105752682</v>
      </c>
      <c r="AO100" s="5836">
        <f t="shared" ref="AO100:AX100" si="85">$H$100-K100</f>
        <v>-1379.355126665323</v>
      </c>
      <c r="AP100" s="4922">
        <f t="shared" si="85"/>
        <v>1576.7122746084351</v>
      </c>
      <c r="AQ100" s="4922">
        <f t="shared" si="85"/>
        <v>-2762.2717913152883</v>
      </c>
      <c r="AR100" s="4922">
        <f t="shared" si="85"/>
        <v>2188.2343011650955</v>
      </c>
      <c r="AS100" s="4922">
        <f t="shared" si="85"/>
        <v>-717.09327300486621</v>
      </c>
      <c r="AT100" s="4922">
        <f t="shared" si="85"/>
        <v>2210.2782115816372</v>
      </c>
      <c r="AU100" s="4922">
        <f t="shared" si="85"/>
        <v>1063.6603168136207</v>
      </c>
      <c r="AV100" s="4922">
        <f t="shared" si="85"/>
        <v>492.9832125302637</v>
      </c>
      <c r="AW100" s="6387">
        <f t="shared" si="85"/>
        <v>1674.1680037149927</v>
      </c>
      <c r="AX100" s="6723">
        <f t="shared" si="85"/>
        <v>632046.04277022346</v>
      </c>
      <c r="AY100" s="4799"/>
      <c r="AZ100" s="5835"/>
      <c r="BA100" s="4558">
        <f>AM100/년간!$V$8</f>
        <v>69229.739343864712</v>
      </c>
      <c r="BB100" s="7149">
        <f>(X100+X101+X102)/BC102</f>
        <v>8025.0184858258654</v>
      </c>
      <c r="BC100" s="3123">
        <v>12500</v>
      </c>
      <c r="BD100" s="299" t="s">
        <v>1433</v>
      </c>
      <c r="BE100" s="7069"/>
      <c r="BF100" s="7067" t="s">
        <v>1397</v>
      </c>
      <c r="BG100" s="7067"/>
      <c r="BH100" s="3043" t="s">
        <v>1387</v>
      </c>
      <c r="BI100" s="3158"/>
      <c r="BJ100" s="3058"/>
      <c r="BK100" s="3119">
        <v>1522969.3748582888</v>
      </c>
      <c r="BL100" s="3119">
        <v>1548332.4294910615</v>
      </c>
      <c r="BM100" s="3120">
        <v>1542180.9137077986</v>
      </c>
      <c r="BN100" s="4675"/>
      <c r="BO100" s="4675"/>
      <c r="BP100" s="4531">
        <v>421689325.68007332</v>
      </c>
      <c r="BQ100" s="4548">
        <v>7911.025920757791</v>
      </c>
      <c r="BR100" s="4531">
        <v>101727790.12738982</v>
      </c>
      <c r="BS100" s="4548">
        <v>19358.432819163194</v>
      </c>
      <c r="BT100" s="4652"/>
      <c r="BU100" s="6190"/>
    </row>
    <row r="101" spans="1:74" s="299" customFormat="1" ht="18" thickBot="1">
      <c r="B101" s="7104"/>
      <c r="C101" s="3836" t="s">
        <v>1389</v>
      </c>
      <c r="D101" s="3837" t="s">
        <v>1395</v>
      </c>
      <c r="E101" s="3841"/>
      <c r="F101" s="3841"/>
      <c r="G101" s="3842">
        <v>700688.84038055351</v>
      </c>
      <c r="H101" s="3843">
        <v>656475.58707112074</v>
      </c>
      <c r="I101" s="4405">
        <v>655799.23844883579</v>
      </c>
      <c r="J101" s="4405">
        <v>655799.23844883579</v>
      </c>
      <c r="K101" s="4428">
        <v>658946.45929884992</v>
      </c>
      <c r="L101" s="4426">
        <v>656534.97473036894</v>
      </c>
      <c r="M101" s="3842">
        <v>657691.35266043595</v>
      </c>
      <c r="N101" s="3842">
        <v>659873.9840809108</v>
      </c>
      <c r="O101" s="3842">
        <v>658128.09595063818</v>
      </c>
      <c r="P101" s="3842">
        <v>655055.59134682233</v>
      </c>
      <c r="Q101" s="3842">
        <v>659407.73072735546</v>
      </c>
      <c r="R101" s="3842">
        <v>652377.55503614945</v>
      </c>
      <c r="S101" s="3842">
        <v>653448.29239887325</v>
      </c>
      <c r="T101" s="3842"/>
      <c r="U101" s="3842"/>
      <c r="V101" s="3842"/>
      <c r="W101" s="4798"/>
      <c r="X101" s="4508">
        <f>Z101*년간!D9</f>
        <v>180127870.48141596</v>
      </c>
      <c r="Y101" s="4824">
        <f>X101/10</f>
        <v>18012787.048141595</v>
      </c>
      <c r="Z101" s="3804">
        <f>H101-I101</f>
        <v>676.34862228494603</v>
      </c>
      <c r="AA101" s="4553">
        <f>AO101*년간!F9</f>
        <v>-55966318.433123894</v>
      </c>
      <c r="AB101" s="4824">
        <f>AP101*년간!G9</f>
        <v>-1605874.3754072532</v>
      </c>
      <c r="AC101" s="4824">
        <f>AQ101*년간!H9</f>
        <v>-26404057.857027225</v>
      </c>
      <c r="AD101" s="4824">
        <f>AR101*년간!I9</f>
        <v>-89941091.677881196</v>
      </c>
      <c r="AE101" s="4824">
        <f>AS101*년간!J9</f>
        <v>-40577719.08850418</v>
      </c>
      <c r="AF101" s="4824">
        <f>AT101*년간!K9</f>
        <v>37373492.265928522</v>
      </c>
      <c r="AG101" s="4824">
        <f>AU101*년간!L9</f>
        <v>-90951372.393957675</v>
      </c>
      <c r="AH101" s="4824">
        <f>AV101*년간!M9</f>
        <v>116221840.01869574</v>
      </c>
      <c r="AI101" s="4824">
        <f>AW101*년간!N9</f>
        <v>80212107.824271113</v>
      </c>
      <c r="AJ101" s="4824">
        <f>AX101*년간!O9</f>
        <v>19636709145.610401</v>
      </c>
      <c r="AK101" s="4824">
        <f>AY101*년간!P9</f>
        <v>0</v>
      </c>
      <c r="AL101" s="4824">
        <f>AZ101*년간!Q9</f>
        <v>0</v>
      </c>
      <c r="AM101" s="6342">
        <f t="shared" si="61"/>
        <v>19565070151.893394</v>
      </c>
      <c r="AN101" s="6341">
        <f t="shared" si="66"/>
        <v>676.34862228494603</v>
      </c>
      <c r="AO101" s="4558">
        <f t="shared" ref="AO101:AX101" si="86">$H$101-K101</f>
        <v>-2470.8722277291818</v>
      </c>
      <c r="AP101" s="4558">
        <f t="shared" si="86"/>
        <v>-59.387659248197451</v>
      </c>
      <c r="AQ101" s="4558">
        <f t="shared" si="86"/>
        <v>-1215.7655893152114</v>
      </c>
      <c r="AR101" s="4558">
        <f t="shared" si="86"/>
        <v>-3398.3970097900601</v>
      </c>
      <c r="AS101" s="4558">
        <f t="shared" si="86"/>
        <v>-1652.5088795174379</v>
      </c>
      <c r="AT101" s="4558">
        <f t="shared" si="86"/>
        <v>1419.9957242984092</v>
      </c>
      <c r="AU101" s="4558">
        <f t="shared" si="86"/>
        <v>-2932.1436562347226</v>
      </c>
      <c r="AV101" s="4558">
        <f t="shared" si="86"/>
        <v>4098.0320349712856</v>
      </c>
      <c r="AW101" s="6388">
        <f t="shared" si="86"/>
        <v>3027.2946722474881</v>
      </c>
      <c r="AX101" s="4492">
        <f t="shared" si="86"/>
        <v>656475.58707112074</v>
      </c>
      <c r="AY101" s="4799"/>
      <c r="AZ101" s="5835"/>
      <c r="BA101" s="4558">
        <f>AM101/년간!$V$9</f>
        <v>73959.624585442085</v>
      </c>
      <c r="BB101" s="7149"/>
      <c r="BC101" s="3123">
        <v>137550</v>
      </c>
      <c r="BD101" s="299" t="s">
        <v>1434</v>
      </c>
      <c r="BE101" s="7074" t="s">
        <v>1501</v>
      </c>
      <c r="BF101" s="7070" t="s">
        <v>1504</v>
      </c>
      <c r="BG101" s="7071"/>
      <c r="BH101" s="7071"/>
      <c r="BI101" s="7071"/>
      <c r="BJ101" s="7071"/>
      <c r="BK101" s="7071"/>
      <c r="BL101" s="7071"/>
      <c r="BM101" s="7071"/>
      <c r="BN101" s="7071"/>
      <c r="BO101" s="7071"/>
      <c r="BP101" s="7073"/>
      <c r="BQ101" s="3304">
        <f t="shared" ref="BQ101:BS102" si="87">BQ86+BQ89+BQ92</f>
        <v>4522.9051322365412</v>
      </c>
      <c r="BR101" s="3304">
        <f t="shared" si="87"/>
        <v>10255790.472817302</v>
      </c>
      <c r="BS101" s="3304">
        <f t="shared" si="87"/>
        <v>27.568247043168867</v>
      </c>
      <c r="BT101" s="4470"/>
      <c r="BU101" s="3782"/>
      <c r="BV101" s="299">
        <v>805251.73623840488</v>
      </c>
    </row>
    <row r="102" spans="1:74" s="299" customFormat="1" ht="18" thickBot="1">
      <c r="B102" s="7104"/>
      <c r="C102" s="3836" t="s">
        <v>1390</v>
      </c>
      <c r="D102" s="3837" t="s">
        <v>1394</v>
      </c>
      <c r="E102" s="3841"/>
      <c r="F102" s="3841"/>
      <c r="G102" s="3842">
        <v>857251.34557613404</v>
      </c>
      <c r="H102" s="3843">
        <v>805251.73623840488</v>
      </c>
      <c r="I102" s="4405">
        <v>802744.3170658265</v>
      </c>
      <c r="J102" s="4405">
        <v>816982.78331815766</v>
      </c>
      <c r="K102" s="4428">
        <v>802612.89548276609</v>
      </c>
      <c r="L102" s="4426">
        <v>802904.5236784633</v>
      </c>
      <c r="M102" s="3842">
        <v>798606.35208158183</v>
      </c>
      <c r="N102" s="3842">
        <v>807067.42015616328</v>
      </c>
      <c r="O102" s="3842">
        <v>804701.42596731544</v>
      </c>
      <c r="P102" s="3842">
        <v>806026.69387518673</v>
      </c>
      <c r="Q102" s="3842">
        <v>796237.71281034395</v>
      </c>
      <c r="R102" s="3842">
        <v>802641.64427351754</v>
      </c>
      <c r="S102" s="3842">
        <v>794264.32211709663</v>
      </c>
      <c r="T102" s="3842"/>
      <c r="U102" s="3842"/>
      <c r="V102" s="3842"/>
      <c r="W102" s="4798"/>
      <c r="X102" s="4508">
        <f>Z102*년간!D10</f>
        <v>685854366.27536285</v>
      </c>
      <c r="Y102" s="4824">
        <f>X102/10</f>
        <v>68585436.627536282</v>
      </c>
      <c r="Z102" s="3804">
        <f>H102-I102</f>
        <v>2507.4191725783749</v>
      </c>
      <c r="AA102" s="4553">
        <f>AO102*년간!F10</f>
        <v>65280012.050697997</v>
      </c>
      <c r="AB102" s="4824">
        <f>AP102*년간!G10</f>
        <v>57790368.356437504</v>
      </c>
      <c r="AC102" s="4824">
        <f>AQ102*년간!H10</f>
        <v>178945442.59041637</v>
      </c>
      <c r="AD102" s="4824">
        <f>AR102*년간!I10</f>
        <v>-44836571.292482749</v>
      </c>
      <c r="AE102" s="4824">
        <f>AS102*년간!J10</f>
        <v>12553397.245853843</v>
      </c>
      <c r="AF102" s="4824">
        <f>AT102*년간!K10</f>
        <v>-19366323.085976731</v>
      </c>
      <c r="AG102" s="4824">
        <f>AU102*년간!L10</f>
        <v>278072887.61037737</v>
      </c>
      <c r="AH102" s="4824">
        <f>AV102*년간!M10</f>
        <v>72379912.158978164</v>
      </c>
      <c r="AI102" s="4824">
        <f>AW102*년간!N10</f>
        <v>321561836.89157331</v>
      </c>
      <c r="AJ102" s="4824">
        <f>AX102*년간!O10</f>
        <v>21909538867.612751</v>
      </c>
      <c r="AK102" s="4824">
        <f>AY102*년간!P10</f>
        <v>0</v>
      </c>
      <c r="AL102" s="4824">
        <f>AZ102*년간!Q10</f>
        <v>0</v>
      </c>
      <c r="AM102" s="6342">
        <f t="shared" si="61"/>
        <v>22831919830.138626</v>
      </c>
      <c r="AN102" s="6341">
        <f t="shared" si="66"/>
        <v>2507.4191725783749</v>
      </c>
      <c r="AO102" s="4921">
        <f t="shared" ref="AO102:AX102" si="88">$H$102-K102</f>
        <v>2638.8407556387829</v>
      </c>
      <c r="AP102" s="4921">
        <f t="shared" si="88"/>
        <v>2347.212559941574</v>
      </c>
      <c r="AQ102" s="4921">
        <f t="shared" si="88"/>
        <v>6645.3841568230418</v>
      </c>
      <c r="AR102" s="4921">
        <f t="shared" si="88"/>
        <v>-1815.6839177584043</v>
      </c>
      <c r="AS102" s="4921">
        <f t="shared" si="88"/>
        <v>550.3102710894309</v>
      </c>
      <c r="AT102" s="4921">
        <f t="shared" si="88"/>
        <v>-774.95763678185176</v>
      </c>
      <c r="AU102" s="4921">
        <f t="shared" si="88"/>
        <v>9014.0234280609293</v>
      </c>
      <c r="AV102" s="4921">
        <f t="shared" si="88"/>
        <v>2610.0919648873387</v>
      </c>
      <c r="AW102" s="6389">
        <f t="shared" si="88"/>
        <v>10987.414121308248</v>
      </c>
      <c r="AX102" s="6724">
        <f t="shared" si="88"/>
        <v>805251.73623840488</v>
      </c>
      <c r="AY102" s="4799"/>
      <c r="AZ102" s="5835"/>
      <c r="BA102" s="4558">
        <f>AM102/년간!$V$10</f>
        <v>86102.840482564017</v>
      </c>
      <c r="BB102" s="7149"/>
      <c r="BC102" s="3124">
        <f>SUM(BC100:BC101)</f>
        <v>150050</v>
      </c>
      <c r="BD102" s="299" t="s">
        <v>1435</v>
      </c>
      <c r="BE102" s="7075"/>
      <c r="BF102" s="7070" t="s">
        <v>1505</v>
      </c>
      <c r="BG102" s="7071"/>
      <c r="BH102" s="7071"/>
      <c r="BI102" s="7071"/>
      <c r="BJ102" s="7071"/>
      <c r="BK102" s="7071"/>
      <c r="BL102" s="7071"/>
      <c r="BM102" s="7071"/>
      <c r="BN102" s="7071"/>
      <c r="BO102" s="7071"/>
      <c r="BP102" s="7073"/>
      <c r="BQ102" s="3309">
        <f t="shared" si="87"/>
        <v>8437.1341345784258</v>
      </c>
      <c r="BR102" s="3309">
        <f t="shared" si="87"/>
        <v>187799080.53932181</v>
      </c>
      <c r="BS102" s="3309">
        <f t="shared" si="87"/>
        <v>6616.3797428016833</v>
      </c>
      <c r="BT102" s="4473"/>
      <c r="BU102" s="3783"/>
    </row>
    <row r="103" spans="1:74" s="299" customFormat="1" ht="18" thickBot="1">
      <c r="B103" s="7104"/>
      <c r="C103" s="3836" t="s">
        <v>1391</v>
      </c>
      <c r="D103" s="3837" t="s">
        <v>1394</v>
      </c>
      <c r="E103" s="3841"/>
      <c r="F103" s="3841"/>
      <c r="G103" s="3842">
        <v>1037574.569727979</v>
      </c>
      <c r="H103" s="3843">
        <v>984411.51794314571</v>
      </c>
      <c r="I103" s="4405">
        <v>980770.25558510807</v>
      </c>
      <c r="J103" s="4405">
        <v>976097.23040256242</v>
      </c>
      <c r="K103" s="4428">
        <v>986804.88682796899</v>
      </c>
      <c r="L103" s="4426">
        <v>998706.63297961524</v>
      </c>
      <c r="M103" s="3842">
        <v>982507.31846382003</v>
      </c>
      <c r="N103" s="3842">
        <v>982068.28971290332</v>
      </c>
      <c r="O103" s="3842">
        <v>984566.82700428762</v>
      </c>
      <c r="P103" s="3842">
        <v>987121.68871725199</v>
      </c>
      <c r="Q103" s="3842">
        <v>981930.31587804505</v>
      </c>
      <c r="R103" s="3842">
        <v>1000292.4467312837</v>
      </c>
      <c r="S103" s="3842">
        <v>1001041.9817483724</v>
      </c>
      <c r="T103" s="3842"/>
      <c r="U103" s="3842"/>
      <c r="V103" s="3842"/>
      <c r="W103" s="4798"/>
      <c r="X103" s="4508">
        <f>Z103*년간!D11</f>
        <v>609474493.4883399</v>
      </c>
      <c r="Y103" s="4824">
        <f>X103/12</f>
        <v>50789541.124028325</v>
      </c>
      <c r="Z103" s="3804">
        <f>H103-I103</f>
        <v>3641.2623580376385</v>
      </c>
      <c r="AA103" s="4553">
        <f>AO103*년간!F11</f>
        <v>-32823402.830820825</v>
      </c>
      <c r="AB103" s="4824">
        <f>AP103*년간!G11</f>
        <v>-163091966.79302838</v>
      </c>
      <c r="AC103" s="4824">
        <f>AQ103*년간!H11</f>
        <v>25324101.211510491</v>
      </c>
      <c r="AD103" s="4824">
        <f>AR103*년간!I11</f>
        <v>30240110.144311652</v>
      </c>
      <c r="AE103" s="4824">
        <f>AS103*년간!J11</f>
        <v>-1962944.7007921273</v>
      </c>
      <c r="AF103" s="4824">
        <f>AT103*년간!K11</f>
        <v>-36837047.687268749</v>
      </c>
      <c r="AG103" s="4824">
        <f>AU103*년간!L11</f>
        <v>37363156.485297643</v>
      </c>
      <c r="AH103" s="4824">
        <f>AV103*년간!M11</f>
        <v>-197161254.47686926</v>
      </c>
      <c r="AI103" s="4824">
        <f>AW103*년간!N11</f>
        <v>-216459788.62389833</v>
      </c>
      <c r="AJ103" s="4824">
        <f>AX103*년간!O11</f>
        <v>13427835778.157942</v>
      </c>
      <c r="AK103" s="4824">
        <f>AY103*년간!P11</f>
        <v>0</v>
      </c>
      <c r="AL103" s="4824">
        <f>AZ103*년간!Q11</f>
        <v>0</v>
      </c>
      <c r="AM103" s="6342">
        <f t="shared" si="61"/>
        <v>12872426740.886383</v>
      </c>
      <c r="AN103" s="6341">
        <f t="shared" si="66"/>
        <v>3641.2623580376385</v>
      </c>
      <c r="AO103" s="4558">
        <f t="shared" ref="AO103:AX103" si="89">$H$103-K103</f>
        <v>-2393.368884823285</v>
      </c>
      <c r="AP103" s="4558">
        <f t="shared" si="89"/>
        <v>-14295.115036469535</v>
      </c>
      <c r="AQ103" s="4921">
        <f t="shared" si="89"/>
        <v>1904.1994793256745</v>
      </c>
      <c r="AR103" s="4921">
        <f t="shared" si="89"/>
        <v>2343.2282302423846</v>
      </c>
      <c r="AS103" s="4921">
        <f t="shared" si="89"/>
        <v>-155.30906114191748</v>
      </c>
      <c r="AT103" s="4921">
        <f t="shared" si="89"/>
        <v>-2710.1707741062855</v>
      </c>
      <c r="AU103" s="4921">
        <f t="shared" si="89"/>
        <v>2481.2020651006605</v>
      </c>
      <c r="AV103" s="4921">
        <f t="shared" si="89"/>
        <v>-15880.928788137971</v>
      </c>
      <c r="AW103" s="6389">
        <f t="shared" si="89"/>
        <v>-16630.463805226726</v>
      </c>
      <c r="AX103" s="6724">
        <f t="shared" si="89"/>
        <v>984411.51794314571</v>
      </c>
      <c r="AY103" s="4799"/>
      <c r="AZ103" s="5835"/>
      <c r="BA103" s="4558">
        <f>AM103/년간!$V$11</f>
        <v>81661.518927527883</v>
      </c>
      <c r="BB103" s="2439">
        <f>X103/BC103</f>
        <v>3903.3847411831684</v>
      </c>
      <c r="BC103" s="3118">
        <v>156140</v>
      </c>
      <c r="BD103" s="299" t="s">
        <v>1436</v>
      </c>
      <c r="BE103" s="7074" t="s">
        <v>1502</v>
      </c>
      <c r="BF103" s="7070" t="s">
        <v>1506</v>
      </c>
      <c r="BG103" s="7071"/>
      <c r="BH103" s="7071"/>
      <c r="BI103" s="7071"/>
      <c r="BJ103" s="7071"/>
      <c r="BK103" s="7071"/>
      <c r="BL103" s="7071"/>
      <c r="BM103" s="7071"/>
      <c r="BN103" s="7071"/>
      <c r="BO103" s="7071"/>
      <c r="BP103" s="7073"/>
      <c r="BQ103" s="3304">
        <f t="shared" ref="BQ103:BS104" si="90">BQ101+BQ95</f>
        <v>5504.6611877867053</v>
      </c>
      <c r="BR103" s="3304">
        <f t="shared" si="90"/>
        <v>35110091.939467892</v>
      </c>
      <c r="BS103" s="3304">
        <f t="shared" si="90"/>
        <v>1960.9132962686053</v>
      </c>
      <c r="BT103" s="4470"/>
      <c r="BU103" s="3782"/>
    </row>
    <row r="104" spans="1:74" s="299" customFormat="1" ht="18" thickBot="1">
      <c r="B104" s="7104"/>
      <c r="C104" s="3810" t="s">
        <v>1392</v>
      </c>
      <c r="D104" s="3839" t="s">
        <v>1394</v>
      </c>
      <c r="E104" s="3844"/>
      <c r="F104" s="3844"/>
      <c r="G104" s="3845">
        <v>1543151.830698852</v>
      </c>
      <c r="H104" s="3571">
        <v>1555032.1951085397</v>
      </c>
      <c r="I104" s="4406">
        <v>1546899.6749898116</v>
      </c>
      <c r="J104" s="4406">
        <v>1521028.7904006478</v>
      </c>
      <c r="K104" s="6412">
        <v>1552788.9475582563</v>
      </c>
      <c r="L104" s="6413">
        <v>1509543.8807727976</v>
      </c>
      <c r="M104" s="3845">
        <v>1561275.1501203449</v>
      </c>
      <c r="N104" s="3845">
        <v>1570073.1752464478</v>
      </c>
      <c r="O104" s="3845">
        <v>1566326.0412036872</v>
      </c>
      <c r="P104" s="3845">
        <v>1535673.7622893765</v>
      </c>
      <c r="Q104" s="3845">
        <v>1565017.0054078826</v>
      </c>
      <c r="R104" s="3845">
        <v>1529334.5669901946</v>
      </c>
      <c r="S104" s="3845">
        <v>1658113.8488411966</v>
      </c>
      <c r="T104" s="3845"/>
      <c r="U104" s="3845"/>
      <c r="V104" s="3845"/>
      <c r="W104" s="6414"/>
      <c r="X104" s="4920">
        <f>Z104*년간!D12</f>
        <v>433495852.40867984</v>
      </c>
      <c r="Y104" s="4919">
        <f>X104/12</f>
        <v>36124654.367389984</v>
      </c>
      <c r="Z104" s="6415">
        <f>H104-I104</f>
        <v>8132.5201187280472</v>
      </c>
      <c r="AA104" s="4918">
        <f>AO104*년간!F12</f>
        <v>11545568.924273726</v>
      </c>
      <c r="AB104" s="4919">
        <f>AP104*년간!G12</f>
        <v>239747980.23910183</v>
      </c>
      <c r="AC104" s="4919">
        <f>AQ104*년간!H12</f>
        <v>-26300345.845553353</v>
      </c>
      <c r="AD104" s="4919">
        <f>AR104*년간!I12</f>
        <v>-68490787.647740126</v>
      </c>
      <c r="AE104" s="4919">
        <f>AS104*년간!J12</f>
        <v>-45522557.209555008</v>
      </c>
      <c r="AF104" s="4919">
        <f>AT104*년간!K12</f>
        <v>101727790.12738982</v>
      </c>
      <c r="AG104" s="4919">
        <f>AU104*년간!L12</f>
        <v>-49662050.074460059</v>
      </c>
      <c r="AH104" s="4919">
        <f>AV104*년간!M12</f>
        <v>118657255.97877118</v>
      </c>
      <c r="AI104" s="4919">
        <f>AW104*년간!N12</f>
        <v>-422535306.50804156</v>
      </c>
      <c r="AJ104" s="4919">
        <f>AX104*년간!O12</f>
        <v>6885495956.0772009</v>
      </c>
      <c r="AK104" s="4919">
        <f>AY104*년간!P12</f>
        <v>0</v>
      </c>
      <c r="AL104" s="4919">
        <f>AZ104*년간!Q12</f>
        <v>0</v>
      </c>
      <c r="AM104" s="6404">
        <f t="shared" si="61"/>
        <v>6744663504.0613871</v>
      </c>
      <c r="AN104" s="6405">
        <f t="shared" si="66"/>
        <v>8132.5201187280472</v>
      </c>
      <c r="AO104" s="6406">
        <f t="shared" ref="AO104:AX104" si="91">$H$104-K104</f>
        <v>2243.2475502833258</v>
      </c>
      <c r="AP104" s="6407">
        <f t="shared" si="91"/>
        <v>45488.314335742034</v>
      </c>
      <c r="AQ104" s="6407">
        <f t="shared" si="91"/>
        <v>-6242.9550118052866</v>
      </c>
      <c r="AR104" s="6407">
        <f t="shared" si="91"/>
        <v>-15040.980137908133</v>
      </c>
      <c r="AS104" s="6407">
        <f t="shared" si="91"/>
        <v>-11293.846095147543</v>
      </c>
      <c r="AT104" s="6407">
        <f t="shared" si="91"/>
        <v>19358.432819163194</v>
      </c>
      <c r="AU104" s="6407">
        <f t="shared" si="91"/>
        <v>-9984.8102993429638</v>
      </c>
      <c r="AV104" s="6407">
        <f t="shared" si="91"/>
        <v>25697.628118345048</v>
      </c>
      <c r="AW104" s="6408">
        <f t="shared" si="91"/>
        <v>-103081.65373265697</v>
      </c>
      <c r="AX104" s="6725">
        <f t="shared" si="91"/>
        <v>1555032.1951085397</v>
      </c>
      <c r="AY104" s="6410"/>
      <c r="AZ104" s="6411"/>
      <c r="BA104" s="6406">
        <f>AM104/년간!$V$12</f>
        <v>120199.28920914896</v>
      </c>
      <c r="BB104" s="2439">
        <f>X104/BC104</f>
        <v>6841.7905998844672</v>
      </c>
      <c r="BC104" s="3118">
        <v>63360</v>
      </c>
      <c r="BD104" s="299" t="s">
        <v>1437</v>
      </c>
      <c r="BE104" s="7075"/>
      <c r="BF104" s="7070" t="s">
        <v>1507</v>
      </c>
      <c r="BG104" s="7071"/>
      <c r="BH104" s="7071"/>
      <c r="BI104" s="7071"/>
      <c r="BJ104" s="7071"/>
      <c r="BK104" s="7071"/>
      <c r="BL104" s="7071"/>
      <c r="BM104" s="7071"/>
      <c r="BN104" s="7071"/>
      <c r="BO104" s="7071"/>
      <c r="BP104" s="7073"/>
      <c r="BQ104" s="3309">
        <f t="shared" si="90"/>
        <v>16060.775866710068</v>
      </c>
      <c r="BR104" s="3309">
        <f t="shared" si="90"/>
        <v>224385579.58631456</v>
      </c>
      <c r="BS104" s="3309">
        <f t="shared" si="90"/>
        <v>9412.8845997354056</v>
      </c>
      <c r="BT104" s="4473"/>
      <c r="BU104" s="3783"/>
    </row>
    <row r="105" spans="1:74" s="299" customFormat="1" ht="18" thickBot="1">
      <c r="B105" s="7105"/>
      <c r="C105" s="2462" t="s">
        <v>16</v>
      </c>
      <c r="D105" s="1972" t="s">
        <v>1396</v>
      </c>
      <c r="E105" s="3008"/>
      <c r="F105" s="3008"/>
      <c r="G105" s="3117">
        <f t="shared" ref="G105:O105" si="92">SUM(G100:G104)</f>
        <v>4814372.2397299092</v>
      </c>
      <c r="H105" s="3572">
        <f t="shared" si="92"/>
        <v>4633217.0791314347</v>
      </c>
      <c r="I105" s="4407">
        <f t="shared" si="92"/>
        <v>4617036.8735492304</v>
      </c>
      <c r="J105" s="4407">
        <f t="shared" si="92"/>
        <v>4600731.4300298514</v>
      </c>
      <c r="K105" s="4407">
        <f t="shared" si="92"/>
        <v>4634578.58706473</v>
      </c>
      <c r="L105" s="4820">
        <f t="shared" si="92"/>
        <v>4598159.3426568601</v>
      </c>
      <c r="M105" s="4820">
        <f t="shared" si="92"/>
        <v>4634888.4878877215</v>
      </c>
      <c r="N105" s="4820">
        <f t="shared" si="92"/>
        <v>4648940.6776654832</v>
      </c>
      <c r="O105" s="4820">
        <f t="shared" si="92"/>
        <v>4646485.5261691567</v>
      </c>
      <c r="P105" s="4820">
        <f>SUM(P100:P104)</f>
        <v>4613713.5007872796</v>
      </c>
      <c r="Q105" s="4820">
        <f>SUM(Q100:Q104)</f>
        <v>4633575.1472770376</v>
      </c>
      <c r="R105" s="4820">
        <f>SUM(R100:R104)</f>
        <v>4616199.2725888388</v>
      </c>
      <c r="S105" s="4820">
        <f>SUM(S100:S104)</f>
        <v>4737240.3198720478</v>
      </c>
      <c r="T105" s="3117"/>
      <c r="U105" s="3117"/>
      <c r="V105" s="3117"/>
      <c r="W105" s="6416"/>
      <c r="X105" s="4926">
        <f t="shared" ref="X105:AE105" si="93">SUM(X100:X104)</f>
        <v>2247124369.6951909</v>
      </c>
      <c r="Y105" s="3117">
        <f t="shared" si="93"/>
        <v>207329597.8712354</v>
      </c>
      <c r="Z105" s="4925">
        <f t="shared" si="93"/>
        <v>16180.205582204275</v>
      </c>
      <c r="AA105" s="4924">
        <f t="shared" si="93"/>
        <v>-48166515.627264604</v>
      </c>
      <c r="AB105" s="4923">
        <f t="shared" si="93"/>
        <v>178455045.80548966</v>
      </c>
      <c r="AC105" s="4923">
        <f t="shared" si="93"/>
        <v>85814397.932617694</v>
      </c>
      <c r="AD105" s="4923">
        <f t="shared" si="93"/>
        <v>-116275717.99107026</v>
      </c>
      <c r="AE105" s="4923">
        <f t="shared" si="93"/>
        <v>-93752432.806528449</v>
      </c>
      <c r="AF105" s="4923">
        <f>SUM(AF100:AF104)</f>
        <v>148087194.10899818</v>
      </c>
      <c r="AG105" s="4923">
        <f>SUM(AG100:AG104)</f>
        <v>209320593.23415583</v>
      </c>
      <c r="AH105" s="4923">
        <f>SUM(AH100:AH104)</f>
        <v>124183089.10315153</v>
      </c>
      <c r="AI105" s="4923">
        <f>SUM(AI100:AI104)</f>
        <v>-187697737.37332261</v>
      </c>
      <c r="AJ105" s="4923">
        <f>SUM(AJ100:AJ104)</f>
        <v>81217014985.977753</v>
      </c>
      <c r="AK105" s="4923">
        <f t="shared" ref="AK105:AL105" si="94">SUM(AK100:AK104)</f>
        <v>0</v>
      </c>
      <c r="AL105" s="4923">
        <f t="shared" si="94"/>
        <v>0</v>
      </c>
      <c r="AM105" s="6417">
        <f t="shared" si="61"/>
        <v>81516982902.363983</v>
      </c>
      <c r="AN105" s="4502">
        <f>X105/년간!E13</f>
        <v>2166.6840573808686</v>
      </c>
      <c r="AO105" s="4502">
        <f>AA105/년간!F13</f>
        <v>-520.74408357833181</v>
      </c>
      <c r="AP105" s="4502">
        <f>AB105/년간!G13</f>
        <v>1834.6167831435268</v>
      </c>
      <c r="AQ105" s="4502">
        <f>AC105/년간!H13</f>
        <v>953.90821804134589</v>
      </c>
      <c r="AR105" s="4502">
        <f>AD105/년간!I13</f>
        <v>-1229.727370052809</v>
      </c>
      <c r="AS105" s="4502">
        <f>AE105/년간!J13</f>
        <v>-1047.7933921563074</v>
      </c>
      <c r="AT105" s="4502">
        <f>AF105/년간!K13</f>
        <v>1486.0669338774305</v>
      </c>
      <c r="AU105" s="4502">
        <f>AG105/년간!L13</f>
        <v>1830.7951361980708</v>
      </c>
      <c r="AV105" s="4502">
        <f>AH105/년간!M13</f>
        <v>1221.129858070751</v>
      </c>
      <c r="AW105" s="6338">
        <f>AI105/년간!N13</f>
        <v>-1831.9394179342257</v>
      </c>
      <c r="AX105" s="4502">
        <f>AJ105/년간!O13</f>
        <v>767533.44417877868</v>
      </c>
      <c r="AY105" s="6418"/>
      <c r="AZ105" s="6418"/>
      <c r="BA105" s="4815">
        <f>AM105/년간!$V$13</f>
        <v>79516.030924546576</v>
      </c>
      <c r="BC105" s="3118">
        <f>SUM(BC103:BC104)</f>
        <v>219500</v>
      </c>
      <c r="BD105" s="299" t="s">
        <v>1438</v>
      </c>
      <c r="BE105" s="7074" t="s">
        <v>1503</v>
      </c>
      <c r="BF105" s="7070" t="s">
        <v>1508</v>
      </c>
      <c r="BG105" s="7071"/>
      <c r="BH105" s="7071"/>
      <c r="BI105" s="7071"/>
      <c r="BJ105" s="7071"/>
      <c r="BK105" s="7071"/>
      <c r="BL105" s="7071"/>
      <c r="BM105" s="7071"/>
      <c r="BN105" s="7071"/>
      <c r="BO105" s="7071"/>
      <c r="BP105" s="7073"/>
      <c r="BQ105" s="3304">
        <f t="shared" ref="BQ105:BS106" si="95">BQ101+BQ98</f>
        <v>8891.5594040631004</v>
      </c>
      <c r="BR105" s="3304">
        <f t="shared" si="95"/>
        <v>52749339.666618064</v>
      </c>
      <c r="BS105" s="3304">
        <f t="shared" si="95"/>
        <v>7119.8593934643795</v>
      </c>
      <c r="BT105" s="4470"/>
      <c r="BU105" s="3782"/>
      <c r="BV105" s="299">
        <v>1131749.5975586721</v>
      </c>
    </row>
    <row r="106" spans="1:74" s="299" customFormat="1" ht="18" thickBot="1">
      <c r="C106" s="2381"/>
      <c r="D106" s="2382"/>
      <c r="E106" s="3039"/>
      <c r="F106" s="3039"/>
      <c r="G106" s="3039"/>
      <c r="H106" s="4999">
        <v>984411.51794314571</v>
      </c>
      <c r="I106" s="4999">
        <v>980770.25558510807</v>
      </c>
      <c r="J106" s="3039">
        <v>1555032.1951085397</v>
      </c>
      <c r="K106" s="3039">
        <v>1546899.6749898116</v>
      </c>
      <c r="L106" s="3039"/>
      <c r="M106" s="3039"/>
      <c r="N106" s="3039"/>
      <c r="O106" s="3039"/>
      <c r="P106" s="3039"/>
      <c r="Q106" s="3039"/>
      <c r="R106" s="3039"/>
      <c r="S106" s="3039"/>
      <c r="T106" s="3039"/>
      <c r="U106" s="3039"/>
      <c r="V106" s="3039"/>
      <c r="W106" s="3039"/>
      <c r="X106" s="2465"/>
      <c r="Y106" s="2465"/>
      <c r="Z106" s="1534"/>
      <c r="AA106" s="2465"/>
      <c r="AB106" s="2465"/>
      <c r="AC106" s="2465"/>
      <c r="AD106" s="2465"/>
      <c r="AE106" s="2465"/>
      <c r="AF106" s="2465"/>
      <c r="AG106" s="2465"/>
      <c r="AH106" s="2465"/>
      <c r="AI106" s="2465"/>
      <c r="AJ106" s="2465"/>
      <c r="AK106" s="2465"/>
      <c r="AL106" s="2465"/>
      <c r="AM106" s="2465"/>
      <c r="AN106" s="1534"/>
      <c r="AO106" s="1534"/>
      <c r="AP106" s="1534"/>
      <c r="AQ106" s="1534"/>
      <c r="AR106" s="1534"/>
      <c r="AS106" s="1534"/>
      <c r="AT106" s="1534"/>
      <c r="AU106" s="1534"/>
      <c r="AV106" s="1534"/>
      <c r="AW106" s="1534"/>
      <c r="AX106" s="1534"/>
      <c r="AY106" s="1534"/>
      <c r="AZ106" s="1534"/>
      <c r="BA106" s="1534"/>
      <c r="BE106" s="7075"/>
      <c r="BF106" s="7070" t="s">
        <v>1509</v>
      </c>
      <c r="BG106" s="7071"/>
      <c r="BH106" s="7071"/>
      <c r="BI106" s="7071"/>
      <c r="BJ106" s="7071"/>
      <c r="BK106" s="7071"/>
      <c r="BL106" s="7071"/>
      <c r="BM106" s="7071"/>
      <c r="BN106" s="7071"/>
      <c r="BO106" s="7071"/>
      <c r="BP106" s="7073"/>
      <c r="BQ106" s="3309">
        <f t="shared" si="95"/>
        <v>19486.935292099482</v>
      </c>
      <c r="BR106" s="3309">
        <f t="shared" si="95"/>
        <v>289035155.69283837</v>
      </c>
      <c r="BS106" s="3309">
        <f t="shared" si="95"/>
        <v>24887.162440008407</v>
      </c>
      <c r="BT106" s="4473"/>
      <c r="BU106" s="3783"/>
    </row>
    <row r="107" spans="1:74" ht="17.399999999999999">
      <c r="Z107" s="1534"/>
      <c r="AN107" s="1534"/>
      <c r="AO107" s="1534"/>
      <c r="AP107" s="1534"/>
      <c r="AQ107" s="1534"/>
      <c r="AR107" s="1534"/>
      <c r="AS107" s="1534"/>
      <c r="AT107" s="1534"/>
      <c r="AU107" s="1534"/>
      <c r="AV107" s="1534"/>
      <c r="AW107" s="1534"/>
      <c r="AX107" s="1534"/>
      <c r="AY107" s="1534"/>
      <c r="AZ107" s="1534"/>
      <c r="BA107" s="1534"/>
      <c r="BE107" s="299"/>
      <c r="BF107" s="299"/>
      <c r="BG107" s="299"/>
      <c r="BH107" s="299"/>
      <c r="BI107" s="299"/>
      <c r="BJ107" s="299"/>
      <c r="BK107" s="299"/>
      <c r="BL107" s="299"/>
      <c r="BM107" s="299"/>
      <c r="BP107" s="299"/>
      <c r="BQ107" s="299"/>
      <c r="BU107" s="1707"/>
    </row>
    <row r="108" spans="1:74" ht="18" thickBot="1">
      <c r="H108" s="4998">
        <v>1555032.1951085397</v>
      </c>
      <c r="I108" s="4998">
        <v>1546899.6749898116</v>
      </c>
      <c r="Z108" s="1534"/>
      <c r="AN108" s="6459"/>
      <c r="AO108" s="1534"/>
      <c r="AP108" s="1534"/>
      <c r="AQ108" s="1534"/>
      <c r="AR108" s="1534"/>
      <c r="AS108" s="1534"/>
      <c r="AT108" s="1534"/>
      <c r="AU108" s="1534"/>
      <c r="AV108" s="1534"/>
      <c r="AW108" s="1534"/>
      <c r="AX108" s="1534"/>
      <c r="AY108" s="1534"/>
      <c r="AZ108" s="1534"/>
      <c r="BA108" s="1534"/>
      <c r="BE108" s="300" t="s">
        <v>1427</v>
      </c>
      <c r="BU108" s="1707"/>
      <c r="BV108" t="s">
        <v>1774</v>
      </c>
    </row>
    <row r="109" spans="1:74" ht="35.4" thickBot="1">
      <c r="A109" s="3005" t="s">
        <v>1255</v>
      </c>
      <c r="B109" s="3006" t="s">
        <v>1254</v>
      </c>
      <c r="C109" s="2986" t="s">
        <v>253</v>
      </c>
      <c r="D109" s="3007" t="s">
        <v>234</v>
      </c>
      <c r="E109" s="2721" t="s">
        <v>555</v>
      </c>
      <c r="F109" s="2611" t="s">
        <v>738</v>
      </c>
      <c r="G109" s="2612" t="s">
        <v>1000</v>
      </c>
      <c r="H109" s="3048" t="s">
        <v>1238</v>
      </c>
      <c r="I109" s="6529" t="s">
        <v>1298</v>
      </c>
      <c r="J109" s="3126" t="s">
        <v>1605</v>
      </c>
      <c r="K109" s="4677" t="s">
        <v>1651</v>
      </c>
      <c r="L109" s="4677" t="s">
        <v>1692</v>
      </c>
      <c r="M109" s="4371" t="s">
        <v>1693</v>
      </c>
      <c r="N109" s="4371" t="s">
        <v>1694</v>
      </c>
      <c r="O109" s="4371" t="s">
        <v>1695</v>
      </c>
      <c r="P109" s="5220" t="s">
        <v>1696</v>
      </c>
      <c r="Q109" s="5220" t="s">
        <v>1697</v>
      </c>
      <c r="R109" s="5220" t="s">
        <v>1698</v>
      </c>
      <c r="S109" s="5220" t="s">
        <v>1699</v>
      </c>
      <c r="T109" s="5220" t="s">
        <v>1700</v>
      </c>
      <c r="U109" s="5220" t="s">
        <v>1701</v>
      </c>
      <c r="V109" s="5220" t="s">
        <v>1702</v>
      </c>
      <c r="W109" s="4371" t="s">
        <v>1824</v>
      </c>
      <c r="X109" s="6602" t="s">
        <v>1681</v>
      </c>
      <c r="Y109" s="2808" t="s">
        <v>1982</v>
      </c>
      <c r="Z109" s="5222" t="s">
        <v>1684</v>
      </c>
      <c r="AA109" s="3006" t="s">
        <v>1652</v>
      </c>
      <c r="AB109" s="3006" t="s">
        <v>1656</v>
      </c>
      <c r="AC109" s="3125" t="s">
        <v>1657</v>
      </c>
      <c r="AD109" s="3006" t="s">
        <v>1658</v>
      </c>
      <c r="AE109" s="3006" t="s">
        <v>1659</v>
      </c>
      <c r="AF109" s="3006" t="s">
        <v>1660</v>
      </c>
      <c r="AG109" s="3006" t="s">
        <v>1661</v>
      </c>
      <c r="AH109" s="3006" t="s">
        <v>1662</v>
      </c>
      <c r="AI109" s="3125" t="s">
        <v>1663</v>
      </c>
      <c r="AJ109" s="3125" t="s">
        <v>1664</v>
      </c>
      <c r="AK109" s="3125" t="s">
        <v>1665</v>
      </c>
      <c r="AL109" s="3125" t="s">
        <v>1666</v>
      </c>
      <c r="AM109" s="3048" t="s">
        <v>1961</v>
      </c>
      <c r="AN109" s="6419" t="s">
        <v>1983</v>
      </c>
      <c r="AO109" s="3048" t="s">
        <v>1653</v>
      </c>
      <c r="AP109" s="3048" t="s">
        <v>1670</v>
      </c>
      <c r="AQ109" s="3048" t="s">
        <v>1671</v>
      </c>
      <c r="AR109" s="3048" t="s">
        <v>1672</v>
      </c>
      <c r="AS109" s="3048" t="s">
        <v>1673</v>
      </c>
      <c r="AT109" s="3048" t="s">
        <v>1674</v>
      </c>
      <c r="AU109" s="6419" t="s">
        <v>1675</v>
      </c>
      <c r="AV109" s="3006" t="s">
        <v>1676</v>
      </c>
      <c r="AW109" s="6605" t="s">
        <v>1677</v>
      </c>
      <c r="AX109" s="4795" t="s">
        <v>1678</v>
      </c>
      <c r="AY109" s="4795" t="s">
        <v>1679</v>
      </c>
      <c r="AZ109" s="6460" t="s">
        <v>1680</v>
      </c>
      <c r="BA109" s="6399" t="s">
        <v>1962</v>
      </c>
      <c r="BB109" s="6189"/>
      <c r="BC109" s="3980"/>
      <c r="BE109" s="2462" t="s">
        <v>1255</v>
      </c>
      <c r="BF109" s="4678" t="s">
        <v>1254</v>
      </c>
      <c r="BG109" s="2463" t="s">
        <v>253</v>
      </c>
      <c r="BH109" s="5219" t="s">
        <v>234</v>
      </c>
      <c r="BI109" s="6184" t="s">
        <v>555</v>
      </c>
      <c r="BJ109" s="6185" t="s">
        <v>738</v>
      </c>
      <c r="BK109" s="5220" t="s">
        <v>1000</v>
      </c>
      <c r="BL109" s="4678" t="s">
        <v>1238</v>
      </c>
      <c r="BM109" s="6183" t="s">
        <v>1298</v>
      </c>
      <c r="BN109" s="2808" t="s">
        <v>1821</v>
      </c>
      <c r="BO109" s="5221" t="s">
        <v>1700</v>
      </c>
      <c r="BP109" s="6248" t="s">
        <v>1822</v>
      </c>
      <c r="BQ109" s="3126" t="s">
        <v>1683</v>
      </c>
      <c r="BR109" s="4429" t="s">
        <v>1664</v>
      </c>
      <c r="BS109" s="2808" t="s">
        <v>1678</v>
      </c>
      <c r="BT109" s="6399" t="s">
        <v>1963</v>
      </c>
      <c r="BU109" s="6189"/>
    </row>
    <row r="110" spans="1:74" ht="17.399999999999999" hidden="1" customHeight="1">
      <c r="A110" s="7068" t="s">
        <v>1251</v>
      </c>
      <c r="B110" s="7082" t="s">
        <v>1185</v>
      </c>
      <c r="C110" s="7082"/>
      <c r="D110" s="2567" t="s">
        <v>452</v>
      </c>
      <c r="E110" s="2468">
        <f t="shared" ref="E110:O110" si="96">E2</f>
        <v>59.260000000000005</v>
      </c>
      <c r="F110" s="2468">
        <f t="shared" si="96"/>
        <v>32</v>
      </c>
      <c r="G110" s="2469">
        <f t="shared" si="96"/>
        <v>8.3800000000000008</v>
      </c>
      <c r="H110" s="3289">
        <f t="shared" si="96"/>
        <v>24.889999999999997</v>
      </c>
      <c r="I110" s="6530">
        <f t="shared" si="96"/>
        <v>15</v>
      </c>
      <c r="J110" s="6531">
        <f t="shared" si="96"/>
        <v>1.5</v>
      </c>
      <c r="K110" s="5862">
        <f t="shared" si="96"/>
        <v>0</v>
      </c>
      <c r="L110" s="5862">
        <f t="shared" si="96"/>
        <v>0</v>
      </c>
      <c r="M110" s="5862">
        <f t="shared" si="96"/>
        <v>0</v>
      </c>
      <c r="N110" s="5862">
        <f t="shared" si="96"/>
        <v>0</v>
      </c>
      <c r="O110" s="5862">
        <f t="shared" si="96"/>
        <v>0</v>
      </c>
      <c r="P110" s="5862">
        <f t="shared" ref="P110:W110" si="97">P2</f>
        <v>0</v>
      </c>
      <c r="Q110" s="5862">
        <f t="shared" si="97"/>
        <v>3.59</v>
      </c>
      <c r="R110" s="5862">
        <f t="shared" si="97"/>
        <v>5</v>
      </c>
      <c r="S110" s="5862">
        <f t="shared" si="97"/>
        <v>0</v>
      </c>
      <c r="T110" s="5862">
        <f t="shared" si="97"/>
        <v>0</v>
      </c>
      <c r="U110" s="5862">
        <f t="shared" si="97"/>
        <v>0</v>
      </c>
      <c r="V110" s="5862">
        <f t="shared" si="97"/>
        <v>0</v>
      </c>
      <c r="W110" s="6507">
        <f t="shared" si="97"/>
        <v>8.59</v>
      </c>
      <c r="X110" s="3390">
        <f t="shared" ref="X110:AE110" si="98">X2</f>
        <v>4290531.5665485309</v>
      </c>
      <c r="Y110" s="3390">
        <f t="shared" si="98"/>
        <v>429053.1566548532</v>
      </c>
      <c r="Z110" s="3391">
        <f t="shared" si="98"/>
        <v>15.512356163494189</v>
      </c>
      <c r="AA110" s="3390">
        <f t="shared" si="98"/>
        <v>899825.84000162582</v>
      </c>
      <c r="AB110" s="3390">
        <f t="shared" si="98"/>
        <v>899825.84000162582</v>
      </c>
      <c r="AC110" s="3390">
        <f t="shared" si="98"/>
        <v>899825.84000162582</v>
      </c>
      <c r="AD110" s="3390">
        <f t="shared" si="98"/>
        <v>899825.84000162582</v>
      </c>
      <c r="AE110" s="3390">
        <f t="shared" si="98"/>
        <v>899825.84000162582</v>
      </c>
      <c r="AF110" s="3390">
        <f t="shared" ref="AF110:AL110" si="99">AF2</f>
        <v>899825.84000162582</v>
      </c>
      <c r="AG110" s="3390">
        <f t="shared" si="99"/>
        <v>-657606.75088909513</v>
      </c>
      <c r="AH110" s="3390">
        <f t="shared" si="99"/>
        <v>-1269300.3311553672</v>
      </c>
      <c r="AI110" s="3390">
        <f t="shared" si="99"/>
        <v>899825.84000162582</v>
      </c>
      <c r="AJ110" s="3390">
        <f t="shared" si="99"/>
        <v>899825.84000162582</v>
      </c>
      <c r="AK110" s="3390">
        <f t="shared" si="99"/>
        <v>899825.84000162582</v>
      </c>
      <c r="AL110" s="3390">
        <f t="shared" si="99"/>
        <v>899825.84000162582</v>
      </c>
      <c r="AM110" s="3391">
        <f>SUM(AA110:AL110)</f>
        <v>7071351.3179717958</v>
      </c>
      <c r="AN110" s="4562">
        <f t="shared" ref="AN110:AS110" si="100">AN2</f>
        <v>15.512356163494189</v>
      </c>
      <c r="AO110" s="3391">
        <f t="shared" si="100"/>
        <v>34.284473709639876</v>
      </c>
      <c r="AP110" s="3391">
        <f t="shared" si="100"/>
        <v>31.103382767382755</v>
      </c>
      <c r="AQ110" s="3391">
        <f t="shared" si="100"/>
        <v>37.802820972427412</v>
      </c>
      <c r="AR110" s="3391">
        <f t="shared" si="100"/>
        <v>34.694956497661529</v>
      </c>
      <c r="AS110" s="3391">
        <f t="shared" si="100"/>
        <v>35.370985304112786</v>
      </c>
      <c r="AT110" s="3391">
        <f>AT2</f>
        <v>30.509086347308944</v>
      </c>
      <c r="AU110" s="4562">
        <f>AU2</f>
        <v>-20.275690784370585</v>
      </c>
      <c r="AV110" s="6610">
        <f>AV2</f>
        <v>-44.425193728176723</v>
      </c>
      <c r="AW110" s="6249">
        <f>AW2</f>
        <v>30.41913991157222</v>
      </c>
      <c r="AX110" s="6610">
        <f>AX2</f>
        <v>29.380512157090841</v>
      </c>
      <c r="AY110" s="6427"/>
      <c r="AZ110" s="6443"/>
      <c r="BA110" s="3391">
        <f>BA2</f>
        <v>25.101279368530598</v>
      </c>
      <c r="BE110" s="7068" t="s">
        <v>1251</v>
      </c>
      <c r="BF110" s="7082" t="s">
        <v>1185</v>
      </c>
      <c r="BG110" s="7082"/>
      <c r="BH110" s="2567" t="s">
        <v>1447</v>
      </c>
      <c r="BI110" s="2470">
        <v>59.260000000000005</v>
      </c>
      <c r="BJ110" s="2468">
        <v>32</v>
      </c>
      <c r="BK110" s="2469">
        <v>8.3800000000000008</v>
      </c>
      <c r="BL110" s="3056">
        <v>24.889999999999997</v>
      </c>
      <c r="BM110" s="3061">
        <v>15</v>
      </c>
      <c r="BN110" s="6058">
        <v>1.5</v>
      </c>
      <c r="BO110" s="6266">
        <v>0</v>
      </c>
      <c r="BP110" s="6249">
        <v>429053.1566548532</v>
      </c>
      <c r="BQ110" s="6231">
        <v>15.512356163494189</v>
      </c>
      <c r="BR110" s="3390">
        <v>899825.84000162582</v>
      </c>
      <c r="BS110" s="3390">
        <v>29.380512157090841</v>
      </c>
      <c r="BT110" s="6487">
        <v>18.756471633262279</v>
      </c>
      <c r="BU110" s="4471"/>
    </row>
    <row r="111" spans="1:74" s="299" customFormat="1" ht="17.399999999999999" hidden="1" customHeight="1">
      <c r="A111" s="7069"/>
      <c r="B111" s="7120" t="s">
        <v>1256</v>
      </c>
      <c r="C111" s="3792" t="s">
        <v>1548</v>
      </c>
      <c r="D111" s="3806" t="s">
        <v>321</v>
      </c>
      <c r="E111" s="5840">
        <f t="shared" ref="E111:O111" si="101">E9</f>
        <v>16.047705402119366</v>
      </c>
      <c r="F111" s="5840">
        <f t="shared" si="101"/>
        <v>16.6461834243925</v>
      </c>
      <c r="G111" s="5841">
        <f t="shared" si="101"/>
        <v>14.97484134515088</v>
      </c>
      <c r="H111" s="5842">
        <f t="shared" si="101"/>
        <v>15.672921698496424</v>
      </c>
      <c r="I111" s="6532">
        <f t="shared" si="101"/>
        <v>15.257350282730995</v>
      </c>
      <c r="J111" s="6533">
        <f t="shared" si="101"/>
        <v>15.257350282730995</v>
      </c>
      <c r="K111" s="5843">
        <f t="shared" si="101"/>
        <v>13.709585546221177</v>
      </c>
      <c r="L111" s="5843">
        <f t="shared" si="101"/>
        <v>13.230137683303514</v>
      </c>
      <c r="M111" s="5843">
        <f t="shared" si="101"/>
        <v>14.470779905508266</v>
      </c>
      <c r="N111" s="5843">
        <f t="shared" si="101"/>
        <v>13.569895914263737</v>
      </c>
      <c r="O111" s="5843">
        <f t="shared" si="101"/>
        <v>15.522220029670207</v>
      </c>
      <c r="P111" s="5843">
        <f t="shared" ref="P111:W112" si="102">P9</f>
        <v>15.404306682444046</v>
      </c>
      <c r="Q111" s="5843">
        <f t="shared" si="102"/>
        <v>13.603627880761909</v>
      </c>
      <c r="R111" s="5843">
        <f t="shared" si="102"/>
        <v>16.213283993953024</v>
      </c>
      <c r="S111" s="5843">
        <f t="shared" si="102"/>
        <v>13.652385947558749</v>
      </c>
      <c r="T111" s="5843">
        <f t="shared" si="102"/>
        <v>15.144340763405118</v>
      </c>
      <c r="U111" s="5843">
        <f t="shared" si="102"/>
        <v>0</v>
      </c>
      <c r="V111" s="5843" t="e">
        <f t="shared" si="102"/>
        <v>#DIV/0!</v>
      </c>
      <c r="W111" s="6503">
        <f t="shared" si="102"/>
        <v>14.412870896150491</v>
      </c>
      <c r="X111" s="4520">
        <f t="shared" ref="X111:AE112" si="103">X9</f>
        <v>49864769.02813907</v>
      </c>
      <c r="Y111" s="4520">
        <f t="shared" si="103"/>
        <v>4155397.4190115896</v>
      </c>
      <c r="Z111" s="4539">
        <f t="shared" si="103"/>
        <v>180.28536678431121</v>
      </c>
      <c r="AA111" s="4520">
        <f t="shared" si="103"/>
        <v>22354782.40518013</v>
      </c>
      <c r="AB111" s="4520">
        <f t="shared" si="103"/>
        <v>30658486.7437515</v>
      </c>
      <c r="AC111" s="4520">
        <f t="shared" si="103"/>
        <v>12413800.360211154</v>
      </c>
      <c r="AD111" s="4520">
        <f t="shared" si="103"/>
        <v>23662003.842929956</v>
      </c>
      <c r="AE111" s="4520">
        <f t="shared" si="103"/>
        <v>1663198.8430385473</v>
      </c>
      <c r="AF111" s="4520">
        <f t="shared" ref="AF111:AK112" si="104">AF9</f>
        <v>3436959.0301560941</v>
      </c>
      <c r="AG111" s="4520">
        <f t="shared" si="104"/>
        <v>29115722.652549479</v>
      </c>
      <c r="AH111" s="4520">
        <f t="shared" si="104"/>
        <v>-6697842.1911830073</v>
      </c>
      <c r="AI111" s="4520">
        <f t="shared" si="104"/>
        <v>25929424.585675541</v>
      </c>
      <c r="AJ111" s="4520">
        <f t="shared" si="104"/>
        <v>7023044.2254274851</v>
      </c>
      <c r="AK111" s="4520">
        <f t="shared" si="104"/>
        <v>4436413.0886501903</v>
      </c>
      <c r="AL111" s="4520"/>
      <c r="AM111" s="4539">
        <f>SUM(AA111:AL111)</f>
        <v>153995993.58638707</v>
      </c>
      <c r="AN111" s="4563">
        <f t="shared" ref="AN111:AS112" si="105">AN9</f>
        <v>180.28536678431121</v>
      </c>
      <c r="AO111" s="4539">
        <f t="shared" si="105"/>
        <v>851.74476613578179</v>
      </c>
      <c r="AP111" s="4539">
        <f t="shared" si="105"/>
        <v>1059.7413475677804</v>
      </c>
      <c r="AQ111" s="4539">
        <f t="shared" si="105"/>
        <v>521.51944492244115</v>
      </c>
      <c r="AR111" s="4539">
        <f t="shared" si="105"/>
        <v>912.34565343941597</v>
      </c>
      <c r="AS111" s="4539">
        <f t="shared" si="105"/>
        <v>65.378186777596369</v>
      </c>
      <c r="AT111" s="4539">
        <f t="shared" ref="AT111:AX112" si="106">AT9</f>
        <v>116.53197225699367</v>
      </c>
      <c r="AU111" s="4563">
        <f t="shared" si="106"/>
        <v>897.71187517226087</v>
      </c>
      <c r="AV111" s="6611">
        <f t="shared" si="106"/>
        <v>-234.42279939627556</v>
      </c>
      <c r="AW111" s="6250">
        <f t="shared" si="106"/>
        <v>876.55939542345186</v>
      </c>
      <c r="AX111" s="6611">
        <f t="shared" si="106"/>
        <v>229.31174797623731</v>
      </c>
      <c r="AY111" s="6428"/>
      <c r="AZ111" s="6444"/>
      <c r="BA111" s="4539" t="e">
        <f>BA9</f>
        <v>#DIV/0!</v>
      </c>
      <c r="BE111" s="7069"/>
      <c r="BF111" s="7120" t="s">
        <v>1256</v>
      </c>
      <c r="BG111" s="6178" t="s">
        <v>1546</v>
      </c>
      <c r="BH111" s="3806" t="s">
        <v>321</v>
      </c>
      <c r="BI111" s="1961">
        <v>5375.46</v>
      </c>
      <c r="BJ111" s="1552">
        <v>5472</v>
      </c>
      <c r="BK111" s="3807">
        <v>4957</v>
      </c>
      <c r="BL111" s="3808">
        <v>4739.51</v>
      </c>
      <c r="BM111" s="3809">
        <v>4220</v>
      </c>
      <c r="BN111" s="5859">
        <v>15.258177768618051</v>
      </c>
      <c r="BO111" s="6267">
        <v>15.144340763405118</v>
      </c>
      <c r="BP111" s="6250">
        <v>4147123.1908310782</v>
      </c>
      <c r="BQ111" s="6232">
        <v>179.92638252553596</v>
      </c>
      <c r="BR111" s="4520">
        <v>7023044.2254274851</v>
      </c>
      <c r="BS111" s="4520">
        <v>229.31174797623731</v>
      </c>
      <c r="BT111" s="6487">
        <v>532.12630114286992</v>
      </c>
      <c r="BU111" s="4471"/>
    </row>
    <row r="112" spans="1:74" ht="17.399999999999999" hidden="1" customHeight="1">
      <c r="A112" s="7069"/>
      <c r="B112" s="7096"/>
      <c r="C112" s="3311" t="s">
        <v>528</v>
      </c>
      <c r="D112" s="3328" t="s">
        <v>321</v>
      </c>
      <c r="E112" s="5797">
        <f t="shared" ref="E112:O112" si="107">E10</f>
        <v>1.3320097622003733</v>
      </c>
      <c r="F112" s="5797">
        <f t="shared" si="107"/>
        <v>0.50114990082865885</v>
      </c>
      <c r="G112" s="5844">
        <f t="shared" si="107"/>
        <v>0.29049440059505921</v>
      </c>
      <c r="H112" s="5799">
        <f t="shared" si="107"/>
        <v>0.28948299834505609</v>
      </c>
      <c r="I112" s="6534">
        <f t="shared" si="107"/>
        <v>0.20969817924132644</v>
      </c>
      <c r="J112" s="6535">
        <f t="shared" si="107"/>
        <v>0.20969817924132644</v>
      </c>
      <c r="K112" s="5845">
        <f t="shared" si="107"/>
        <v>0.10630243920281553</v>
      </c>
      <c r="L112" s="5845">
        <f t="shared" si="107"/>
        <v>0.21776581947697488</v>
      </c>
      <c r="M112" s="5845">
        <f t="shared" si="107"/>
        <v>0.17350652056829477</v>
      </c>
      <c r="N112" s="5845">
        <f t="shared" si="107"/>
        <v>0.41487776336158949</v>
      </c>
      <c r="O112" s="5845">
        <f t="shared" si="107"/>
        <v>4.0566579899259658E-2</v>
      </c>
      <c r="P112" s="5845">
        <f t="shared" si="102"/>
        <v>0</v>
      </c>
      <c r="Q112" s="5845">
        <f t="shared" si="102"/>
        <v>0.13011334660777238</v>
      </c>
      <c r="R112" s="5845">
        <f t="shared" si="102"/>
        <v>0.58005084973617016</v>
      </c>
      <c r="S112" s="5845">
        <f t="shared" si="102"/>
        <v>8.8976302622197898E-2</v>
      </c>
      <c r="T112" s="5845">
        <f t="shared" si="102"/>
        <v>7.5098063377671873E-2</v>
      </c>
      <c r="U112" s="5845">
        <f t="shared" si="102"/>
        <v>0</v>
      </c>
      <c r="V112" s="5845" t="e">
        <f t="shared" si="102"/>
        <v>#DIV/0!</v>
      </c>
      <c r="W112" s="6501">
        <f t="shared" si="102"/>
        <v>0.18010187219582524</v>
      </c>
      <c r="X112" s="4521">
        <f t="shared" si="103"/>
        <v>9573448.5713641793</v>
      </c>
      <c r="Y112" s="4521">
        <f t="shared" si="103"/>
        <v>957344.85713641788</v>
      </c>
      <c r="Z112" s="3305">
        <f t="shared" si="103"/>
        <v>34.612667835785281</v>
      </c>
      <c r="AA112" s="4521">
        <f t="shared" si="103"/>
        <v>2085715.9563524053</v>
      </c>
      <c r="AB112" s="4521">
        <f t="shared" si="103"/>
        <v>900096.02320599998</v>
      </c>
      <c r="AC112" s="4521">
        <f t="shared" si="103"/>
        <v>1197619.8232177782</v>
      </c>
      <c r="AD112" s="4521">
        <f t="shared" si="103"/>
        <v>-1410867.8238517605</v>
      </c>
      <c r="AE112" s="4521">
        <f t="shared" si="103"/>
        <v>2747132.8114471766</v>
      </c>
      <c r="AF112" s="4521">
        <f t="shared" si="104"/>
        <v>3703967.1864237734</v>
      </c>
      <c r="AG112" s="4521">
        <f t="shared" si="104"/>
        <v>2242389.4274696349</v>
      </c>
      <c r="AH112" s="4521">
        <f t="shared" si="104"/>
        <v>-3601616.2319473107</v>
      </c>
      <c r="AI112" s="4521">
        <f t="shared" si="104"/>
        <v>2573091.4403549251</v>
      </c>
      <c r="AJ112" s="4521">
        <f t="shared" si="104"/>
        <v>2848447.1905541872</v>
      </c>
      <c r="AK112" s="4521">
        <f t="shared" si="104"/>
        <v>81941.720089299866</v>
      </c>
      <c r="AL112" s="4521"/>
      <c r="AM112" s="4539">
        <f t="shared" ref="AM112:AM175" si="108">SUM(AA112:AL112)</f>
        <v>13367917.52331611</v>
      </c>
      <c r="AN112" s="4564">
        <f t="shared" si="105"/>
        <v>34.612667835785281</v>
      </c>
      <c r="AO112" s="3305">
        <f t="shared" si="105"/>
        <v>79.468348976521085</v>
      </c>
      <c r="AP112" s="3305">
        <f t="shared" si="105"/>
        <v>31.112721920860444</v>
      </c>
      <c r="AQ112" s="3305">
        <f t="shared" si="105"/>
        <v>50.313522636836076</v>
      </c>
      <c r="AR112" s="3305">
        <f t="shared" si="105"/>
        <v>-54.399413304688792</v>
      </c>
      <c r="AS112" s="3305">
        <f t="shared" si="105"/>
        <v>107.98622353628848</v>
      </c>
      <c r="AT112" s="3305">
        <f t="shared" si="106"/>
        <v>125.58502956305155</v>
      </c>
      <c r="AU112" s="4564">
        <f t="shared" si="106"/>
        <v>69.138576494303535</v>
      </c>
      <c r="AV112" s="6429">
        <f t="shared" si="106"/>
        <v>-126.05566618986428</v>
      </c>
      <c r="AW112" s="4463">
        <f t="shared" si="106"/>
        <v>86.984864236932708</v>
      </c>
      <c r="AX112" s="6429">
        <f t="shared" si="106"/>
        <v>93.005594627908593</v>
      </c>
      <c r="AY112" s="3974"/>
      <c r="AZ112" s="6445"/>
      <c r="BA112" s="3305" t="e">
        <f>BA10</f>
        <v>#DIV/0!</v>
      </c>
      <c r="BE112" s="7069"/>
      <c r="BF112" s="7096"/>
      <c r="BG112" s="6186" t="s">
        <v>1549</v>
      </c>
      <c r="BH112" s="4554" t="s">
        <v>321</v>
      </c>
      <c r="BI112" s="3823">
        <v>446.18</v>
      </c>
      <c r="BJ112" s="3822">
        <v>164.74000000000004</v>
      </c>
      <c r="BK112" s="3811">
        <v>141.53</v>
      </c>
      <c r="BL112" s="5588">
        <v>87.539999999999992</v>
      </c>
      <c r="BM112" s="5589">
        <v>58</v>
      </c>
      <c r="BN112" s="5860">
        <v>0.2097095522701059</v>
      </c>
      <c r="BO112" s="6268">
        <v>7.5098063377671873E-2</v>
      </c>
      <c r="BP112" s="4463">
        <v>957208.39119296661</v>
      </c>
      <c r="BQ112" s="5583">
        <v>34.607733928911117</v>
      </c>
      <c r="BR112" s="4521">
        <v>2848447.1905541872</v>
      </c>
      <c r="BS112" s="4521">
        <v>93.005594627908593</v>
      </c>
      <c r="BT112" s="6488">
        <v>47.270907939941253</v>
      </c>
      <c r="BU112" s="3783"/>
    </row>
    <row r="113" spans="1:76" ht="17.399999999999999" hidden="1" customHeight="1">
      <c r="A113" s="7069"/>
      <c r="B113" s="7096"/>
      <c r="C113" s="3311" t="s">
        <v>1057</v>
      </c>
      <c r="D113" s="3328" t="s">
        <v>321</v>
      </c>
      <c r="E113" s="5797">
        <f t="shared" ref="E113:O113" si="109">E17</f>
        <v>2.4140251331535829</v>
      </c>
      <c r="F113" s="5797">
        <f t="shared" si="109"/>
        <v>2.4714045825677471</v>
      </c>
      <c r="G113" s="5844">
        <f t="shared" si="109"/>
        <v>2.7029633942223721</v>
      </c>
      <c r="H113" s="5799">
        <f t="shared" si="109"/>
        <v>3.0393400020441059</v>
      </c>
      <c r="I113" s="6534">
        <f t="shared" si="109"/>
        <v>2.7441537593821859</v>
      </c>
      <c r="J113" s="6535">
        <f t="shared" si="109"/>
        <v>2.7441537593821859</v>
      </c>
      <c r="K113" s="5845">
        <f t="shared" si="109"/>
        <v>2.3016954667534355</v>
      </c>
      <c r="L113" s="5845">
        <f t="shared" si="109"/>
        <v>2.3622406512788041</v>
      </c>
      <c r="M113" s="5845">
        <f t="shared" si="109"/>
        <v>2.047629010290239</v>
      </c>
      <c r="N113" s="5845">
        <f t="shared" si="109"/>
        <v>2.0049854734946706</v>
      </c>
      <c r="O113" s="5845">
        <f t="shared" si="109"/>
        <v>1.9328088504327496</v>
      </c>
      <c r="P113" s="5845">
        <f t="shared" ref="P113:W113" si="110">P17</f>
        <v>2.744653943045464</v>
      </c>
      <c r="Q113" s="5845">
        <f t="shared" si="110"/>
        <v>1.8795520400971104</v>
      </c>
      <c r="R113" s="5845">
        <f t="shared" si="110"/>
        <v>2.8755794252292119</v>
      </c>
      <c r="S113" s="5845">
        <f t="shared" si="110"/>
        <v>2.1331324830777687</v>
      </c>
      <c r="T113" s="5845">
        <f t="shared" si="110"/>
        <v>2.157273498853383</v>
      </c>
      <c r="U113" s="5845">
        <f t="shared" si="110"/>
        <v>16.092447278077486</v>
      </c>
      <c r="V113" s="5845" t="e">
        <f t="shared" si="110"/>
        <v>#DIV/0!</v>
      </c>
      <c r="W113" s="6501">
        <f t="shared" si="110"/>
        <v>2.2803366911444938</v>
      </c>
      <c r="X113" s="4521">
        <f t="shared" ref="X113:AE113" si="111">X17</f>
        <v>35419649.312283963</v>
      </c>
      <c r="Y113" s="4521">
        <f t="shared" si="111"/>
        <v>3541964.9312283969</v>
      </c>
      <c r="Z113" s="3305">
        <f t="shared" si="111"/>
        <v>128.05924086469392</v>
      </c>
      <c r="AA113" s="4521">
        <f t="shared" si="111"/>
        <v>8398909.7127782013</v>
      </c>
      <c r="AB113" s="4521">
        <f t="shared" si="111"/>
        <v>8498025.7528013177</v>
      </c>
      <c r="AC113" s="4521">
        <f t="shared" si="111"/>
        <v>10240807.148097202</v>
      </c>
      <c r="AD113" s="4521">
        <f t="shared" si="111"/>
        <v>11637946.150250694</v>
      </c>
      <c r="AE113" s="4521">
        <f t="shared" si="111"/>
        <v>12212083.286671288</v>
      </c>
      <c r="AF113" s="4521">
        <f t="shared" ref="AF113:AK113" si="112">AF17</f>
        <v>3770540.9266435113</v>
      </c>
      <c r="AG113" s="4521">
        <f t="shared" si="112"/>
        <v>16318641.821867509</v>
      </c>
      <c r="AH113" s="4521">
        <f t="shared" si="112"/>
        <v>2029827.9688749269</v>
      </c>
      <c r="AI113" s="4521">
        <f t="shared" si="112"/>
        <v>11629311.43935724</v>
      </c>
      <c r="AJ113" s="4521">
        <f t="shared" si="112"/>
        <v>11719666.091639401</v>
      </c>
      <c r="AK113" s="4521">
        <f t="shared" si="112"/>
        <v>-3694842.421914543</v>
      </c>
      <c r="AL113" s="4521"/>
      <c r="AM113" s="4539">
        <f t="shared" si="108"/>
        <v>92760917.877066746</v>
      </c>
      <c r="AN113" s="4564">
        <f t="shared" ref="AN113:AS113" si="113">AN17</f>
        <v>128.05924086469392</v>
      </c>
      <c r="AO113" s="3305">
        <f t="shared" si="113"/>
        <v>320.00881330198627</v>
      </c>
      <c r="AP113" s="3305">
        <f t="shared" si="113"/>
        <v>293.74278444368497</v>
      </c>
      <c r="AQ113" s="3305">
        <f t="shared" si="113"/>
        <v>430.22925328747397</v>
      </c>
      <c r="AR113" s="3305">
        <f t="shared" si="113"/>
        <v>448.72909562626666</v>
      </c>
      <c r="AS113" s="3305">
        <f t="shared" si="113"/>
        <v>480.04113603213597</v>
      </c>
      <c r="AT113" s="3305">
        <f>AT17</f>
        <v>127.84224856981359</v>
      </c>
      <c r="AU113" s="4564">
        <f>AU17</f>
        <v>503.14528425041175</v>
      </c>
      <c r="AV113" s="6429">
        <f>AV17</f>
        <v>71.043470594590332</v>
      </c>
      <c r="AW113" s="4463">
        <f>AW17</f>
        <v>393.13568917782584</v>
      </c>
      <c r="AX113" s="6429">
        <f>AX17</f>
        <v>382.66270735438604</v>
      </c>
      <c r="AY113" s="3974"/>
      <c r="AZ113" s="6445"/>
      <c r="BA113" s="3305" t="e">
        <f>BA17</f>
        <v>#DIV/0!</v>
      </c>
      <c r="BE113" s="7069"/>
      <c r="BF113" s="7096"/>
      <c r="BG113" s="6186" t="s">
        <v>1550</v>
      </c>
      <c r="BH113" s="4554" t="s">
        <v>321</v>
      </c>
      <c r="BI113" s="3823">
        <v>808.61999999999989</v>
      </c>
      <c r="BJ113" s="3822">
        <v>812.41000000000008</v>
      </c>
      <c r="BK113" s="3811">
        <v>894.74</v>
      </c>
      <c r="BL113" s="5588">
        <v>919.09999999999991</v>
      </c>
      <c r="BM113" s="5589">
        <v>759</v>
      </c>
      <c r="BN113" s="5860">
        <v>2.7443025891898345</v>
      </c>
      <c r="BO113" s="6268">
        <v>2.157273498853383</v>
      </c>
      <c r="BP113" s="4463">
        <v>3540179.1096580578</v>
      </c>
      <c r="BQ113" s="5583">
        <v>127.99467473853035</v>
      </c>
      <c r="BR113" s="4521">
        <v>11719666.091639401</v>
      </c>
      <c r="BS113" s="4521">
        <v>382.66270735438604</v>
      </c>
      <c r="BT113" s="6488">
        <v>343.18528295548992</v>
      </c>
      <c r="BU113" s="3783"/>
    </row>
    <row r="114" spans="1:76" ht="17.399999999999999" hidden="1" customHeight="1">
      <c r="A114" s="7069"/>
      <c r="B114" s="7096"/>
      <c r="C114" s="3311" t="s">
        <v>1252</v>
      </c>
      <c r="D114" s="3328" t="s">
        <v>321</v>
      </c>
      <c r="E114" s="5846"/>
      <c r="F114" s="5846"/>
      <c r="G114" s="5847"/>
      <c r="H114" s="5848"/>
      <c r="I114" s="6536"/>
      <c r="J114" s="6537"/>
      <c r="K114" s="5849"/>
      <c r="L114" s="5849"/>
      <c r="M114" s="5849"/>
      <c r="N114" s="5849"/>
      <c r="O114" s="5849"/>
      <c r="P114" s="5849"/>
      <c r="Q114" s="5849"/>
      <c r="R114" s="5849"/>
      <c r="S114" s="5849"/>
      <c r="T114" s="5849"/>
      <c r="U114" s="5849"/>
      <c r="V114" s="5849"/>
      <c r="W114" s="5849"/>
      <c r="X114" s="4522"/>
      <c r="Y114" s="4522"/>
      <c r="Z114" s="4540"/>
      <c r="AA114" s="4522"/>
      <c r="AB114" s="4522"/>
      <c r="AC114" s="4522"/>
      <c r="AD114" s="4522"/>
      <c r="AE114" s="4522"/>
      <c r="AF114" s="4522"/>
      <c r="AG114" s="4522"/>
      <c r="AH114" s="4522"/>
      <c r="AI114" s="4522"/>
      <c r="AJ114" s="4522"/>
      <c r="AK114" s="4522"/>
      <c r="AL114" s="4522"/>
      <c r="AM114" s="6475"/>
      <c r="AN114" s="4565"/>
      <c r="AO114" s="4540"/>
      <c r="AP114" s="4540"/>
      <c r="AQ114" s="4540"/>
      <c r="AR114" s="4540"/>
      <c r="AS114" s="4540"/>
      <c r="AT114" s="4540"/>
      <c r="AU114" s="4565"/>
      <c r="AV114" s="6612"/>
      <c r="AW114" s="6251"/>
      <c r="AX114" s="6612"/>
      <c r="AY114" s="6430"/>
      <c r="AZ114" s="4679"/>
      <c r="BA114" s="4540"/>
      <c r="BE114" s="7069"/>
      <c r="BF114" s="7096"/>
      <c r="BG114" s="6186" t="s">
        <v>1551</v>
      </c>
      <c r="BH114" s="4554" t="s">
        <v>321</v>
      </c>
      <c r="BI114" s="3824"/>
      <c r="BJ114" s="3825"/>
      <c r="BK114" s="3812"/>
      <c r="BL114" s="5590"/>
      <c r="BM114" s="3818"/>
      <c r="BN114" s="5861"/>
      <c r="BO114" s="6269"/>
      <c r="BP114" s="6251"/>
      <c r="BQ114" s="6233"/>
      <c r="BR114" s="4522"/>
      <c r="BS114" s="4522"/>
      <c r="BT114" s="4540"/>
      <c r="BU114" s="3783"/>
    </row>
    <row r="115" spans="1:76" ht="17.399999999999999" hidden="1" customHeight="1">
      <c r="A115" s="7069"/>
      <c r="B115" s="7096"/>
      <c r="C115" s="3311" t="s">
        <v>1253</v>
      </c>
      <c r="D115" s="3328" t="s">
        <v>321</v>
      </c>
      <c r="E115" s="5846"/>
      <c r="F115" s="5846"/>
      <c r="G115" s="5847"/>
      <c r="H115" s="5850">
        <f t="shared" ref="H115:O115" si="114">H29</f>
        <v>8.1613438418505643E-2</v>
      </c>
      <c r="I115" s="6534">
        <f t="shared" si="114"/>
        <v>5.4232287734825808E-2</v>
      </c>
      <c r="J115" s="6535">
        <f t="shared" si="114"/>
        <v>5.4232287734825808E-2</v>
      </c>
      <c r="K115" s="5845">
        <f t="shared" si="114"/>
        <v>0</v>
      </c>
      <c r="L115" s="5845">
        <f t="shared" si="114"/>
        <v>0</v>
      </c>
      <c r="M115" s="5845">
        <f t="shared" si="114"/>
        <v>0</v>
      </c>
      <c r="N115" s="5845">
        <f t="shared" si="114"/>
        <v>0</v>
      </c>
      <c r="O115" s="5845">
        <f t="shared" si="114"/>
        <v>0</v>
      </c>
      <c r="P115" s="5845">
        <f t="shared" ref="P115:W115" si="115">P29</f>
        <v>0</v>
      </c>
      <c r="Q115" s="5845">
        <f t="shared" si="115"/>
        <v>0.63083390322156951</v>
      </c>
      <c r="R115" s="5845">
        <f t="shared" si="115"/>
        <v>0</v>
      </c>
      <c r="S115" s="5845">
        <f t="shared" si="115"/>
        <v>0.68591534202294657</v>
      </c>
      <c r="T115" s="5845">
        <f t="shared" si="115"/>
        <v>0.43295666103823016</v>
      </c>
      <c r="U115" s="5845">
        <f t="shared" si="115"/>
        <v>0</v>
      </c>
      <c r="V115" s="5845" t="e">
        <f t="shared" si="115"/>
        <v>#DIV/0!</v>
      </c>
      <c r="W115" s="6501">
        <f t="shared" si="115"/>
        <v>0.68385119772719827</v>
      </c>
      <c r="X115" s="4523">
        <f t="shared" ref="X115:AE115" si="116">X29</f>
        <v>3285487.6509048613</v>
      </c>
      <c r="Y115" s="4523">
        <f t="shared" si="116"/>
        <v>328548.76509048609</v>
      </c>
      <c r="Z115" s="4541">
        <f t="shared" si="116"/>
        <v>11.878634108872625</v>
      </c>
      <c r="AA115" s="4523">
        <f t="shared" si="116"/>
        <v>929260.46060424508</v>
      </c>
      <c r="AB115" s="4523">
        <f t="shared" si="116"/>
        <v>1024300.3492341655</v>
      </c>
      <c r="AC115" s="4523">
        <f t="shared" si="116"/>
        <v>842773.23785522569</v>
      </c>
      <c r="AD115" s="4523">
        <f t="shared" si="116"/>
        <v>918266.19909846026</v>
      </c>
      <c r="AE115" s="4523">
        <f t="shared" si="116"/>
        <v>900715.81430584658</v>
      </c>
      <c r="AF115" s="4523">
        <f t="shared" ref="AF115:AK115" si="117">AF29</f>
        <v>1044253.0290260306</v>
      </c>
      <c r="AG115" s="4523">
        <f t="shared" si="117"/>
        <v>-7727733.2930020485</v>
      </c>
      <c r="AH115" s="4523">
        <f t="shared" si="117"/>
        <v>1011606.3533727573</v>
      </c>
      <c r="AI115" s="4523">
        <f t="shared" si="117"/>
        <v>-7754973.2189692138</v>
      </c>
      <c r="AJ115" s="4523">
        <f t="shared" si="117"/>
        <v>-4668157.3756274646</v>
      </c>
      <c r="AK115" s="4523">
        <f t="shared" si="117"/>
        <v>23101.686678134804</v>
      </c>
      <c r="AL115" s="4523"/>
      <c r="AM115" s="4539">
        <f t="shared" si="108"/>
        <v>-13456586.757423863</v>
      </c>
      <c r="AN115" s="4566">
        <f t="shared" ref="AN115:AS115" si="118">AN29</f>
        <v>11.878634108872625</v>
      </c>
      <c r="AO115" s="4541">
        <f t="shared" si="118"/>
        <v>35.405969038338036</v>
      </c>
      <c r="AP115" s="4541">
        <f t="shared" si="118"/>
        <v>35.405969038338036</v>
      </c>
      <c r="AQ115" s="4541">
        <f t="shared" si="118"/>
        <v>35.405969038338036</v>
      </c>
      <c r="AR115" s="4541">
        <f t="shared" si="118"/>
        <v>35.405969038338036</v>
      </c>
      <c r="AS115" s="4541">
        <f t="shared" si="118"/>
        <v>35.405969038338036</v>
      </c>
      <c r="AT115" s="4541">
        <f>AT29</f>
        <v>35.405969038338036</v>
      </c>
      <c r="AU115" s="4566">
        <f>AU29</f>
        <v>-238.2656967878668</v>
      </c>
      <c r="AV115" s="5965">
        <f>AV29</f>
        <v>35.405969038338036</v>
      </c>
      <c r="AW115" s="6252">
        <f>AW29</f>
        <v>-262.16141487767663</v>
      </c>
      <c r="AX115" s="5965">
        <f>AX29</f>
        <v>-152.42155584861644</v>
      </c>
      <c r="AY115" s="4018"/>
      <c r="AZ115" s="4689"/>
      <c r="BA115" s="4541" t="e">
        <f>BA29</f>
        <v>#DIV/0!</v>
      </c>
      <c r="BE115" s="7069"/>
      <c r="BF115" s="7096"/>
      <c r="BG115" s="6186" t="s">
        <v>1552</v>
      </c>
      <c r="BH115" s="4554" t="s">
        <v>321</v>
      </c>
      <c r="BI115" s="3824"/>
      <c r="BJ115" s="3825"/>
      <c r="BK115" s="3812"/>
      <c r="BL115" s="5591">
        <v>24.68</v>
      </c>
      <c r="BM115" s="5589">
        <v>15</v>
      </c>
      <c r="BN115" s="5860">
        <v>5.4235229035372215E-2</v>
      </c>
      <c r="BO115" s="6270">
        <v>0.43295666103823016</v>
      </c>
      <c r="BP115" s="6252">
        <v>328513.47217407636</v>
      </c>
      <c r="BQ115" s="6234">
        <v>11.877358098474135</v>
      </c>
      <c r="BR115" s="4523">
        <v>-4668157.3756274646</v>
      </c>
      <c r="BS115" s="4523">
        <v>-152.42155584861644</v>
      </c>
      <c r="BT115" s="6488">
        <v>-47.960128855983406</v>
      </c>
      <c r="BU115" s="3783"/>
    </row>
    <row r="116" spans="1:76" ht="17.399999999999999" hidden="1" customHeight="1">
      <c r="A116" s="7069"/>
      <c r="B116" s="7081"/>
      <c r="C116" s="3311" t="s">
        <v>338</v>
      </c>
      <c r="D116" s="3328" t="s">
        <v>321</v>
      </c>
      <c r="E116" s="5851">
        <f>SUM(E111:E115)</f>
        <v>19.793740297473324</v>
      </c>
      <c r="F116" s="5851">
        <f>SUM(F111:F115)</f>
        <v>19.618737907788905</v>
      </c>
      <c r="G116" s="5851">
        <f>SUM(G111:G115)</f>
        <v>17.968299139968313</v>
      </c>
      <c r="H116" s="5852">
        <f>SUM(H111:H115)</f>
        <v>19.083358137304089</v>
      </c>
      <c r="I116" s="6534">
        <f>SUM(I111:I115)</f>
        <v>18.265434509089335</v>
      </c>
      <c r="J116" s="6535">
        <f t="shared" ref="J116:Q116" si="119">SUM(J111:J115)</f>
        <v>18.265434509089335</v>
      </c>
      <c r="K116" s="5845">
        <f t="shared" si="119"/>
        <v>16.117583452177428</v>
      </c>
      <c r="L116" s="5845">
        <f t="shared" si="119"/>
        <v>15.810144154059294</v>
      </c>
      <c r="M116" s="5845">
        <f t="shared" si="119"/>
        <v>16.691915436366799</v>
      </c>
      <c r="N116" s="5845">
        <f t="shared" si="119"/>
        <v>15.989759151119998</v>
      </c>
      <c r="O116" s="5845">
        <f t="shared" si="119"/>
        <v>17.495595460002214</v>
      </c>
      <c r="P116" s="5845">
        <f t="shared" si="119"/>
        <v>18.148960625489512</v>
      </c>
      <c r="Q116" s="5845">
        <f t="shared" si="119"/>
        <v>16.244127170688358</v>
      </c>
      <c r="R116" s="5845">
        <f t="shared" ref="R116:W116" si="120">SUM(R111:R115)</f>
        <v>19.668914268918407</v>
      </c>
      <c r="S116" s="5845">
        <f t="shared" si="120"/>
        <v>16.560410075281663</v>
      </c>
      <c r="T116" s="5845">
        <f t="shared" si="120"/>
        <v>17.809668986674403</v>
      </c>
      <c r="U116" s="5845">
        <f t="shared" si="120"/>
        <v>16.092447278077486</v>
      </c>
      <c r="V116" s="5845" t="e">
        <f t="shared" si="120"/>
        <v>#DIV/0!</v>
      </c>
      <c r="W116" s="6501">
        <f t="shared" si="120"/>
        <v>17.557160657218006</v>
      </c>
      <c r="X116" s="4521">
        <f t="shared" ref="X116:AE116" si="121">SUM(X111:X115)</f>
        <v>98143354.562692076</v>
      </c>
      <c r="Y116" s="4521">
        <f t="shared" si="121"/>
        <v>8983255.9724668898</v>
      </c>
      <c r="Z116" s="3305">
        <f t="shared" si="121"/>
        <v>354.83590959366308</v>
      </c>
      <c r="AA116" s="4521">
        <f t="shared" si="121"/>
        <v>33768668.534914978</v>
      </c>
      <c r="AB116" s="4521">
        <f t="shared" si="121"/>
        <v>41080908.868992984</v>
      </c>
      <c r="AC116" s="4521">
        <f t="shared" si="121"/>
        <v>24695000.56938136</v>
      </c>
      <c r="AD116" s="4521">
        <f t="shared" si="121"/>
        <v>34807348.368427351</v>
      </c>
      <c r="AE116" s="4521">
        <f t="shared" si="121"/>
        <v>17523130.755462859</v>
      </c>
      <c r="AF116" s="4521">
        <f t="shared" ref="AF116:AK116" si="122">SUM(AF111:AF115)</f>
        <v>11955720.17224941</v>
      </c>
      <c r="AG116" s="4521">
        <f t="shared" si="122"/>
        <v>39949020.608884573</v>
      </c>
      <c r="AH116" s="4521">
        <f t="shared" si="122"/>
        <v>-7258024.1008826345</v>
      </c>
      <c r="AI116" s="4521">
        <f t="shared" si="122"/>
        <v>32376854.246418487</v>
      </c>
      <c r="AJ116" s="4521">
        <f t="shared" si="122"/>
        <v>16923000.131993607</v>
      </c>
      <c r="AK116" s="4521">
        <f t="shared" si="122"/>
        <v>846614.07350308169</v>
      </c>
      <c r="AL116" s="4521"/>
      <c r="AM116" s="4539">
        <f t="shared" si="108"/>
        <v>246668242.22934598</v>
      </c>
      <c r="AN116" s="4564">
        <f t="shared" ref="AN116:AS116" si="123">SUM(AN111:AN115)</f>
        <v>354.83590959366308</v>
      </c>
      <c r="AO116" s="3305">
        <f t="shared" si="123"/>
        <v>1286.6278974526272</v>
      </c>
      <c r="AP116" s="3305">
        <f t="shared" si="123"/>
        <v>1420.0028229706638</v>
      </c>
      <c r="AQ116" s="3305">
        <f t="shared" si="123"/>
        <v>1037.4681898850893</v>
      </c>
      <c r="AR116" s="3305">
        <f t="shared" si="123"/>
        <v>1342.081304799332</v>
      </c>
      <c r="AS116" s="3305">
        <f t="shared" si="123"/>
        <v>688.81151538435893</v>
      </c>
      <c r="AT116" s="3305">
        <f>SUM(AT111:AT115)</f>
        <v>405.36521942819684</v>
      </c>
      <c r="AU116" s="4564">
        <f>SUM(AU111:AU115)</f>
        <v>1231.7300391291094</v>
      </c>
      <c r="AV116" s="6429">
        <f>SUM(AV111:AV115)</f>
        <v>-254.02902595321146</v>
      </c>
      <c r="AW116" s="4463">
        <f>SUM(AW111:AW115)</f>
        <v>1094.5185339605337</v>
      </c>
      <c r="AX116" s="6429">
        <f>SUM(AX111:AX115)</f>
        <v>552.5584941099155</v>
      </c>
      <c r="AY116" s="3974"/>
      <c r="AZ116" s="6445"/>
      <c r="BA116" s="3305" t="e">
        <f>SUM(BA111:BA115)</f>
        <v>#DIV/0!</v>
      </c>
      <c r="BE116" s="7069"/>
      <c r="BF116" s="7081"/>
      <c r="BG116" s="6186" t="s">
        <v>200</v>
      </c>
      <c r="BH116" s="4554" t="s">
        <v>321</v>
      </c>
      <c r="BI116" s="4555">
        <v>6689.52</v>
      </c>
      <c r="BJ116" s="4699">
        <v>6481.15</v>
      </c>
      <c r="BK116" s="3813">
        <v>6001.65</v>
      </c>
      <c r="BL116" s="5592">
        <v>1031.32</v>
      </c>
      <c r="BM116" s="5589">
        <v>832</v>
      </c>
      <c r="BN116" s="5860">
        <v>18.266425139113363</v>
      </c>
      <c r="BO116" s="6268">
        <v>17.809668986674403</v>
      </c>
      <c r="BP116" s="4463">
        <v>8973024.1638561804</v>
      </c>
      <c r="BQ116" s="5583">
        <v>354.40614929145158</v>
      </c>
      <c r="BR116" s="4521">
        <v>16923000.131993607</v>
      </c>
      <c r="BS116" s="4521">
        <v>552.5584941099155</v>
      </c>
      <c r="BT116" s="6488">
        <v>874.62236318231771</v>
      </c>
      <c r="BU116" s="3783"/>
    </row>
    <row r="117" spans="1:76" s="299" customFormat="1" ht="17.399999999999999" hidden="1" customHeight="1">
      <c r="A117" s="7069"/>
      <c r="B117" s="7088" t="s">
        <v>1446</v>
      </c>
      <c r="C117" s="7089"/>
      <c r="D117" s="3328" t="s">
        <v>1448</v>
      </c>
      <c r="E117" s="3322">
        <f t="shared" ref="E117:O117" si="124">E38</f>
        <v>6867</v>
      </c>
      <c r="F117" s="3322">
        <f t="shared" si="124"/>
        <v>1908</v>
      </c>
      <c r="G117" s="3813">
        <f t="shared" si="124"/>
        <v>1070.9100000000001</v>
      </c>
      <c r="H117" s="3290">
        <f t="shared" si="124"/>
        <v>2761.3699999999994</v>
      </c>
      <c r="I117" s="6538">
        <f t="shared" si="124"/>
        <v>1500</v>
      </c>
      <c r="J117" s="6539">
        <f t="shared" si="124"/>
        <v>150</v>
      </c>
      <c r="K117" s="3819">
        <f t="shared" si="124"/>
        <v>173.53</v>
      </c>
      <c r="L117" s="4712">
        <f t="shared" si="124"/>
        <v>434.70000000000005</v>
      </c>
      <c r="M117" s="3819">
        <f t="shared" si="124"/>
        <v>186.6</v>
      </c>
      <c r="N117" s="5261">
        <f t="shared" si="124"/>
        <v>541.08000000000004</v>
      </c>
      <c r="O117" s="5261">
        <f t="shared" si="124"/>
        <v>685.14</v>
      </c>
      <c r="P117" s="5261">
        <f t="shared" ref="P117:W117" si="125">P38</f>
        <v>1024.3</v>
      </c>
      <c r="Q117" s="5261">
        <f t="shared" si="125"/>
        <v>328.19</v>
      </c>
      <c r="R117" s="5261">
        <f t="shared" si="125"/>
        <v>143.68</v>
      </c>
      <c r="S117" s="5261">
        <f t="shared" si="125"/>
        <v>68.17</v>
      </c>
      <c r="T117" s="5261">
        <f t="shared" si="125"/>
        <v>529.76</v>
      </c>
      <c r="U117" s="5261">
        <f t="shared" si="125"/>
        <v>0</v>
      </c>
      <c r="V117" s="5261">
        <f t="shared" si="125"/>
        <v>0</v>
      </c>
      <c r="W117" s="6508">
        <f t="shared" si="125"/>
        <v>4115.1500000000005</v>
      </c>
      <c r="X117" s="4521">
        <f t="shared" ref="X117:AE117" si="126">X38</f>
        <v>23260059.915272962</v>
      </c>
      <c r="Y117" s="4521">
        <f t="shared" si="126"/>
        <v>2326005.9915272966</v>
      </c>
      <c r="Z117" s="3305">
        <f t="shared" si="126"/>
        <v>84.096417470291414</v>
      </c>
      <c r="AA117" s="4521">
        <f t="shared" si="126"/>
        <v>1043429.847643798</v>
      </c>
      <c r="AB117" s="4521">
        <f t="shared" si="126"/>
        <v>-3772627.1761254719</v>
      </c>
      <c r="AC117" s="4521">
        <f t="shared" si="126"/>
        <v>802414.93283480639</v>
      </c>
      <c r="AD117" s="4521">
        <f t="shared" si="126"/>
        <v>-5734307.8675853442</v>
      </c>
      <c r="AE117" s="4521">
        <f t="shared" si="126"/>
        <v>-8390819.6217845269</v>
      </c>
      <c r="AF117" s="4521">
        <f t="shared" ref="AF117:AL117" si="127">AF38</f>
        <v>-14645036.799031474</v>
      </c>
      <c r="AG117" s="4521">
        <f t="shared" si="127"/>
        <v>-1808549.2437378888</v>
      </c>
      <c r="AH117" s="4521">
        <f t="shared" si="127"/>
        <v>1593873.2452756572</v>
      </c>
      <c r="AI117" s="4521">
        <f t="shared" si="127"/>
        <v>2986301.4179785615</v>
      </c>
      <c r="AJ117" s="4521">
        <f t="shared" si="127"/>
        <v>-5525563.5037262924</v>
      </c>
      <c r="AK117" s="4521">
        <f t="shared" si="127"/>
        <v>4243377.6798399966</v>
      </c>
      <c r="AL117" s="4521">
        <f t="shared" si="127"/>
        <v>4243377.6798399966</v>
      </c>
      <c r="AM117" s="4539">
        <f t="shared" si="108"/>
        <v>-24964129.40857818</v>
      </c>
      <c r="AN117" s="4564">
        <f t="shared" ref="AN117:AS117" si="128">AN38</f>
        <v>84.096417470291414</v>
      </c>
      <c r="AO117" s="3305">
        <f t="shared" si="128"/>
        <v>39.755963419913229</v>
      </c>
      <c r="AP117" s="3305">
        <f t="shared" si="128"/>
        <v>-130.40464263334431</v>
      </c>
      <c r="AQ117" s="3305">
        <f t="shared" si="128"/>
        <v>33.710465629106345</v>
      </c>
      <c r="AR117" s="3305">
        <f t="shared" si="128"/>
        <v>-221.10007644336184</v>
      </c>
      <c r="AS117" s="3305">
        <f t="shared" si="128"/>
        <v>-329.83222345678075</v>
      </c>
      <c r="AT117" s="3305">
        <f>AT38</f>
        <v>-496.54796783826623</v>
      </c>
      <c r="AU117" s="4564">
        <f>AU38</f>
        <v>-55.762178816988758</v>
      </c>
      <c r="AV117" s="6429">
        <f>AV38</f>
        <v>55.785164441796418</v>
      </c>
      <c r="AW117" s="4463">
        <f>AW38</f>
        <v>100.95366971396625</v>
      </c>
      <c r="AX117" s="6429">
        <f>AX38</f>
        <v>-180.41700791312513</v>
      </c>
      <c r="AY117" s="4712"/>
      <c r="AZ117" s="5261"/>
      <c r="BA117" s="3305">
        <f>BA38</f>
        <v>-88.615535885523201</v>
      </c>
      <c r="BE117" s="7069"/>
      <c r="BF117" s="7143" t="s">
        <v>1446</v>
      </c>
      <c r="BG117" s="7144"/>
      <c r="BH117" s="4554" t="s">
        <v>1447</v>
      </c>
      <c r="BI117" s="4555">
        <v>6867</v>
      </c>
      <c r="BJ117" s="4699">
        <v>1908</v>
      </c>
      <c r="BK117" s="3813">
        <v>1070.9100000000001</v>
      </c>
      <c r="BL117" s="5592">
        <v>2761.3699999999994</v>
      </c>
      <c r="BM117" s="5589">
        <v>1500</v>
      </c>
      <c r="BN117" s="4378">
        <v>150</v>
      </c>
      <c r="BO117" s="6271">
        <v>529.76</v>
      </c>
      <c r="BP117" s="4463">
        <v>2326005.9915272966</v>
      </c>
      <c r="BQ117" s="5583">
        <v>84.096417470291414</v>
      </c>
      <c r="BR117" s="4521">
        <v>-5525563.5037262924</v>
      </c>
      <c r="BS117" s="4521">
        <v>-180.41700791312513</v>
      </c>
      <c r="BT117" s="6488">
        <v>-119.01675253735377</v>
      </c>
      <c r="BU117" s="3783"/>
    </row>
    <row r="118" spans="1:76" ht="17.399999999999999" hidden="1" customHeight="1">
      <c r="A118" s="7069"/>
      <c r="B118" s="7080" t="s">
        <v>1257</v>
      </c>
      <c r="C118" s="3311" t="s">
        <v>1260</v>
      </c>
      <c r="D118" s="3328" t="s">
        <v>1261</v>
      </c>
      <c r="E118" s="3323">
        <f t="shared" ref="E118:I119" si="129">E44</f>
        <v>105</v>
      </c>
      <c r="F118" s="3323">
        <f t="shared" si="129"/>
        <v>46</v>
      </c>
      <c r="G118" s="3814">
        <f t="shared" si="129"/>
        <v>28</v>
      </c>
      <c r="H118" s="3291">
        <f t="shared" si="129"/>
        <v>30</v>
      </c>
      <c r="I118" s="6540">
        <f t="shared" si="129"/>
        <v>23</v>
      </c>
      <c r="J118" s="6541">
        <f t="shared" ref="J118:O119" si="130">J44</f>
        <v>2.2999999999999998</v>
      </c>
      <c r="K118" s="3817">
        <f t="shared" si="130"/>
        <v>2</v>
      </c>
      <c r="L118" s="3817">
        <f t="shared" si="130"/>
        <v>7</v>
      </c>
      <c r="M118" s="3817">
        <f t="shared" si="130"/>
        <v>0</v>
      </c>
      <c r="N118" s="3817">
        <f t="shared" si="130"/>
        <v>2</v>
      </c>
      <c r="O118" s="3817">
        <f t="shared" si="130"/>
        <v>2</v>
      </c>
      <c r="P118" s="3817">
        <f t="shared" ref="P118:W119" si="131">P44</f>
        <v>3</v>
      </c>
      <c r="Q118" s="3817">
        <f t="shared" si="131"/>
        <v>0</v>
      </c>
      <c r="R118" s="3817">
        <f t="shared" si="131"/>
        <v>2</v>
      </c>
      <c r="S118" s="3817">
        <f t="shared" si="131"/>
        <v>1</v>
      </c>
      <c r="T118" s="3817">
        <f t="shared" si="131"/>
        <v>1</v>
      </c>
      <c r="U118" s="3817">
        <f t="shared" si="131"/>
        <v>0</v>
      </c>
      <c r="V118" s="3817">
        <f t="shared" si="131"/>
        <v>0</v>
      </c>
      <c r="W118" s="6509">
        <f t="shared" si="131"/>
        <v>20</v>
      </c>
      <c r="X118" s="4522"/>
      <c r="Y118" s="4522"/>
      <c r="Z118" s="4540"/>
      <c r="AA118" s="4522"/>
      <c r="AB118" s="4522"/>
      <c r="AC118" s="4522"/>
      <c r="AD118" s="4522"/>
      <c r="AE118" s="4522"/>
      <c r="AF118" s="4522"/>
      <c r="AG118" s="4522"/>
      <c r="AH118" s="4522"/>
      <c r="AI118" s="4522"/>
      <c r="AJ118" s="4522"/>
      <c r="AK118" s="4522"/>
      <c r="AL118" s="4522"/>
      <c r="AM118" s="6475"/>
      <c r="AN118" s="4565"/>
      <c r="AO118" s="4540"/>
      <c r="AP118" s="4540"/>
      <c r="AQ118" s="4540"/>
      <c r="AR118" s="4540"/>
      <c r="AS118" s="4540"/>
      <c r="AT118" s="4540"/>
      <c r="AU118" s="4565"/>
      <c r="AV118" s="6612"/>
      <c r="AW118" s="6251"/>
      <c r="AX118" s="6612"/>
      <c r="AY118" s="6430"/>
      <c r="AZ118" s="4679"/>
      <c r="BA118" s="4540"/>
      <c r="BE118" s="7069"/>
      <c r="BF118" s="7120" t="s">
        <v>1257</v>
      </c>
      <c r="BG118" s="6186" t="s">
        <v>1260</v>
      </c>
      <c r="BH118" s="4554" t="s">
        <v>1491</v>
      </c>
      <c r="BI118" s="4454">
        <v>105</v>
      </c>
      <c r="BJ118" s="3838">
        <v>46</v>
      </c>
      <c r="BK118" s="3814">
        <v>28</v>
      </c>
      <c r="BL118" s="3838">
        <v>30</v>
      </c>
      <c r="BM118" s="5589">
        <v>23</v>
      </c>
      <c r="BN118" s="4378">
        <v>2.2999999999999998</v>
      </c>
      <c r="BO118" s="6272">
        <v>1</v>
      </c>
      <c r="BP118" s="6251"/>
      <c r="BQ118" s="6233"/>
      <c r="BR118" s="4522"/>
      <c r="BS118" s="4522"/>
      <c r="BT118" s="4540"/>
      <c r="BU118" s="3783"/>
    </row>
    <row r="119" spans="1:76" ht="17.399999999999999" hidden="1" customHeight="1">
      <c r="A119" s="7069"/>
      <c r="B119" s="7081"/>
      <c r="C119" s="3311" t="s">
        <v>1242</v>
      </c>
      <c r="D119" s="3328" t="s">
        <v>1244</v>
      </c>
      <c r="E119" s="3323">
        <f t="shared" si="129"/>
        <v>166.75</v>
      </c>
      <c r="F119" s="3323">
        <f t="shared" si="129"/>
        <v>58.35</v>
      </c>
      <c r="G119" s="3814">
        <f t="shared" si="129"/>
        <v>39.266666666666673</v>
      </c>
      <c r="H119" s="3292">
        <f t="shared" si="129"/>
        <v>33.616666666666667</v>
      </c>
      <c r="I119" s="6540">
        <f t="shared" si="129"/>
        <v>25.962121212121207</v>
      </c>
      <c r="J119" s="6541">
        <f t="shared" si="130"/>
        <v>2.5962121212121207</v>
      </c>
      <c r="K119" s="3817">
        <f t="shared" si="130"/>
        <v>2.0833333333333335</v>
      </c>
      <c r="L119" s="3817">
        <f t="shared" si="130"/>
        <v>7.4166666666666661</v>
      </c>
      <c r="M119" s="3817">
        <f t="shared" si="130"/>
        <v>0</v>
      </c>
      <c r="N119" s="3817">
        <f t="shared" si="130"/>
        <v>2.1666666666666665</v>
      </c>
      <c r="O119" s="3817">
        <f t="shared" si="130"/>
        <v>1.1666666666666667</v>
      </c>
      <c r="P119" s="3817">
        <f t="shared" si="131"/>
        <v>1.4666666666666668</v>
      </c>
      <c r="Q119" s="3817">
        <f t="shared" si="131"/>
        <v>0</v>
      </c>
      <c r="R119" s="3817">
        <f t="shared" si="131"/>
        <v>9.5833333333333321</v>
      </c>
      <c r="S119" s="3817">
        <f t="shared" si="131"/>
        <v>5.333333333333333</v>
      </c>
      <c r="T119" s="3817">
        <f t="shared" si="131"/>
        <v>2.1666666666666665</v>
      </c>
      <c r="U119" s="3817">
        <f t="shared" si="131"/>
        <v>0</v>
      </c>
      <c r="V119" s="3817">
        <f t="shared" si="131"/>
        <v>0</v>
      </c>
      <c r="W119" s="6509">
        <f t="shared" si="131"/>
        <v>31.383333333333333</v>
      </c>
      <c r="X119" s="4521">
        <f t="shared" ref="X119:AE119" si="132">X45</f>
        <v>8469133.6830703672</v>
      </c>
      <c r="Y119" s="4521">
        <f t="shared" si="132"/>
        <v>846913.3683070367</v>
      </c>
      <c r="Z119" s="3305">
        <f t="shared" si="132"/>
        <v>30.620032984331811</v>
      </c>
      <c r="AA119" s="4521">
        <f t="shared" si="132"/>
        <v>794470.23052951193</v>
      </c>
      <c r="AB119" s="4521">
        <f t="shared" si="132"/>
        <v>-5106430.5146026462</v>
      </c>
      <c r="AC119" s="4521">
        <f t="shared" si="132"/>
        <v>3099509.5840967619</v>
      </c>
      <c r="AD119" s="4521">
        <f t="shared" si="132"/>
        <v>702268.65638682235</v>
      </c>
      <c r="AE119" s="4521">
        <f t="shared" si="132"/>
        <v>1808687.5460991019</v>
      </c>
      <c r="AF119" s="4521">
        <f t="shared" ref="AF119:AL119" si="133">AF45</f>
        <v>1476761.8791854179</v>
      </c>
      <c r="AG119" s="4521">
        <f t="shared" si="133"/>
        <v>3099509.5840967619</v>
      </c>
      <c r="AH119" s="4521">
        <f t="shared" si="133"/>
        <v>-7503671.4423125861</v>
      </c>
      <c r="AI119" s="4521">
        <f t="shared" si="133"/>
        <v>-2801391.1610353971</v>
      </c>
      <c r="AJ119" s="4521">
        <f t="shared" si="133"/>
        <v>702268.65638682235</v>
      </c>
      <c r="AK119" s="4521">
        <f t="shared" si="133"/>
        <v>3099509.5840967619</v>
      </c>
      <c r="AL119" s="4521">
        <f t="shared" si="133"/>
        <v>3099509.5840967619</v>
      </c>
      <c r="AM119" s="4539">
        <f t="shared" si="108"/>
        <v>2471002.1870240951</v>
      </c>
      <c r="AN119" s="4564">
        <f t="shared" ref="AN119:AS119" si="134">AN45</f>
        <v>30.620032984331811</v>
      </c>
      <c r="AO119" s="3305">
        <f t="shared" si="134"/>
        <v>2.8723958759219919</v>
      </c>
      <c r="AP119" s="3305">
        <f t="shared" si="134"/>
        <v>-18.462227264388353</v>
      </c>
      <c r="AQ119" s="3305">
        <f t="shared" si="134"/>
        <v>11.206233040105724</v>
      </c>
      <c r="AR119" s="3305">
        <f t="shared" si="134"/>
        <v>2.5390423893546443</v>
      </c>
      <c r="AS119" s="3305">
        <f t="shared" si="134"/>
        <v>6.5392842281628338</v>
      </c>
      <c r="AT119" s="3305">
        <f>AT45</f>
        <v>5.3392116765203763</v>
      </c>
      <c r="AU119" s="4564">
        <f>AU45</f>
        <v>11.206233040105724</v>
      </c>
      <c r="AV119" s="6429">
        <f>AV45</f>
        <v>-27.129417915139435</v>
      </c>
      <c r="AW119" s="4463">
        <f>AW45</f>
        <v>-10.128390100204626</v>
      </c>
      <c r="AX119" s="6429">
        <f>AX45</f>
        <v>2.5390423893546443</v>
      </c>
      <c r="AY119" s="3974"/>
      <c r="AZ119" s="6445"/>
      <c r="BA119" s="3305">
        <f>BA45</f>
        <v>8.7713526634018244</v>
      </c>
      <c r="BE119" s="7069"/>
      <c r="BF119" s="7081"/>
      <c r="BG119" s="6186" t="s">
        <v>1242</v>
      </c>
      <c r="BH119" s="4554" t="s">
        <v>1492</v>
      </c>
      <c r="BI119" s="4454">
        <v>166.75</v>
      </c>
      <c r="BJ119" s="3838">
        <v>58.35</v>
      </c>
      <c r="BK119" s="3814">
        <v>39.266666666666673</v>
      </c>
      <c r="BL119" s="3838">
        <v>33.616666666666667</v>
      </c>
      <c r="BM119" s="5589">
        <v>25.962121212121207</v>
      </c>
      <c r="BN119" s="5865">
        <v>2.5962121212121207</v>
      </c>
      <c r="BO119" s="6292">
        <v>2.1666666666666665</v>
      </c>
      <c r="BP119" s="4463">
        <v>846913.3683070367</v>
      </c>
      <c r="BQ119" s="5583">
        <v>30.620032984331811</v>
      </c>
      <c r="BR119" s="4521">
        <v>702268.65638682235</v>
      </c>
      <c r="BS119" s="4521">
        <v>2.5390423893546443</v>
      </c>
      <c r="BT119" s="6488">
        <v>-13.264117752841081</v>
      </c>
      <c r="BU119" s="3783"/>
    </row>
    <row r="120" spans="1:76" ht="17.399999999999999" hidden="1" customHeight="1">
      <c r="A120" s="7069"/>
      <c r="B120" s="7090" t="s">
        <v>1258</v>
      </c>
      <c r="C120" s="7090"/>
      <c r="D120" s="3343" t="s">
        <v>1261</v>
      </c>
      <c r="E120" s="3325">
        <f t="shared" ref="E120:O120" si="135">E58</f>
        <v>5</v>
      </c>
      <c r="F120" s="3325">
        <f t="shared" si="135"/>
        <v>3</v>
      </c>
      <c r="G120" s="3815">
        <f t="shared" si="135"/>
        <v>0</v>
      </c>
      <c r="H120" s="3293">
        <f t="shared" si="135"/>
        <v>3</v>
      </c>
      <c r="I120" s="6540">
        <f t="shared" si="135"/>
        <v>2.4</v>
      </c>
      <c r="J120" s="6542">
        <f t="shared" si="135"/>
        <v>0.19999999999999998</v>
      </c>
      <c r="K120" s="3817">
        <f t="shared" si="135"/>
        <v>1</v>
      </c>
      <c r="L120" s="3817">
        <f t="shared" si="135"/>
        <v>0</v>
      </c>
      <c r="M120" s="3817">
        <f t="shared" si="135"/>
        <v>0</v>
      </c>
      <c r="N120" s="3817">
        <f t="shared" si="135"/>
        <v>0</v>
      </c>
      <c r="O120" s="3817">
        <f t="shared" si="135"/>
        <v>0</v>
      </c>
      <c r="P120" s="3817">
        <f t="shared" ref="P120:W120" si="136">P58</f>
        <v>0</v>
      </c>
      <c r="Q120" s="3817">
        <f t="shared" si="136"/>
        <v>0</v>
      </c>
      <c r="R120" s="3817">
        <f t="shared" si="136"/>
        <v>0</v>
      </c>
      <c r="S120" s="3817">
        <f t="shared" si="136"/>
        <v>0</v>
      </c>
      <c r="T120" s="3817">
        <f t="shared" si="136"/>
        <v>0</v>
      </c>
      <c r="U120" s="3817">
        <f t="shared" si="136"/>
        <v>0</v>
      </c>
      <c r="V120" s="3817">
        <f t="shared" si="136"/>
        <v>0</v>
      </c>
      <c r="W120" s="6509">
        <f t="shared" si="136"/>
        <v>1</v>
      </c>
      <c r="X120" s="4521">
        <f t="shared" ref="X120:AE120" si="137">X58</f>
        <v>442445</v>
      </c>
      <c r="Y120" s="4521">
        <f t="shared" si="137"/>
        <v>36870.416666666664</v>
      </c>
      <c r="Z120" s="3305">
        <f t="shared" si="137"/>
        <v>1.5996536364556668</v>
      </c>
      <c r="AA120" s="4521">
        <f t="shared" si="137"/>
        <v>-2365129.5833333335</v>
      </c>
      <c r="AB120" s="4521">
        <f t="shared" si="137"/>
        <v>36870.416666666664</v>
      </c>
      <c r="AC120" s="4521">
        <f t="shared" si="137"/>
        <v>36870.416666666664</v>
      </c>
      <c r="AD120" s="4521">
        <f t="shared" si="137"/>
        <v>36870.416666666664</v>
      </c>
      <c r="AE120" s="4521">
        <f t="shared" si="137"/>
        <v>36870.416666666664</v>
      </c>
      <c r="AF120" s="4521">
        <f t="shared" ref="AF120:AL120" si="138">AF58</f>
        <v>36870.416666666664</v>
      </c>
      <c r="AG120" s="4521">
        <f t="shared" si="138"/>
        <v>36870.416666666664</v>
      </c>
      <c r="AH120" s="4521">
        <f t="shared" si="138"/>
        <v>36870.416666666664</v>
      </c>
      <c r="AI120" s="4521">
        <f t="shared" si="138"/>
        <v>36870.416666666664</v>
      </c>
      <c r="AJ120" s="4521">
        <f t="shared" si="138"/>
        <v>36870.416666666664</v>
      </c>
      <c r="AK120" s="4521">
        <f t="shared" si="138"/>
        <v>36870.416666666664</v>
      </c>
      <c r="AL120" s="4521">
        <f t="shared" si="138"/>
        <v>36870.416666666664</v>
      </c>
      <c r="AM120" s="4539">
        <f t="shared" si="108"/>
        <v>-1959555.0000000009</v>
      </c>
      <c r="AN120" s="4564">
        <f t="shared" ref="AN120:AS120" si="139">AN58</f>
        <v>1.5996536364556668</v>
      </c>
      <c r="AO120" s="3305">
        <f t="shared" si="139"/>
        <v>-90.114352594649503</v>
      </c>
      <c r="AP120" s="3305">
        <f t="shared" si="139"/>
        <v>1.2744629364879649</v>
      </c>
      <c r="AQ120" s="3305">
        <f t="shared" si="139"/>
        <v>1.5489728105899754</v>
      </c>
      <c r="AR120" s="3305">
        <f t="shared" si="139"/>
        <v>1.4216278811223548</v>
      </c>
      <c r="AS120" s="3305">
        <f t="shared" si="139"/>
        <v>1.4493282011892716</v>
      </c>
      <c r="AT120" s="3305">
        <f>AT58</f>
        <v>1.2501116057553532</v>
      </c>
      <c r="AU120" s="4564">
        <f>AU58</f>
        <v>1.1368088396499971</v>
      </c>
      <c r="AV120" s="6429">
        <f>AV58</f>
        <v>1.2904553501253031</v>
      </c>
      <c r="AW120" s="4463">
        <f>AW58</f>
        <v>1.2464260452659051</v>
      </c>
      <c r="AX120" s="6429">
        <f>AX58</f>
        <v>1.2038682119976098</v>
      </c>
      <c r="AY120" s="3974"/>
      <c r="AZ120" s="6445"/>
      <c r="BA120" s="3305">
        <f>BA58</f>
        <v>-6.9558610909334524</v>
      </c>
      <c r="BE120" s="7069"/>
      <c r="BF120" s="7101" t="s">
        <v>1258</v>
      </c>
      <c r="BG120" s="7101"/>
      <c r="BH120" s="4556" t="s">
        <v>1491</v>
      </c>
      <c r="BI120" s="5593">
        <v>5</v>
      </c>
      <c r="BJ120" s="5594">
        <v>3</v>
      </c>
      <c r="BK120" s="3815">
        <v>0</v>
      </c>
      <c r="BL120" s="5595">
        <v>3</v>
      </c>
      <c r="BM120" s="5589">
        <v>2.4</v>
      </c>
      <c r="BN120" s="5865">
        <v>0.19999999999999998</v>
      </c>
      <c r="BO120" s="6272">
        <v>0</v>
      </c>
      <c r="BP120" s="4463">
        <v>36870.416666666664</v>
      </c>
      <c r="BQ120" s="5583">
        <v>1.5996536364556668</v>
      </c>
      <c r="BR120" s="4521">
        <v>36870.416666666664</v>
      </c>
      <c r="BS120" s="4521">
        <v>1.2038682119976098</v>
      </c>
      <c r="BT120" s="6488">
        <v>-7.2343756736951326</v>
      </c>
      <c r="BU120" s="3783"/>
    </row>
    <row r="121" spans="1:76" ht="18" hidden="1" customHeight="1" thickBot="1">
      <c r="A121" s="7069"/>
      <c r="B121" s="7086" t="s">
        <v>1259</v>
      </c>
      <c r="C121" s="7086"/>
      <c r="D121" s="2848" t="s">
        <v>1262</v>
      </c>
      <c r="E121" s="3059">
        <f t="shared" ref="E121:O121" si="140">E64</f>
        <v>204</v>
      </c>
      <c r="F121" s="3010">
        <f t="shared" si="140"/>
        <v>52</v>
      </c>
      <c r="G121" s="3816">
        <f t="shared" si="140"/>
        <v>0</v>
      </c>
      <c r="H121" s="3294">
        <f t="shared" si="140"/>
        <v>0</v>
      </c>
      <c r="I121" s="6543">
        <f t="shared" si="140"/>
        <v>0</v>
      </c>
      <c r="J121" s="6544">
        <f t="shared" si="140"/>
        <v>0</v>
      </c>
      <c r="K121" s="3820">
        <f t="shared" si="140"/>
        <v>0</v>
      </c>
      <c r="L121" s="3820">
        <f t="shared" si="140"/>
        <v>0</v>
      </c>
      <c r="M121" s="3820">
        <f t="shared" si="140"/>
        <v>0</v>
      </c>
      <c r="N121" s="3820">
        <f t="shared" si="140"/>
        <v>0</v>
      </c>
      <c r="O121" s="3820">
        <f t="shared" si="140"/>
        <v>0</v>
      </c>
      <c r="P121" s="3820">
        <f t="shared" ref="P121:W121" si="141">P64</f>
        <v>0</v>
      </c>
      <c r="Q121" s="3820">
        <f t="shared" si="141"/>
        <v>0</v>
      </c>
      <c r="R121" s="3820">
        <f t="shared" si="141"/>
        <v>0</v>
      </c>
      <c r="S121" s="3820">
        <f t="shared" si="141"/>
        <v>0</v>
      </c>
      <c r="T121" s="3820">
        <f t="shared" si="141"/>
        <v>0</v>
      </c>
      <c r="U121" s="3820">
        <f t="shared" si="141"/>
        <v>0</v>
      </c>
      <c r="V121" s="3820">
        <f t="shared" si="141"/>
        <v>0</v>
      </c>
      <c r="W121" s="6510">
        <f t="shared" si="141"/>
        <v>0</v>
      </c>
      <c r="X121" s="4524">
        <f t="shared" ref="X121:AE121" si="142">X64</f>
        <v>0</v>
      </c>
      <c r="Y121" s="4524">
        <f t="shared" si="142"/>
        <v>0</v>
      </c>
      <c r="Z121" s="4542">
        <f t="shared" si="142"/>
        <v>0</v>
      </c>
      <c r="AA121" s="4524">
        <f t="shared" si="142"/>
        <v>0</v>
      </c>
      <c r="AB121" s="4524">
        <f t="shared" si="142"/>
        <v>0</v>
      </c>
      <c r="AC121" s="4524">
        <f t="shared" si="142"/>
        <v>0</v>
      </c>
      <c r="AD121" s="4524">
        <f t="shared" si="142"/>
        <v>0</v>
      </c>
      <c r="AE121" s="4524">
        <f t="shared" si="142"/>
        <v>0</v>
      </c>
      <c r="AF121" s="4524">
        <f t="shared" ref="AF121:AL121" si="143">AF64</f>
        <v>0</v>
      </c>
      <c r="AG121" s="4524">
        <f t="shared" si="143"/>
        <v>0</v>
      </c>
      <c r="AH121" s="4524">
        <f t="shared" si="143"/>
        <v>0</v>
      </c>
      <c r="AI121" s="4524">
        <f t="shared" si="143"/>
        <v>0</v>
      </c>
      <c r="AJ121" s="4524">
        <f t="shared" si="143"/>
        <v>0</v>
      </c>
      <c r="AK121" s="4524">
        <f t="shared" si="143"/>
        <v>0</v>
      </c>
      <c r="AL121" s="4524">
        <f t="shared" si="143"/>
        <v>0</v>
      </c>
      <c r="AM121" s="4539">
        <f t="shared" si="108"/>
        <v>0</v>
      </c>
      <c r="AN121" s="6420">
        <f t="shared" ref="AN121:AS121" si="144">AN64</f>
        <v>0</v>
      </c>
      <c r="AO121" s="4542">
        <f t="shared" si="144"/>
        <v>0</v>
      </c>
      <c r="AP121" s="4542">
        <f t="shared" si="144"/>
        <v>0</v>
      </c>
      <c r="AQ121" s="4542">
        <f t="shared" si="144"/>
        <v>0</v>
      </c>
      <c r="AR121" s="4542">
        <f t="shared" si="144"/>
        <v>0</v>
      </c>
      <c r="AS121" s="4542">
        <f t="shared" si="144"/>
        <v>0</v>
      </c>
      <c r="AT121" s="4542">
        <f>AT64</f>
        <v>0</v>
      </c>
      <c r="AU121" s="6420">
        <f>AU64</f>
        <v>0</v>
      </c>
      <c r="AV121" s="6613">
        <f>AV64</f>
        <v>0</v>
      </c>
      <c r="AW121" s="6265">
        <f>AW64</f>
        <v>0</v>
      </c>
      <c r="AX121" s="6613">
        <f>AX64</f>
        <v>0</v>
      </c>
      <c r="AY121" s="3974"/>
      <c r="AZ121" s="6445"/>
      <c r="BA121" s="4542">
        <f>BA64</f>
        <v>0</v>
      </c>
      <c r="BE121" s="7069"/>
      <c r="BF121" s="7087" t="s">
        <v>1259</v>
      </c>
      <c r="BG121" s="7087"/>
      <c r="BH121" s="3411" t="s">
        <v>1447</v>
      </c>
      <c r="BI121" s="3401">
        <v>204</v>
      </c>
      <c r="BJ121" s="5596">
        <v>52</v>
      </c>
      <c r="BK121" s="3816">
        <v>0</v>
      </c>
      <c r="BL121" s="3050">
        <v>0</v>
      </c>
      <c r="BM121" s="5597">
        <v>0</v>
      </c>
      <c r="BN121" s="5866">
        <v>0</v>
      </c>
      <c r="BO121" s="6274">
        <v>0</v>
      </c>
      <c r="BP121" s="6253">
        <v>0</v>
      </c>
      <c r="BQ121" s="6235">
        <v>0</v>
      </c>
      <c r="BR121" s="4524">
        <v>0</v>
      </c>
      <c r="BS121" s="4524">
        <v>0</v>
      </c>
      <c r="BT121" s="6489">
        <v>0</v>
      </c>
      <c r="BU121" s="3783"/>
    </row>
    <row r="122" spans="1:76" s="299" customFormat="1" ht="18" hidden="1" customHeight="1" thickBot="1">
      <c r="A122" s="7069"/>
      <c r="B122" s="7070" t="s">
        <v>1400</v>
      </c>
      <c r="C122" s="7071"/>
      <c r="D122" s="7071"/>
      <c r="E122" s="7071"/>
      <c r="F122" s="7071"/>
      <c r="G122" s="7071"/>
      <c r="H122" s="7071"/>
      <c r="I122" s="7076"/>
      <c r="J122" s="6528"/>
      <c r="K122" s="4324"/>
      <c r="L122" s="4751"/>
      <c r="M122" s="4751"/>
      <c r="N122" s="4751"/>
      <c r="O122" s="5429"/>
      <c r="P122" s="4751"/>
      <c r="Q122" s="5719"/>
      <c r="R122" s="6024"/>
      <c r="S122" s="6102"/>
      <c r="T122" s="6210"/>
      <c r="U122" s="6210"/>
      <c r="V122" s="6210"/>
      <c r="W122" s="6210"/>
      <c r="X122" s="3344">
        <f t="shared" ref="X122:AE122" si="145">X110+X116+X117+X119+X120+X121</f>
        <v>134605524.72758394</v>
      </c>
      <c r="Y122" s="3344">
        <f>Y110+Y116+Y117+Y119+Y120+Y121</f>
        <v>12622098.905622743</v>
      </c>
      <c r="Z122" s="3345">
        <f t="shared" si="145"/>
        <v>486.66436984823616</v>
      </c>
      <c r="AA122" s="3344">
        <f t="shared" si="145"/>
        <v>34141264.869756579</v>
      </c>
      <c r="AB122" s="3344">
        <f t="shared" si="145"/>
        <v>33138547.43493316</v>
      </c>
      <c r="AC122" s="3344">
        <f t="shared" si="145"/>
        <v>29533621.342981223</v>
      </c>
      <c r="AD122" s="3344">
        <f t="shared" si="145"/>
        <v>30712005.413897123</v>
      </c>
      <c r="AE122" s="3344">
        <f t="shared" si="145"/>
        <v>11877694.936445724</v>
      </c>
      <c r="AF122" s="3344">
        <f t="shared" ref="AF122:AL122" si="146">AF110+AF116+AF117+AF119+AF120+AF121</f>
        <v>-275858.49092835287</v>
      </c>
      <c r="AG122" s="3344">
        <f t="shared" si="146"/>
        <v>40619244.615021013</v>
      </c>
      <c r="AH122" s="3344">
        <f t="shared" si="146"/>
        <v>-14400252.212408265</v>
      </c>
      <c r="AI122" s="3344">
        <f t="shared" si="146"/>
        <v>33498460.760029946</v>
      </c>
      <c r="AJ122" s="3344">
        <f t="shared" si="146"/>
        <v>13036401.541322427</v>
      </c>
      <c r="AK122" s="3344">
        <f t="shared" si="146"/>
        <v>9126197.5941081326</v>
      </c>
      <c r="AL122" s="3344">
        <f t="shared" si="146"/>
        <v>8279583.520605051</v>
      </c>
      <c r="AM122" s="6473">
        <f t="shared" si="108"/>
        <v>229286911.32576376</v>
      </c>
      <c r="AN122" s="4559">
        <f>AN110+AN116+AN117+AN119+AN120+AN121</f>
        <v>486.66436984823616</v>
      </c>
      <c r="AO122" s="3345">
        <f>AA122/년간!F8</f>
        <v>1300.8242771055629</v>
      </c>
      <c r="AP122" s="3345">
        <f>AB122/년간!G8</f>
        <v>1145.4671330864801</v>
      </c>
      <c r="AQ122" s="3345">
        <f>AC122/년간!H8</f>
        <v>1240.7447648915741</v>
      </c>
      <c r="AR122" s="3345">
        <f>AD122/년간!I8</f>
        <v>1184.175475322181</v>
      </c>
      <c r="AS122" s="3345">
        <f>AE122/년간!J8</f>
        <v>466.89676420383466</v>
      </c>
      <c r="AT122" s="3345">
        <f>AF122/년간!K8</f>
        <v>-9.3531327343925259</v>
      </c>
      <c r="AU122" s="4559">
        <f>AG122/년간!L8</f>
        <v>1252.3947520237255</v>
      </c>
      <c r="AV122" s="6614">
        <f>AH122/년간!M8</f>
        <v>-504.00522127693102</v>
      </c>
      <c r="AW122" s="6254">
        <f>AI122/년간!N8</f>
        <v>1132.4350995297286</v>
      </c>
      <c r="AX122" s="6614">
        <f>AJ122/년간!O8</f>
        <v>425.65587355087439</v>
      </c>
      <c r="AY122" s="6431"/>
      <c r="AZ122" s="6446"/>
      <c r="BA122" s="3345">
        <f>AM122/년간!V8</f>
        <v>813.9031081807799</v>
      </c>
      <c r="BE122" s="7069"/>
      <c r="BF122" s="7070" t="s">
        <v>1400</v>
      </c>
      <c r="BG122" s="7071"/>
      <c r="BH122" s="7071"/>
      <c r="BI122" s="7071"/>
      <c r="BJ122" s="7071"/>
      <c r="BK122" s="7071"/>
      <c r="BL122" s="7071"/>
      <c r="BM122" s="7071"/>
      <c r="BN122" s="7071"/>
      <c r="BO122" s="7073"/>
      <c r="BP122" s="6254">
        <v>12611867.097012034</v>
      </c>
      <c r="BQ122" s="6236">
        <v>486.23460954602473</v>
      </c>
      <c r="BR122" s="4559">
        <v>13036401.541322427</v>
      </c>
      <c r="BS122" s="3344">
        <v>425.65587355087439</v>
      </c>
      <c r="BT122" s="6478">
        <v>753.86358885169</v>
      </c>
      <c r="BU122" s="3783"/>
    </row>
    <row r="123" spans="1:76" s="299" customFormat="1" ht="17.399999999999999" hidden="1" customHeight="1">
      <c r="A123" s="7069"/>
      <c r="B123" s="7097" t="s">
        <v>1449</v>
      </c>
      <c r="C123" s="7098"/>
      <c r="D123" s="3025" t="s">
        <v>1451</v>
      </c>
      <c r="E123" s="3213">
        <f t="shared" ref="E123:M123" si="147">E70</f>
        <v>54.062042613628726</v>
      </c>
      <c r="F123" s="3213">
        <f t="shared" si="147"/>
        <v>58.04</v>
      </c>
      <c r="G123" s="3295">
        <f t="shared" si="147"/>
        <v>60.206775876441782</v>
      </c>
      <c r="H123" s="3297">
        <f t="shared" si="147"/>
        <v>58.694362011852682</v>
      </c>
      <c r="I123" s="6545">
        <f t="shared" si="147"/>
        <v>60</v>
      </c>
      <c r="J123" s="6546">
        <f t="shared" si="147"/>
        <v>60</v>
      </c>
      <c r="K123" s="3296">
        <f t="shared" si="147"/>
        <v>60.874104140090452</v>
      </c>
      <c r="L123" s="3296">
        <f t="shared" si="147"/>
        <v>62.159699194270374</v>
      </c>
      <c r="M123" s="3296">
        <f t="shared" si="147"/>
        <v>60.15957877000843</v>
      </c>
      <c r="N123" s="3296">
        <f t="shared" ref="N123:W123" si="148">N70</f>
        <v>62.721523579201929</v>
      </c>
      <c r="O123" s="3296">
        <f t="shared" si="148"/>
        <v>57.555791855203616</v>
      </c>
      <c r="P123" s="3296">
        <f t="shared" si="148"/>
        <v>60.661661867544225</v>
      </c>
      <c r="Q123" s="3296">
        <f t="shared" si="148"/>
        <v>60.070862787467199</v>
      </c>
      <c r="R123" s="3296">
        <f t="shared" si="148"/>
        <v>60.769159163417235</v>
      </c>
      <c r="S123" s="3296">
        <f t="shared" si="148"/>
        <v>62.188318149964957</v>
      </c>
      <c r="T123" s="3296">
        <f t="shared" si="148"/>
        <v>56.385312058913776</v>
      </c>
      <c r="U123" s="3296">
        <f t="shared" si="148"/>
        <v>68.682105263157894</v>
      </c>
      <c r="V123" s="3296" t="e">
        <f t="shared" si="148"/>
        <v>#DIV/0!</v>
      </c>
      <c r="W123" s="6502">
        <f t="shared" si="148"/>
        <v>60.293596370134942</v>
      </c>
      <c r="X123" s="4525">
        <f t="shared" ref="X123:AE123" si="149">X70</f>
        <v>113450000.77900608</v>
      </c>
      <c r="Y123" s="4525">
        <f t="shared" si="149"/>
        <v>11345000.077900607</v>
      </c>
      <c r="Z123" s="4543">
        <f t="shared" si="149"/>
        <v>410.17687238421797</v>
      </c>
      <c r="AA123" s="4525">
        <f t="shared" si="149"/>
        <v>17715634.185618967</v>
      </c>
      <c r="AB123" s="4525">
        <f t="shared" si="149"/>
        <v>30402592.980827082</v>
      </c>
      <c r="AC123" s="4525">
        <f t="shared" si="149"/>
        <v>10928348.521921707</v>
      </c>
      <c r="AD123" s="4525">
        <f t="shared" si="149"/>
        <v>31390465.998231091</v>
      </c>
      <c r="AE123" s="4525">
        <f t="shared" si="149"/>
        <v>-9486483.6169369631</v>
      </c>
      <c r="AF123" s="4525">
        <f t="shared" ref="AF123:AK123" si="150">AF70</f>
        <v>18030539.019309398</v>
      </c>
      <c r="AG123" s="4525">
        <f t="shared" si="150"/>
        <v>14075743.741182659</v>
      </c>
      <c r="AH123" s="4525">
        <f t="shared" si="150"/>
        <v>18479719.613709893</v>
      </c>
      <c r="AI123" s="4525">
        <f t="shared" si="150"/>
        <v>31328771.3122596</v>
      </c>
      <c r="AJ123" s="4525">
        <f t="shared" si="150"/>
        <v>-23642295.102817044</v>
      </c>
      <c r="AK123" s="4525">
        <f t="shared" si="150"/>
        <v>1788603.8878450419</v>
      </c>
      <c r="AL123" s="4525"/>
      <c r="AM123" s="4539">
        <f t="shared" si="108"/>
        <v>141011640.5411514</v>
      </c>
      <c r="AN123" s="4567">
        <f t="shared" ref="AN123:AX123" si="151">AN70</f>
        <v>410.17687238421797</v>
      </c>
      <c r="AO123" s="4543">
        <f t="shared" si="151"/>
        <v>674.9875003426813</v>
      </c>
      <c r="AP123" s="4543">
        <f t="shared" si="151"/>
        <v>1050.8961229674183</v>
      </c>
      <c r="AQ123" s="4543">
        <f t="shared" si="151"/>
        <v>459.11373549547278</v>
      </c>
      <c r="AR123" s="4543">
        <f t="shared" si="151"/>
        <v>1210.3351602438793</v>
      </c>
      <c r="AS123" s="4543">
        <f t="shared" si="151"/>
        <v>-372.90135233477815</v>
      </c>
      <c r="AT123" s="4543">
        <f t="shared" si="151"/>
        <v>611.33526886451671</v>
      </c>
      <c r="AU123" s="4567">
        <f t="shared" si="151"/>
        <v>433.99102468215222</v>
      </c>
      <c r="AV123" s="6615">
        <f t="shared" si="151"/>
        <v>646.78555872917354</v>
      </c>
      <c r="AW123" s="6255">
        <f t="shared" si="151"/>
        <v>1059.0874760870981</v>
      </c>
      <c r="AX123" s="6615">
        <f t="shared" si="151"/>
        <v>-771.95242435868522</v>
      </c>
      <c r="AY123" s="6433"/>
      <c r="AZ123" s="6447"/>
      <c r="BA123" s="4543" t="e">
        <f>BA70</f>
        <v>#DIV/0!</v>
      </c>
      <c r="BE123" s="7069"/>
      <c r="BF123" s="7097" t="s">
        <v>1449</v>
      </c>
      <c r="BG123" s="7098"/>
      <c r="BH123" s="3025" t="s">
        <v>1450</v>
      </c>
      <c r="BI123" s="3213">
        <v>54.062042613628726</v>
      </c>
      <c r="BJ123" s="3213">
        <v>58.04</v>
      </c>
      <c r="BK123" s="3295">
        <v>60.206775876441782</v>
      </c>
      <c r="BL123" s="3773">
        <v>58.694362011852682</v>
      </c>
      <c r="BM123" s="3752">
        <v>60</v>
      </c>
      <c r="BN123" s="4681">
        <v>60</v>
      </c>
      <c r="BO123" s="6726">
        <v>56.385312058913776</v>
      </c>
      <c r="BP123" s="6255">
        <v>11345000.077900607</v>
      </c>
      <c r="BQ123" s="6237">
        <v>410.17687238421797</v>
      </c>
      <c r="BR123" s="3053">
        <v>-23642295.102817044</v>
      </c>
      <c r="BS123" s="3053">
        <v>-771.95242435868522</v>
      </c>
      <c r="BT123" s="6490">
        <v>495.34934025388742</v>
      </c>
      <c r="BU123" s="4472"/>
    </row>
    <row r="124" spans="1:76" s="299" customFormat="1" ht="18" hidden="1" customHeight="1" thickBot="1">
      <c r="A124" s="7069"/>
      <c r="B124" s="7090" t="s">
        <v>1322</v>
      </c>
      <c r="C124" s="3287" t="s">
        <v>455</v>
      </c>
      <c r="D124" s="3025" t="s">
        <v>1382</v>
      </c>
      <c r="E124" s="1655">
        <f t="shared" ref="E124:M124" si="152">E76</f>
        <v>3.7</v>
      </c>
      <c r="F124" s="1655">
        <f t="shared" si="152"/>
        <v>3.48</v>
      </c>
      <c r="G124" s="1272">
        <f t="shared" si="152"/>
        <v>6</v>
      </c>
      <c r="H124" s="3188">
        <f t="shared" si="152"/>
        <v>7.1107920973624523</v>
      </c>
      <c r="I124" s="6547">
        <f t="shared" si="152"/>
        <v>6.6</v>
      </c>
      <c r="J124" s="6548">
        <f t="shared" si="152"/>
        <v>6.6</v>
      </c>
      <c r="K124" s="3189">
        <f t="shared" si="152"/>
        <v>7.740673103996933</v>
      </c>
      <c r="L124" s="3189">
        <f t="shared" si="152"/>
        <v>6.6424620707248083</v>
      </c>
      <c r="M124" s="3189">
        <f t="shared" si="152"/>
        <v>6.7953151474973463</v>
      </c>
      <c r="N124" s="3189">
        <f t="shared" ref="N124:W124" si="153">N76</f>
        <v>5.8767885085558067</v>
      </c>
      <c r="O124" s="3189">
        <f t="shared" si="153"/>
        <v>6.1396442593686382</v>
      </c>
      <c r="P124" s="3189">
        <f t="shared" si="153"/>
        <v>5.4748537109564506</v>
      </c>
      <c r="Q124" s="3189">
        <f t="shared" si="153"/>
        <v>5.4884445546922871</v>
      </c>
      <c r="R124" s="3189">
        <f t="shared" si="153"/>
        <v>5.4210803795430582</v>
      </c>
      <c r="S124" s="3189">
        <f t="shared" si="153"/>
        <v>5.3893528997677356</v>
      </c>
      <c r="T124" s="3189">
        <f t="shared" si="153"/>
        <v>6.2621957352149931</v>
      </c>
      <c r="U124" s="3189">
        <f t="shared" si="153"/>
        <v>17.681900268328771</v>
      </c>
      <c r="V124" s="3189">
        <f t="shared" si="153"/>
        <v>0</v>
      </c>
      <c r="W124" s="6503">
        <f t="shared" si="153"/>
        <v>7.1738827853315295</v>
      </c>
      <c r="X124" s="4526">
        <f t="shared" ref="X124:AE124" si="154">X76</f>
        <v>85381942.271291628</v>
      </c>
      <c r="Y124" s="4526">
        <f t="shared" si="154"/>
        <v>8538194.2271291632</v>
      </c>
      <c r="Z124" s="4544">
        <f t="shared" si="154"/>
        <v>308.69720404099826</v>
      </c>
      <c r="AA124" s="4526">
        <f t="shared" si="154"/>
        <v>-9990978.2306764796</v>
      </c>
      <c r="AB124" s="4526">
        <f t="shared" si="154"/>
        <v>8188255.1143837078</v>
      </c>
      <c r="AC124" s="4526">
        <f t="shared" si="154"/>
        <v>4538270.840366452</v>
      </c>
      <c r="AD124" s="4526">
        <f t="shared" si="154"/>
        <v>19341807.756323621</v>
      </c>
      <c r="AE124" s="4526">
        <f t="shared" si="154"/>
        <v>14930872.152994724</v>
      </c>
      <c r="AF124" s="4526">
        <f t="shared" ref="AF124:AL124" si="155">AF76</f>
        <v>29159812.552829687</v>
      </c>
      <c r="AG124" s="4526">
        <f t="shared" si="155"/>
        <v>31799700.182598289</v>
      </c>
      <c r="AH124" s="4526">
        <f t="shared" si="155"/>
        <v>29176702.376787584</v>
      </c>
      <c r="AI124" s="4526">
        <f t="shared" si="155"/>
        <v>30774552.344902087</v>
      </c>
      <c r="AJ124" s="4526">
        <f t="shared" si="155"/>
        <v>15706838.94250039</v>
      </c>
      <c r="AK124" s="4526">
        <f t="shared" si="155"/>
        <v>-4168465.8451036182</v>
      </c>
      <c r="AL124" s="4526">
        <f t="shared" si="155"/>
        <v>0</v>
      </c>
      <c r="AM124" s="4539">
        <f t="shared" si="108"/>
        <v>169457368.18790644</v>
      </c>
      <c r="AN124" s="4568">
        <f t="shared" ref="AN124:AS124" si="156">AN76</f>
        <v>308.69720404099826</v>
      </c>
      <c r="AO124" s="4544">
        <f t="shared" si="156"/>
        <v>-380.66858635954839</v>
      </c>
      <c r="AP124" s="4544">
        <f t="shared" si="156"/>
        <v>283.03525159846015</v>
      </c>
      <c r="AQ124" s="4544">
        <f t="shared" si="156"/>
        <v>190.65849465097682</v>
      </c>
      <c r="AR124" s="4544">
        <f t="shared" si="156"/>
        <v>745.77006889529628</v>
      </c>
      <c r="AS124" s="4544">
        <f t="shared" si="156"/>
        <v>586.9131958915616</v>
      </c>
      <c r="AT124" s="4544">
        <f>AT76</f>
        <v>988.67936382446715</v>
      </c>
      <c r="AU124" s="4568">
        <f>AU76</f>
        <v>980.46573741271436</v>
      </c>
      <c r="AV124" s="6616">
        <f>AV76</f>
        <v>1021.1772766641509</v>
      </c>
      <c r="AW124" s="6256">
        <f>AW76</f>
        <v>1040.351779066367</v>
      </c>
      <c r="AX124" s="6616">
        <f>AX76</f>
        <v>512.84921146381703</v>
      </c>
      <c r="AY124" s="6434"/>
      <c r="AZ124" s="6448"/>
      <c r="BA124" s="4544">
        <f>BA76</f>
        <v>601.52530240296494</v>
      </c>
      <c r="BE124" s="7069"/>
      <c r="BF124" s="7101" t="s">
        <v>1322</v>
      </c>
      <c r="BG124" s="6181" t="s">
        <v>455</v>
      </c>
      <c r="BH124" s="3025" t="s">
        <v>1493</v>
      </c>
      <c r="BI124" s="1655">
        <v>3.7</v>
      </c>
      <c r="BJ124" s="1655">
        <v>3.48</v>
      </c>
      <c r="BK124" s="1272">
        <v>6</v>
      </c>
      <c r="BL124" s="1272">
        <v>7.1107920973624523</v>
      </c>
      <c r="BM124" s="3777">
        <v>6.6</v>
      </c>
      <c r="BN124" s="4682">
        <v>6.6</v>
      </c>
      <c r="BO124" s="6275">
        <v>6.2621957352149931</v>
      </c>
      <c r="BP124" s="6256">
        <v>8537731.1813231017</v>
      </c>
      <c r="BQ124" s="6238">
        <v>308.68046268540581</v>
      </c>
      <c r="BR124" s="4526">
        <v>15706838.94250039</v>
      </c>
      <c r="BS124" s="4526">
        <v>512.84921146381703</v>
      </c>
      <c r="BT124" s="6487">
        <v>617.75295530619337</v>
      </c>
      <c r="BU124" s="4471"/>
    </row>
    <row r="125" spans="1:76" s="299" customFormat="1" ht="17.399999999999999" hidden="1" customHeight="1">
      <c r="A125" s="7069"/>
      <c r="B125" s="7086"/>
      <c r="C125" s="3161" t="s">
        <v>1326</v>
      </c>
      <c r="D125" s="3018" t="s">
        <v>1382</v>
      </c>
      <c r="E125" s="3019">
        <f t="shared" ref="E125:M125" si="157">E81</f>
        <v>14.92</v>
      </c>
      <c r="F125" s="3019">
        <f t="shared" si="157"/>
        <v>14.55</v>
      </c>
      <c r="G125" s="3021">
        <f t="shared" si="157"/>
        <v>13.6</v>
      </c>
      <c r="H125" s="3298">
        <f t="shared" si="157"/>
        <v>13.953402383827582</v>
      </c>
      <c r="I125" s="6549">
        <f t="shared" si="157"/>
        <v>13.674334336151031</v>
      </c>
      <c r="J125" s="6550">
        <f t="shared" si="157"/>
        <v>13.674334336151031</v>
      </c>
      <c r="K125" s="3026">
        <f t="shared" si="157"/>
        <v>18.337987334516225</v>
      </c>
      <c r="L125" s="3026">
        <f t="shared" si="157"/>
        <v>14.568369124112346</v>
      </c>
      <c r="M125" s="3026">
        <f t="shared" si="157"/>
        <v>14.951002262726682</v>
      </c>
      <c r="N125" s="3026">
        <f t="shared" ref="N125:W125" si="158">N81</f>
        <v>12.019155322754465</v>
      </c>
      <c r="O125" s="3026">
        <f t="shared" si="158"/>
        <v>13.580370177903321</v>
      </c>
      <c r="P125" s="3026">
        <f t="shared" si="158"/>
        <v>13.304061545346972</v>
      </c>
      <c r="Q125" s="3026">
        <f t="shared" si="158"/>
        <v>11.636357245617617</v>
      </c>
      <c r="R125" s="3026">
        <f t="shared" si="158"/>
        <v>13.853810875983182</v>
      </c>
      <c r="S125" s="3026">
        <f t="shared" si="158"/>
        <v>12.851220601394616</v>
      </c>
      <c r="T125" s="3026">
        <f t="shared" si="158"/>
        <v>16.99141293643158</v>
      </c>
      <c r="U125" s="3026">
        <f t="shared" si="158"/>
        <v>140.3074423737126</v>
      </c>
      <c r="V125" s="3026">
        <f t="shared" si="158"/>
        <v>0</v>
      </c>
      <c r="W125" s="6504">
        <f t="shared" si="158"/>
        <v>25.672835436409059</v>
      </c>
      <c r="X125" s="4527">
        <f t="shared" ref="X125:AE125" si="159">X81</f>
        <v>7828292.6769786775</v>
      </c>
      <c r="Y125" s="4527">
        <f t="shared" si="159"/>
        <v>782829.2676978677</v>
      </c>
      <c r="Z125" s="4545">
        <f t="shared" si="159"/>
        <v>28.303081395355829</v>
      </c>
      <c r="AA125" s="4527">
        <f t="shared" si="159"/>
        <v>-11671134.352173071</v>
      </c>
      <c r="AB125" s="4527">
        <f t="shared" si="159"/>
        <v>-1804371.9615030526</v>
      </c>
      <c r="AC125" s="4700">
        <f t="shared" si="159"/>
        <v>-2408320.2917474471</v>
      </c>
      <c r="AD125" s="4700">
        <f t="shared" si="159"/>
        <v>5087772.2833521394</v>
      </c>
      <c r="AE125" s="4700">
        <f t="shared" si="159"/>
        <v>962456.7825089423</v>
      </c>
      <c r="AF125" s="4700">
        <f t="shared" ref="AF125:AL125" si="160">AF81</f>
        <v>1942341.467510368</v>
      </c>
      <c r="AG125" s="4700">
        <f t="shared" si="160"/>
        <v>7621644.7848369768</v>
      </c>
      <c r="AH125" s="4700">
        <f t="shared" si="160"/>
        <v>288589.79986178724</v>
      </c>
      <c r="AI125" s="4700">
        <f t="shared" si="160"/>
        <v>3306651.0379348164</v>
      </c>
      <c r="AJ125" s="4700">
        <f t="shared" si="160"/>
        <v>-9436522.5638351683</v>
      </c>
      <c r="AK125" s="4700">
        <f t="shared" si="160"/>
        <v>-8361418.1485579098</v>
      </c>
      <c r="AL125" s="4700">
        <f t="shared" si="160"/>
        <v>0</v>
      </c>
      <c r="AM125" s="4539">
        <f t="shared" si="108"/>
        <v>-14472311.16181162</v>
      </c>
      <c r="AN125" s="4569">
        <f t="shared" ref="AN125:AS125" si="161">AN81</f>
        <v>28.303081395355829</v>
      </c>
      <c r="AO125" s="4545">
        <f t="shared" si="161"/>
        <v>-444.68460569884223</v>
      </c>
      <c r="AP125" s="4545">
        <f t="shared" si="161"/>
        <v>-62.369926799680769</v>
      </c>
      <c r="AQ125" s="4545">
        <f t="shared" si="161"/>
        <v>-101.17657971794675</v>
      </c>
      <c r="AR125" s="4545">
        <f t="shared" si="161"/>
        <v>196.17133693403559</v>
      </c>
      <c r="AS125" s="4545">
        <f t="shared" si="161"/>
        <v>37.832926324838553</v>
      </c>
      <c r="AT125" s="4545">
        <f>AT81</f>
        <v>65.85614783870345</v>
      </c>
      <c r="AU125" s="4569">
        <f>AU81</f>
        <v>234.9947179172546</v>
      </c>
      <c r="AV125" s="6617">
        <f>AV81</f>
        <v>10.100570725579011</v>
      </c>
      <c r="AW125" s="6257">
        <f>AW81</f>
        <v>111.78327637435144</v>
      </c>
      <c r="AX125" s="6617">
        <f>AX81</f>
        <v>-308.1150302450975</v>
      </c>
      <c r="AY125" s="6435"/>
      <c r="AZ125" s="6449"/>
      <c r="BA125" s="4545">
        <f>BA81</f>
        <v>-51.372574950091888</v>
      </c>
      <c r="BE125" s="7069"/>
      <c r="BF125" s="7087"/>
      <c r="BG125" s="6179" t="s">
        <v>1326</v>
      </c>
      <c r="BH125" s="3414" t="s">
        <v>1493</v>
      </c>
      <c r="BI125" s="5598">
        <v>14.92</v>
      </c>
      <c r="BJ125" s="5598">
        <v>14.55</v>
      </c>
      <c r="BK125" s="3774">
        <v>13.6</v>
      </c>
      <c r="BL125" s="3774">
        <v>13.953402383827582</v>
      </c>
      <c r="BM125" s="3778">
        <v>13.674334336151031</v>
      </c>
      <c r="BN125" s="4683">
        <v>13.674334336151031</v>
      </c>
      <c r="BO125" s="6277">
        <v>16.99141293643158</v>
      </c>
      <c r="BP125" s="6257">
        <v>782786.8130757747</v>
      </c>
      <c r="BQ125" s="6239">
        <v>28.301546454501811</v>
      </c>
      <c r="BR125" s="4700">
        <v>-9436522.5638351683</v>
      </c>
      <c r="BS125" s="4700">
        <v>-308.1150302450975</v>
      </c>
      <c r="BT125" s="6491">
        <v>-21.74228414522538</v>
      </c>
      <c r="BU125" s="7157" t="s">
        <v>1939</v>
      </c>
      <c r="BV125" s="7157" t="s">
        <v>1788</v>
      </c>
      <c r="BW125" s="7155" t="s">
        <v>1789</v>
      </c>
      <c r="BX125" s="7153" t="s">
        <v>1787</v>
      </c>
    </row>
    <row r="126" spans="1:76" s="299" customFormat="1" ht="17.399999999999999" hidden="1" customHeight="1">
      <c r="A126" s="7069"/>
      <c r="B126" s="3161" t="s">
        <v>1376</v>
      </c>
      <c r="C126" s="3161" t="s">
        <v>1377</v>
      </c>
      <c r="D126" s="2848" t="s">
        <v>1381</v>
      </c>
      <c r="E126" s="3020">
        <f t="shared" ref="E126:M126" si="162">E87</f>
        <v>2.1</v>
      </c>
      <c r="F126" s="3020">
        <f t="shared" si="162"/>
        <v>1.87</v>
      </c>
      <c r="G126" s="3022">
        <f t="shared" si="162"/>
        <v>1.7517361678383541</v>
      </c>
      <c r="H126" s="3298">
        <f t="shared" si="162"/>
        <v>1.5030626334880381</v>
      </c>
      <c r="I126" s="6549">
        <f t="shared" si="162"/>
        <v>1.45</v>
      </c>
      <c r="J126" s="6550">
        <f t="shared" si="162"/>
        <v>1.45</v>
      </c>
      <c r="K126" s="3026">
        <f t="shared" si="162"/>
        <v>2.1748183618984624</v>
      </c>
      <c r="L126" s="3026">
        <f t="shared" si="162"/>
        <v>1.0884834373539587</v>
      </c>
      <c r="M126" s="3026">
        <f t="shared" si="162"/>
        <v>1.9472220891865528</v>
      </c>
      <c r="N126" s="3026">
        <f t="shared" ref="N126:W126" si="163">N87</f>
        <v>1.2612129776540515</v>
      </c>
      <c r="O126" s="3026">
        <f t="shared" si="163"/>
        <v>1.2724226660261968</v>
      </c>
      <c r="P126" s="3026">
        <f t="shared" si="163"/>
        <v>1.1595696708110546</v>
      </c>
      <c r="Q126" s="3026">
        <f t="shared" si="163"/>
        <v>1.7765713344881151</v>
      </c>
      <c r="R126" s="3026">
        <f t="shared" si="163"/>
        <v>1.9757358636098958</v>
      </c>
      <c r="S126" s="3026">
        <f t="shared" si="163"/>
        <v>0.96278309220372205</v>
      </c>
      <c r="T126" s="3026">
        <f t="shared" si="163"/>
        <v>2.2173519495555207</v>
      </c>
      <c r="U126" s="3026">
        <f t="shared" si="163"/>
        <v>0</v>
      </c>
      <c r="V126" s="3026">
        <f t="shared" si="163"/>
        <v>0</v>
      </c>
      <c r="W126" s="6504">
        <f t="shared" si="163"/>
        <v>1.5836171442787532</v>
      </c>
      <c r="X126" s="4528">
        <f t="shared" ref="X126:AE126" si="164">X87</f>
        <v>1673119.5945156037</v>
      </c>
      <c r="Y126" s="4528">
        <f t="shared" si="164"/>
        <v>167311.95945156037</v>
      </c>
      <c r="Z126" s="4545">
        <f t="shared" si="164"/>
        <v>6.0491402176363538</v>
      </c>
      <c r="AA126" s="4528">
        <f t="shared" si="164"/>
        <v>-2009912.7412361444</v>
      </c>
      <c r="AB126" s="4528">
        <f t="shared" si="164"/>
        <v>1367298.0423586541</v>
      </c>
      <c r="AC126" s="4528">
        <f t="shared" si="164"/>
        <v>-1205252.4265199718</v>
      </c>
      <c r="AD126" s="4528">
        <f t="shared" si="164"/>
        <v>715059.92374347441</v>
      </c>
      <c r="AE126" s="4528">
        <f t="shared" si="164"/>
        <v>668883.86842899502</v>
      </c>
      <c r="AF126" s="4528">
        <f t="shared" ref="AF126:AL126" si="165">AF87</f>
        <v>1154920.1368369013</v>
      </c>
      <c r="AG126" s="4528">
        <f t="shared" si="165"/>
        <v>-1011268.7845449442</v>
      </c>
      <c r="AH126" s="4528">
        <f t="shared" si="165"/>
        <v>-1539575.250836154</v>
      </c>
      <c r="AI126" s="4528">
        <f t="shared" si="165"/>
        <v>1821943.4953552808</v>
      </c>
      <c r="AJ126" s="4528">
        <f t="shared" si="165"/>
        <v>-2493894.6525294539</v>
      </c>
      <c r="AK126" s="4528">
        <f t="shared" si="165"/>
        <v>111801.88700920338</v>
      </c>
      <c r="AL126" s="4528">
        <f t="shared" si="165"/>
        <v>0</v>
      </c>
      <c r="AM126" s="4539">
        <f t="shared" si="108"/>
        <v>-2419996.5019341591</v>
      </c>
      <c r="AN126" s="4569">
        <f t="shared" ref="AN126:AS126" si="166">AN87</f>
        <v>6.0491402176363538</v>
      </c>
      <c r="AO126" s="4545">
        <f t="shared" si="166"/>
        <v>-76.580153038788367</v>
      </c>
      <c r="AP126" s="4545">
        <f t="shared" si="166"/>
        <v>47.262028359285054</v>
      </c>
      <c r="AQ126" s="4545">
        <f t="shared" si="166"/>
        <v>-50.634177949630669</v>
      </c>
      <c r="AR126" s="4545">
        <f t="shared" si="166"/>
        <v>27.570860765074482</v>
      </c>
      <c r="AS126" s="4545">
        <f t="shared" si="166"/>
        <v>26.292956290649915</v>
      </c>
      <c r="AT126" s="4545">
        <f>AT87</f>
        <v>39.158197745176132</v>
      </c>
      <c r="AU126" s="4569">
        <f>AU87</f>
        <v>-31.179991914008774</v>
      </c>
      <c r="AV126" s="6617">
        <f>AV87</f>
        <v>-53.88474823389177</v>
      </c>
      <c r="AW126" s="6257">
        <f>AW87</f>
        <v>61.591867706412032</v>
      </c>
      <c r="AX126" s="6617">
        <f>AX87</f>
        <v>-81.42898203169301</v>
      </c>
      <c r="AY126" s="6436"/>
      <c r="AZ126" s="6450"/>
      <c r="BA126" s="4545">
        <f>BA87</f>
        <v>-8.5902970358060227</v>
      </c>
      <c r="BE126" s="7069"/>
      <c r="BF126" s="6179" t="s">
        <v>1376</v>
      </c>
      <c r="BG126" s="6179" t="s">
        <v>1377</v>
      </c>
      <c r="BH126" s="3411" t="s">
        <v>1494</v>
      </c>
      <c r="BI126" s="3412">
        <v>2.1</v>
      </c>
      <c r="BJ126" s="3412">
        <v>1.87</v>
      </c>
      <c r="BK126" s="4384">
        <v>1.7517361678383541</v>
      </c>
      <c r="BL126" s="3774">
        <v>1.5030626334880381</v>
      </c>
      <c r="BM126" s="3778">
        <v>1.45</v>
      </c>
      <c r="BN126" s="4380">
        <v>1.45</v>
      </c>
      <c r="BO126" s="6277">
        <v>2.2173519495555207</v>
      </c>
      <c r="BP126" s="6258">
        <v>167302.88574123391</v>
      </c>
      <c r="BQ126" s="6239">
        <v>6.0488121589235222</v>
      </c>
      <c r="BR126" s="4528">
        <v>-2493894.6525294539</v>
      </c>
      <c r="BS126" s="4700">
        <v>-81.42898203169301</v>
      </c>
      <c r="BT126" s="6491">
        <v>-9.0080254803087989</v>
      </c>
      <c r="BU126" s="7158"/>
      <c r="BV126" s="7158"/>
      <c r="BW126" s="7156"/>
      <c r="BX126" s="7154"/>
    </row>
    <row r="127" spans="1:76" s="299" customFormat="1" ht="17.399999999999999" hidden="1" customHeight="1">
      <c r="A127" s="7069"/>
      <c r="B127" s="7111" t="s">
        <v>1486</v>
      </c>
      <c r="C127" s="7112"/>
      <c r="D127" s="3040" t="s">
        <v>719</v>
      </c>
      <c r="E127" s="3299">
        <f t="shared" ref="E127:M127" si="167">E94</f>
        <v>804.55310718712531</v>
      </c>
      <c r="F127" s="3299">
        <f t="shared" si="167"/>
        <v>671</v>
      </c>
      <c r="G127" s="3300">
        <f t="shared" si="167"/>
        <v>517.23473829824388</v>
      </c>
      <c r="H127" s="3302">
        <f t="shared" si="167"/>
        <v>635.2418619413146</v>
      </c>
      <c r="I127" s="6551">
        <f t="shared" si="167"/>
        <v>621.51204352886725</v>
      </c>
      <c r="J127" s="6552">
        <f t="shared" si="167"/>
        <v>621.51204352886725</v>
      </c>
      <c r="K127" s="3301">
        <f t="shared" si="167"/>
        <v>582.04639434699629</v>
      </c>
      <c r="L127" s="4997">
        <f t="shared" si="167"/>
        <v>355.55344318869999</v>
      </c>
      <c r="M127" s="4997">
        <f t="shared" si="167"/>
        <v>1749.7565447247716</v>
      </c>
      <c r="N127" s="4997">
        <f t="shared" ref="N127:W127" si="168">N94</f>
        <v>488.87803711922146</v>
      </c>
      <c r="O127" s="4997">
        <f t="shared" si="168"/>
        <v>410.602657425453</v>
      </c>
      <c r="P127" s="4997">
        <f t="shared" si="168"/>
        <v>565.86782940085504</v>
      </c>
      <c r="Q127" s="4997">
        <f t="shared" si="168"/>
        <v>867.1569247124711</v>
      </c>
      <c r="R127" s="4997">
        <f t="shared" si="168"/>
        <v>444.21328665393395</v>
      </c>
      <c r="S127" s="4997">
        <f t="shared" si="168"/>
        <v>507.59104435935205</v>
      </c>
      <c r="T127" s="4997">
        <f t="shared" si="168"/>
        <v>396.69552848498932</v>
      </c>
      <c r="U127" s="4997">
        <f t="shared" si="168"/>
        <v>0</v>
      </c>
      <c r="V127" s="4997">
        <f t="shared" si="168"/>
        <v>0</v>
      </c>
      <c r="W127" s="6505">
        <f t="shared" si="168"/>
        <v>636.83616904167434</v>
      </c>
      <c r="X127" s="4529">
        <f t="shared" ref="X127:AE127" si="169">X94</f>
        <v>3797297.067785799</v>
      </c>
      <c r="Y127" s="4529">
        <f t="shared" si="169"/>
        <v>379729.70677857992</v>
      </c>
      <c r="Z127" s="4546">
        <f t="shared" si="169"/>
        <v>13.729073812984652</v>
      </c>
      <c r="AA127" s="4529">
        <f t="shared" si="169"/>
        <v>1396161.3270696909</v>
      </c>
      <c r="AB127" s="4529">
        <f t="shared" si="169"/>
        <v>8091430.7046601409</v>
      </c>
      <c r="AC127" s="4528">
        <f t="shared" si="169"/>
        <v>-26528949.026350215</v>
      </c>
      <c r="AD127" s="4528">
        <f t="shared" si="169"/>
        <v>3795997.0240996731</v>
      </c>
      <c r="AE127" s="4528">
        <f t="shared" si="169"/>
        <v>5714744.9855539836</v>
      </c>
      <c r="AF127" s="4528">
        <f t="shared" ref="AF127:AL127" si="170">AF94</f>
        <v>2046096.9035385519</v>
      </c>
      <c r="AG127" s="4528">
        <f t="shared" si="170"/>
        <v>-7521761.5287732389</v>
      </c>
      <c r="AH127" s="4528">
        <f t="shared" si="170"/>
        <v>5457998.3456239095</v>
      </c>
      <c r="AI127" s="4528">
        <f t="shared" si="170"/>
        <v>3776027.3463184517</v>
      </c>
      <c r="AJ127" s="4528">
        <f t="shared" si="170"/>
        <v>7305868.3842528276</v>
      </c>
      <c r="AK127" s="4528">
        <f t="shared" si="170"/>
        <v>414482.61007946898</v>
      </c>
      <c r="AL127" s="4528">
        <f t="shared" si="170"/>
        <v>0</v>
      </c>
      <c r="AM127" s="4539">
        <f t="shared" si="108"/>
        <v>3948097.076073247</v>
      </c>
      <c r="AN127" s="4570">
        <f t="shared" ref="AN127:AS127" si="171">AN94</f>
        <v>13.729073812984652</v>
      </c>
      <c r="AO127" s="4546">
        <f t="shared" si="171"/>
        <v>53.195467594318302</v>
      </c>
      <c r="AP127" s="4546">
        <f t="shared" si="171"/>
        <v>279.68841875261461</v>
      </c>
      <c r="AQ127" s="4546">
        <f t="shared" si="171"/>
        <v>-1114.5146827834569</v>
      </c>
      <c r="AR127" s="4546">
        <f t="shared" si="171"/>
        <v>146.36382482209314</v>
      </c>
      <c r="AS127" s="4546">
        <f t="shared" si="171"/>
        <v>224.63920451586159</v>
      </c>
      <c r="AT127" s="4546">
        <f>AT94</f>
        <v>69.374032540459552</v>
      </c>
      <c r="AU127" s="4570">
        <f>AU94</f>
        <v>-231.9150627711565</v>
      </c>
      <c r="AV127" s="6618">
        <f>AV94</f>
        <v>191.02857528738065</v>
      </c>
      <c r="AW127" s="6258">
        <f>AW94</f>
        <v>127.65081758196254</v>
      </c>
      <c r="AX127" s="6618">
        <f>AX94</f>
        <v>238.54633345632527</v>
      </c>
      <c r="AY127" s="6436"/>
      <c r="AZ127" s="6450"/>
      <c r="BA127" s="4546">
        <f>BA94</f>
        <v>14.014618030464067</v>
      </c>
      <c r="BE127" s="7069"/>
      <c r="BF127" s="7146" t="s">
        <v>1486</v>
      </c>
      <c r="BG127" s="7147"/>
      <c r="BH127" s="3839" t="s">
        <v>334</v>
      </c>
      <c r="BI127" s="5599">
        <v>804.55310718712531</v>
      </c>
      <c r="BJ127" s="5599">
        <v>671</v>
      </c>
      <c r="BK127" s="3775">
        <v>517.23473829824388</v>
      </c>
      <c r="BL127" s="3775">
        <v>635.2418619413146</v>
      </c>
      <c r="BM127" s="3779">
        <v>621.51204352886725</v>
      </c>
      <c r="BN127" s="4684">
        <v>621.51204352886725</v>
      </c>
      <c r="BO127" s="6278">
        <v>396.69552848498932</v>
      </c>
      <c r="BP127" s="6258">
        <v>379729.70677857992</v>
      </c>
      <c r="BQ127" s="5582">
        <v>13.729073812984652</v>
      </c>
      <c r="BR127" s="4528">
        <v>7305868.3842528276</v>
      </c>
      <c r="BS127" s="4528">
        <v>238.54633345632527</v>
      </c>
      <c r="BT127" s="6491">
        <v>12.572442294879663</v>
      </c>
      <c r="BU127" s="7158"/>
      <c r="BV127" s="7158"/>
      <c r="BW127" s="7156"/>
      <c r="BX127" s="7154"/>
    </row>
    <row r="128" spans="1:76" s="299" customFormat="1" ht="18" hidden="1" customHeight="1" thickBot="1">
      <c r="A128" s="7069"/>
      <c r="B128" s="7094" t="s">
        <v>1487</v>
      </c>
      <c r="C128" s="7095"/>
      <c r="D128" s="3018" t="s">
        <v>1489</v>
      </c>
      <c r="E128" s="3389"/>
      <c r="F128" s="3389"/>
      <c r="G128" s="3315"/>
      <c r="H128" s="3316"/>
      <c r="I128" s="6553"/>
      <c r="J128" s="6554"/>
      <c r="K128" s="3317"/>
      <c r="L128" s="3317"/>
      <c r="M128" s="4373"/>
      <c r="N128" s="4373"/>
      <c r="O128" s="4373"/>
      <c r="P128" s="4373"/>
      <c r="Q128" s="4373"/>
      <c r="R128" s="4373"/>
      <c r="S128" s="4373"/>
      <c r="T128" s="4373"/>
      <c r="U128" s="4373"/>
      <c r="V128" s="4373"/>
      <c r="W128" s="4373"/>
      <c r="X128" s="4527">
        <f>협력사!C13*1000</f>
        <v>32972000</v>
      </c>
      <c r="Y128" s="4527">
        <f>X128/12</f>
        <v>2747666.6666666665</v>
      </c>
      <c r="Z128" s="4545">
        <f>X128/년간!D8</f>
        <v>119.2097994128451</v>
      </c>
      <c r="AA128" s="4527">
        <f>협력사!D13*1000</f>
        <v>-704482</v>
      </c>
      <c r="AB128" s="4527">
        <f>협력사!E13*1000</f>
        <v>2090284</v>
      </c>
      <c r="AC128" s="4700">
        <f>협력사!F13*1000</f>
        <v>993115</v>
      </c>
      <c r="AD128" s="4700">
        <f>협력사!G13*1000</f>
        <v>1210102</v>
      </c>
      <c r="AE128" s="4700">
        <f>협력사!H13*1000</f>
        <v>3241330</v>
      </c>
      <c r="AF128" s="4700">
        <f>협력사!I13*1000</f>
        <v>2803723</v>
      </c>
      <c r="AG128" s="4700">
        <f>협력사!J13*1000</f>
        <v>2364981</v>
      </c>
      <c r="AH128" s="4700">
        <f>협력사!K13*1000</f>
        <v>6466220</v>
      </c>
      <c r="AI128" s="4700">
        <f>협력사!L13*1000</f>
        <v>5725619</v>
      </c>
      <c r="AJ128" s="4700">
        <f>협력사!M13*1000</f>
        <v>6403251</v>
      </c>
      <c r="AK128" s="4700">
        <f>협력사!N13*1000</f>
        <v>0</v>
      </c>
      <c r="AL128" s="4700">
        <f>협력사!O13*1000</f>
        <v>0</v>
      </c>
      <c r="AM128" s="4539">
        <f t="shared" si="108"/>
        <v>30594143</v>
      </c>
      <c r="AN128" s="4569">
        <f>Y128/(년간!E8/12)</f>
        <v>119.20979941284509</v>
      </c>
      <c r="AO128" s="4545">
        <f>AA128/년간!F8</f>
        <v>-26.841632607339747</v>
      </c>
      <c r="AP128" s="4545">
        <f>AB128/년간!G8</f>
        <v>72.252763206287142</v>
      </c>
      <c r="AQ128" s="4545">
        <f>AC128/년간!H8</f>
        <v>41.722016507065874</v>
      </c>
      <c r="AR128" s="4545">
        <f>AD128/년간!I8</f>
        <v>46.658402527823995</v>
      </c>
      <c r="AS128" s="4545">
        <f>AE128/년간!J8</f>
        <v>127.41247327991019</v>
      </c>
      <c r="AT128" s="4545">
        <f>AF128/년간!K8</f>
        <v>95.061758951911756</v>
      </c>
      <c r="AU128" s="4569">
        <f>AG128/년간!L8</f>
        <v>72.918386865828481</v>
      </c>
      <c r="AV128" s="6617">
        <f>AH128/년간!M8</f>
        <v>226.31608070844251</v>
      </c>
      <c r="AW128" s="6257">
        <f>AI128/년간!N8</f>
        <v>193.55790609551903</v>
      </c>
      <c r="AX128" s="6617">
        <f>AJ128/년간!O8</f>
        <v>209.07467366136561</v>
      </c>
      <c r="AY128" s="6436"/>
      <c r="AZ128" s="6450"/>
      <c r="BA128" s="4545">
        <f>AM128/년간!V8</f>
        <v>108.60047761055645</v>
      </c>
      <c r="BE128" s="7069"/>
      <c r="BF128" s="7094" t="s">
        <v>1487</v>
      </c>
      <c r="BG128" s="7095"/>
      <c r="BH128" s="3414" t="s">
        <v>1488</v>
      </c>
      <c r="BI128" s="5600"/>
      <c r="BJ128" s="5600"/>
      <c r="BK128" s="5601"/>
      <c r="BL128" s="3776"/>
      <c r="BM128" s="3780"/>
      <c r="BN128" s="4676"/>
      <c r="BO128" s="6279"/>
      <c r="BP128" s="6257">
        <v>2747666.6666666665</v>
      </c>
      <c r="BQ128" s="6239">
        <v>119.2097994128451</v>
      </c>
      <c r="BR128" s="4700">
        <v>6403251</v>
      </c>
      <c r="BS128" s="4700">
        <v>209.07467366136561</v>
      </c>
      <c r="BT128" s="6492">
        <v>108.85259304048645</v>
      </c>
      <c r="BU128" s="5587">
        <v>18844</v>
      </c>
      <c r="BV128" s="5587">
        <v>18685.259996045123</v>
      </c>
      <c r="BW128" s="5611">
        <v>16472.306805497552</v>
      </c>
      <c r="BX128" s="6727">
        <v>18544.361677114113</v>
      </c>
    </row>
    <row r="129" spans="1:76" s="299" customFormat="1" ht="18" hidden="1" customHeight="1" thickBot="1">
      <c r="A129" s="7069"/>
      <c r="B129" s="7070" t="s">
        <v>1398</v>
      </c>
      <c r="C129" s="7071"/>
      <c r="D129" s="7071"/>
      <c r="E129" s="7071"/>
      <c r="F129" s="7071"/>
      <c r="G129" s="7071"/>
      <c r="H129" s="7071"/>
      <c r="I129" s="7076"/>
      <c r="J129" s="6528"/>
      <c r="K129" s="4324"/>
      <c r="L129" s="4751"/>
      <c r="M129" s="4751"/>
      <c r="N129" s="4751"/>
      <c r="O129" s="4751"/>
      <c r="P129" s="4751"/>
      <c r="Q129" s="4751"/>
      <c r="R129" s="6024"/>
      <c r="S129" s="6102"/>
      <c r="T129" s="6210"/>
      <c r="U129" s="6210"/>
      <c r="V129" s="6210"/>
      <c r="W129" s="6210"/>
      <c r="X129" s="4530">
        <f t="shared" ref="X129:AE129" si="172">SUM(X122:X128)</f>
        <v>379708177.11716175</v>
      </c>
      <c r="Y129" s="4530">
        <f t="shared" si="172"/>
        <v>36582830.811247185</v>
      </c>
      <c r="Z129" s="4547">
        <f>X129/년간!E8</f>
        <v>1372.8295411122745</v>
      </c>
      <c r="AA129" s="4530">
        <f t="shared" si="172"/>
        <v>28876553.058359545</v>
      </c>
      <c r="AB129" s="4530">
        <f t="shared" si="172"/>
        <v>81474036.315659687</v>
      </c>
      <c r="AC129" s="4530">
        <f t="shared" si="172"/>
        <v>15850833.96065174</v>
      </c>
      <c r="AD129" s="4530">
        <f t="shared" si="172"/>
        <v>92253210.399647117</v>
      </c>
      <c r="AE129" s="4530">
        <f t="shared" si="172"/>
        <v>27909499.108995404</v>
      </c>
      <c r="AF129" s="4530">
        <f t="shared" ref="AF129:AL129" si="173">SUM(AF122:AF128)</f>
        <v>54861574.589096554</v>
      </c>
      <c r="AG129" s="4530">
        <f t="shared" si="173"/>
        <v>87948284.010320768</v>
      </c>
      <c r="AH129" s="4530">
        <f t="shared" si="173"/>
        <v>43929402.672738753</v>
      </c>
      <c r="AI129" s="4530">
        <f t="shared" si="173"/>
        <v>110232025.29680017</v>
      </c>
      <c r="AJ129" s="4530">
        <f t="shared" si="173"/>
        <v>6879647.5488939788</v>
      </c>
      <c r="AK129" s="4530">
        <f t="shared" si="173"/>
        <v>-1088798.0146196813</v>
      </c>
      <c r="AL129" s="4530">
        <f t="shared" si="173"/>
        <v>8279583.520605051</v>
      </c>
      <c r="AM129" s="6474">
        <f t="shared" si="108"/>
        <v>557405852.46714902</v>
      </c>
      <c r="AN129" s="4560">
        <f>Z129</f>
        <v>1372.8295411122745</v>
      </c>
      <c r="AO129" s="4547">
        <f>AA129/년간!F8</f>
        <v>1100.2322673380438</v>
      </c>
      <c r="AP129" s="4547">
        <f>AB129/년간!G8</f>
        <v>2816.2317911708642</v>
      </c>
      <c r="AQ129" s="4547">
        <f>AC129/년간!H8</f>
        <v>665.91357109405487</v>
      </c>
      <c r="AR129" s="4547">
        <f>AD129/년간!I8</f>
        <v>3557.0451295103835</v>
      </c>
      <c r="AS129" s="4547">
        <f>AE129/년간!J8</f>
        <v>1097.0861681718782</v>
      </c>
      <c r="AT129" s="4547">
        <f>AF129/년간!K8</f>
        <v>1860.1116370308423</v>
      </c>
      <c r="AU129" s="4560">
        <f>AG129/년간!L8</f>
        <v>2711.66956421651</v>
      </c>
      <c r="AV129" s="6619">
        <f>AH129/년간!M8</f>
        <v>1537.5180926039036</v>
      </c>
      <c r="AW129" s="6606">
        <f>AI129/년간!N8</f>
        <v>3726.4582224414385</v>
      </c>
      <c r="AX129" s="6619">
        <f>AJ129/년간!O8</f>
        <v>224.62965549690654</v>
      </c>
      <c r="AY129" s="6437"/>
      <c r="AZ129" s="6451"/>
      <c r="BA129" s="4547">
        <f>AM129/년간!V8</f>
        <v>1978.6317204849224</v>
      </c>
      <c r="BB129" s="299">
        <f>X129/년간!D8</f>
        <v>1372.8295411122745</v>
      </c>
      <c r="BE129" s="7069"/>
      <c r="BF129" s="7070" t="s">
        <v>1398</v>
      </c>
      <c r="BG129" s="7071"/>
      <c r="BH129" s="7071"/>
      <c r="BI129" s="7071"/>
      <c r="BJ129" s="7071"/>
      <c r="BK129" s="7071"/>
      <c r="BL129" s="7071"/>
      <c r="BM129" s="7071"/>
      <c r="BN129" s="7071"/>
      <c r="BO129" s="7073"/>
      <c r="BP129" s="6259">
        <v>33119935.761831328</v>
      </c>
      <c r="BQ129" s="6240">
        <v>1372.3811764549034</v>
      </c>
      <c r="BR129" s="4560">
        <v>6879647.5488939788</v>
      </c>
      <c r="BS129" s="3052">
        <v>224.62965549690654</v>
      </c>
      <c r="BT129" s="6484">
        <v>1957.6406101216023</v>
      </c>
      <c r="BU129" s="3783"/>
      <c r="BV129"/>
      <c r="BW129" s="6331">
        <f>BV128-BW128</f>
        <v>2212.9531905475706</v>
      </c>
      <c r="BX129" s="6332">
        <f>BV128-BX128</f>
        <v>140.89831893100927</v>
      </c>
    </row>
    <row r="130" spans="1:76" ht="17.399999999999999" hidden="1" customHeight="1">
      <c r="A130" s="7068" t="s">
        <v>1263</v>
      </c>
      <c r="B130" s="7082" t="s">
        <v>1185</v>
      </c>
      <c r="C130" s="7082"/>
      <c r="D130" s="2567" t="s">
        <v>452</v>
      </c>
      <c r="E130" s="2468">
        <f t="shared" ref="E130:S130" si="174">E3</f>
        <v>80.09</v>
      </c>
      <c r="F130" s="2468">
        <f t="shared" si="174"/>
        <v>32</v>
      </c>
      <c r="G130" s="2469">
        <f t="shared" si="174"/>
        <v>22.73</v>
      </c>
      <c r="H130" s="3289">
        <f t="shared" si="174"/>
        <v>31.35</v>
      </c>
      <c r="I130" s="6530">
        <f t="shared" si="174"/>
        <v>4</v>
      </c>
      <c r="J130" s="6555">
        <f t="shared" si="174"/>
        <v>0.4</v>
      </c>
      <c r="K130" s="3354">
        <f t="shared" si="174"/>
        <v>0</v>
      </c>
      <c r="L130" s="3354">
        <f t="shared" si="174"/>
        <v>0</v>
      </c>
      <c r="M130" s="3354">
        <f t="shared" si="174"/>
        <v>0</v>
      </c>
      <c r="N130" s="3354">
        <f t="shared" si="174"/>
        <v>0</v>
      </c>
      <c r="O130" s="3354">
        <f t="shared" si="174"/>
        <v>0</v>
      </c>
      <c r="P130" s="3354">
        <f t="shared" si="174"/>
        <v>0</v>
      </c>
      <c r="Q130" s="3354">
        <f t="shared" si="174"/>
        <v>0</v>
      </c>
      <c r="R130" s="3354">
        <f t="shared" si="174"/>
        <v>0</v>
      </c>
      <c r="S130" s="3354">
        <f t="shared" si="174"/>
        <v>0</v>
      </c>
      <c r="T130" s="3354">
        <f t="shared" ref="T130:Z130" si="175">T3</f>
        <v>0</v>
      </c>
      <c r="U130" s="3354">
        <f t="shared" si="175"/>
        <v>0</v>
      </c>
      <c r="V130" s="3354">
        <f t="shared" si="175"/>
        <v>0</v>
      </c>
      <c r="W130" s="6511">
        <f t="shared" si="175"/>
        <v>0</v>
      </c>
      <c r="X130" s="3390">
        <f t="shared" si="175"/>
        <v>11865120.156228764</v>
      </c>
      <c r="Y130" s="3390">
        <f t="shared" si="175"/>
        <v>1186512.0156228764</v>
      </c>
      <c r="Z130" s="3391">
        <f t="shared" si="175"/>
        <v>44.551449198077393</v>
      </c>
      <c r="AA130" s="3390">
        <f t="shared" ref="AA130:AL130" si="176">AA3</f>
        <v>1133368.42442953</v>
      </c>
      <c r="AB130" s="3390">
        <f t="shared" si="176"/>
        <v>1133368.42442953</v>
      </c>
      <c r="AC130" s="3390">
        <f t="shared" si="176"/>
        <v>1133368.42442953</v>
      </c>
      <c r="AD130" s="3390">
        <f t="shared" si="176"/>
        <v>1133368.42442953</v>
      </c>
      <c r="AE130" s="3390">
        <f t="shared" si="176"/>
        <v>1133368.42442953</v>
      </c>
      <c r="AF130" s="3390">
        <f t="shared" si="176"/>
        <v>1133368.42442953</v>
      </c>
      <c r="AG130" s="3390">
        <f t="shared" si="176"/>
        <v>1133368.42442953</v>
      </c>
      <c r="AH130" s="3390">
        <f t="shared" si="176"/>
        <v>1133368.42442953</v>
      </c>
      <c r="AI130" s="3390">
        <f t="shared" si="176"/>
        <v>1133368.42442953</v>
      </c>
      <c r="AJ130" s="3390">
        <f t="shared" si="176"/>
        <v>1133368.42442953</v>
      </c>
      <c r="AK130" s="3390">
        <f t="shared" si="176"/>
        <v>1133368.42442953</v>
      </c>
      <c r="AL130" s="3390">
        <f t="shared" si="176"/>
        <v>1133368.42442953</v>
      </c>
      <c r="AM130" s="4539">
        <f t="shared" si="108"/>
        <v>13600421.093154361</v>
      </c>
      <c r="AN130" s="4562">
        <f>AN3</f>
        <v>44.551449198077393</v>
      </c>
      <c r="AO130" s="3391">
        <f>AA130/년간!F9</f>
        <v>50.037391097190209</v>
      </c>
      <c r="AP130" s="3391">
        <f>AB130/년간!G9</f>
        <v>41.913675704313967</v>
      </c>
      <c r="AQ130" s="3391">
        <f>AC130/년간!H9</f>
        <v>52.185551853390614</v>
      </c>
      <c r="AR130" s="3391">
        <f>AD130/년간!I9</f>
        <v>42.823983929016535</v>
      </c>
      <c r="AS130" s="3391">
        <f>AE130/년간!J9</f>
        <v>46.155905930776839</v>
      </c>
      <c r="AT130" s="3391">
        <f>AF130/년간!K9</f>
        <v>43.062026563997186</v>
      </c>
      <c r="AU130" s="4562">
        <f>AG130/년간!L9</f>
        <v>36.538195613731773</v>
      </c>
      <c r="AV130" s="6610">
        <f>AH130/년간!M9</f>
        <v>39.963057803851733</v>
      </c>
      <c r="AW130" s="6249">
        <f>AI130/년간!N9</f>
        <v>42.774592091330867</v>
      </c>
      <c r="AX130" s="6610">
        <f>AJ130/년간!O9</f>
        <v>37.889683871065913</v>
      </c>
      <c r="AY130" s="6426"/>
      <c r="AZ130" s="6452"/>
      <c r="BA130" s="3391">
        <f>AM130/년간!V9</f>
        <v>51.412135527471186</v>
      </c>
      <c r="BE130" s="7068" t="s">
        <v>1263</v>
      </c>
      <c r="BF130" s="7082" t="s">
        <v>1185</v>
      </c>
      <c r="BG130" s="7082"/>
      <c r="BH130" s="2567" t="s">
        <v>1447</v>
      </c>
      <c r="BI130" s="2470">
        <v>80.09</v>
      </c>
      <c r="BJ130" s="2468">
        <v>32</v>
      </c>
      <c r="BK130" s="2469">
        <v>22.73</v>
      </c>
      <c r="BL130" s="3056">
        <v>31.35</v>
      </c>
      <c r="BM130" s="3061">
        <v>4</v>
      </c>
      <c r="BN130" s="6058">
        <v>0.4</v>
      </c>
      <c r="BO130" s="6266">
        <v>0</v>
      </c>
      <c r="BP130" s="6249">
        <v>1186512.0156228764</v>
      </c>
      <c r="BQ130" s="6231">
        <v>44.551449198077393</v>
      </c>
      <c r="BR130" s="4520">
        <v>1133368.42442953</v>
      </c>
      <c r="BS130" s="4520">
        <v>37.889683871065913</v>
      </c>
      <c r="BT130" s="6493">
        <v>42.843446272892656</v>
      </c>
      <c r="BU130" s="4471"/>
    </row>
    <row r="131" spans="1:76" ht="17.399999999999999" hidden="1" customHeight="1">
      <c r="A131" s="7069"/>
      <c r="B131" s="7077" t="s">
        <v>1256</v>
      </c>
      <c r="C131" s="3311" t="s">
        <v>528</v>
      </c>
      <c r="D131" s="3328" t="s">
        <v>321</v>
      </c>
      <c r="E131" s="5797">
        <f t="shared" ref="E131:S131" si="177">E11</f>
        <v>5.7793871902032548</v>
      </c>
      <c r="F131" s="5797">
        <f t="shared" si="177"/>
        <v>3.5247059874261177</v>
      </c>
      <c r="G131" s="5798">
        <f t="shared" si="177"/>
        <v>1.6037242317013864</v>
      </c>
      <c r="H131" s="5799">
        <f t="shared" si="177"/>
        <v>1.6719794524789255</v>
      </c>
      <c r="I131" s="6534">
        <f t="shared" si="177"/>
        <v>1.4652871714254379</v>
      </c>
      <c r="J131" s="6535">
        <f t="shared" si="177"/>
        <v>1.4652871714254376</v>
      </c>
      <c r="K131" s="3357">
        <f t="shared" si="177"/>
        <v>0.86506099488482147</v>
      </c>
      <c r="L131" s="3357">
        <f t="shared" si="177"/>
        <v>1.0381444994791</v>
      </c>
      <c r="M131" s="3357">
        <f t="shared" si="177"/>
        <v>1.302372494130597</v>
      </c>
      <c r="N131" s="3357">
        <f t="shared" si="177"/>
        <v>1.4886183062795717</v>
      </c>
      <c r="O131" s="3357">
        <f t="shared" si="177"/>
        <v>1.8183818768524107</v>
      </c>
      <c r="P131" s="3357">
        <f t="shared" si="177"/>
        <v>1.1960702948399309</v>
      </c>
      <c r="Q131" s="3357">
        <f t="shared" si="177"/>
        <v>0.91964321603479149</v>
      </c>
      <c r="R131" s="3357">
        <f t="shared" si="177"/>
        <v>1.6400542501674129</v>
      </c>
      <c r="S131" s="3357">
        <f t="shared" si="177"/>
        <v>1.1784853473507826</v>
      </c>
      <c r="T131" s="3357">
        <f t="shared" ref="T131:Z131" si="178">T11</f>
        <v>2.0545193729415754</v>
      </c>
      <c r="U131" s="3357">
        <f t="shared" si="178"/>
        <v>5.8118868459377531</v>
      </c>
      <c r="V131" s="3357" t="e">
        <f t="shared" si="178"/>
        <v>#DIV/0!</v>
      </c>
      <c r="W131" s="6512">
        <f t="shared" si="178"/>
        <v>1.4596654895918524</v>
      </c>
      <c r="X131" s="3303">
        <f t="shared" si="178"/>
        <v>24526977.550463628</v>
      </c>
      <c r="Y131" s="3303">
        <f t="shared" si="178"/>
        <v>2452697.7550463658</v>
      </c>
      <c r="Z131" s="3305">
        <f t="shared" si="178"/>
        <v>89.668327241851458</v>
      </c>
      <c r="AA131" s="3303">
        <f t="shared" ref="AA131:AK131" si="179">AA11</f>
        <v>8659872.5941231716</v>
      </c>
      <c r="AB131" s="3303">
        <f t="shared" si="179"/>
        <v>6770083.6844466403</v>
      </c>
      <c r="AC131" s="4521">
        <f t="shared" si="179"/>
        <v>4317730.1792518515</v>
      </c>
      <c r="AD131" s="4521">
        <f t="shared" si="179"/>
        <v>1964329.1990266449</v>
      </c>
      <c r="AE131" s="4521">
        <f t="shared" si="179"/>
        <v>-1448827.6709747461</v>
      </c>
      <c r="AF131" s="4521">
        <f t="shared" si="179"/>
        <v>5159505.529060564</v>
      </c>
      <c r="AG131" s="4521">
        <f t="shared" si="179"/>
        <v>10068545.904241577</v>
      </c>
      <c r="AH131" s="4521">
        <f t="shared" si="179"/>
        <v>384070.28708597971</v>
      </c>
      <c r="AI131" s="4521">
        <f t="shared" si="179"/>
        <v>6265645.0230655335</v>
      </c>
      <c r="AJ131" s="4521">
        <f t="shared" si="179"/>
        <v>-4515367.8902145652</v>
      </c>
      <c r="AK131" s="4521">
        <f t="shared" si="179"/>
        <v>-2394914.3630302176</v>
      </c>
      <c r="AL131" s="4521"/>
      <c r="AM131" s="4539">
        <f t="shared" si="108"/>
        <v>35230672.476082437</v>
      </c>
      <c r="AN131" s="4564">
        <f>AN11</f>
        <v>89.668327241851458</v>
      </c>
      <c r="AO131" s="3305">
        <f>AA131/년간!F9</f>
        <v>382.32707255991039</v>
      </c>
      <c r="AP131" s="3305">
        <f>AB131/년간!G9</f>
        <v>250.36791737319743</v>
      </c>
      <c r="AQ131" s="3305">
        <f>AC131/년간!H9</f>
        <v>198.80837272461625</v>
      </c>
      <c r="AR131" s="3305">
        <f>AD131/년간!I9</f>
        <v>74.221586059057671</v>
      </c>
      <c r="AS131" s="3305">
        <f>AE131/년간!J9</f>
        <v>-59.002838132777718</v>
      </c>
      <c r="AT131" s="3305">
        <f>AF131/년간!K9</f>
        <v>196.03401626556507</v>
      </c>
      <c r="AU131" s="4564">
        <f>AG131/년간!L9</f>
        <v>324.59568474407484</v>
      </c>
      <c r="AV131" s="6429">
        <f>AH131/년간!M9</f>
        <v>13.542483408503742</v>
      </c>
      <c r="AW131" s="4463">
        <f>AI131/년간!N9</f>
        <v>236.47245174101795</v>
      </c>
      <c r="AX131" s="6429">
        <f>AJ131/년간!O9</f>
        <v>-150.95343952952115</v>
      </c>
      <c r="AY131" s="3974"/>
      <c r="AZ131" s="6445"/>
      <c r="BA131" s="3305">
        <f>AM131/년간!V9</f>
        <v>133.17853143355916</v>
      </c>
      <c r="BE131" s="7069"/>
      <c r="BF131" s="7138" t="s">
        <v>1256</v>
      </c>
      <c r="BG131" s="6186" t="s">
        <v>528</v>
      </c>
      <c r="BH131" s="4554" t="s">
        <v>321</v>
      </c>
      <c r="BI131" s="3823">
        <v>313.09000000000003</v>
      </c>
      <c r="BJ131" s="3822">
        <v>164.95000000000002</v>
      </c>
      <c r="BK131" s="3811">
        <v>161.42500000000001</v>
      </c>
      <c r="BL131" s="5588">
        <v>64.515000000000001</v>
      </c>
      <c r="BM131" s="5589">
        <v>42</v>
      </c>
      <c r="BN131" s="5860">
        <v>1.4662520578013534</v>
      </c>
      <c r="BO131" s="6270">
        <v>2.0545193729415754</v>
      </c>
      <c r="BP131" s="4463">
        <v>2441248.0064828428</v>
      </c>
      <c r="BQ131" s="5583">
        <v>91.664589240280279</v>
      </c>
      <c r="BR131" s="4521">
        <v>-4515367.8902145652</v>
      </c>
      <c r="BS131" s="4521">
        <v>-150.95343952952115</v>
      </c>
      <c r="BT131" s="6488">
        <v>142.23175566576856</v>
      </c>
      <c r="BU131" s="3783"/>
    </row>
    <row r="132" spans="1:76" ht="17.399999999999999" hidden="1" customHeight="1">
      <c r="A132" s="7069"/>
      <c r="B132" s="7078"/>
      <c r="C132" s="3311" t="s">
        <v>1057</v>
      </c>
      <c r="D132" s="3328" t="s">
        <v>321</v>
      </c>
      <c r="E132" s="5797">
        <f t="shared" ref="E132:S132" si="180">E18</f>
        <v>21.599829365219371</v>
      </c>
      <c r="F132" s="5797">
        <f t="shared" si="180"/>
        <v>18.544274928470497</v>
      </c>
      <c r="G132" s="5798">
        <f t="shared" si="180"/>
        <v>16.507800391326938</v>
      </c>
      <c r="H132" s="5799">
        <f t="shared" si="180"/>
        <v>16.790485537659951</v>
      </c>
      <c r="I132" s="6534">
        <f t="shared" si="180"/>
        <v>15.775234891967974</v>
      </c>
      <c r="J132" s="6535">
        <f t="shared" si="180"/>
        <v>15.775234891967974</v>
      </c>
      <c r="K132" s="3357">
        <f t="shared" si="180"/>
        <v>16.348035866884093</v>
      </c>
      <c r="L132" s="3357">
        <f t="shared" si="180"/>
        <v>17.349929023571484</v>
      </c>
      <c r="M132" s="3357">
        <f t="shared" si="180"/>
        <v>17.409530232347414</v>
      </c>
      <c r="N132" s="3357">
        <f t="shared" si="180"/>
        <v>16.011960780819987</v>
      </c>
      <c r="O132" s="3357">
        <f t="shared" si="180"/>
        <v>15.443971437201165</v>
      </c>
      <c r="P132" s="3357">
        <f t="shared" si="180"/>
        <v>16.617333935703517</v>
      </c>
      <c r="Q132" s="3357">
        <f t="shared" si="180"/>
        <v>16.431369396400264</v>
      </c>
      <c r="R132" s="3357">
        <f t="shared" si="180"/>
        <v>16.113857556888934</v>
      </c>
      <c r="S132" s="3357">
        <f t="shared" si="180"/>
        <v>14.785566236753571</v>
      </c>
      <c r="T132" s="3357">
        <f t="shared" ref="T132:Z132" si="181">T18</f>
        <v>16.428069218558598</v>
      </c>
      <c r="U132" s="3357">
        <f t="shared" si="181"/>
        <v>28.744467458683108</v>
      </c>
      <c r="V132" s="3357" t="e">
        <f t="shared" si="181"/>
        <v>#DIV/0!</v>
      </c>
      <c r="W132" s="6512">
        <f t="shared" si="181"/>
        <v>16.348472210753702</v>
      </c>
      <c r="X132" s="3303">
        <f t="shared" si="181"/>
        <v>120473922.23871648</v>
      </c>
      <c r="Y132" s="3303">
        <f t="shared" si="181"/>
        <v>12047392.223871646</v>
      </c>
      <c r="Z132" s="3305">
        <f t="shared" si="181"/>
        <v>452.3584890536207</v>
      </c>
      <c r="AA132" s="3303">
        <f t="shared" ref="AA132:AK132" si="182">AA18</f>
        <v>4748382.865915332</v>
      </c>
      <c r="AB132" s="3303">
        <f t="shared" si="182"/>
        <v>-5975497.5619665245</v>
      </c>
      <c r="AC132" s="4521">
        <f t="shared" si="182"/>
        <v>-7231649.4594747871</v>
      </c>
      <c r="AD132" s="4521">
        <f t="shared" si="182"/>
        <v>8340256.066916151</v>
      </c>
      <c r="AE132" s="4521">
        <f t="shared" si="182"/>
        <v>13325372.830749908</v>
      </c>
      <c r="AF132" s="4521">
        <f t="shared" si="182"/>
        <v>1877199.9515453612</v>
      </c>
      <c r="AG132" s="4521">
        <f t="shared" si="182"/>
        <v>4806065.66329569</v>
      </c>
      <c r="AH132" s="4521">
        <f t="shared" si="182"/>
        <v>8140048.7392187184</v>
      </c>
      <c r="AI132" s="4521">
        <f t="shared" si="182"/>
        <v>25455446.192432538</v>
      </c>
      <c r="AJ132" s="4521">
        <f t="shared" si="182"/>
        <v>4277835.9136501737</v>
      </c>
      <c r="AK132" s="4521">
        <f t="shared" si="182"/>
        <v>-6915314.8312680079</v>
      </c>
      <c r="AL132" s="4521"/>
      <c r="AM132" s="4539">
        <f t="shared" si="108"/>
        <v>50848146.371014558</v>
      </c>
      <c r="AN132" s="4564">
        <f>AN18</f>
        <v>452.3584890536207</v>
      </c>
      <c r="AO132" s="3305">
        <f>AA132/년간!F9</f>
        <v>209.63764775835745</v>
      </c>
      <c r="AP132" s="3305">
        <f>AB132/년간!G9</f>
        <v>-220.98292275104433</v>
      </c>
      <c r="AQ132" s="3305">
        <f>AC132/년간!H9</f>
        <v>-332.97876464391544</v>
      </c>
      <c r="AR132" s="3305">
        <f>AD132/년간!I9</f>
        <v>315.13405885934611</v>
      </c>
      <c r="AS132" s="3305">
        <f>AE132/년간!J9</f>
        <v>542.66965764305542</v>
      </c>
      <c r="AT132" s="3305">
        <f>AF132/년간!K9</f>
        <v>71.323704134486192</v>
      </c>
      <c r="AU132" s="4564">
        <f>AG132/년간!L9</f>
        <v>154.94076202654622</v>
      </c>
      <c r="AV132" s="6429">
        <f>AH132/년간!M9</f>
        <v>287.02161740151291</v>
      </c>
      <c r="AW132" s="4463">
        <f>AI132/년간!N9</f>
        <v>960.7170130332363</v>
      </c>
      <c r="AX132" s="6429">
        <f>AJ132/년간!O9</f>
        <v>143.01249878395177</v>
      </c>
      <c r="AY132" s="3974"/>
      <c r="AZ132" s="6445"/>
      <c r="BA132" s="3305">
        <f>AM132/년간!V9</f>
        <v>192.21550381724066</v>
      </c>
      <c r="BE132" s="7069"/>
      <c r="BF132" s="7078"/>
      <c r="BG132" s="6186" t="s">
        <v>1057</v>
      </c>
      <c r="BH132" s="4554" t="s">
        <v>321</v>
      </c>
      <c r="BI132" s="3823">
        <v>6734.33</v>
      </c>
      <c r="BJ132" s="3822">
        <v>5813.76</v>
      </c>
      <c r="BK132" s="3811">
        <v>5107.49</v>
      </c>
      <c r="BL132" s="5588">
        <v>4902.4000000000005</v>
      </c>
      <c r="BM132" s="5589">
        <v>4315</v>
      </c>
      <c r="BN132" s="5860">
        <v>15.785622827876351</v>
      </c>
      <c r="BO132" s="6316">
        <v>16.428069218558598</v>
      </c>
      <c r="BP132" s="4463">
        <v>11924124.596497374</v>
      </c>
      <c r="BQ132" s="5583">
        <v>447.73000542562335</v>
      </c>
      <c r="BR132" s="4521">
        <v>4277835.9136501737</v>
      </c>
      <c r="BS132" s="4521">
        <v>143.01249878395177</v>
      </c>
      <c r="BT132" s="6488">
        <v>218.35668730598096</v>
      </c>
      <c r="BU132" s="3783"/>
    </row>
    <row r="133" spans="1:76" ht="17.399999999999999" hidden="1" customHeight="1">
      <c r="A133" s="7069"/>
      <c r="B133" s="7078"/>
      <c r="C133" s="3311" t="s">
        <v>1252</v>
      </c>
      <c r="D133" s="3328" t="s">
        <v>321</v>
      </c>
      <c r="E133" s="5846"/>
      <c r="F133" s="5846"/>
      <c r="G133" s="5853"/>
      <c r="H133" s="5854"/>
      <c r="I133" s="6536"/>
      <c r="J133" s="6537"/>
      <c r="K133" s="5855"/>
      <c r="L133" s="5855"/>
      <c r="M133" s="5855"/>
      <c r="N133" s="5855"/>
      <c r="O133" s="5855"/>
      <c r="P133" s="5855"/>
      <c r="Q133" s="5855"/>
      <c r="R133" s="5855"/>
      <c r="S133" s="5855"/>
      <c r="T133" s="5855"/>
      <c r="U133" s="5855"/>
      <c r="V133" s="5855"/>
      <c r="W133" s="5855"/>
      <c r="X133" s="4532"/>
      <c r="Y133" s="4532"/>
      <c r="Z133" s="4540"/>
      <c r="AA133" s="4532"/>
      <c r="AB133" s="4532"/>
      <c r="AC133" s="4522"/>
      <c r="AD133" s="4522"/>
      <c r="AE133" s="4522"/>
      <c r="AF133" s="4522"/>
      <c r="AG133" s="4522"/>
      <c r="AH133" s="4522"/>
      <c r="AI133" s="4522"/>
      <c r="AJ133" s="4522"/>
      <c r="AK133" s="4522"/>
      <c r="AL133" s="4522"/>
      <c r="AM133" s="6475"/>
      <c r="AN133" s="4565"/>
      <c r="AO133" s="4540"/>
      <c r="AP133" s="4540"/>
      <c r="AQ133" s="4540"/>
      <c r="AR133" s="4540"/>
      <c r="AS133" s="4540"/>
      <c r="AT133" s="4540"/>
      <c r="AU133" s="4565"/>
      <c r="AV133" s="6612"/>
      <c r="AW133" s="6251"/>
      <c r="AX133" s="6612"/>
      <c r="AY133" s="6430"/>
      <c r="AZ133" s="4679"/>
      <c r="BA133" s="4540"/>
      <c r="BE133" s="7069"/>
      <c r="BF133" s="7078"/>
      <c r="BG133" s="6186" t="s">
        <v>1252</v>
      </c>
      <c r="BH133" s="4554" t="s">
        <v>321</v>
      </c>
      <c r="BI133" s="3824"/>
      <c r="BJ133" s="3825"/>
      <c r="BK133" s="3812"/>
      <c r="BL133" s="5603"/>
      <c r="BM133" s="3818"/>
      <c r="BN133" s="5861"/>
      <c r="BO133" s="6269"/>
      <c r="BP133" s="6251"/>
      <c r="BQ133" s="6233"/>
      <c r="BR133" s="4522"/>
      <c r="BS133" s="4522"/>
      <c r="BT133" s="4540"/>
    </row>
    <row r="134" spans="1:76" ht="17.399999999999999" hidden="1" customHeight="1">
      <c r="A134" s="7069"/>
      <c r="B134" s="7078"/>
      <c r="C134" s="3311" t="s">
        <v>1253</v>
      </c>
      <c r="D134" s="3328" t="s">
        <v>321</v>
      </c>
      <c r="E134" s="5846"/>
      <c r="F134" s="5846"/>
      <c r="G134" s="5853"/>
      <c r="H134" s="5854"/>
      <c r="I134" s="6536"/>
      <c r="J134" s="6537"/>
      <c r="K134" s="5855"/>
      <c r="L134" s="5855"/>
      <c r="M134" s="5855"/>
      <c r="N134" s="5855"/>
      <c r="O134" s="5855"/>
      <c r="P134" s="5855"/>
      <c r="Q134" s="5855"/>
      <c r="R134" s="5855"/>
      <c r="S134" s="5855"/>
      <c r="T134" s="5855"/>
      <c r="U134" s="5855"/>
      <c r="V134" s="5855"/>
      <c r="W134" s="5855"/>
      <c r="X134" s="4532"/>
      <c r="Y134" s="4532"/>
      <c r="Z134" s="4540"/>
      <c r="AA134" s="4532"/>
      <c r="AB134" s="4532"/>
      <c r="AC134" s="4522"/>
      <c r="AD134" s="4522"/>
      <c r="AE134" s="4522"/>
      <c r="AF134" s="4522"/>
      <c r="AG134" s="4522"/>
      <c r="AH134" s="4522"/>
      <c r="AI134" s="4522"/>
      <c r="AJ134" s="4522"/>
      <c r="AK134" s="4522"/>
      <c r="AL134" s="4522"/>
      <c r="AM134" s="6475"/>
      <c r="AN134" s="4565"/>
      <c r="AO134" s="4540"/>
      <c r="AP134" s="4540"/>
      <c r="AQ134" s="4540"/>
      <c r="AR134" s="4540"/>
      <c r="AS134" s="4540"/>
      <c r="AT134" s="4540"/>
      <c r="AU134" s="4565"/>
      <c r="AV134" s="6612"/>
      <c r="AW134" s="6251"/>
      <c r="AX134" s="6612"/>
      <c r="AY134" s="6430"/>
      <c r="AZ134" s="4679"/>
      <c r="BA134" s="4540"/>
      <c r="BE134" s="7069"/>
      <c r="BF134" s="7078"/>
      <c r="BG134" s="6186" t="s">
        <v>1253</v>
      </c>
      <c r="BH134" s="4554" t="s">
        <v>321</v>
      </c>
      <c r="BI134" s="3824"/>
      <c r="BJ134" s="3825"/>
      <c r="BK134" s="3812"/>
      <c r="BL134" s="5603"/>
      <c r="BM134" s="3818"/>
      <c r="BN134" s="5861"/>
      <c r="BO134" s="6269"/>
      <c r="BP134" s="6251"/>
      <c r="BQ134" s="6233"/>
      <c r="BR134" s="4522"/>
      <c r="BS134" s="4522"/>
      <c r="BT134" s="4540"/>
    </row>
    <row r="135" spans="1:76" ht="17.399999999999999" hidden="1" customHeight="1">
      <c r="A135" s="7069"/>
      <c r="B135" s="7079"/>
      <c r="C135" s="3311" t="s">
        <v>338</v>
      </c>
      <c r="D135" s="3328" t="s">
        <v>321</v>
      </c>
      <c r="E135" s="5851">
        <f>SUM(E131:E134)</f>
        <v>27.379216555422627</v>
      </c>
      <c r="F135" s="5851">
        <f>SUM(F131:F134)</f>
        <v>22.068980915896613</v>
      </c>
      <c r="G135" s="5851">
        <f>SUM(G131:G134)</f>
        <v>18.111524623028323</v>
      </c>
      <c r="H135" s="5852">
        <f t="shared" ref="H135:O135" si="183">SUM(H131:H134)</f>
        <v>18.462464990138876</v>
      </c>
      <c r="I135" s="6534">
        <f t="shared" si="183"/>
        <v>17.240522063393414</v>
      </c>
      <c r="J135" s="6535">
        <f t="shared" si="183"/>
        <v>17.240522063393414</v>
      </c>
      <c r="K135" s="3357">
        <f t="shared" si="183"/>
        <v>17.213096861768914</v>
      </c>
      <c r="L135" s="3357">
        <f t="shared" si="183"/>
        <v>18.388073523050583</v>
      </c>
      <c r="M135" s="3357">
        <f t="shared" si="183"/>
        <v>18.711902726478012</v>
      </c>
      <c r="N135" s="3357">
        <f t="shared" si="183"/>
        <v>17.50057908709956</v>
      </c>
      <c r="O135" s="3357">
        <f t="shared" si="183"/>
        <v>17.262353314053577</v>
      </c>
      <c r="P135" s="3357">
        <f t="shared" ref="P135:Z135" si="184">SUM(P131:P134)</f>
        <v>17.813404230543448</v>
      </c>
      <c r="Q135" s="3357">
        <f t="shared" si="184"/>
        <v>17.351012612435056</v>
      </c>
      <c r="R135" s="3357">
        <f t="shared" si="184"/>
        <v>17.753911807056348</v>
      </c>
      <c r="S135" s="3357">
        <f t="shared" si="184"/>
        <v>15.964051584104354</v>
      </c>
      <c r="T135" s="3357">
        <f t="shared" si="184"/>
        <v>18.482588591500175</v>
      </c>
      <c r="U135" s="3357">
        <f t="shared" si="184"/>
        <v>34.556354304620861</v>
      </c>
      <c r="V135" s="3357" t="e">
        <f t="shared" si="184"/>
        <v>#DIV/0!</v>
      </c>
      <c r="W135" s="6512">
        <f t="shared" si="184"/>
        <v>17.808137700345554</v>
      </c>
      <c r="X135" s="3303">
        <f t="shared" si="184"/>
        <v>145000899.7891801</v>
      </c>
      <c r="Y135" s="3303">
        <f t="shared" si="184"/>
        <v>14500089.978918012</v>
      </c>
      <c r="Z135" s="3305">
        <f t="shared" si="184"/>
        <v>542.02681629547214</v>
      </c>
      <c r="AA135" s="3303">
        <f t="shared" ref="AA135:AF135" si="185">SUM(AA131:AA134)</f>
        <v>13408255.460038504</v>
      </c>
      <c r="AB135" s="3303">
        <f t="shared" si="185"/>
        <v>794586.12248011585</v>
      </c>
      <c r="AC135" s="4521">
        <f t="shared" si="185"/>
        <v>-2913919.2802229356</v>
      </c>
      <c r="AD135" s="4521">
        <f t="shared" si="185"/>
        <v>10304585.265942795</v>
      </c>
      <c r="AE135" s="4521">
        <f t="shared" si="185"/>
        <v>11876545.159775162</v>
      </c>
      <c r="AF135" s="4521">
        <f t="shared" si="185"/>
        <v>7036705.4806059254</v>
      </c>
      <c r="AG135" s="4521">
        <f t="shared" ref="AG135:AL135" si="186">SUM(AG131:AG134)</f>
        <v>14874611.567537267</v>
      </c>
      <c r="AH135" s="4521">
        <f t="shared" si="186"/>
        <v>8524119.0263046976</v>
      </c>
      <c r="AI135" s="4521">
        <f t="shared" si="186"/>
        <v>31721091.215498071</v>
      </c>
      <c r="AJ135" s="4521">
        <f t="shared" si="186"/>
        <v>-237531.97656439152</v>
      </c>
      <c r="AK135" s="4521">
        <f t="shared" si="186"/>
        <v>-9310229.1942982264</v>
      </c>
      <c r="AL135" s="4521">
        <f t="shared" si="186"/>
        <v>0</v>
      </c>
      <c r="AM135" s="4539">
        <f t="shared" si="108"/>
        <v>86078818.84709698</v>
      </c>
      <c r="AN135" s="4564">
        <f>SUM(AN131:AN134)</f>
        <v>542.02681629547214</v>
      </c>
      <c r="AO135" s="3305">
        <f>AA135/년간!F9</f>
        <v>591.96472031826784</v>
      </c>
      <c r="AP135" s="3305">
        <f>AB135/년간!G9</f>
        <v>29.384994622153101</v>
      </c>
      <c r="AQ135" s="3305">
        <f>AC135/년간!H9</f>
        <v>-134.17039191929919</v>
      </c>
      <c r="AR135" s="3305">
        <f>AD135/년간!I9</f>
        <v>389.35564491840375</v>
      </c>
      <c r="AS135" s="3305">
        <f>AE135/년간!J9</f>
        <v>483.66681951027772</v>
      </c>
      <c r="AT135" s="3305">
        <f>AF135/년간!K9</f>
        <v>267.35772040005128</v>
      </c>
      <c r="AU135" s="4564">
        <f>AG135/년간!L9</f>
        <v>479.53644677062107</v>
      </c>
      <c r="AV135" s="6429">
        <f>AH135/년간!M9</f>
        <v>300.56410081001661</v>
      </c>
      <c r="AW135" s="4463">
        <f>AI135/년간!N9</f>
        <v>1197.1894647742542</v>
      </c>
      <c r="AX135" s="6429">
        <f>AJ135/년간!O9</f>
        <v>-7.9409407455693852</v>
      </c>
      <c r="AY135" s="3974"/>
      <c r="AZ135" s="6445"/>
      <c r="BA135" s="3305">
        <f>AM135/년간!V9</f>
        <v>325.39403525079973</v>
      </c>
      <c r="BE135" s="7069"/>
      <c r="BF135" s="7079"/>
      <c r="BG135" s="6186" t="s">
        <v>338</v>
      </c>
      <c r="BH135" s="4554" t="s">
        <v>321</v>
      </c>
      <c r="BI135" s="4555">
        <v>7127.51</v>
      </c>
      <c r="BJ135" s="4699">
        <v>6010.71</v>
      </c>
      <c r="BK135" s="3813">
        <v>5291.6449999999995</v>
      </c>
      <c r="BL135" s="5592">
        <v>4966.9150000000009</v>
      </c>
      <c r="BM135" s="5589">
        <v>4357</v>
      </c>
      <c r="BN135" s="5860">
        <v>17.251874885677704</v>
      </c>
      <c r="BO135" s="6270">
        <v>18.482588591500175</v>
      </c>
      <c r="BP135" s="4463">
        <v>14365372.602980217</v>
      </c>
      <c r="BQ135" s="5583">
        <v>539.39459466590358</v>
      </c>
      <c r="BR135" s="4521">
        <v>-237531.97656439152</v>
      </c>
      <c r="BS135" s="4521">
        <v>-7.9409407455693852</v>
      </c>
      <c r="BT135" s="6488">
        <v>360.58844297174943</v>
      </c>
    </row>
    <row r="136" spans="1:76" s="299" customFormat="1" ht="17.399999999999999" hidden="1" customHeight="1">
      <c r="A136" s="7069"/>
      <c r="B136" s="7088" t="s">
        <v>1446</v>
      </c>
      <c r="C136" s="7089"/>
      <c r="D136" s="3328" t="s">
        <v>1448</v>
      </c>
      <c r="E136" s="3326">
        <f t="shared" ref="E136:S136" si="187">E39</f>
        <v>538.38</v>
      </c>
      <c r="F136" s="3326">
        <f t="shared" si="187"/>
        <v>1238</v>
      </c>
      <c r="G136" s="3327">
        <f t="shared" si="187"/>
        <v>926.96999999999991</v>
      </c>
      <c r="H136" s="3784">
        <f t="shared" si="187"/>
        <v>387.37</v>
      </c>
      <c r="I136" s="3339">
        <f t="shared" si="187"/>
        <v>140</v>
      </c>
      <c r="J136" s="6556">
        <f t="shared" si="187"/>
        <v>14</v>
      </c>
      <c r="K136" s="4374">
        <f t="shared" si="187"/>
        <v>23.24</v>
      </c>
      <c r="L136" s="4699">
        <f t="shared" si="187"/>
        <v>73.63</v>
      </c>
      <c r="M136" s="4374">
        <f t="shared" si="187"/>
        <v>20.329999999999998</v>
      </c>
      <c r="N136" s="4374">
        <f t="shared" si="187"/>
        <v>19.04</v>
      </c>
      <c r="O136" s="4374">
        <f t="shared" si="187"/>
        <v>21.05</v>
      </c>
      <c r="P136" s="4374">
        <f t="shared" si="187"/>
        <v>79.36999999999999</v>
      </c>
      <c r="Q136" s="4374">
        <f t="shared" si="187"/>
        <v>0</v>
      </c>
      <c r="R136" s="4699">
        <f t="shared" si="187"/>
        <v>20.010000000000002</v>
      </c>
      <c r="S136" s="4699">
        <f t="shared" si="187"/>
        <v>19.64</v>
      </c>
      <c r="T136" s="4699">
        <f>T39</f>
        <v>49.84</v>
      </c>
      <c r="U136" s="4374">
        <f>U39</f>
        <v>0</v>
      </c>
      <c r="V136" s="4374">
        <f>V39</f>
        <v>0</v>
      </c>
      <c r="W136" s="6506">
        <f>W39</f>
        <v>326.14999999999998</v>
      </c>
      <c r="X136" s="3303">
        <f t="shared" ref="X136:AL136" si="188">X39</f>
        <v>5800531.9079364538</v>
      </c>
      <c r="Y136" s="3303">
        <f t="shared" si="188"/>
        <v>580053.19079364545</v>
      </c>
      <c r="Z136" s="3305">
        <f t="shared" si="188"/>
        <v>21.779981931543734</v>
      </c>
      <c r="AA136" s="3303">
        <f t="shared" si="188"/>
        <v>211996.77497002669</v>
      </c>
      <c r="AB136" s="3303">
        <f t="shared" si="188"/>
        <v>-969588.71575608349</v>
      </c>
      <c r="AC136" s="4521">
        <f t="shared" si="188"/>
        <v>280232.80946125474</v>
      </c>
      <c r="AD136" s="4521">
        <f t="shared" si="188"/>
        <v>310481.7732047888</v>
      </c>
      <c r="AE136" s="4521">
        <f t="shared" si="188"/>
        <v>263349.66690672404</v>
      </c>
      <c r="AF136" s="4521">
        <f t="shared" si="188"/>
        <v>-1104184.8800102582</v>
      </c>
      <c r="AG136" s="4521">
        <f t="shared" si="188"/>
        <v>756947.09853571036</v>
      </c>
      <c r="AH136" s="4521">
        <f t="shared" si="188"/>
        <v>287736.42837437935</v>
      </c>
      <c r="AI136" s="4521">
        <f t="shared" si="188"/>
        <v>296412.48774267989</v>
      </c>
      <c r="AJ136" s="4521">
        <f t="shared" si="188"/>
        <v>-411741.54718346684</v>
      </c>
      <c r="AK136" s="4521">
        <f t="shared" si="188"/>
        <v>756947.09853571036</v>
      </c>
      <c r="AL136" s="4521">
        <f t="shared" si="188"/>
        <v>756947.09853571036</v>
      </c>
      <c r="AM136" s="4539">
        <f t="shared" si="108"/>
        <v>1435536.0933171762</v>
      </c>
      <c r="AN136" s="4564">
        <f t="shared" ref="AN136:AW136" si="189">AN39</f>
        <v>21.779981931543734</v>
      </c>
      <c r="AO136" s="3305">
        <f t="shared" si="189"/>
        <v>9.3595033281940641</v>
      </c>
      <c r="AP136" s="3305">
        <f t="shared" si="189"/>
        <v>-35.856854772725818</v>
      </c>
      <c r="AQ136" s="3305">
        <f t="shared" si="189"/>
        <v>12.903221489095694</v>
      </c>
      <c r="AR136" s="3305">
        <f t="shared" si="189"/>
        <v>11.731460114275617</v>
      </c>
      <c r="AS136" s="3305">
        <f t="shared" si="189"/>
        <v>10.724793624602999</v>
      </c>
      <c r="AT136" s="3305">
        <f t="shared" si="189"/>
        <v>-41.953205691696262</v>
      </c>
      <c r="AU136" s="4564">
        <f t="shared" si="189"/>
        <v>24.402904262544286</v>
      </c>
      <c r="AV136" s="6429">
        <f t="shared" si="189"/>
        <v>10.145710142919315</v>
      </c>
      <c r="AW136" s="4463">
        <f t="shared" si="189"/>
        <v>11.186938845902255</v>
      </c>
      <c r="AX136" s="6429">
        <f>AX39</f>
        <v>-13.764947675525384</v>
      </c>
      <c r="AY136" s="4712"/>
      <c r="AZ136" s="5261"/>
      <c r="BA136" s="3305">
        <f>BA39</f>
        <v>5.426594932516295</v>
      </c>
      <c r="BE136" s="7069"/>
      <c r="BF136" s="7143" t="s">
        <v>1446</v>
      </c>
      <c r="BG136" s="7144"/>
      <c r="BH136" s="4554" t="s">
        <v>1447</v>
      </c>
      <c r="BI136" s="4555">
        <v>538.38</v>
      </c>
      <c r="BJ136" s="4699">
        <v>1238</v>
      </c>
      <c r="BK136" s="3813">
        <v>926.96999999999991</v>
      </c>
      <c r="BL136" s="5592">
        <v>387.37</v>
      </c>
      <c r="BM136" s="5589">
        <v>140</v>
      </c>
      <c r="BN136" s="4378">
        <v>14</v>
      </c>
      <c r="BO136" s="6271">
        <v>49.84</v>
      </c>
      <c r="BP136" s="4463">
        <v>580053.19079364545</v>
      </c>
      <c r="BQ136" s="5583">
        <v>21.779981931543734</v>
      </c>
      <c r="BR136" s="4521">
        <v>-411741.54718346684</v>
      </c>
      <c r="BS136" s="4521">
        <v>-13.764947675525384</v>
      </c>
      <c r="BT136" s="6488">
        <v>-0.29620828813282929</v>
      </c>
    </row>
    <row r="137" spans="1:76" ht="17.399999999999999" hidden="1" customHeight="1">
      <c r="A137" s="7069"/>
      <c r="B137" s="7080" t="s">
        <v>1257</v>
      </c>
      <c r="C137" s="3311" t="s">
        <v>1260</v>
      </c>
      <c r="D137" s="3328" t="s">
        <v>1261</v>
      </c>
      <c r="E137" s="3323">
        <f t="shared" ref="E137:S137" si="190">E46</f>
        <v>347</v>
      </c>
      <c r="F137" s="3323">
        <f t="shared" si="190"/>
        <v>242</v>
      </c>
      <c r="G137" s="3341">
        <f t="shared" si="190"/>
        <v>175</v>
      </c>
      <c r="H137" s="3292">
        <f t="shared" si="190"/>
        <v>77</v>
      </c>
      <c r="I137" s="6540">
        <f t="shared" si="190"/>
        <v>66</v>
      </c>
      <c r="J137" s="6541">
        <f t="shared" si="190"/>
        <v>6.6</v>
      </c>
      <c r="K137" s="3355">
        <f t="shared" si="190"/>
        <v>10</v>
      </c>
      <c r="L137" s="3355">
        <f t="shared" si="190"/>
        <v>5</v>
      </c>
      <c r="M137" s="3355">
        <f t="shared" si="190"/>
        <v>3</v>
      </c>
      <c r="N137" s="3355">
        <f t="shared" si="190"/>
        <v>2</v>
      </c>
      <c r="O137" s="3355">
        <f t="shared" si="190"/>
        <v>1</v>
      </c>
      <c r="P137" s="3355">
        <f t="shared" si="190"/>
        <v>4</v>
      </c>
      <c r="Q137" s="3355">
        <f t="shared" si="190"/>
        <v>7</v>
      </c>
      <c r="R137" s="3355">
        <f t="shared" si="190"/>
        <v>14</v>
      </c>
      <c r="S137" s="3355">
        <f t="shared" si="190"/>
        <v>11</v>
      </c>
      <c r="T137" s="3355">
        <f t="shared" ref="T137:W138" si="191">T46</f>
        <v>9</v>
      </c>
      <c r="U137" s="3355">
        <f t="shared" si="191"/>
        <v>0</v>
      </c>
      <c r="V137" s="3355">
        <f t="shared" si="191"/>
        <v>0</v>
      </c>
      <c r="W137" s="6513">
        <f t="shared" si="191"/>
        <v>66</v>
      </c>
      <c r="X137" s="4532"/>
      <c r="Y137" s="4532"/>
      <c r="Z137" s="4540"/>
      <c r="AA137" s="4532"/>
      <c r="AB137" s="4532"/>
      <c r="AC137" s="4522"/>
      <c r="AD137" s="4522"/>
      <c r="AE137" s="4522"/>
      <c r="AF137" s="4522"/>
      <c r="AG137" s="4522"/>
      <c r="AH137" s="4522"/>
      <c r="AI137" s="4522"/>
      <c r="AJ137" s="4522"/>
      <c r="AK137" s="4522"/>
      <c r="AL137" s="4522"/>
      <c r="AM137" s="6475"/>
      <c r="AN137" s="4565"/>
      <c r="AO137" s="4540"/>
      <c r="AP137" s="4540"/>
      <c r="AQ137" s="4540"/>
      <c r="AR137" s="4540"/>
      <c r="AS137" s="4540"/>
      <c r="AT137" s="4540"/>
      <c r="AU137" s="4565"/>
      <c r="AV137" s="6612"/>
      <c r="AW137" s="6251"/>
      <c r="AX137" s="6612"/>
      <c r="AY137" s="6430"/>
      <c r="AZ137" s="4679"/>
      <c r="BA137" s="4540"/>
      <c r="BE137" s="7069"/>
      <c r="BF137" s="7120" t="s">
        <v>1257</v>
      </c>
      <c r="BG137" s="6186" t="s">
        <v>1260</v>
      </c>
      <c r="BH137" s="4554" t="s">
        <v>1491</v>
      </c>
      <c r="BI137" s="4454">
        <v>347</v>
      </c>
      <c r="BJ137" s="3838">
        <v>242</v>
      </c>
      <c r="BK137" s="3814">
        <v>175</v>
      </c>
      <c r="BL137" s="3838">
        <v>77</v>
      </c>
      <c r="BM137" s="5589">
        <v>66</v>
      </c>
      <c r="BN137" s="4378">
        <v>6.6</v>
      </c>
      <c r="BO137" s="6280">
        <v>9</v>
      </c>
      <c r="BP137" s="6251"/>
      <c r="BQ137" s="6233"/>
      <c r="BR137" s="4522"/>
      <c r="BS137" s="4522"/>
      <c r="BT137" s="4540"/>
    </row>
    <row r="138" spans="1:76" ht="17.399999999999999" hidden="1" customHeight="1">
      <c r="A138" s="7069"/>
      <c r="B138" s="7081"/>
      <c r="C138" s="3311" t="s">
        <v>1242</v>
      </c>
      <c r="D138" s="3328" t="s">
        <v>1244</v>
      </c>
      <c r="E138" s="3323">
        <f t="shared" ref="E138:S138" si="192">E47</f>
        <v>365.26666666666665</v>
      </c>
      <c r="F138" s="3323">
        <f t="shared" si="192"/>
        <v>211.08333333333331</v>
      </c>
      <c r="G138" s="3341">
        <f t="shared" si="192"/>
        <v>154.65</v>
      </c>
      <c r="H138" s="3292">
        <f t="shared" si="192"/>
        <v>66.083333333333329</v>
      </c>
      <c r="I138" s="6540">
        <f t="shared" si="192"/>
        <v>48.215757575757571</v>
      </c>
      <c r="J138" s="6541">
        <f t="shared" si="192"/>
        <v>4.821575757575757</v>
      </c>
      <c r="K138" s="3355">
        <f t="shared" si="192"/>
        <v>11</v>
      </c>
      <c r="L138" s="3355">
        <f t="shared" si="192"/>
        <v>12.166666666666666</v>
      </c>
      <c r="M138" s="3355">
        <f t="shared" si="192"/>
        <v>2.083333333333333</v>
      </c>
      <c r="N138" s="3355">
        <f t="shared" si="192"/>
        <v>4.916666666666667</v>
      </c>
      <c r="O138" s="3355">
        <f t="shared" si="192"/>
        <v>2.9166666666666665</v>
      </c>
      <c r="P138" s="3355">
        <f t="shared" si="192"/>
        <v>9.4166666666666661</v>
      </c>
      <c r="Q138" s="3355">
        <f t="shared" si="192"/>
        <v>16.083333333333336</v>
      </c>
      <c r="R138" s="3355">
        <f t="shared" si="192"/>
        <v>13.583333333333334</v>
      </c>
      <c r="S138" s="3355">
        <f t="shared" si="192"/>
        <v>12.583333333333334</v>
      </c>
      <c r="T138" s="3355">
        <f t="shared" si="191"/>
        <v>14.416666666666666</v>
      </c>
      <c r="U138" s="3355">
        <f t="shared" si="191"/>
        <v>0</v>
      </c>
      <c r="V138" s="3355">
        <f t="shared" si="191"/>
        <v>0</v>
      </c>
      <c r="W138" s="6513">
        <f t="shared" si="191"/>
        <v>99.166666666666671</v>
      </c>
      <c r="X138" s="3303">
        <f>X47</f>
        <v>20110721.907935165</v>
      </c>
      <c r="Y138" s="3303">
        <f>Y47</f>
        <v>2011072.1907935163</v>
      </c>
      <c r="Z138" s="3305">
        <f>Z47</f>
        <v>75.512240383649853</v>
      </c>
      <c r="AA138" s="3303">
        <f t="shared" ref="AA138:AL138" si="193">AA47</f>
        <v>-6182669.3336267341</v>
      </c>
      <c r="AB138" s="3303">
        <f t="shared" si="193"/>
        <v>-7495802.6434235619</v>
      </c>
      <c r="AC138" s="4521">
        <f t="shared" si="193"/>
        <v>3853420.9626775966</v>
      </c>
      <c r="AD138" s="4521">
        <f t="shared" si="193"/>
        <v>664382.92459958466</v>
      </c>
      <c r="AE138" s="4521">
        <f t="shared" si="193"/>
        <v>2915468.598537005</v>
      </c>
      <c r="AF138" s="4521">
        <f t="shared" si="193"/>
        <v>-4400559.8417596091</v>
      </c>
      <c r="AG138" s="4521">
        <f t="shared" si="193"/>
        <v>-11904178.754884347</v>
      </c>
      <c r="AH138" s="4521">
        <f t="shared" si="193"/>
        <v>-9090321.6624625679</v>
      </c>
      <c r="AI138" s="4521">
        <f t="shared" si="193"/>
        <v>-7964778.8254938582</v>
      </c>
      <c r="AJ138" s="4521">
        <f t="shared" si="193"/>
        <v>-10028274.026603159</v>
      </c>
      <c r="AK138" s="4521">
        <f t="shared" si="193"/>
        <v>6198301.8730290756</v>
      </c>
      <c r="AL138" s="4521">
        <f t="shared" si="193"/>
        <v>6198301.8730290756</v>
      </c>
      <c r="AM138" s="4539">
        <f t="shared" si="108"/>
        <v>-37236708.856381506</v>
      </c>
      <c r="AN138" s="4564">
        <f>AN47</f>
        <v>75.512240383649853</v>
      </c>
      <c r="AO138" s="3305">
        <f>AA138/년간!F9</f>
        <v>-272.9603514647066</v>
      </c>
      <c r="AP138" s="3305">
        <f>AB138/년간!G9</f>
        <v>-277.20610030064347</v>
      </c>
      <c r="AQ138" s="3305">
        <f>AC138/년간!H9</f>
        <v>177.42941758940589</v>
      </c>
      <c r="AR138" s="3305">
        <f>AD138/년간!I9</f>
        <v>25.103508331888118</v>
      </c>
      <c r="AS138" s="3305">
        <f>AE138/년간!J9</f>
        <v>118.73111291762017</v>
      </c>
      <c r="AT138" s="3305">
        <f>AF138/년간!K9</f>
        <v>-167.19808026917022</v>
      </c>
      <c r="AU138" s="4564">
        <f>AG138/년간!L9</f>
        <v>-383.77389257665766</v>
      </c>
      <c r="AV138" s="6429">
        <f>AH138/년간!M9</f>
        <v>-320.52864913317939</v>
      </c>
      <c r="AW138" s="4463">
        <f>AI138/년간!N9</f>
        <v>-300.59966204692194</v>
      </c>
      <c r="AX138" s="6429">
        <f>AJ138/년간!O9</f>
        <v>-335.25561895874074</v>
      </c>
      <c r="AY138" s="3974"/>
      <c r="AZ138" s="6445"/>
      <c r="BA138" s="3305">
        <f>AM138/년간!V9</f>
        <v>-140.76172415609076</v>
      </c>
      <c r="BE138" s="7069"/>
      <c r="BF138" s="7081"/>
      <c r="BG138" s="6186" t="s">
        <v>1242</v>
      </c>
      <c r="BH138" s="4554" t="s">
        <v>1492</v>
      </c>
      <c r="BI138" s="4454">
        <v>365.26666666666665</v>
      </c>
      <c r="BJ138" s="3838">
        <v>211.08333333333331</v>
      </c>
      <c r="BK138" s="3814">
        <v>154.65</v>
      </c>
      <c r="BL138" s="3838">
        <v>66.083333333333329</v>
      </c>
      <c r="BM138" s="5589">
        <v>48.215757575757571</v>
      </c>
      <c r="BN138" s="5865">
        <v>4.821575757575757</v>
      </c>
      <c r="BO138" s="6273">
        <v>14.416666666666666</v>
      </c>
      <c r="BP138" s="4463">
        <v>2011072.1907935163</v>
      </c>
      <c r="BQ138" s="5583">
        <v>75.512240383649853</v>
      </c>
      <c r="BR138" s="4521">
        <v>-10028274.026603159</v>
      </c>
      <c r="BS138" s="4521">
        <v>-335.25561895874074</v>
      </c>
      <c r="BT138" s="6488">
        <v>-187.62320495196812</v>
      </c>
      <c r="BU138" s="3783"/>
    </row>
    <row r="139" spans="1:76" ht="17.399999999999999" hidden="1" customHeight="1">
      <c r="A139" s="7069"/>
      <c r="B139" s="7090" t="s">
        <v>1258</v>
      </c>
      <c r="C139" s="7090"/>
      <c r="D139" s="3343" t="s">
        <v>1261</v>
      </c>
      <c r="E139" s="3324"/>
      <c r="F139" s="3324"/>
      <c r="G139" s="3392"/>
      <c r="H139" s="3393"/>
      <c r="I139" s="6557"/>
      <c r="J139" s="6558"/>
      <c r="K139" s="4372"/>
      <c r="L139" s="4372"/>
      <c r="M139" s="4372"/>
      <c r="N139" s="4372"/>
      <c r="O139" s="4372"/>
      <c r="P139" s="4372"/>
      <c r="Q139" s="4372"/>
      <c r="R139" s="4372"/>
      <c r="S139" s="4372"/>
      <c r="T139" s="4372"/>
      <c r="U139" s="4372"/>
      <c r="V139" s="4372"/>
      <c r="W139" s="4372"/>
      <c r="X139" s="4532"/>
      <c r="Y139" s="4532"/>
      <c r="Z139" s="4540"/>
      <c r="AA139" s="4532"/>
      <c r="AB139" s="4532"/>
      <c r="AC139" s="4522"/>
      <c r="AD139" s="4522"/>
      <c r="AE139" s="4522"/>
      <c r="AF139" s="4522"/>
      <c r="AG139" s="4522"/>
      <c r="AH139" s="4522"/>
      <c r="AI139" s="4522"/>
      <c r="AJ139" s="4522"/>
      <c r="AK139" s="4522"/>
      <c r="AL139" s="4522"/>
      <c r="AM139" s="6475"/>
      <c r="AN139" s="4565"/>
      <c r="AO139" s="4540"/>
      <c r="AP139" s="4540"/>
      <c r="AQ139" s="4540"/>
      <c r="AR139" s="4540"/>
      <c r="AS139" s="4540"/>
      <c r="AT139" s="4540"/>
      <c r="AU139" s="4565"/>
      <c r="AV139" s="6612"/>
      <c r="AW139" s="6251"/>
      <c r="AX139" s="6612"/>
      <c r="AY139" s="6430"/>
      <c r="AZ139" s="4679"/>
      <c r="BA139" s="4540"/>
      <c r="BE139" s="7069"/>
      <c r="BF139" s="7101" t="s">
        <v>1258</v>
      </c>
      <c r="BG139" s="7101"/>
      <c r="BH139" s="4556" t="s">
        <v>1491</v>
      </c>
      <c r="BI139" s="5604"/>
      <c r="BJ139" s="5605"/>
      <c r="BK139" s="5606"/>
      <c r="BL139" s="5607"/>
      <c r="BM139" s="3818"/>
      <c r="BN139" s="4372"/>
      <c r="BO139" s="6281"/>
      <c r="BP139" s="6251"/>
      <c r="BQ139" s="6233"/>
      <c r="BR139" s="4522"/>
      <c r="BS139" s="4522"/>
      <c r="BT139" s="4540"/>
      <c r="BU139" s="3783"/>
    </row>
    <row r="140" spans="1:76" ht="18" hidden="1" customHeight="1" thickBot="1">
      <c r="A140" s="7069"/>
      <c r="B140" s="7091" t="s">
        <v>1259</v>
      </c>
      <c r="C140" s="7091"/>
      <c r="D140" s="2849" t="s">
        <v>1262</v>
      </c>
      <c r="E140" s="2851"/>
      <c r="F140" s="2851"/>
      <c r="G140" s="2852"/>
      <c r="H140" s="3024"/>
      <c r="I140" s="6559"/>
      <c r="J140" s="6560"/>
      <c r="K140" s="4375"/>
      <c r="L140" s="4375"/>
      <c r="M140" s="4375"/>
      <c r="N140" s="4375"/>
      <c r="O140" s="4375"/>
      <c r="P140" s="4375"/>
      <c r="Q140" s="4375"/>
      <c r="R140" s="4375"/>
      <c r="S140" s="4375"/>
      <c r="T140" s="4375"/>
      <c r="U140" s="4375"/>
      <c r="V140" s="4375"/>
      <c r="W140" s="4375"/>
      <c r="X140" s="4533"/>
      <c r="Y140" s="4533"/>
      <c r="Z140" s="4549"/>
      <c r="AA140" s="4533"/>
      <c r="AB140" s="4533"/>
      <c r="AC140" s="4533"/>
      <c r="AD140" s="4533"/>
      <c r="AE140" s="4533"/>
      <c r="AF140" s="4533"/>
      <c r="AG140" s="4533"/>
      <c r="AH140" s="4533"/>
      <c r="AI140" s="4533"/>
      <c r="AJ140" s="4533"/>
      <c r="AK140" s="4533"/>
      <c r="AL140" s="4533"/>
      <c r="AM140" s="6475"/>
      <c r="AN140" s="6421"/>
      <c r="AO140" s="4549"/>
      <c r="AP140" s="4549"/>
      <c r="AQ140" s="4549"/>
      <c r="AR140" s="4549"/>
      <c r="AS140" s="4549"/>
      <c r="AT140" s="4549"/>
      <c r="AU140" s="6421"/>
      <c r="AV140" s="6620"/>
      <c r="AW140" s="6260"/>
      <c r="AX140" s="6620"/>
      <c r="AY140" s="6430"/>
      <c r="AZ140" s="4679"/>
      <c r="BA140" s="4549"/>
      <c r="BE140" s="7069"/>
      <c r="BF140" s="7091" t="s">
        <v>1259</v>
      </c>
      <c r="BG140" s="7091"/>
      <c r="BH140" s="2849" t="s">
        <v>1447</v>
      </c>
      <c r="BI140" s="2850"/>
      <c r="BJ140" s="2851"/>
      <c r="BK140" s="2852"/>
      <c r="BL140" s="3057"/>
      <c r="BM140" s="3023"/>
      <c r="BN140" s="4375"/>
      <c r="BO140" s="6282"/>
      <c r="BP140" s="6260"/>
      <c r="BQ140" s="6241"/>
      <c r="BR140" s="6479"/>
      <c r="BS140" s="6479"/>
      <c r="BT140" s="6480"/>
      <c r="BU140" s="3783"/>
    </row>
    <row r="141" spans="1:76" s="299" customFormat="1" ht="18" hidden="1" customHeight="1" thickBot="1">
      <c r="A141" s="7069"/>
      <c r="B141" s="7070" t="s">
        <v>1400</v>
      </c>
      <c r="C141" s="7071"/>
      <c r="D141" s="7071"/>
      <c r="E141" s="7071"/>
      <c r="F141" s="7071"/>
      <c r="G141" s="7071"/>
      <c r="H141" s="7071"/>
      <c r="I141" s="7076"/>
      <c r="J141" s="6528"/>
      <c r="K141" s="4324"/>
      <c r="L141" s="4751"/>
      <c r="M141" s="4751"/>
      <c r="N141" s="4751"/>
      <c r="O141" s="5429"/>
      <c r="P141" s="4751"/>
      <c r="Q141" s="4751"/>
      <c r="R141" s="6024"/>
      <c r="S141" s="6102"/>
      <c r="T141" s="6210"/>
      <c r="U141" s="6210"/>
      <c r="V141" s="6210"/>
      <c r="W141" s="6210"/>
      <c r="X141" s="3344">
        <f t="shared" ref="X141:AE141" si="194">X130+X135+X136+X138+X139+X140</f>
        <v>182777273.76128048</v>
      </c>
      <c r="Y141" s="3344">
        <f t="shared" si="194"/>
        <v>18277727.376128051</v>
      </c>
      <c r="Z141" s="3345">
        <f t="shared" si="194"/>
        <v>683.87048780874318</v>
      </c>
      <c r="AA141" s="3344">
        <f t="shared" si="194"/>
        <v>8570951.3258113265</v>
      </c>
      <c r="AB141" s="3344">
        <f t="shared" si="194"/>
        <v>-6537436.8122699996</v>
      </c>
      <c r="AC141" s="3344">
        <f t="shared" si="194"/>
        <v>2353102.9163454459</v>
      </c>
      <c r="AD141" s="3344">
        <f t="shared" si="194"/>
        <v>12412818.388176698</v>
      </c>
      <c r="AE141" s="3344">
        <f t="shared" si="194"/>
        <v>16188731.849648422</v>
      </c>
      <c r="AF141" s="3344">
        <f t="shared" ref="AF141:AL141" si="195">AF130+AF135+AF136+AF138+AF139+AF140</f>
        <v>2665329.1832655882</v>
      </c>
      <c r="AG141" s="3344">
        <f t="shared" si="195"/>
        <v>4860748.3356181607</v>
      </c>
      <c r="AH141" s="3344">
        <f t="shared" si="195"/>
        <v>854902.21664603986</v>
      </c>
      <c r="AI141" s="3344">
        <f t="shared" si="195"/>
        <v>25186093.302176423</v>
      </c>
      <c r="AJ141" s="3344">
        <f t="shared" si="195"/>
        <v>-9544179.1259214878</v>
      </c>
      <c r="AK141" s="3344">
        <f t="shared" si="195"/>
        <v>-1221611.7983039105</v>
      </c>
      <c r="AL141" s="3344">
        <f t="shared" si="195"/>
        <v>8088617.3959943159</v>
      </c>
      <c r="AM141" s="6473">
        <f t="shared" si="108"/>
        <v>63878067.177187018</v>
      </c>
      <c r="AN141" s="4559">
        <f>AN130+AN135+AN136+AN138+AN139+AN140</f>
        <v>683.87048780874318</v>
      </c>
      <c r="AO141" s="3345">
        <f>AA141/년간!F9</f>
        <v>378.40126327894552</v>
      </c>
      <c r="AP141" s="3345">
        <f>AB141/년간!G9</f>
        <v>-241.76428474690223</v>
      </c>
      <c r="AQ141" s="3345">
        <f>AC141/년간!H9</f>
        <v>108.34779901259303</v>
      </c>
      <c r="AR141" s="3345">
        <f>AD141/년간!I9</f>
        <v>469.01459729358396</v>
      </c>
      <c r="AS141" s="3345">
        <f>AE141/년간!J9</f>
        <v>659.27863198327771</v>
      </c>
      <c r="AT141" s="3345">
        <f>AF141/년간!K9</f>
        <v>101.268461003182</v>
      </c>
      <c r="AU141" s="4559">
        <f>AG141/년간!L9</f>
        <v>156.70365407023951</v>
      </c>
      <c r="AV141" s="6614">
        <f>AH141/년간!M9</f>
        <v>30.144219623608308</v>
      </c>
      <c r="AW141" s="6254">
        <f>AI141/년간!N9</f>
        <v>950.55133366456539</v>
      </c>
      <c r="AX141" s="6614">
        <f>AJ141/년간!O9</f>
        <v>-319.07182350876968</v>
      </c>
      <c r="AY141" s="6431"/>
      <c r="AZ141" s="6446"/>
      <c r="BA141" s="3345">
        <f>AM141/년간!V9</f>
        <v>241.47104155469651</v>
      </c>
      <c r="BE141" s="7069"/>
      <c r="BF141" s="7070" t="s">
        <v>1400</v>
      </c>
      <c r="BG141" s="7071"/>
      <c r="BH141" s="7071"/>
      <c r="BI141" s="7071"/>
      <c r="BJ141" s="7071"/>
      <c r="BK141" s="7071"/>
      <c r="BL141" s="7071"/>
      <c r="BM141" s="7071"/>
      <c r="BN141" s="7071"/>
      <c r="BO141" s="7073"/>
      <c r="BP141" s="6254">
        <v>18143010.000190254</v>
      </c>
      <c r="BQ141" s="6236">
        <v>681.23826617917462</v>
      </c>
      <c r="BR141" s="4559">
        <v>-9544179.1259214878</v>
      </c>
      <c r="BS141" s="3344">
        <v>-319.07182350876968</v>
      </c>
      <c r="BT141" s="6485">
        <v>215.51247600454121</v>
      </c>
      <c r="BU141" s="3783"/>
    </row>
    <row r="142" spans="1:76" s="299" customFormat="1" ht="18" hidden="1" customHeight="1" thickBot="1">
      <c r="A142" s="7069"/>
      <c r="B142" s="7139" t="s">
        <v>1449</v>
      </c>
      <c r="C142" s="7140"/>
      <c r="D142" s="3025" t="s">
        <v>1451</v>
      </c>
      <c r="E142" s="3213">
        <f t="shared" ref="E142:S142" si="196">E71</f>
        <v>44.110170695309336</v>
      </c>
      <c r="F142" s="3213">
        <f t="shared" si="196"/>
        <v>44.71</v>
      </c>
      <c r="G142" s="3295">
        <f t="shared" si="196"/>
        <v>46.04272455659865</v>
      </c>
      <c r="H142" s="3785">
        <f t="shared" si="196"/>
        <v>46.906486455981941</v>
      </c>
      <c r="I142" s="6545">
        <f t="shared" si="196"/>
        <v>48</v>
      </c>
      <c r="J142" s="6546">
        <f t="shared" si="196"/>
        <v>48</v>
      </c>
      <c r="K142" s="3296">
        <f t="shared" si="196"/>
        <v>45.826335311572706</v>
      </c>
      <c r="L142" s="3296">
        <f t="shared" si="196"/>
        <v>46.538706901497335</v>
      </c>
      <c r="M142" s="3296">
        <f t="shared" si="196"/>
        <v>46.942721279585001</v>
      </c>
      <c r="N142" s="3296">
        <f t="shared" si="196"/>
        <v>51.131646058732613</v>
      </c>
      <c r="O142" s="3296">
        <f t="shared" si="196"/>
        <v>46.019465875370919</v>
      </c>
      <c r="P142" s="3296">
        <f t="shared" si="196"/>
        <v>50.388206764518188</v>
      </c>
      <c r="Q142" s="3296">
        <f t="shared" si="196"/>
        <v>52.402404550061938</v>
      </c>
      <c r="R142" s="3296">
        <f t="shared" si="196"/>
        <v>52.771722127461615</v>
      </c>
      <c r="S142" s="3296">
        <f t="shared" si="196"/>
        <v>52.825319820568197</v>
      </c>
      <c r="T142" s="3296">
        <f>T71</f>
        <v>47.64499508879981</v>
      </c>
      <c r="U142" s="3296" t="e">
        <f>U71</f>
        <v>#DIV/0!</v>
      </c>
      <c r="V142" s="3296" t="e">
        <f>V71</f>
        <v>#DIV/0!</v>
      </c>
      <c r="W142" s="6502">
        <f>W71</f>
        <v>49.260056236092275</v>
      </c>
      <c r="X142" s="3053">
        <f t="shared" ref="X142:AJ142" si="197">X71</f>
        <v>145584733.72970402</v>
      </c>
      <c r="Y142" s="3053">
        <f t="shared" si="197"/>
        <v>14558473.372970402</v>
      </c>
      <c r="Z142" s="3306">
        <f t="shared" si="197"/>
        <v>546.64519055625487</v>
      </c>
      <c r="AA142" s="3053">
        <f t="shared" si="197"/>
        <v>-12810762.445024246</v>
      </c>
      <c r="AB142" s="3053">
        <f t="shared" si="197"/>
        <v>-5127642.7040531011</v>
      </c>
      <c r="AC142" s="3053">
        <f t="shared" si="197"/>
        <v>402260.92059641529</v>
      </c>
      <c r="AD142" s="3053">
        <f t="shared" si="197"/>
        <v>52476699.406786799</v>
      </c>
      <c r="AE142" s="3053">
        <f t="shared" si="197"/>
        <v>-11357037.961378811</v>
      </c>
      <c r="AF142" s="3053">
        <f t="shared" si="197"/>
        <v>43638593.81407132</v>
      </c>
      <c r="AG142" s="3053">
        <f t="shared" si="197"/>
        <v>78062449.353455812</v>
      </c>
      <c r="AH142" s="3053">
        <f t="shared" si="197"/>
        <v>75635507.162539765</v>
      </c>
      <c r="AI142" s="3053">
        <f t="shared" si="197"/>
        <v>71237445.179704055</v>
      </c>
      <c r="AJ142" s="3053">
        <f t="shared" si="197"/>
        <v>11125448.874969235</v>
      </c>
      <c r="AK142" s="3053"/>
      <c r="AL142" s="3053"/>
      <c r="AM142" s="4539">
        <f t="shared" si="108"/>
        <v>303282961.60166728</v>
      </c>
      <c r="AN142" s="4571">
        <f t="shared" ref="AN142:AW142" si="198">AN71</f>
        <v>546.64519055625487</v>
      </c>
      <c r="AO142" s="3306">
        <f t="shared" si="198"/>
        <v>-565.58583854806488</v>
      </c>
      <c r="AP142" s="3306">
        <f t="shared" si="198"/>
        <v>-189.62796985759533</v>
      </c>
      <c r="AQ142" s="3306">
        <f t="shared" si="198"/>
        <v>18.521963095048374</v>
      </c>
      <c r="AR142" s="3306">
        <f t="shared" si="198"/>
        <v>1982.8162525131281</v>
      </c>
      <c r="AS142" s="3306">
        <f t="shared" si="198"/>
        <v>-462.5101286560988</v>
      </c>
      <c r="AT142" s="3306">
        <f t="shared" si="198"/>
        <v>1658.0365621028154</v>
      </c>
      <c r="AU142" s="4571">
        <f t="shared" si="198"/>
        <v>2516.6230001504191</v>
      </c>
      <c r="AV142" s="6621">
        <f t="shared" si="198"/>
        <v>2666.9404931424906</v>
      </c>
      <c r="AW142" s="6264">
        <f t="shared" si="198"/>
        <v>2688.5808652417149</v>
      </c>
      <c r="AX142" s="6621">
        <f>AX71</f>
        <v>371.93531398094854</v>
      </c>
      <c r="AY142" s="6438"/>
      <c r="AZ142" s="4684"/>
      <c r="BA142" s="3306" t="e">
        <f>BA71</f>
        <v>#DIV/0!</v>
      </c>
      <c r="BE142" s="7069"/>
      <c r="BF142" s="7097" t="s">
        <v>1449</v>
      </c>
      <c r="BG142" s="7098"/>
      <c r="BH142" s="3187" t="s">
        <v>1450</v>
      </c>
      <c r="BI142" s="3187">
        <v>44.110170695309336</v>
      </c>
      <c r="BJ142" s="3750">
        <v>44.71</v>
      </c>
      <c r="BK142" s="3751">
        <v>46.04272455659865</v>
      </c>
      <c r="BL142" s="3751">
        <v>46.906486455981941</v>
      </c>
      <c r="BM142" s="3752">
        <v>48</v>
      </c>
      <c r="BN142" s="4685">
        <v>48</v>
      </c>
      <c r="BO142" s="6283">
        <v>47.64499508879981</v>
      </c>
      <c r="BP142" s="3783">
        <v>14558473.372970402</v>
      </c>
      <c r="BQ142" s="6242">
        <v>546.64519055625487</v>
      </c>
      <c r="BR142" s="3053">
        <v>11125448.874969235</v>
      </c>
      <c r="BS142" s="3053">
        <v>371.93531398094854</v>
      </c>
      <c r="BT142" s="6490">
        <v>1146.4663202881309</v>
      </c>
      <c r="BU142" s="4472"/>
    </row>
    <row r="143" spans="1:76" s="299" customFormat="1" ht="17.399999999999999" hidden="1" customHeight="1">
      <c r="A143" s="7069"/>
      <c r="B143" s="3372" t="s">
        <v>1322</v>
      </c>
      <c r="C143" s="3287" t="s">
        <v>1383</v>
      </c>
      <c r="D143" s="2848" t="s">
        <v>1382</v>
      </c>
      <c r="E143" s="3331">
        <f t="shared" ref="E143:S143" si="199">E82</f>
        <v>78.94</v>
      </c>
      <c r="F143" s="3331">
        <f t="shared" si="199"/>
        <v>77.63</v>
      </c>
      <c r="G143" s="3346">
        <f t="shared" si="199"/>
        <v>77.150000000000006</v>
      </c>
      <c r="H143" s="3786">
        <f t="shared" si="199"/>
        <v>76.986409573006</v>
      </c>
      <c r="I143" s="6561">
        <f t="shared" si="199"/>
        <v>75.599999999999994</v>
      </c>
      <c r="J143" s="6562">
        <f t="shared" si="199"/>
        <v>75.599999999999994</v>
      </c>
      <c r="K143" s="3353">
        <f t="shared" si="199"/>
        <v>79.119246963523423</v>
      </c>
      <c r="L143" s="3353">
        <f t="shared" si="199"/>
        <v>78.904765770211327</v>
      </c>
      <c r="M143" s="3353">
        <f t="shared" si="199"/>
        <v>87.163773911562046</v>
      </c>
      <c r="N143" s="3353">
        <f t="shared" si="199"/>
        <v>74.561565253796033</v>
      </c>
      <c r="O143" s="3353">
        <f t="shared" si="199"/>
        <v>83.524562190849849</v>
      </c>
      <c r="P143" s="3353">
        <f t="shared" si="199"/>
        <v>73.667790804059663</v>
      </c>
      <c r="Q143" s="3353">
        <f t="shared" si="199"/>
        <v>71.601674214257002</v>
      </c>
      <c r="R143" s="3353">
        <f t="shared" si="199"/>
        <v>72.925056812486062</v>
      </c>
      <c r="S143" s="3353">
        <f t="shared" si="199"/>
        <v>74.183103395569546</v>
      </c>
      <c r="T143" s="3353">
        <f t="shared" ref="T143:Y143" si="200">T82</f>
        <v>71.914617661577736</v>
      </c>
      <c r="U143" s="3353">
        <f t="shared" si="200"/>
        <v>0</v>
      </c>
      <c r="V143" s="3353">
        <f t="shared" si="200"/>
        <v>0</v>
      </c>
      <c r="W143" s="6514">
        <f t="shared" si="200"/>
        <v>76.756615697789272</v>
      </c>
      <c r="X143" s="4534">
        <f t="shared" si="200"/>
        <v>37447726.795357324</v>
      </c>
      <c r="Y143" s="4534">
        <f t="shared" si="200"/>
        <v>3744772.6795357326</v>
      </c>
      <c r="Z143" s="4550">
        <f>X143/년간!D9</f>
        <v>140.6096588942691</v>
      </c>
      <c r="AA143" s="4534">
        <f t="shared" ref="AA143:AL143" si="201">AA82</f>
        <v>-4899568.152831479</v>
      </c>
      <c r="AB143" s="4534">
        <f t="shared" si="201"/>
        <v>-5446705.6859017462</v>
      </c>
      <c r="AC143" s="5262">
        <f t="shared" si="201"/>
        <v>-23208413.2951626</v>
      </c>
      <c r="AD143" s="5262">
        <f t="shared" si="201"/>
        <v>6738406.4257322401</v>
      </c>
      <c r="AE143" s="5262">
        <f t="shared" si="201"/>
        <v>-16857306.472096823</v>
      </c>
      <c r="AF143" s="5262">
        <f t="shared" si="201"/>
        <v>9171139.6950764824</v>
      </c>
      <c r="AG143" s="5262">
        <f t="shared" si="201"/>
        <v>17537903.482521273</v>
      </c>
      <c r="AH143" s="5262">
        <f t="shared" si="201"/>
        <v>12094068.106418332</v>
      </c>
      <c r="AI143" s="5262">
        <f t="shared" si="201"/>
        <v>7799110.3542669993</v>
      </c>
      <c r="AJ143" s="5262">
        <f t="shared" si="201"/>
        <v>15929452.641021958</v>
      </c>
      <c r="AK143" s="5262">
        <f t="shared" si="201"/>
        <v>0</v>
      </c>
      <c r="AL143" s="5262">
        <f t="shared" si="201"/>
        <v>0</v>
      </c>
      <c r="AM143" s="4539">
        <f t="shared" si="108"/>
        <v>18858087.099044628</v>
      </c>
      <c r="AN143" s="4572">
        <f>AN82</f>
        <v>140.6096588942691</v>
      </c>
      <c r="AO143" s="4550">
        <f>AA143/년간!F9</f>
        <v>-216.31236814627709</v>
      </c>
      <c r="AP143" s="4550">
        <f>AB143/년간!G9</f>
        <v>-201.42740070655933</v>
      </c>
      <c r="AQ143" s="4550">
        <f>AC143/년간!H9</f>
        <v>-1068.6232555483848</v>
      </c>
      <c r="AR143" s="4550">
        <f>AD143/년간!I9</f>
        <v>254.60865351704655</v>
      </c>
      <c r="AS143" s="4550">
        <f>AE143/년간!J9</f>
        <v>-686.50602487360413</v>
      </c>
      <c r="AT143" s="4550">
        <f>AF143/년간!K9</f>
        <v>348.45497073936536</v>
      </c>
      <c r="AU143" s="4572">
        <f>AG143/년간!L9</f>
        <v>565.39721266864478</v>
      </c>
      <c r="AV143" s="6432">
        <f>AH143/년간!M9</f>
        <v>426.44203985459347</v>
      </c>
      <c r="AW143" s="6261">
        <f>AI143/년간!N9</f>
        <v>294.34714863082769</v>
      </c>
      <c r="AX143" s="6432">
        <f>AJ143/년간!O9</f>
        <v>532.53815069996767</v>
      </c>
      <c r="AY143" s="6439"/>
      <c r="AZ143" s="6453"/>
      <c r="BA143" s="4550">
        <f>AM143/년간!V9</f>
        <v>71.287096412988575</v>
      </c>
      <c r="BE143" s="7069"/>
      <c r="BF143" s="3781" t="s">
        <v>1322</v>
      </c>
      <c r="BG143" s="6181" t="s">
        <v>1383</v>
      </c>
      <c r="BH143" s="3411" t="s">
        <v>1493</v>
      </c>
      <c r="BI143" s="3999">
        <v>78.94</v>
      </c>
      <c r="BJ143" s="3999">
        <v>77.63</v>
      </c>
      <c r="BK143" s="3999">
        <v>77.150000000000006</v>
      </c>
      <c r="BL143" s="3999">
        <v>76.986409573006</v>
      </c>
      <c r="BM143" s="5608">
        <v>75.599999999999994</v>
      </c>
      <c r="BN143" s="4686">
        <v>75.599999999999994</v>
      </c>
      <c r="BO143" s="6284">
        <v>71.914617661577736</v>
      </c>
      <c r="BP143" s="6261">
        <v>3744716.4356721742</v>
      </c>
      <c r="BQ143" s="6243">
        <v>140.60754703564734</v>
      </c>
      <c r="BR143" s="5262">
        <v>15929452.641021958</v>
      </c>
      <c r="BS143" s="5262">
        <v>532.53815069996767</v>
      </c>
      <c r="BT143" s="6491">
        <v>71.287096412988575</v>
      </c>
      <c r="BU143" s="7157" t="s">
        <v>1939</v>
      </c>
      <c r="BV143" s="7157" t="s">
        <v>1788</v>
      </c>
      <c r="BW143" s="7155" t="s">
        <v>1789</v>
      </c>
      <c r="BX143" s="7153" t="s">
        <v>1787</v>
      </c>
    </row>
    <row r="144" spans="1:76" s="299" customFormat="1" ht="17.399999999999999" hidden="1" customHeight="1">
      <c r="A144" s="7069"/>
      <c r="B144" s="3161" t="s">
        <v>1376</v>
      </c>
      <c r="C144" s="3165" t="s">
        <v>1371</v>
      </c>
      <c r="D144" s="2569" t="s">
        <v>329</v>
      </c>
      <c r="E144" s="3310">
        <f t="shared" ref="E144:S144" si="202">E88</f>
        <v>1298</v>
      </c>
      <c r="F144" s="3310">
        <f t="shared" si="202"/>
        <v>1232</v>
      </c>
      <c r="G144" s="3350">
        <f t="shared" si="202"/>
        <v>2157.8430560543561</v>
      </c>
      <c r="H144" s="3787">
        <f t="shared" si="202"/>
        <v>1232.6363636363637</v>
      </c>
      <c r="I144" s="6563">
        <f t="shared" si="202"/>
        <v>1189</v>
      </c>
      <c r="J144" s="6564">
        <f t="shared" si="202"/>
        <v>1189</v>
      </c>
      <c r="K144" s="3360">
        <f t="shared" si="202"/>
        <v>1473</v>
      </c>
      <c r="L144" s="3360">
        <f t="shared" si="202"/>
        <v>1316</v>
      </c>
      <c r="M144" s="3360">
        <f t="shared" si="202"/>
        <v>1308</v>
      </c>
      <c r="N144" s="3360">
        <f t="shared" si="202"/>
        <v>947</v>
      </c>
      <c r="O144" s="3360">
        <f t="shared" si="202"/>
        <v>1346</v>
      </c>
      <c r="P144" s="3360">
        <f t="shared" si="202"/>
        <v>1147</v>
      </c>
      <c r="Q144" s="3360">
        <f t="shared" si="202"/>
        <v>1049</v>
      </c>
      <c r="R144" s="3360">
        <f t="shared" si="202"/>
        <v>1085</v>
      </c>
      <c r="S144" s="3360">
        <f t="shared" si="202"/>
        <v>810</v>
      </c>
      <c r="T144" s="3360">
        <f t="shared" ref="T144:Y144" si="203">T88</f>
        <v>965</v>
      </c>
      <c r="U144" s="3360">
        <f t="shared" si="203"/>
        <v>0</v>
      </c>
      <c r="V144" s="3360">
        <f t="shared" si="203"/>
        <v>0</v>
      </c>
      <c r="W144" s="6515">
        <f t="shared" si="203"/>
        <v>1144.5999999999999</v>
      </c>
      <c r="X144" s="3054">
        <f t="shared" si="203"/>
        <v>24991844.159999982</v>
      </c>
      <c r="Y144" s="3054">
        <f t="shared" si="203"/>
        <v>2499184.4159999983</v>
      </c>
      <c r="Z144" s="3307">
        <f>X144/년간!D9</f>
        <v>93.839999999999932</v>
      </c>
      <c r="AA144" s="3054">
        <f t="shared" ref="AA144:AL144" si="204">AA88</f>
        <v>-5438821.2515999991</v>
      </c>
      <c r="AB144" s="3054">
        <f t="shared" si="204"/>
        <v>-2251395.3604000024</v>
      </c>
      <c r="AC144" s="5263">
        <f t="shared" si="204"/>
        <v>-1643404.8435000018</v>
      </c>
      <c r="AD144" s="5263">
        <f t="shared" si="204"/>
        <v>7572377.5287999995</v>
      </c>
      <c r="AE144" s="5263">
        <f t="shared" si="204"/>
        <v>-2789964.0964000029</v>
      </c>
      <c r="AF144" s="5263">
        <f t="shared" si="204"/>
        <v>2270051.6999999979</v>
      </c>
      <c r="AG144" s="5263">
        <f t="shared" si="204"/>
        <v>5657506.1647000005</v>
      </c>
      <c r="AH144" s="5263">
        <f t="shared" si="204"/>
        <v>4168128.4289099984</v>
      </c>
      <c r="AI144" s="5263">
        <f t="shared" si="204"/>
        <v>11201045.861999998</v>
      </c>
      <c r="AJ144" s="5263">
        <f t="shared" si="204"/>
        <v>8028766.3480199995</v>
      </c>
      <c r="AK144" s="5263">
        <f t="shared" si="204"/>
        <v>0</v>
      </c>
      <c r="AL144" s="5263">
        <f t="shared" si="204"/>
        <v>0</v>
      </c>
      <c r="AM144" s="4539">
        <f t="shared" si="108"/>
        <v>26774290.480529986</v>
      </c>
      <c r="AN144" s="4573">
        <f>AN88</f>
        <v>93.839999999999932</v>
      </c>
      <c r="AO144" s="3307">
        <f>AA144/년간!F9</f>
        <v>-240.11999999999995</v>
      </c>
      <c r="AP144" s="3307">
        <f>AB144/년간!G9</f>
        <v>-83.26000000000009</v>
      </c>
      <c r="AQ144" s="3307">
        <f>AC144/년간!H9</f>
        <v>-75.670000000000087</v>
      </c>
      <c r="AR144" s="3307">
        <f>AD144/년간!I9</f>
        <v>286.11999999999995</v>
      </c>
      <c r="AS144" s="3307">
        <f>AE144/년간!J9</f>
        <v>-113.62000000000012</v>
      </c>
      <c r="AT144" s="3307">
        <f>AF144/년간!K9</f>
        <v>86.249999999999929</v>
      </c>
      <c r="AU144" s="4573">
        <f>AG144/년간!L9</f>
        <v>182.39000000000001</v>
      </c>
      <c r="AV144" s="6622">
        <f>AH144/년간!M9</f>
        <v>146.96999999999994</v>
      </c>
      <c r="AW144" s="4377">
        <f>AI144/년간!N9</f>
        <v>422.73999999999995</v>
      </c>
      <c r="AX144" s="6622">
        <f>AJ144/년간!O9</f>
        <v>268.40999999999997</v>
      </c>
      <c r="AY144" s="6440"/>
      <c r="AZ144" s="6454"/>
      <c r="BA144" s="3307">
        <f>AM144/년간!V9</f>
        <v>101.21182582572747</v>
      </c>
      <c r="BE144" s="7069"/>
      <c r="BF144" s="6179" t="s">
        <v>1376</v>
      </c>
      <c r="BG144" s="3796" t="s">
        <v>1371</v>
      </c>
      <c r="BH144" s="4944" t="s">
        <v>329</v>
      </c>
      <c r="BI144" s="4945">
        <v>1298</v>
      </c>
      <c r="BJ144" s="4945">
        <v>1232</v>
      </c>
      <c r="BK144" s="4945">
        <v>2157.8430560543561</v>
      </c>
      <c r="BL144" s="4945">
        <v>1232.6363636363637</v>
      </c>
      <c r="BM144" s="4946">
        <v>1189</v>
      </c>
      <c r="BN144" s="4687">
        <v>1189</v>
      </c>
      <c r="BO144" s="6285">
        <v>965</v>
      </c>
      <c r="BP144" s="4377">
        <v>2499146.879999998</v>
      </c>
      <c r="BQ144" s="6244">
        <v>93.838590588906683</v>
      </c>
      <c r="BR144" s="5263">
        <v>8028766.3480199995</v>
      </c>
      <c r="BS144" s="5263">
        <v>268.40999999999997</v>
      </c>
      <c r="BT144" s="6491">
        <v>101.21182582572747</v>
      </c>
      <c r="BU144" s="7158"/>
      <c r="BV144" s="7158"/>
      <c r="BW144" s="7156"/>
      <c r="BX144" s="7154"/>
    </row>
    <row r="145" spans="1:76" s="299" customFormat="1" ht="17.399999999999999" hidden="1" customHeight="1">
      <c r="A145" s="7069"/>
      <c r="B145" s="7111" t="s">
        <v>1486</v>
      </c>
      <c r="C145" s="7112"/>
      <c r="D145" s="3040" t="s">
        <v>719</v>
      </c>
      <c r="E145" s="3313">
        <f t="shared" ref="E145:S145" si="205">E95</f>
        <v>4795.3802621839413</v>
      </c>
      <c r="F145" s="3313">
        <f t="shared" si="205"/>
        <v>4044</v>
      </c>
      <c r="G145" s="3351">
        <f t="shared" si="205"/>
        <v>2721.9102889024402</v>
      </c>
      <c r="H145" s="3788">
        <f t="shared" si="205"/>
        <v>2354.2727272727275</v>
      </c>
      <c r="I145" s="6565">
        <f t="shared" si="205"/>
        <v>2300</v>
      </c>
      <c r="J145" s="6566">
        <f t="shared" si="205"/>
        <v>2300</v>
      </c>
      <c r="K145" s="3361">
        <f t="shared" si="205"/>
        <v>1677</v>
      </c>
      <c r="L145" s="3361">
        <f t="shared" si="205"/>
        <v>1556</v>
      </c>
      <c r="M145" s="3361">
        <f t="shared" si="205"/>
        <v>1502</v>
      </c>
      <c r="N145" s="3361">
        <f t="shared" si="205"/>
        <v>1567</v>
      </c>
      <c r="O145" s="3361">
        <f t="shared" si="205"/>
        <v>1423</v>
      </c>
      <c r="P145" s="3361">
        <f t="shared" si="205"/>
        <v>1291</v>
      </c>
      <c r="Q145" s="3361">
        <f t="shared" si="205"/>
        <v>1497</v>
      </c>
      <c r="R145" s="3361">
        <f t="shared" si="205"/>
        <v>1621</v>
      </c>
      <c r="S145" s="3361">
        <f t="shared" si="205"/>
        <v>993</v>
      </c>
      <c r="T145" s="3361">
        <f>T95</f>
        <v>1270</v>
      </c>
      <c r="U145" s="3361">
        <f>U95</f>
        <v>0</v>
      </c>
      <c r="V145" s="3361">
        <f>V95</f>
        <v>0</v>
      </c>
      <c r="W145" s="6516">
        <f>W95</f>
        <v>1439.7</v>
      </c>
      <c r="X145" s="4534">
        <f t="shared" ref="X145:AL145" si="206">X95</f>
        <v>14453912.727272782</v>
      </c>
      <c r="Y145" s="4534">
        <f t="shared" si="206"/>
        <v>1445391.2727272783</v>
      </c>
      <c r="Z145" s="4550">
        <f t="shared" si="206"/>
        <v>54.271912134365593</v>
      </c>
      <c r="AA145" s="4534">
        <f t="shared" si="206"/>
        <v>15340518.500000006</v>
      </c>
      <c r="AB145" s="4534">
        <f t="shared" si="206"/>
        <v>21585725.612727281</v>
      </c>
      <c r="AC145" s="5262">
        <f t="shared" si="206"/>
        <v>18509701.704545457</v>
      </c>
      <c r="AD145" s="5262">
        <f t="shared" si="206"/>
        <v>20835755.309090916</v>
      </c>
      <c r="AE145" s="5262">
        <f t="shared" si="206"/>
        <v>22867606.698181823</v>
      </c>
      <c r="AF145" s="5262">
        <f t="shared" si="206"/>
        <v>27984742.749090914</v>
      </c>
      <c r="AG145" s="5262">
        <f t="shared" si="206"/>
        <v>26591511.263636369</v>
      </c>
      <c r="AH145" s="5262">
        <f t="shared" si="206"/>
        <v>20795910.054363642</v>
      </c>
      <c r="AI145" s="5262">
        <f t="shared" si="206"/>
        <v>36068690.56363637</v>
      </c>
      <c r="AJ145" s="5262">
        <f t="shared" si="206"/>
        <v>32433114.954000007</v>
      </c>
      <c r="AK145" s="5262">
        <f t="shared" si="206"/>
        <v>0</v>
      </c>
      <c r="AL145" s="5262">
        <f t="shared" si="206"/>
        <v>0</v>
      </c>
      <c r="AM145" s="4539">
        <f t="shared" si="108"/>
        <v>243013277.40927276</v>
      </c>
      <c r="AN145" s="4572">
        <f t="shared" ref="AN145:AW145" si="207">AN95</f>
        <v>54.271912134365593</v>
      </c>
      <c r="AO145" s="4550">
        <f t="shared" si="207"/>
        <v>677.27272727272748</v>
      </c>
      <c r="AP145" s="4550">
        <f t="shared" si="207"/>
        <v>798.27272727272759</v>
      </c>
      <c r="AQ145" s="4550">
        <f t="shared" si="207"/>
        <v>852.27272727272737</v>
      </c>
      <c r="AR145" s="4550">
        <f t="shared" si="207"/>
        <v>787.27272727272748</v>
      </c>
      <c r="AS145" s="4550">
        <f t="shared" si="207"/>
        <v>931.27272727272737</v>
      </c>
      <c r="AT145" s="4550">
        <f t="shared" si="207"/>
        <v>1063.2727272727275</v>
      </c>
      <c r="AU145" s="4572">
        <f t="shared" si="207"/>
        <v>857.27272727272748</v>
      </c>
      <c r="AV145" s="6432">
        <f t="shared" si="207"/>
        <v>733.27272727272748</v>
      </c>
      <c r="AW145" s="6261">
        <f t="shared" si="207"/>
        <v>1361.2727272727275</v>
      </c>
      <c r="AX145" s="6432">
        <f>AX95</f>
        <v>1084.2727272727275</v>
      </c>
      <c r="AY145" s="6440"/>
      <c r="AZ145" s="6454"/>
      <c r="BA145" s="4550">
        <f>BA95</f>
        <v>918.63564132063016</v>
      </c>
      <c r="BE145" s="7069"/>
      <c r="BF145" s="7099" t="s">
        <v>1486</v>
      </c>
      <c r="BG145" s="7100"/>
      <c r="BH145" s="4947" t="s">
        <v>334</v>
      </c>
      <c r="BI145" s="4948">
        <v>4795.3802621839413</v>
      </c>
      <c r="BJ145" s="4945">
        <v>4044</v>
      </c>
      <c r="BK145" s="4945">
        <v>2721.9102889024402</v>
      </c>
      <c r="BL145" s="4945">
        <v>2354.2727272727275</v>
      </c>
      <c r="BM145" s="4946">
        <v>2300</v>
      </c>
      <c r="BN145" s="4688">
        <v>2300</v>
      </c>
      <c r="BO145" s="6285">
        <v>1270</v>
      </c>
      <c r="BP145" s="4377">
        <v>1445391.2727272783</v>
      </c>
      <c r="BQ145" s="6244">
        <v>54.271912134365593</v>
      </c>
      <c r="BR145" s="5262">
        <v>32433114.954000007</v>
      </c>
      <c r="BS145" s="5262">
        <v>1084.2727272727275</v>
      </c>
      <c r="BT145" s="6491">
        <v>918.63564132063016</v>
      </c>
      <c r="BU145" s="7158"/>
      <c r="BV145" s="7158"/>
      <c r="BW145" s="7156"/>
      <c r="BX145" s="7154"/>
    </row>
    <row r="146" spans="1:76" s="299" customFormat="1" ht="18" hidden="1" customHeight="1" thickBot="1">
      <c r="A146" s="7069"/>
      <c r="B146" s="7094" t="s">
        <v>1490</v>
      </c>
      <c r="C146" s="7095"/>
      <c r="D146" s="3018" t="s">
        <v>1489</v>
      </c>
      <c r="E146" s="3314"/>
      <c r="F146" s="3314"/>
      <c r="G146" s="3352"/>
      <c r="H146" s="3371"/>
      <c r="I146" s="6567"/>
      <c r="J146" s="6568"/>
      <c r="K146" s="4376"/>
      <c r="L146" s="4376"/>
      <c r="M146" s="4376"/>
      <c r="N146" s="4376"/>
      <c r="O146" s="4376"/>
      <c r="P146" s="4376"/>
      <c r="Q146" s="4376"/>
      <c r="R146" s="4376"/>
      <c r="S146" s="4376"/>
      <c r="T146" s="4376"/>
      <c r="U146" s="4376"/>
      <c r="V146" s="4376"/>
      <c r="W146" s="4376"/>
      <c r="X146" s="3054">
        <f>협력사!C48*1000</f>
        <v>27736050</v>
      </c>
      <c r="Y146" s="3054">
        <f>X146/12</f>
        <v>2311337.5</v>
      </c>
      <c r="Z146" s="3307">
        <f>X146/년간!D9</f>
        <v>104.14401255613463</v>
      </c>
      <c r="AA146" s="5263">
        <f>협력사!D17*1000</f>
        <v>2805000</v>
      </c>
      <c r="AB146" s="5263">
        <f>협력사!E17*1000</f>
        <v>3644000</v>
      </c>
      <c r="AC146" s="5263">
        <f>협력사!F17*1000</f>
        <v>2805000</v>
      </c>
      <c r="AD146" s="5263">
        <f>협력사!G17*1000</f>
        <v>4485000</v>
      </c>
      <c r="AE146" s="5263">
        <f>협력사!H17*1000</f>
        <v>3644000</v>
      </c>
      <c r="AF146" s="5263">
        <f>협력사!I17*1000</f>
        <v>4485000</v>
      </c>
      <c r="AG146" s="5263">
        <f>협력사!J17*1000</f>
        <v>2805000</v>
      </c>
      <c r="AH146" s="5263">
        <f>협력사!K17*1000</f>
        <v>3644000</v>
      </c>
      <c r="AI146" s="5263">
        <f>협력사!L17*1000</f>
        <v>3644000</v>
      </c>
      <c r="AJ146" s="5263">
        <f>협력사!M17*1000</f>
        <v>2805000</v>
      </c>
      <c r="AK146" s="5263">
        <f>협력사!N48*1000</f>
        <v>3075000</v>
      </c>
      <c r="AL146" s="5263">
        <f>협력사!O48*1000</f>
        <v>2118000</v>
      </c>
      <c r="AM146" s="4539">
        <f t="shared" si="108"/>
        <v>39959000</v>
      </c>
      <c r="AN146" s="4573">
        <f>Y146/(년간!E9/12)</f>
        <v>104.14401255613463</v>
      </c>
      <c r="AO146" s="3307">
        <f>AA146/년간!F9</f>
        <v>123.8387085808084</v>
      </c>
      <c r="AP146" s="3307">
        <f>AB146/년간!G9</f>
        <v>134.76062238402042</v>
      </c>
      <c r="AQ146" s="3307">
        <f>AC146/년간!H9</f>
        <v>129.15524183801031</v>
      </c>
      <c r="AR146" s="3307">
        <f>AD146/년간!I9</f>
        <v>169.46437167447422</v>
      </c>
      <c r="AS146" s="3307">
        <f>AE146/년간!J9</f>
        <v>148.40021795772955</v>
      </c>
      <c r="AT146" s="3307">
        <f>AF146/년간!K9</f>
        <v>170.40636122957025</v>
      </c>
      <c r="AU146" s="4573">
        <f>AG146/년간!L9</f>
        <v>90.429234207847969</v>
      </c>
      <c r="AV146" s="6622">
        <f>AH146/년간!M9</f>
        <v>128.48900630925451</v>
      </c>
      <c r="AW146" s="4377">
        <f>AI146/년간!N9</f>
        <v>137.52863607371594</v>
      </c>
      <c r="AX146" s="6622">
        <f>AJ146/년간!O9</f>
        <v>93.774064079679263</v>
      </c>
      <c r="AY146" s="6440"/>
      <c r="AZ146" s="6454"/>
      <c r="BA146" s="3307">
        <f>AM146/년간!V9</f>
        <v>151.052493850817</v>
      </c>
      <c r="BE146" s="7069"/>
      <c r="BF146" s="7094" t="s">
        <v>1490</v>
      </c>
      <c r="BG146" s="7095"/>
      <c r="BH146" s="3029" t="s">
        <v>1488</v>
      </c>
      <c r="BI146" s="4949"/>
      <c r="BJ146" s="3397"/>
      <c r="BK146" s="3397"/>
      <c r="BL146" s="3397"/>
      <c r="BM146" s="3400"/>
      <c r="BN146" s="4950"/>
      <c r="BO146" s="6286"/>
      <c r="BP146" s="6262">
        <v>1858000</v>
      </c>
      <c r="BQ146" s="6245">
        <v>104.14401255613463</v>
      </c>
      <c r="BR146" s="5263">
        <v>2805000</v>
      </c>
      <c r="BS146" s="5263">
        <v>93.774064079679263</v>
      </c>
      <c r="BT146" s="6492">
        <v>131.42198256256424</v>
      </c>
      <c r="BU146" s="5602">
        <v>23751.795593754094</v>
      </c>
      <c r="BV146" s="5602">
        <v>23751.795593754094</v>
      </c>
      <c r="BW146" s="5610">
        <v>29625.59101897875</v>
      </c>
      <c r="BX146" s="6494">
        <v>25079.924195909287</v>
      </c>
    </row>
    <row r="147" spans="1:76" s="299" customFormat="1" ht="18" hidden="1" customHeight="1" thickBot="1">
      <c r="A147" s="7069"/>
      <c r="B147" s="7070" t="s">
        <v>1398</v>
      </c>
      <c r="C147" s="7071"/>
      <c r="D147" s="7071"/>
      <c r="E147" s="7071"/>
      <c r="F147" s="7071"/>
      <c r="G147" s="7071"/>
      <c r="H147" s="7071"/>
      <c r="I147" s="7076"/>
      <c r="J147" s="6528"/>
      <c r="K147" s="4324"/>
      <c r="L147" s="4751"/>
      <c r="M147" s="4751"/>
      <c r="N147" s="4751"/>
      <c r="O147" s="5429"/>
      <c r="P147" s="4751"/>
      <c r="Q147" s="4751"/>
      <c r="R147" s="6024"/>
      <c r="S147" s="6102"/>
      <c r="T147" s="6210"/>
      <c r="U147" s="6210"/>
      <c r="V147" s="6210"/>
      <c r="W147" s="6210"/>
      <c r="X147" s="3052">
        <f t="shared" ref="X147:AE147" si="208">SUM(X141:X146)</f>
        <v>432991541.17361462</v>
      </c>
      <c r="Y147" s="3052">
        <f t="shared" si="208"/>
        <v>42836886.617361471</v>
      </c>
      <c r="Z147" s="3309">
        <f t="shared" si="208"/>
        <v>1623.3812619497673</v>
      </c>
      <c r="AA147" s="3052">
        <f t="shared" si="208"/>
        <v>3567317.9763556086</v>
      </c>
      <c r="AB147" s="3052">
        <f t="shared" si="208"/>
        <v>5866545.0501024313</v>
      </c>
      <c r="AC147" s="3052">
        <f t="shared" si="208"/>
        <v>-781752.59717528522</v>
      </c>
      <c r="AD147" s="3052">
        <f t="shared" si="208"/>
        <v>104521057.05858664</v>
      </c>
      <c r="AE147" s="3052">
        <f t="shared" si="208"/>
        <v>11696030.017954607</v>
      </c>
      <c r="AF147" s="3052">
        <f t="shared" ref="AF147:AL147" si="209">SUM(AF141:AF146)</f>
        <v>90214857.141504303</v>
      </c>
      <c r="AG147" s="3052">
        <f t="shared" si="209"/>
        <v>135515118.5999316</v>
      </c>
      <c r="AH147" s="3052">
        <f t="shared" si="209"/>
        <v>117192515.96887778</v>
      </c>
      <c r="AI147" s="3052">
        <f t="shared" si="209"/>
        <v>155136385.26178387</v>
      </c>
      <c r="AJ147" s="3052">
        <f t="shared" si="209"/>
        <v>60777603.692089707</v>
      </c>
      <c r="AK147" s="3052">
        <f t="shared" si="209"/>
        <v>1853388.2016960895</v>
      </c>
      <c r="AL147" s="3052">
        <f t="shared" si="209"/>
        <v>10206617.395994317</v>
      </c>
      <c r="AM147" s="6474">
        <f t="shared" si="108"/>
        <v>695765683.76770163</v>
      </c>
      <c r="AN147" s="4574">
        <f>SUM(AN141:AN146)</f>
        <v>1623.3812619497673</v>
      </c>
      <c r="AO147" s="3309">
        <f>AA147/년간!F9</f>
        <v>157.49449243813953</v>
      </c>
      <c r="AP147" s="3309">
        <f>AB147/년간!G9</f>
        <v>216.95369434569099</v>
      </c>
      <c r="AQ147" s="3309">
        <f>AC147/년간!H9</f>
        <v>-35.995524330005928</v>
      </c>
      <c r="AR147" s="3309">
        <f>AD147/년간!I9</f>
        <v>3949.2966022709597</v>
      </c>
      <c r="AS147" s="3309">
        <f>AE147/년간!J9</f>
        <v>476.3154236840316</v>
      </c>
      <c r="AT147" s="3309">
        <f>AF147/년간!K9</f>
        <v>3427.6890823476606</v>
      </c>
      <c r="AU147" s="4574">
        <f>AG147/년간!L9</f>
        <v>4368.8158283698785</v>
      </c>
      <c r="AV147" s="6623">
        <f>AH147/년간!M9</f>
        <v>4132.2584862026742</v>
      </c>
      <c r="AW147" s="6263">
        <f>AI147/년간!N9</f>
        <v>5855.0207108835521</v>
      </c>
      <c r="AX147" s="6623">
        <f>AJ147/년간!O9</f>
        <v>2031.8584325245531</v>
      </c>
      <c r="AY147" s="6441"/>
      <c r="AZ147" s="6455"/>
      <c r="BA147" s="3309">
        <f>AM147/년간!V9</f>
        <v>2630.1244192529903</v>
      </c>
      <c r="BB147" s="299">
        <f>X147/년간!D9</f>
        <v>1625.8074419639786</v>
      </c>
      <c r="BE147" s="7069"/>
      <c r="BF147" s="7070" t="s">
        <v>1398</v>
      </c>
      <c r="BG147" s="7071"/>
      <c r="BH147" s="7071"/>
      <c r="BI147" s="7071"/>
      <c r="BJ147" s="7071"/>
      <c r="BK147" s="7071"/>
      <c r="BL147" s="7071"/>
      <c r="BM147" s="7071"/>
      <c r="BN147" s="7071"/>
      <c r="BO147" s="7073"/>
      <c r="BP147" s="6263">
        <v>42248737.961560108</v>
      </c>
      <c r="BQ147" s="6240">
        <v>1620.7455190504836</v>
      </c>
      <c r="BR147" s="4574">
        <v>57972603.692089707</v>
      </c>
      <c r="BS147" s="3052">
        <v>1938.0843684448739</v>
      </c>
      <c r="BT147" s="6484">
        <v>2584.5353424145824</v>
      </c>
      <c r="BU147" s="4471"/>
      <c r="BV147"/>
      <c r="BW147" s="6331">
        <f>BV146-BW146</f>
        <v>-5873.7954252246564</v>
      </c>
      <c r="BX147" s="6332">
        <f>BV146-BX146</f>
        <v>-1328.1286021551932</v>
      </c>
    </row>
    <row r="148" spans="1:76" ht="17.399999999999999" hidden="1" customHeight="1">
      <c r="A148" s="7068" t="s">
        <v>1264</v>
      </c>
      <c r="B148" s="7082" t="s">
        <v>1185</v>
      </c>
      <c r="C148" s="7082"/>
      <c r="D148" s="1225" t="s">
        <v>452</v>
      </c>
      <c r="E148" s="2468">
        <f t="shared" ref="E148:S148" si="210">E4</f>
        <v>820.61999999999978</v>
      </c>
      <c r="F148" s="2468">
        <f t="shared" si="210"/>
        <v>320</v>
      </c>
      <c r="G148" s="2469">
        <f t="shared" si="210"/>
        <v>307.49</v>
      </c>
      <c r="H148" s="3289">
        <f t="shared" si="210"/>
        <v>363.24000000000007</v>
      </c>
      <c r="I148" s="6530">
        <f t="shared" si="210"/>
        <v>180</v>
      </c>
      <c r="J148" s="6531">
        <f t="shared" si="210"/>
        <v>18</v>
      </c>
      <c r="K148" s="3354">
        <f t="shared" si="210"/>
        <v>4.84</v>
      </c>
      <c r="L148" s="3354">
        <f t="shared" si="210"/>
        <v>41.36</v>
      </c>
      <c r="M148" s="3354">
        <f t="shared" si="210"/>
        <v>22.59</v>
      </c>
      <c r="N148" s="3354">
        <f t="shared" si="210"/>
        <v>0</v>
      </c>
      <c r="O148" s="3354">
        <f t="shared" si="210"/>
        <v>26.65</v>
      </c>
      <c r="P148" s="3354">
        <f t="shared" si="210"/>
        <v>40.56</v>
      </c>
      <c r="Q148" s="3354">
        <f t="shared" si="210"/>
        <v>37.85</v>
      </c>
      <c r="R148" s="3354">
        <f t="shared" si="210"/>
        <v>7.47</v>
      </c>
      <c r="S148" s="3354">
        <f t="shared" si="210"/>
        <v>0</v>
      </c>
      <c r="T148" s="3354">
        <f>T4</f>
        <v>24.21</v>
      </c>
      <c r="U148" s="3354">
        <f>U4</f>
        <v>0</v>
      </c>
      <c r="V148" s="3354">
        <f>V4</f>
        <v>0</v>
      </c>
      <c r="W148" s="6511">
        <f>W4</f>
        <v>205.53</v>
      </c>
      <c r="X148" s="3390">
        <f t="shared" ref="X148:AL148" si="211">X4</f>
        <v>79494135.920561582</v>
      </c>
      <c r="Y148" s="3390">
        <f t="shared" si="211"/>
        <v>7949413.592056158</v>
      </c>
      <c r="Z148" s="3391">
        <f t="shared" si="211"/>
        <v>290.62309772442359</v>
      </c>
      <c r="AA148" s="3390">
        <f t="shared" si="211"/>
        <v>11032175.706504481</v>
      </c>
      <c r="AB148" s="3390">
        <f t="shared" si="211"/>
        <v>-4811121.8476262121</v>
      </c>
      <c r="AC148" s="3390">
        <f t="shared" si="211"/>
        <v>3331777.7988971476</v>
      </c>
      <c r="AD148" s="3390">
        <f t="shared" si="211"/>
        <v>13131889.840184452</v>
      </c>
      <c r="AE148" s="3390">
        <f t="shared" si="211"/>
        <v>1570447.3479176681</v>
      </c>
      <c r="AF148" s="3390">
        <f t="shared" si="211"/>
        <v>-4464061.6602410944</v>
      </c>
      <c r="AG148" s="3390">
        <f t="shared" si="211"/>
        <v>-3288395.2754740021</v>
      </c>
      <c r="AH148" s="3390">
        <f t="shared" si="211"/>
        <v>9891215.340475902</v>
      </c>
      <c r="AI148" s="3390">
        <f t="shared" si="211"/>
        <v>13131889.840184452</v>
      </c>
      <c r="AJ148" s="3390">
        <f t="shared" si="211"/>
        <v>2628980.9194422807</v>
      </c>
      <c r="AK148" s="3390">
        <f t="shared" si="211"/>
        <v>13131889.840184452</v>
      </c>
      <c r="AL148" s="3390">
        <f t="shared" si="211"/>
        <v>13131889.840184452</v>
      </c>
      <c r="AM148" s="4539">
        <f t="shared" si="108"/>
        <v>68418577.690633982</v>
      </c>
      <c r="AN148" s="4562">
        <f t="shared" ref="AN148:AW148" si="212">AN4</f>
        <v>290.62309772442359</v>
      </c>
      <c r="AO148" s="3391">
        <f t="shared" si="212"/>
        <v>445.95817254266007</v>
      </c>
      <c r="AP148" s="3391">
        <f t="shared" si="212"/>
        <v>-195.408438280003</v>
      </c>
      <c r="AQ148" s="3391">
        <f t="shared" si="212"/>
        <v>123.73013292953031</v>
      </c>
      <c r="AR148" s="3391">
        <f t="shared" si="212"/>
        <v>531.78377617370234</v>
      </c>
      <c r="AS148" s="3391">
        <f t="shared" si="212"/>
        <v>68.844575602806657</v>
      </c>
      <c r="AT148" s="3391">
        <f t="shared" si="212"/>
        <v>-178.63270478916687</v>
      </c>
      <c r="AU148" s="4562">
        <f t="shared" si="212"/>
        <v>-106.59677147446337</v>
      </c>
      <c r="AV148" s="6610">
        <f t="shared" si="212"/>
        <v>356.68710990476296</v>
      </c>
      <c r="AW148" s="6249">
        <f t="shared" si="212"/>
        <v>448.70222556340934</v>
      </c>
      <c r="AX148" s="6610">
        <f>AX4</f>
        <v>96.624190162574635</v>
      </c>
      <c r="AY148" s="6427"/>
      <c r="AZ148" s="6443"/>
      <c r="BA148" s="3391">
        <f>BA4</f>
        <v>258.01745647180661</v>
      </c>
      <c r="BE148" s="7068" t="s">
        <v>1264</v>
      </c>
      <c r="BF148" s="7082" t="s">
        <v>1185</v>
      </c>
      <c r="BG148" s="7082"/>
      <c r="BH148" s="1225" t="s">
        <v>1447</v>
      </c>
      <c r="BI148" s="2468">
        <v>820.61999999999978</v>
      </c>
      <c r="BJ148" s="2468">
        <v>320</v>
      </c>
      <c r="BK148" s="2468">
        <v>307.49</v>
      </c>
      <c r="BL148" s="3056">
        <v>363.24000000000007</v>
      </c>
      <c r="BM148" s="3063">
        <v>180</v>
      </c>
      <c r="BN148" s="6059">
        <v>18</v>
      </c>
      <c r="BO148" s="6729">
        <v>24.21</v>
      </c>
      <c r="BP148" s="6249">
        <v>7949413.592056158</v>
      </c>
      <c r="BQ148" s="6231">
        <v>290.62309772442359</v>
      </c>
      <c r="BR148" s="4520">
        <v>2628980.9194422807</v>
      </c>
      <c r="BS148" s="4520">
        <v>96.624190162574635</v>
      </c>
      <c r="BT148" s="6493">
        <v>159.77599343967762</v>
      </c>
    </row>
    <row r="149" spans="1:76" ht="17.399999999999999" hidden="1" customHeight="1">
      <c r="A149" s="7069"/>
      <c r="B149" s="7102" t="s">
        <v>1256</v>
      </c>
      <c r="C149" s="3311" t="s">
        <v>528</v>
      </c>
      <c r="D149" s="3312" t="s">
        <v>321</v>
      </c>
      <c r="E149" s="5797">
        <f t="shared" ref="E149:S149" si="213">E12</f>
        <v>5.9337282737341113</v>
      </c>
      <c r="F149" s="5797">
        <f t="shared" si="213"/>
        <v>2.5642489641379616</v>
      </c>
      <c r="G149" s="5798">
        <f t="shared" si="213"/>
        <v>2.6735481462132107</v>
      </c>
      <c r="H149" s="5799">
        <f t="shared" si="213"/>
        <v>2.1401601398038075</v>
      </c>
      <c r="I149" s="6534">
        <f t="shared" si="213"/>
        <v>1.2881445611749418</v>
      </c>
      <c r="J149" s="6535">
        <f t="shared" si="213"/>
        <v>1.2562491067956647</v>
      </c>
      <c r="K149" s="3357">
        <f t="shared" si="213"/>
        <v>1.574491857512327</v>
      </c>
      <c r="L149" s="3357">
        <f t="shared" si="213"/>
        <v>0.96787885064894175</v>
      </c>
      <c r="M149" s="3357">
        <f t="shared" si="213"/>
        <v>1.9789971546113347</v>
      </c>
      <c r="N149" s="3357">
        <f t="shared" si="213"/>
        <v>0.28549398964284495</v>
      </c>
      <c r="O149" s="3357">
        <f t="shared" si="213"/>
        <v>1.3331001175284909</v>
      </c>
      <c r="P149" s="3357">
        <f t="shared" si="213"/>
        <v>1.1996717109167323</v>
      </c>
      <c r="Q149" s="3357">
        <f t="shared" si="213"/>
        <v>0.38542678317425699</v>
      </c>
      <c r="R149" s="3357">
        <f t="shared" si="213"/>
        <v>2.0370858529454079</v>
      </c>
      <c r="S149" s="3357">
        <f t="shared" si="213"/>
        <v>0.77973428896911745</v>
      </c>
      <c r="T149" s="3357">
        <f>T12</f>
        <v>0.85856122633122034</v>
      </c>
      <c r="U149" s="3357">
        <f>U12</f>
        <v>3.6896107460662901</v>
      </c>
      <c r="V149" s="3357" t="e">
        <f>V12</f>
        <v>#DIV/0!</v>
      </c>
      <c r="W149" s="6512">
        <f>W12</f>
        <v>1.1581988972341495</v>
      </c>
      <c r="X149" s="3303">
        <f t="shared" ref="X149:AK149" si="214">X12</f>
        <v>101103760.9298417</v>
      </c>
      <c r="Y149" s="3303">
        <f t="shared" si="214"/>
        <v>10110376.09298417</v>
      </c>
      <c r="Z149" s="3305">
        <f t="shared" si="214"/>
        <v>369.62585796746862</v>
      </c>
      <c r="AA149" s="3303">
        <f t="shared" si="214"/>
        <v>6070768.6248575328</v>
      </c>
      <c r="AB149" s="3303">
        <f t="shared" si="214"/>
        <v>12521307.623897502</v>
      </c>
      <c r="AC149" s="4521">
        <f t="shared" si="214"/>
        <v>1882698.0099440152</v>
      </c>
      <c r="AD149" s="4521">
        <f t="shared" si="214"/>
        <v>19868848.71043827</v>
      </c>
      <c r="AE149" s="4521">
        <f t="shared" si="214"/>
        <v>7986827.3863212261</v>
      </c>
      <c r="AF149" s="4521">
        <f t="shared" si="214"/>
        <v>10196179.609011061</v>
      </c>
      <c r="AG149" s="4521">
        <f t="shared" si="214"/>
        <v>23483666.604221147</v>
      </c>
      <c r="AH149" s="4521">
        <f t="shared" si="214"/>
        <v>1240016.290534588</v>
      </c>
      <c r="AI149" s="4521">
        <f t="shared" si="214"/>
        <v>17272638.86833806</v>
      </c>
      <c r="AJ149" s="4521">
        <f t="shared" si="214"/>
        <v>15127546.884595042</v>
      </c>
      <c r="AK149" s="4521">
        <f t="shared" si="214"/>
        <v>-896348.91775769461</v>
      </c>
      <c r="AL149" s="4521"/>
      <c r="AM149" s="4539">
        <f t="shared" si="108"/>
        <v>114754149.69440074</v>
      </c>
      <c r="AN149" s="4564">
        <f t="shared" ref="AN149:AW149" si="215">AN12</f>
        <v>369.62585796746862</v>
      </c>
      <c r="AO149" s="3305">
        <f t="shared" si="215"/>
        <v>245.40117506237465</v>
      </c>
      <c r="AP149" s="3305">
        <f t="shared" si="215"/>
        <v>508.56520485269601</v>
      </c>
      <c r="AQ149" s="3305">
        <f t="shared" si="215"/>
        <v>69.916569800555976</v>
      </c>
      <c r="AR149" s="3305">
        <f t="shared" si="215"/>
        <v>804.60097701462655</v>
      </c>
      <c r="AS149" s="3305">
        <f t="shared" si="215"/>
        <v>350.12300320238728</v>
      </c>
      <c r="AT149" s="3305">
        <f t="shared" si="215"/>
        <v>408.00761295385587</v>
      </c>
      <c r="AU149" s="4564">
        <f t="shared" si="215"/>
        <v>761.24760945346372</v>
      </c>
      <c r="AV149" s="6429">
        <f t="shared" si="215"/>
        <v>44.716226639579617</v>
      </c>
      <c r="AW149" s="4463">
        <f t="shared" si="215"/>
        <v>590.1870633928097</v>
      </c>
      <c r="AX149" s="6429">
        <f>AX12</f>
        <v>555.98994882795159</v>
      </c>
      <c r="AY149" s="3974"/>
      <c r="AZ149" s="6445"/>
      <c r="BA149" s="3305" t="e">
        <f>BA12</f>
        <v>#DIV/0!</v>
      </c>
      <c r="BE149" s="7069"/>
      <c r="BF149" s="7145" t="s">
        <v>1256</v>
      </c>
      <c r="BG149" s="6186" t="s">
        <v>528</v>
      </c>
      <c r="BH149" s="3803" t="s">
        <v>321</v>
      </c>
      <c r="BI149" s="3822">
        <v>1850</v>
      </c>
      <c r="BJ149" s="3822">
        <v>803.91</v>
      </c>
      <c r="BK149" s="3822">
        <v>702.74799999999993</v>
      </c>
      <c r="BL149" s="5588">
        <v>624.87299999999993</v>
      </c>
      <c r="BM149" s="6287">
        <v>352.34618181818183</v>
      </c>
      <c r="BN149" s="4691">
        <v>1.2570763423516302</v>
      </c>
      <c r="BO149" s="6288">
        <v>0.85856122633122034</v>
      </c>
      <c r="BP149" s="4463">
        <v>10100310.536125049</v>
      </c>
      <c r="BQ149" s="5583">
        <v>369.25787065861329</v>
      </c>
      <c r="BR149" s="4521">
        <v>15127546.884595042</v>
      </c>
      <c r="BS149" s="4521">
        <v>555.98994882795159</v>
      </c>
      <c r="BT149" s="6488">
        <v>438.34092866610507</v>
      </c>
      <c r="BU149" s="3783"/>
    </row>
    <row r="150" spans="1:76" ht="17.399999999999999" hidden="1" customHeight="1">
      <c r="A150" s="7069"/>
      <c r="B150" s="7102"/>
      <c r="C150" s="3311" t="s">
        <v>1057</v>
      </c>
      <c r="D150" s="3312" t="s">
        <v>321</v>
      </c>
      <c r="E150" s="5797">
        <f t="shared" ref="E150:S150" si="216">E19</f>
        <v>1.9060738925578218</v>
      </c>
      <c r="F150" s="5797">
        <f t="shared" si="216"/>
        <v>1.616614621045144</v>
      </c>
      <c r="G150" s="5798">
        <f t="shared" si="216"/>
        <v>1.2528499645990618</v>
      </c>
      <c r="H150" s="5799">
        <f t="shared" si="216"/>
        <v>1.1972605314539384</v>
      </c>
      <c r="I150" s="6534">
        <f t="shared" si="216"/>
        <v>1.0967718348992799</v>
      </c>
      <c r="J150" s="6535">
        <f t="shared" si="216"/>
        <v>1.0967718348992799</v>
      </c>
      <c r="K150" s="3357">
        <f t="shared" si="216"/>
        <v>1.0186699565933413</v>
      </c>
      <c r="L150" s="3357">
        <f t="shared" si="216"/>
        <v>1.3419520447100728</v>
      </c>
      <c r="M150" s="3357">
        <f t="shared" si="216"/>
        <v>1.2511243036002226</v>
      </c>
      <c r="N150" s="3357">
        <f t="shared" si="216"/>
        <v>1.631972735121511</v>
      </c>
      <c r="O150" s="3357">
        <f t="shared" si="216"/>
        <v>1.1801070425474181</v>
      </c>
      <c r="P150" s="3357">
        <f t="shared" si="216"/>
        <v>1.5542111158107368</v>
      </c>
      <c r="Q150" s="3357">
        <f t="shared" si="216"/>
        <v>1.3932416434675832</v>
      </c>
      <c r="R150" s="3357">
        <f t="shared" si="216"/>
        <v>1.2837715766481952</v>
      </c>
      <c r="S150" s="3357">
        <f t="shared" si="216"/>
        <v>1.4767798408959358</v>
      </c>
      <c r="T150" s="3357">
        <f>T19</f>
        <v>1.7762955508813301</v>
      </c>
      <c r="U150" s="3357">
        <f>U19</f>
        <v>2.1372745175383998</v>
      </c>
      <c r="V150" s="3357" t="e">
        <f>V19</f>
        <v>#DIV/0!</v>
      </c>
      <c r="W150" s="6512">
        <f>W19</f>
        <v>1.3989875127212568</v>
      </c>
      <c r="X150" s="3303">
        <f t="shared" ref="X150:AK150" si="217">X19</f>
        <v>11924412.425607961</v>
      </c>
      <c r="Y150" s="3303">
        <f t="shared" si="217"/>
        <v>1192441.242560796</v>
      </c>
      <c r="Z150" s="3305">
        <f t="shared" si="217"/>
        <v>43.594532320432712</v>
      </c>
      <c r="AA150" s="3303">
        <f t="shared" si="217"/>
        <v>1916639.296385935</v>
      </c>
      <c r="AB150" s="3303">
        <f t="shared" si="217"/>
        <v>-1545471.1806868748</v>
      </c>
      <c r="AC150" s="4521">
        <f t="shared" si="217"/>
        <v>-629233.91811573133</v>
      </c>
      <c r="AD150" s="4521">
        <f t="shared" si="217"/>
        <v>-4657027.3612329755</v>
      </c>
      <c r="AE150" s="4521">
        <f t="shared" si="217"/>
        <v>169754.35678663556</v>
      </c>
      <c r="AF150" s="4521">
        <f t="shared" si="217"/>
        <v>-3869832.0551909418</v>
      </c>
      <c r="AG150" s="4521">
        <f t="shared" si="217"/>
        <v>-2622823.0505021261</v>
      </c>
      <c r="AH150" s="4521">
        <f t="shared" si="217"/>
        <v>-1040755.2515927058</v>
      </c>
      <c r="AI150" s="4521">
        <f t="shared" si="217"/>
        <v>-3548915.2795476606</v>
      </c>
      <c r="AJ150" s="4521">
        <f t="shared" si="217"/>
        <v>-6834727.5517549254</v>
      </c>
      <c r="AK150" s="4521">
        <f t="shared" si="217"/>
        <v>-543793.08104331233</v>
      </c>
      <c r="AL150" s="4521"/>
      <c r="AM150" s="4539">
        <f t="shared" si="108"/>
        <v>-23206185.076494679</v>
      </c>
      <c r="AN150" s="4564">
        <f t="shared" ref="AN150:AW150" si="218">AN19</f>
        <v>43.594532320432712</v>
      </c>
      <c r="AO150" s="3305">
        <f t="shared" si="218"/>
        <v>77.477097970418754</v>
      </c>
      <c r="AP150" s="3305">
        <f t="shared" si="218"/>
        <v>-62.770829629638079</v>
      </c>
      <c r="AQ150" s="3305">
        <f t="shared" si="218"/>
        <v>-23.367463567948466</v>
      </c>
      <c r="AR150" s="3305">
        <f t="shared" si="218"/>
        <v>-188.58912357933232</v>
      </c>
      <c r="AS150" s="3305">
        <f t="shared" si="218"/>
        <v>7.4416163427568982</v>
      </c>
      <c r="AT150" s="3305">
        <f t="shared" si="218"/>
        <v>-154.8541708676228</v>
      </c>
      <c r="AU150" s="4564">
        <f t="shared" si="218"/>
        <v>-85.021551824249485</v>
      </c>
      <c r="AV150" s="6429">
        <f t="shared" si="218"/>
        <v>-37.530674445001594</v>
      </c>
      <c r="AW150" s="4463">
        <f t="shared" si="218"/>
        <v>-121.26252989087344</v>
      </c>
      <c r="AX150" s="6429">
        <f>AX19</f>
        <v>-251.20000293127086</v>
      </c>
      <c r="AY150" s="3974"/>
      <c r="AZ150" s="6445"/>
      <c r="BA150" s="3305" t="e">
        <f>BA19</f>
        <v>#DIV/0!</v>
      </c>
      <c r="BE150" s="7069"/>
      <c r="BF150" s="7145"/>
      <c r="BG150" s="6186" t="s">
        <v>1057</v>
      </c>
      <c r="BH150" s="3803" t="s">
        <v>321</v>
      </c>
      <c r="BI150" s="3822">
        <v>594.27</v>
      </c>
      <c r="BJ150" s="3822">
        <v>506.82</v>
      </c>
      <c r="BK150" s="3822">
        <v>387.63</v>
      </c>
      <c r="BL150" s="5588">
        <v>349.56999999999994</v>
      </c>
      <c r="BM150" s="6287">
        <v>300</v>
      </c>
      <c r="BN150" s="4691">
        <v>1.0974940552405341</v>
      </c>
      <c r="BO150" s="6289">
        <v>1.7762955508813301</v>
      </c>
      <c r="BP150" s="4463">
        <v>1183871.0714803159</v>
      </c>
      <c r="BQ150" s="5583">
        <v>43.281214911721413</v>
      </c>
      <c r="BR150" s="4521">
        <v>-6834727.5517549254</v>
      </c>
      <c r="BS150" s="4521">
        <v>-251.20000293127086</v>
      </c>
      <c r="BT150" s="6488">
        <v>-85.895470164770259</v>
      </c>
    </row>
    <row r="151" spans="1:76" ht="17.399999999999999" hidden="1" customHeight="1">
      <c r="A151" s="7069"/>
      <c r="B151" s="7102"/>
      <c r="C151" s="3311" t="s">
        <v>1252</v>
      </c>
      <c r="D151" s="3312" t="s">
        <v>321</v>
      </c>
      <c r="E151" s="5846"/>
      <c r="F151" s="5846"/>
      <c r="G151" s="5853"/>
      <c r="H151" s="4475">
        <f t="shared" ref="H151:S151" si="219">H24</f>
        <v>1.6000280572082093</v>
      </c>
      <c r="I151" s="6569">
        <f t="shared" si="219"/>
        <v>0.54838591744963994</v>
      </c>
      <c r="J151" s="6570">
        <f t="shared" si="219"/>
        <v>0.54838591744963994</v>
      </c>
      <c r="K151" s="5856">
        <f t="shared" si="219"/>
        <v>1.2211912455827318</v>
      </c>
      <c r="L151" s="5856">
        <f t="shared" si="219"/>
        <v>0.1957690331568569</v>
      </c>
      <c r="M151" s="5856">
        <f t="shared" si="219"/>
        <v>1.5225911679314077</v>
      </c>
      <c r="N151" s="5856">
        <f t="shared" si="219"/>
        <v>1.3885941709011567</v>
      </c>
      <c r="O151" s="5856">
        <f t="shared" si="219"/>
        <v>0.42697780811336739</v>
      </c>
      <c r="P151" s="5856">
        <f t="shared" si="219"/>
        <v>0.24169503448756047</v>
      </c>
      <c r="Q151" s="5856">
        <f t="shared" si="219"/>
        <v>1.4026422967157359</v>
      </c>
      <c r="R151" s="5856">
        <f t="shared" si="219"/>
        <v>1.9112329652346722</v>
      </c>
      <c r="S151" s="5856">
        <f t="shared" si="219"/>
        <v>0.93281095919618351</v>
      </c>
      <c r="T151" s="5856">
        <f>T24</f>
        <v>1.7377043998690107</v>
      </c>
      <c r="U151" s="5856">
        <f>U24</f>
        <v>25.582051093609625</v>
      </c>
      <c r="V151" s="5856" t="e">
        <f>V24</f>
        <v>#DIV/0!</v>
      </c>
      <c r="W151" s="6517">
        <f>W24</f>
        <v>1.3357941716137007</v>
      </c>
      <c r="X151" s="4535">
        <f t="shared" ref="X151:AK151" si="220">X24</f>
        <v>124792290.36281773</v>
      </c>
      <c r="Y151" s="4535">
        <f t="shared" si="220"/>
        <v>12479229.036281772</v>
      </c>
      <c r="Z151" s="4541">
        <f t="shared" si="220"/>
        <v>456.22889760837103</v>
      </c>
      <c r="AA151" s="4535">
        <f t="shared" si="220"/>
        <v>4065687.7925708825</v>
      </c>
      <c r="AB151" s="4535">
        <f t="shared" si="220"/>
        <v>14999095.68330423</v>
      </c>
      <c r="AC151" s="4523">
        <f t="shared" si="220"/>
        <v>904613.90475968097</v>
      </c>
      <c r="AD151" s="4523">
        <f t="shared" si="220"/>
        <v>2265069.5915975193</v>
      </c>
      <c r="AE151" s="4523">
        <f t="shared" si="220"/>
        <v>11608739.86619739</v>
      </c>
      <c r="AF151" s="4523">
        <f t="shared" si="220"/>
        <v>14726185.929687379</v>
      </c>
      <c r="AG151" s="4523">
        <f t="shared" si="220"/>
        <v>2641621.5172026721</v>
      </c>
      <c r="AH151" s="4523">
        <f t="shared" si="220"/>
        <v>-3743893.5296954238</v>
      </c>
      <c r="AI151" s="4523">
        <f t="shared" si="220"/>
        <v>8471317.9874311518</v>
      </c>
      <c r="AJ151" s="4523">
        <f t="shared" si="220"/>
        <v>-1625083.5628891117</v>
      </c>
      <c r="AK151" s="4523">
        <f t="shared" si="220"/>
        <v>-13873472.511763932</v>
      </c>
      <c r="AL151" s="4523"/>
      <c r="AM151" s="4539">
        <f t="shared" si="108"/>
        <v>40439882.668402448</v>
      </c>
      <c r="AN151" s="4566">
        <f t="shared" ref="AN151:AW151" si="221">AN24</f>
        <v>456.22889760837103</v>
      </c>
      <c r="AO151" s="4541">
        <f t="shared" si="221"/>
        <v>164.34896853889916</v>
      </c>
      <c r="AP151" s="4541">
        <f t="shared" si="221"/>
        <v>609.20300003063369</v>
      </c>
      <c r="AQ151" s="4541">
        <f t="shared" si="221"/>
        <v>33.594076628659366</v>
      </c>
      <c r="AR151" s="4541">
        <f t="shared" si="221"/>
        <v>91.7253552516121</v>
      </c>
      <c r="AS151" s="4541">
        <f t="shared" si="221"/>
        <v>508.89879907877082</v>
      </c>
      <c r="AT151" s="4541">
        <f t="shared" si="221"/>
        <v>589.27914174602961</v>
      </c>
      <c r="AU151" s="4566">
        <f t="shared" si="221"/>
        <v>85.630923779590091</v>
      </c>
      <c r="AV151" s="5965">
        <f t="shared" si="221"/>
        <v>-135.0085421185413</v>
      </c>
      <c r="AW151" s="6252">
        <f t="shared" si="221"/>
        <v>289.45561382826133</v>
      </c>
      <c r="AX151" s="5965">
        <f>AX24</f>
        <v>-59.727471602944533</v>
      </c>
      <c r="AY151" s="4018"/>
      <c r="AZ151" s="4689"/>
      <c r="BA151" s="4541" t="e">
        <f>BA24</f>
        <v>#DIV/0!</v>
      </c>
      <c r="BE151" s="7069"/>
      <c r="BF151" s="7145"/>
      <c r="BG151" s="6186" t="s">
        <v>1252</v>
      </c>
      <c r="BH151" s="3803" t="s">
        <v>321</v>
      </c>
      <c r="BI151" s="3825"/>
      <c r="BJ151" s="3825"/>
      <c r="BK151" s="3825"/>
      <c r="BL151" s="5588">
        <v>467.16800000000006</v>
      </c>
      <c r="BM151" s="6290">
        <v>150</v>
      </c>
      <c r="BN151" s="5863">
        <v>0.54874702762026706</v>
      </c>
      <c r="BO151" s="6291">
        <v>1.7377043998690107</v>
      </c>
      <c r="BP151" s="6252">
        <v>12474943.950741531</v>
      </c>
      <c r="BQ151" s="6234">
        <v>456.07223890401531</v>
      </c>
      <c r="BR151" s="4523">
        <v>-1625083.5628891117</v>
      </c>
      <c r="BS151" s="4523">
        <v>-59.727471602944533</v>
      </c>
      <c r="BT151" s="6488">
        <v>205.84316713514704</v>
      </c>
    </row>
    <row r="152" spans="1:76" ht="17.399999999999999" hidden="1" customHeight="1">
      <c r="A152" s="7069"/>
      <c r="B152" s="7102"/>
      <c r="C152" s="3311" t="s">
        <v>1253</v>
      </c>
      <c r="D152" s="3312" t="s">
        <v>321</v>
      </c>
      <c r="E152" s="5846"/>
      <c r="F152" s="5846"/>
      <c r="G152" s="5853"/>
      <c r="H152" s="4475">
        <f t="shared" ref="H152:S152" si="222">H31</f>
        <v>1.0527617992342353</v>
      </c>
      <c r="I152" s="6569">
        <f t="shared" si="222"/>
        <v>0.36559061163309325</v>
      </c>
      <c r="J152" s="6570">
        <f t="shared" si="222"/>
        <v>0.36559061163309325</v>
      </c>
      <c r="K152" s="5856">
        <f t="shared" si="222"/>
        <v>0</v>
      </c>
      <c r="L152" s="5856">
        <f t="shared" si="222"/>
        <v>0.60192885298436083</v>
      </c>
      <c r="M152" s="5856">
        <f t="shared" si="222"/>
        <v>0.15820093598506821</v>
      </c>
      <c r="N152" s="5856">
        <f t="shared" si="222"/>
        <v>0</v>
      </c>
      <c r="O152" s="5856">
        <f t="shared" si="222"/>
        <v>0</v>
      </c>
      <c r="P152" s="5856">
        <f t="shared" si="222"/>
        <v>0</v>
      </c>
      <c r="Q152" s="5856">
        <f t="shared" si="222"/>
        <v>0</v>
      </c>
      <c r="R152" s="5856">
        <f t="shared" si="222"/>
        <v>0.10818299803215127</v>
      </c>
      <c r="S152" s="5856">
        <f t="shared" si="222"/>
        <v>3.7879642101277984</v>
      </c>
      <c r="T152" s="5856">
        <f>T31</f>
        <v>0.14260349135980885</v>
      </c>
      <c r="U152" s="5856">
        <f>U31</f>
        <v>0</v>
      </c>
      <c r="V152" s="5856" t="e">
        <f>V31</f>
        <v>#DIV/0!</v>
      </c>
      <c r="W152" s="6517">
        <f>W31</f>
        <v>2.1718575842180758</v>
      </c>
      <c r="X152" s="4535">
        <f t="shared" ref="X152:AK152" si="223">X31</f>
        <v>81542630.453902215</v>
      </c>
      <c r="Y152" s="4535">
        <f t="shared" si="223"/>
        <v>8154263.0453902213</v>
      </c>
      <c r="Z152" s="4541">
        <f t="shared" si="223"/>
        <v>298.11220141813408</v>
      </c>
      <c r="AA152" s="4535">
        <f t="shared" si="223"/>
        <v>11298270.559469933</v>
      </c>
      <c r="AB152" s="4535">
        <f t="shared" si="223"/>
        <v>4815412.5287220068</v>
      </c>
      <c r="AC152" s="4523">
        <f t="shared" si="223"/>
        <v>10450215.693148309</v>
      </c>
      <c r="AD152" s="4523">
        <f t="shared" si="223"/>
        <v>11278129.444104241</v>
      </c>
      <c r="AE152" s="4523">
        <f t="shared" si="223"/>
        <v>10418341.309598975</v>
      </c>
      <c r="AF152" s="4523">
        <f t="shared" si="223"/>
        <v>11413376.348712908</v>
      </c>
      <c r="AG152" s="4523">
        <f t="shared" si="223"/>
        <v>14089153.211496221</v>
      </c>
      <c r="AH152" s="4523">
        <f t="shared" si="223"/>
        <v>11363581.906642772</v>
      </c>
      <c r="AI152" s="4523">
        <f t="shared" si="223"/>
        <v>-34727481.432512797</v>
      </c>
      <c r="AJ152" s="4523">
        <f t="shared" si="223"/>
        <v>10743191.43847228</v>
      </c>
      <c r="AK152" s="4523">
        <f t="shared" si="223"/>
        <v>609017.09004875098</v>
      </c>
      <c r="AL152" s="4523"/>
      <c r="AM152" s="4539">
        <f t="shared" si="108"/>
        <v>61751208.097903602</v>
      </c>
      <c r="AN152" s="4566">
        <f t="shared" ref="AN152:AW152" si="224">AN31</f>
        <v>298.11220141813408</v>
      </c>
      <c r="AO152" s="4541">
        <f t="shared" si="224"/>
        <v>456.71463414266123</v>
      </c>
      <c r="AP152" s="4541">
        <f t="shared" si="224"/>
        <v>195.58270850608352</v>
      </c>
      <c r="AQ152" s="4541">
        <f t="shared" si="224"/>
        <v>388.08307603331241</v>
      </c>
      <c r="AR152" s="4541">
        <f t="shared" si="224"/>
        <v>456.71463414266117</v>
      </c>
      <c r="AS152" s="4541">
        <f t="shared" si="224"/>
        <v>456.71463414266117</v>
      </c>
      <c r="AT152" s="4541">
        <f t="shared" si="224"/>
        <v>456.71463414266117</v>
      </c>
      <c r="AU152" s="4566">
        <f t="shared" si="224"/>
        <v>456.71463414266111</v>
      </c>
      <c r="AV152" s="5965">
        <f t="shared" si="224"/>
        <v>409.78211968150822</v>
      </c>
      <c r="AW152" s="6252">
        <f t="shared" si="224"/>
        <v>-1186.5998265761873</v>
      </c>
      <c r="AX152" s="5965">
        <f>AX31</f>
        <v>394.8496411012768</v>
      </c>
      <c r="AY152" s="4018"/>
      <c r="AZ152" s="4689"/>
      <c r="BA152" s="4541" t="e">
        <f>BA31</f>
        <v>#DIV/0!</v>
      </c>
      <c r="BE152" s="7069"/>
      <c r="BF152" s="7145"/>
      <c r="BG152" s="6186" t="s">
        <v>1253</v>
      </c>
      <c r="BH152" s="3803" t="s">
        <v>321</v>
      </c>
      <c r="BI152" s="3825"/>
      <c r="BJ152" s="3825"/>
      <c r="BK152" s="3825"/>
      <c r="BL152" s="5588">
        <v>307.38</v>
      </c>
      <c r="BM152" s="6290">
        <v>100</v>
      </c>
      <c r="BN152" s="5863">
        <v>0.36583135174684472</v>
      </c>
      <c r="BO152" s="6728">
        <v>0.14260349135980885</v>
      </c>
      <c r="BP152" s="6252">
        <v>8151406.3216967275</v>
      </c>
      <c r="BQ152" s="6234">
        <v>298.00776228189693</v>
      </c>
      <c r="BR152" s="4523">
        <v>10743191.43847228</v>
      </c>
      <c r="BS152" s="4523">
        <v>394.8496411012768</v>
      </c>
      <c r="BT152" s="6488">
        <v>237.12582257638391</v>
      </c>
    </row>
    <row r="153" spans="1:76" ht="17.399999999999999" hidden="1" customHeight="1">
      <c r="A153" s="7069"/>
      <c r="B153" s="7102"/>
      <c r="C153" s="3311" t="s">
        <v>338</v>
      </c>
      <c r="D153" s="3312" t="s">
        <v>321</v>
      </c>
      <c r="E153" s="5851">
        <f>SUM(E149:E152)</f>
        <v>7.8398021662919328</v>
      </c>
      <c r="F153" s="5851">
        <f>SUM(F149:F152)</f>
        <v>4.180863585183106</v>
      </c>
      <c r="G153" s="5851">
        <f>SUM(G149:G152)</f>
        <v>3.9263981108122725</v>
      </c>
      <c r="H153" s="5852">
        <f t="shared" ref="H153:O153" si="225">SUM(H149:H152)</f>
        <v>5.9902105277001914</v>
      </c>
      <c r="I153" s="6534">
        <f t="shared" si="225"/>
        <v>3.298892925156955</v>
      </c>
      <c r="J153" s="6535">
        <f t="shared" si="225"/>
        <v>3.2669974707776777</v>
      </c>
      <c r="K153" s="3357">
        <f t="shared" si="225"/>
        <v>3.8143530596884005</v>
      </c>
      <c r="L153" s="3357">
        <f t="shared" si="225"/>
        <v>3.1075287815002324</v>
      </c>
      <c r="M153" s="3357">
        <f t="shared" si="225"/>
        <v>4.9109135621280329</v>
      </c>
      <c r="N153" s="3357">
        <f t="shared" si="225"/>
        <v>3.3060608956655129</v>
      </c>
      <c r="O153" s="3357">
        <f t="shared" si="225"/>
        <v>2.9401849681892762</v>
      </c>
      <c r="P153" s="3357">
        <f t="shared" ref="P153:W153" si="226">SUM(P149:P152)</f>
        <v>2.9955778612150294</v>
      </c>
      <c r="Q153" s="3357">
        <f t="shared" si="226"/>
        <v>3.1813107233575764</v>
      </c>
      <c r="R153" s="3357">
        <f t="shared" si="226"/>
        <v>5.3402733928604267</v>
      </c>
      <c r="S153" s="3357">
        <f t="shared" si="226"/>
        <v>6.9772892991890352</v>
      </c>
      <c r="T153" s="3357">
        <f t="shared" si="226"/>
        <v>4.5151646684413702</v>
      </c>
      <c r="U153" s="3357">
        <f t="shared" si="226"/>
        <v>31.408936357214316</v>
      </c>
      <c r="V153" s="3357" t="e">
        <f t="shared" si="226"/>
        <v>#DIV/0!</v>
      </c>
      <c r="W153" s="6512">
        <f t="shared" si="226"/>
        <v>6.064838165787183</v>
      </c>
      <c r="X153" s="3303">
        <f t="shared" ref="X153:AE153" si="227">SUM(X149:X152)</f>
        <v>319363094.17216957</v>
      </c>
      <c r="Y153" s="3303">
        <f t="shared" si="227"/>
        <v>31936309.41721696</v>
      </c>
      <c r="Z153" s="3305">
        <f t="shared" si="227"/>
        <v>1167.5614893144066</v>
      </c>
      <c r="AA153" s="3303">
        <f t="shared" si="227"/>
        <v>23351366.273284286</v>
      </c>
      <c r="AB153" s="3303">
        <f t="shared" si="227"/>
        <v>30790344.655236866</v>
      </c>
      <c r="AC153" s="4521">
        <f t="shared" si="227"/>
        <v>12608293.689736273</v>
      </c>
      <c r="AD153" s="4521">
        <f t="shared" si="227"/>
        <v>28755020.384907052</v>
      </c>
      <c r="AE153" s="4521">
        <f t="shared" si="227"/>
        <v>30183662.918904226</v>
      </c>
      <c r="AF153" s="4521">
        <f t="shared" ref="AF153:AK153" si="228">SUM(AF149:AF152)</f>
        <v>32465909.832220405</v>
      </c>
      <c r="AG153" s="4521">
        <f t="shared" si="228"/>
        <v>37591618.282417916</v>
      </c>
      <c r="AH153" s="4521">
        <f t="shared" si="228"/>
        <v>7818949.4158892306</v>
      </c>
      <c r="AI153" s="4521">
        <f t="shared" si="228"/>
        <v>-12532439.856291249</v>
      </c>
      <c r="AJ153" s="4521">
        <f t="shared" si="228"/>
        <v>17410927.208423287</v>
      </c>
      <c r="AK153" s="4521">
        <f t="shared" si="228"/>
        <v>-14704597.420516187</v>
      </c>
      <c r="AL153" s="4521"/>
      <c r="AM153" s="4539">
        <f t="shared" si="108"/>
        <v>193739055.38421211</v>
      </c>
      <c r="AN153" s="4564">
        <f t="shared" ref="AN153:AS153" si="229">SUM(AN149:AN152)</f>
        <v>1167.5614893144066</v>
      </c>
      <c r="AO153" s="3305">
        <f t="shared" si="229"/>
        <v>943.94187571435373</v>
      </c>
      <c r="AP153" s="3305">
        <f t="shared" si="229"/>
        <v>1250.5800837597751</v>
      </c>
      <c r="AQ153" s="3305">
        <f t="shared" si="229"/>
        <v>468.2262588945793</v>
      </c>
      <c r="AR153" s="3305">
        <f t="shared" si="229"/>
        <v>1164.4518428295676</v>
      </c>
      <c r="AS153" s="3305">
        <f t="shared" si="229"/>
        <v>1323.1780527665762</v>
      </c>
      <c r="AT153" s="3305">
        <f>SUM(AT149:AT152)</f>
        <v>1299.1472179749239</v>
      </c>
      <c r="AU153" s="4564">
        <f>SUM(AU149:AU152)</f>
        <v>1218.5716155514656</v>
      </c>
      <c r="AV153" s="6429">
        <f>SUM(AV149:AV152)</f>
        <v>281.95912975754493</v>
      </c>
      <c r="AW153" s="4463">
        <f>SUM(AW149:AW152)</f>
        <v>-428.21967924598971</v>
      </c>
      <c r="AX153" s="6429">
        <f>SUM(AX149:AX152)</f>
        <v>639.91211539501296</v>
      </c>
      <c r="AY153" s="3974"/>
      <c r="AZ153" s="6445"/>
      <c r="BA153" s="3305" t="e">
        <f>SUM(BA149:BA152)</f>
        <v>#DIV/0!</v>
      </c>
      <c r="BE153" s="7069"/>
      <c r="BF153" s="7145"/>
      <c r="BG153" s="6186" t="s">
        <v>338</v>
      </c>
      <c r="BH153" s="3803" t="s">
        <v>321</v>
      </c>
      <c r="BI153" s="4699">
        <v>3264.89</v>
      </c>
      <c r="BJ153" s="4699">
        <v>1630.7299999999998</v>
      </c>
      <c r="BK153" s="4699">
        <v>1397.8679999999999</v>
      </c>
      <c r="BL153" s="5592">
        <v>1748.991</v>
      </c>
      <c r="BM153" s="6287">
        <v>902.34618181818178</v>
      </c>
      <c r="BN153" s="4691">
        <v>3.269148776959276</v>
      </c>
      <c r="BO153" s="6730">
        <v>4.5151646684413702</v>
      </c>
      <c r="BP153" s="4463">
        <v>31910531.880043626</v>
      </c>
      <c r="BQ153" s="5583">
        <v>1166.6190867562468</v>
      </c>
      <c r="BR153" s="4521">
        <v>17410927.208423287</v>
      </c>
      <c r="BS153" s="4521">
        <v>639.91211539501296</v>
      </c>
      <c r="BT153" s="6488">
        <v>795.41444821286575</v>
      </c>
    </row>
    <row r="154" spans="1:76" ht="17.399999999999999" hidden="1" customHeight="1">
      <c r="A154" s="7069"/>
      <c r="B154" s="7102" t="s">
        <v>1257</v>
      </c>
      <c r="C154" s="3311" t="s">
        <v>1260</v>
      </c>
      <c r="D154" s="3312" t="s">
        <v>1261</v>
      </c>
      <c r="E154" s="3323">
        <f t="shared" ref="E154:S154" si="230">E48</f>
        <v>101</v>
      </c>
      <c r="F154" s="3323">
        <f t="shared" si="230"/>
        <v>56</v>
      </c>
      <c r="G154" s="3341">
        <f t="shared" si="230"/>
        <v>49</v>
      </c>
      <c r="H154" s="3291">
        <f t="shared" si="230"/>
        <v>50</v>
      </c>
      <c r="I154" s="6540">
        <f t="shared" si="230"/>
        <v>24</v>
      </c>
      <c r="J154" s="6541">
        <f t="shared" si="230"/>
        <v>2.4000000000000004</v>
      </c>
      <c r="K154" s="3355">
        <f t="shared" si="230"/>
        <v>0</v>
      </c>
      <c r="L154" s="3355">
        <f t="shared" si="230"/>
        <v>2</v>
      </c>
      <c r="M154" s="3355">
        <f t="shared" si="230"/>
        <v>1</v>
      </c>
      <c r="N154" s="3355">
        <f t="shared" si="230"/>
        <v>0</v>
      </c>
      <c r="O154" s="3355">
        <f t="shared" si="230"/>
        <v>1</v>
      </c>
      <c r="P154" s="3355">
        <f t="shared" si="230"/>
        <v>3</v>
      </c>
      <c r="Q154" s="3355">
        <f t="shared" si="230"/>
        <v>1</v>
      </c>
      <c r="R154" s="3355">
        <f t="shared" si="230"/>
        <v>3</v>
      </c>
      <c r="S154" s="3355">
        <f t="shared" si="230"/>
        <v>2</v>
      </c>
      <c r="T154" s="3355">
        <f t="shared" ref="T154:W155" si="231">T48</f>
        <v>1</v>
      </c>
      <c r="U154" s="3355">
        <f t="shared" si="231"/>
        <v>0</v>
      </c>
      <c r="V154" s="3355">
        <f t="shared" si="231"/>
        <v>0</v>
      </c>
      <c r="W154" s="6513">
        <f t="shared" si="231"/>
        <v>14</v>
      </c>
      <c r="X154" s="4532"/>
      <c r="Y154" s="4532"/>
      <c r="Z154" s="4540"/>
      <c r="AA154" s="4532"/>
      <c r="AB154" s="4532"/>
      <c r="AC154" s="4522"/>
      <c r="AD154" s="4522"/>
      <c r="AE154" s="4522"/>
      <c r="AF154" s="4522"/>
      <c r="AG154" s="4522"/>
      <c r="AH154" s="4522"/>
      <c r="AI154" s="4522"/>
      <c r="AJ154" s="4522"/>
      <c r="AK154" s="4522"/>
      <c r="AL154" s="4522"/>
      <c r="AM154" s="6475"/>
      <c r="AN154" s="4565"/>
      <c r="AO154" s="4540"/>
      <c r="AP154" s="4540"/>
      <c r="AQ154" s="4540"/>
      <c r="AR154" s="4540"/>
      <c r="AS154" s="4540"/>
      <c r="AT154" s="4540"/>
      <c r="AU154" s="4565"/>
      <c r="AV154" s="6612"/>
      <c r="AW154" s="6251"/>
      <c r="AX154" s="6612"/>
      <c r="AY154" s="6430"/>
      <c r="AZ154" s="4679"/>
      <c r="BA154" s="4540"/>
      <c r="BE154" s="7069"/>
      <c r="BF154" s="7145" t="s">
        <v>1257</v>
      </c>
      <c r="BG154" s="6186" t="s">
        <v>1260</v>
      </c>
      <c r="BH154" s="3803" t="s">
        <v>1491</v>
      </c>
      <c r="BI154" s="3838">
        <v>101</v>
      </c>
      <c r="BJ154" s="3838">
        <v>56</v>
      </c>
      <c r="BK154" s="3838">
        <v>49</v>
      </c>
      <c r="BL154" s="3838">
        <v>50</v>
      </c>
      <c r="BM154" s="6287">
        <v>24</v>
      </c>
      <c r="BN154" s="4689">
        <v>2.4000000000000004</v>
      </c>
      <c r="BO154" s="6280">
        <v>1</v>
      </c>
      <c r="BP154" s="6251"/>
      <c r="BQ154" s="6233"/>
      <c r="BR154" s="4522"/>
      <c r="BS154" s="4522"/>
      <c r="BT154" s="4540"/>
    </row>
    <row r="155" spans="1:76" ht="17.399999999999999" hidden="1" customHeight="1">
      <c r="A155" s="7069"/>
      <c r="B155" s="7102"/>
      <c r="C155" s="3311" t="s">
        <v>1242</v>
      </c>
      <c r="D155" s="3312" t="s">
        <v>1244</v>
      </c>
      <c r="E155" s="3323">
        <f t="shared" ref="E155:S155" si="232">E49</f>
        <v>141.85</v>
      </c>
      <c r="F155" s="3323">
        <f t="shared" si="232"/>
        <v>95.483333333333334</v>
      </c>
      <c r="G155" s="3341">
        <f t="shared" si="232"/>
        <v>81.05</v>
      </c>
      <c r="H155" s="3291">
        <f t="shared" si="232"/>
        <v>127.65000000000002</v>
      </c>
      <c r="I155" s="6540">
        <f t="shared" si="232"/>
        <v>79.754545454545422</v>
      </c>
      <c r="J155" s="6541">
        <f t="shared" si="232"/>
        <v>7.9754545454545411</v>
      </c>
      <c r="K155" s="3355">
        <f t="shared" si="232"/>
        <v>0</v>
      </c>
      <c r="L155" s="3355">
        <f t="shared" si="232"/>
        <v>3.5833333333333335</v>
      </c>
      <c r="M155" s="3355">
        <f t="shared" si="232"/>
        <v>1</v>
      </c>
      <c r="N155" s="3355">
        <f t="shared" si="232"/>
        <v>0</v>
      </c>
      <c r="O155" s="3355">
        <f t="shared" si="232"/>
        <v>5.083333333333333</v>
      </c>
      <c r="P155" s="3355">
        <f t="shared" si="232"/>
        <v>3.583333333333333</v>
      </c>
      <c r="Q155" s="3355">
        <f t="shared" si="232"/>
        <v>0.25</v>
      </c>
      <c r="R155" s="3355">
        <f t="shared" si="232"/>
        <v>9</v>
      </c>
      <c r="S155" s="3355">
        <f t="shared" si="232"/>
        <v>0.18333333333333332</v>
      </c>
      <c r="T155" s="3355">
        <f t="shared" si="231"/>
        <v>1.5</v>
      </c>
      <c r="U155" s="3355">
        <f t="shared" si="231"/>
        <v>0</v>
      </c>
      <c r="V155" s="3355">
        <f t="shared" si="231"/>
        <v>0</v>
      </c>
      <c r="W155" s="6513">
        <f t="shared" si="231"/>
        <v>24.183333333333334</v>
      </c>
      <c r="X155" s="3303">
        <f t="shared" ref="X155:AL155" si="233">X49</f>
        <v>104992329.00227363</v>
      </c>
      <c r="Y155" s="3303">
        <f t="shared" si="233"/>
        <v>10499232.900227366</v>
      </c>
      <c r="Z155" s="3305">
        <f t="shared" si="233"/>
        <v>383.84209776724174</v>
      </c>
      <c r="AA155" s="3303">
        <f t="shared" si="233"/>
        <v>23318619.905814808</v>
      </c>
      <c r="AB155" s="3303">
        <f t="shared" si="233"/>
        <v>15463542.303386003</v>
      </c>
      <c r="AC155" s="4521">
        <f t="shared" si="233"/>
        <v>21126505.226067234</v>
      </c>
      <c r="AD155" s="4521">
        <f t="shared" si="233"/>
        <v>23318619.905814808</v>
      </c>
      <c r="AE155" s="4521">
        <f t="shared" si="233"/>
        <v>12175370.283764645</v>
      </c>
      <c r="AF155" s="4521">
        <f t="shared" si="233"/>
        <v>15463542.303386005</v>
      </c>
      <c r="AG155" s="4521">
        <f t="shared" si="233"/>
        <v>22770591.235877912</v>
      </c>
      <c r="AH155" s="4521">
        <f t="shared" si="233"/>
        <v>3589587.7880866528</v>
      </c>
      <c r="AI155" s="4521">
        <f t="shared" si="233"/>
        <v>22916732.214527752</v>
      </c>
      <c r="AJ155" s="4521">
        <f t="shared" si="233"/>
        <v>20030447.886193447</v>
      </c>
      <c r="AK155" s="4521">
        <f t="shared" si="233"/>
        <v>23318619.905814808</v>
      </c>
      <c r="AL155" s="4521">
        <f t="shared" si="233"/>
        <v>23318619.905814808</v>
      </c>
      <c r="AM155" s="4539">
        <f t="shared" si="108"/>
        <v>226810798.86454889</v>
      </c>
      <c r="AN155" s="4564">
        <f t="shared" ref="AN155:AW155" si="234">AN49</f>
        <v>383.84209776724174</v>
      </c>
      <c r="AO155" s="3305">
        <f t="shared" si="234"/>
        <v>85.250685138064597</v>
      </c>
      <c r="AP155" s="3305">
        <f t="shared" si="234"/>
        <v>56.533258887091009</v>
      </c>
      <c r="AQ155" s="3305">
        <f t="shared" si="234"/>
        <v>77.236519672676607</v>
      </c>
      <c r="AR155" s="3305">
        <f t="shared" si="234"/>
        <v>85.250685138064597</v>
      </c>
      <c r="AS155" s="3305">
        <f t="shared" si="234"/>
        <v>44.512010689009053</v>
      </c>
      <c r="AT155" s="3305">
        <f t="shared" si="234"/>
        <v>56.533258887091016</v>
      </c>
      <c r="AU155" s="4564">
        <f t="shared" si="234"/>
        <v>83.247143771717589</v>
      </c>
      <c r="AV155" s="6429">
        <f t="shared" si="234"/>
        <v>13.123195949572818</v>
      </c>
      <c r="AW155" s="4463">
        <f t="shared" si="234"/>
        <v>83.781421469410134</v>
      </c>
      <c r="AX155" s="6429">
        <f>AX49</f>
        <v>73.229436939982619</v>
      </c>
      <c r="AY155" s="3974"/>
      <c r="AZ155" s="6445"/>
      <c r="BA155" s="3305">
        <f>BA49</f>
        <v>855.33998803632767</v>
      </c>
      <c r="BE155" s="7069"/>
      <c r="BF155" s="7145"/>
      <c r="BG155" s="6186" t="s">
        <v>1242</v>
      </c>
      <c r="BH155" s="3803" t="s">
        <v>1492</v>
      </c>
      <c r="BI155" s="3838">
        <v>141.85</v>
      </c>
      <c r="BJ155" s="3838">
        <v>95.483333333333334</v>
      </c>
      <c r="BK155" s="3838">
        <v>81.05</v>
      </c>
      <c r="BL155" s="3838">
        <v>127.65000000000002</v>
      </c>
      <c r="BM155" s="6287">
        <v>79.754545454545422</v>
      </c>
      <c r="BN155" s="6060">
        <v>7.9754545454545411</v>
      </c>
      <c r="BO155" s="6292">
        <v>1.5</v>
      </c>
      <c r="BP155" s="4463">
        <v>10499232.900227366</v>
      </c>
      <c r="BQ155" s="5583">
        <v>383.84209776724174</v>
      </c>
      <c r="BR155" s="4521">
        <v>20030447.886193447</v>
      </c>
      <c r="BS155" s="4521">
        <v>73.229436939982619</v>
      </c>
      <c r="BT155" s="6488">
        <v>682.89757626718097</v>
      </c>
      <c r="BU155" s="3783"/>
    </row>
    <row r="156" spans="1:76" ht="17.399999999999999" hidden="1" customHeight="1">
      <c r="A156" s="7069"/>
      <c r="B156" s="7090" t="s">
        <v>1258</v>
      </c>
      <c r="C156" s="7090"/>
      <c r="D156" s="3288" t="s">
        <v>1261</v>
      </c>
      <c r="E156" s="3394">
        <f t="shared" ref="E156:S156" si="235">E60</f>
        <v>16</v>
      </c>
      <c r="F156" s="3394">
        <f t="shared" si="235"/>
        <v>8</v>
      </c>
      <c r="G156" s="3347">
        <f t="shared" si="235"/>
        <v>5</v>
      </c>
      <c r="H156" s="3293">
        <f t="shared" si="235"/>
        <v>9</v>
      </c>
      <c r="I156" s="6540">
        <f t="shared" si="235"/>
        <v>7.2</v>
      </c>
      <c r="J156" s="6541">
        <f t="shared" si="235"/>
        <v>0.6</v>
      </c>
      <c r="K156" s="3355">
        <f t="shared" si="235"/>
        <v>1</v>
      </c>
      <c r="L156" s="3355">
        <f t="shared" si="235"/>
        <v>0</v>
      </c>
      <c r="M156" s="3355">
        <f t="shared" si="235"/>
        <v>1</v>
      </c>
      <c r="N156" s="3355">
        <f t="shared" si="235"/>
        <v>0</v>
      </c>
      <c r="O156" s="3355">
        <f t="shared" si="235"/>
        <v>1</v>
      </c>
      <c r="P156" s="3355">
        <f t="shared" si="235"/>
        <v>1</v>
      </c>
      <c r="Q156" s="3355">
        <f t="shared" si="235"/>
        <v>0</v>
      </c>
      <c r="R156" s="3355">
        <f t="shared" si="235"/>
        <v>0</v>
      </c>
      <c r="S156" s="3355">
        <f t="shared" si="235"/>
        <v>1</v>
      </c>
      <c r="T156" s="3355">
        <f>T60</f>
        <v>0</v>
      </c>
      <c r="U156" s="3355">
        <f>U60</f>
        <v>1</v>
      </c>
      <c r="V156" s="3355">
        <f>V60</f>
        <v>0</v>
      </c>
      <c r="W156" s="6513">
        <f>W60</f>
        <v>6</v>
      </c>
      <c r="X156" s="3303">
        <f t="shared" ref="X156:AL156" si="236">X60</f>
        <v>1147786.08</v>
      </c>
      <c r="Y156" s="3303">
        <f t="shared" si="236"/>
        <v>170801.5</v>
      </c>
      <c r="Z156" s="3305">
        <f t="shared" si="236"/>
        <v>4.1961981501115053</v>
      </c>
      <c r="AA156" s="3303">
        <f t="shared" si="236"/>
        <v>-1352205.16</v>
      </c>
      <c r="AB156" s="3303">
        <f t="shared" si="236"/>
        <v>95648.840000000011</v>
      </c>
      <c r="AC156" s="4521">
        <f t="shared" si="236"/>
        <v>-2690984.16</v>
      </c>
      <c r="AD156" s="4521">
        <f t="shared" si="236"/>
        <v>95648.840000000011</v>
      </c>
      <c r="AE156" s="4521">
        <f t="shared" si="236"/>
        <v>-1980035.16</v>
      </c>
      <c r="AF156" s="4521">
        <f t="shared" si="236"/>
        <v>-3276151.16</v>
      </c>
      <c r="AG156" s="4521">
        <f t="shared" si="236"/>
        <v>95648.840000000011</v>
      </c>
      <c r="AH156" s="4521">
        <f t="shared" si="236"/>
        <v>95648.840000000011</v>
      </c>
      <c r="AI156" s="4521">
        <f t="shared" si="236"/>
        <v>-2085471.16</v>
      </c>
      <c r="AJ156" s="4521">
        <f t="shared" si="236"/>
        <v>95648.840000000011</v>
      </c>
      <c r="AK156" s="4521">
        <f t="shared" si="236"/>
        <v>-2152656.16</v>
      </c>
      <c r="AL156" s="4521">
        <f t="shared" si="236"/>
        <v>95648.840000000011</v>
      </c>
      <c r="AM156" s="4539">
        <f t="shared" si="108"/>
        <v>-12963609.920000002</v>
      </c>
      <c r="AN156" s="4564">
        <f t="shared" ref="AN156:AW156" si="237">AN60</f>
        <v>4.1961981501115053</v>
      </c>
      <c r="AO156" s="3305">
        <f t="shared" si="237"/>
        <v>-54.660744906448095</v>
      </c>
      <c r="AP156" s="3305">
        <f t="shared" si="237"/>
        <v>3.8848715621109751</v>
      </c>
      <c r="AQ156" s="3305">
        <f t="shared" si="237"/>
        <v>-99.933383294129712</v>
      </c>
      <c r="AR156" s="3305">
        <f t="shared" si="237"/>
        <v>3.8733572959305165</v>
      </c>
      <c r="AS156" s="3305">
        <f t="shared" si="237"/>
        <v>-86.799904784825529</v>
      </c>
      <c r="AT156" s="3305">
        <f t="shared" si="237"/>
        <v>-131.09759397395055</v>
      </c>
      <c r="AU156" s="4564">
        <f t="shared" si="237"/>
        <v>3.1005571669932048</v>
      </c>
      <c r="AV156" s="6429">
        <f t="shared" si="237"/>
        <v>3.4491927564991842</v>
      </c>
      <c r="AW156" s="4463">
        <f t="shared" si="237"/>
        <v>-71.258254693610894</v>
      </c>
      <c r="AX156" s="6429">
        <f>AX60</f>
        <v>3.5154274558030254</v>
      </c>
      <c r="AY156" s="3974"/>
      <c r="AZ156" s="6445"/>
      <c r="BA156" s="3305">
        <f>BA60</f>
        <v>-48.887857233386562</v>
      </c>
      <c r="BE156" s="7069"/>
      <c r="BF156" s="7101" t="s">
        <v>1258</v>
      </c>
      <c r="BG156" s="7101"/>
      <c r="BH156" s="6293" t="s">
        <v>1491</v>
      </c>
      <c r="BI156" s="5595">
        <v>16</v>
      </c>
      <c r="BJ156" s="5595">
        <v>8</v>
      </c>
      <c r="BK156" s="5595">
        <v>5</v>
      </c>
      <c r="BL156" s="5595">
        <v>9</v>
      </c>
      <c r="BM156" s="6287">
        <v>7.2</v>
      </c>
      <c r="BN156" s="4689">
        <v>0.6</v>
      </c>
      <c r="BO156" s="6280">
        <v>0</v>
      </c>
      <c r="BP156" s="4463">
        <v>170801.5</v>
      </c>
      <c r="BQ156" s="5583">
        <v>4.1961981501115053</v>
      </c>
      <c r="BR156" s="4521">
        <v>95648.840000000011</v>
      </c>
      <c r="BS156" s="4521">
        <v>3.5154274558030254</v>
      </c>
      <c r="BT156" s="6488">
        <v>-33.071505889226181</v>
      </c>
      <c r="BU156" s="3783"/>
    </row>
    <row r="157" spans="1:76" ht="18" hidden="1" customHeight="1" thickBot="1">
      <c r="A157" s="7069"/>
      <c r="B157" s="7090" t="s">
        <v>1259</v>
      </c>
      <c r="C157" s="7090"/>
      <c r="D157" s="3288" t="s">
        <v>1262</v>
      </c>
      <c r="E157" s="3394">
        <f t="shared" ref="E157:S157" si="238">E66</f>
        <v>431</v>
      </c>
      <c r="F157" s="3394">
        <f t="shared" si="238"/>
        <v>104</v>
      </c>
      <c r="G157" s="3347">
        <f t="shared" si="238"/>
        <v>122</v>
      </c>
      <c r="H157" s="3294">
        <f t="shared" si="238"/>
        <v>68.194000000000003</v>
      </c>
      <c r="I157" s="6543">
        <f t="shared" si="238"/>
        <v>54.555199999999999</v>
      </c>
      <c r="J157" s="6571">
        <f t="shared" si="238"/>
        <v>4.5462666666666669</v>
      </c>
      <c r="K157" s="3355">
        <f t="shared" si="238"/>
        <v>28.92</v>
      </c>
      <c r="L157" s="3355">
        <f t="shared" si="238"/>
        <v>13.26</v>
      </c>
      <c r="M157" s="3355">
        <f t="shared" si="238"/>
        <v>14.71</v>
      </c>
      <c r="N157" s="3355">
        <f t="shared" si="238"/>
        <v>0</v>
      </c>
      <c r="O157" s="3355">
        <f t="shared" si="238"/>
        <v>0</v>
      </c>
      <c r="P157" s="3355">
        <f t="shared" si="238"/>
        <v>0</v>
      </c>
      <c r="Q157" s="3355">
        <f t="shared" si="238"/>
        <v>0</v>
      </c>
      <c r="R157" s="3355">
        <f t="shared" si="238"/>
        <v>0</v>
      </c>
      <c r="S157" s="3355">
        <f t="shared" si="238"/>
        <v>4.83</v>
      </c>
      <c r="T157" s="3355">
        <f>T66</f>
        <v>0</v>
      </c>
      <c r="U157" s="3355">
        <f>U66</f>
        <v>0</v>
      </c>
      <c r="V157" s="3355">
        <f>V66</f>
        <v>11.26</v>
      </c>
      <c r="W157" s="6513">
        <f>W66</f>
        <v>72.98</v>
      </c>
      <c r="X157" s="3303">
        <f t="shared" ref="X157:AL157" si="239">X66</f>
        <v>308334.54545454588</v>
      </c>
      <c r="Y157" s="3303">
        <f t="shared" si="239"/>
        <v>25694.545454545489</v>
      </c>
      <c r="Z157" s="3305">
        <f t="shared" si="239"/>
        <v>1.1272421506033923</v>
      </c>
      <c r="AA157" s="3303">
        <f t="shared" si="239"/>
        <v>-911805.45454545447</v>
      </c>
      <c r="AB157" s="3303">
        <f t="shared" si="239"/>
        <v>-391055.45454545453</v>
      </c>
      <c r="AC157" s="4521">
        <f t="shared" si="239"/>
        <v>-599805.45454545447</v>
      </c>
      <c r="AD157" s="4521">
        <f t="shared" si="239"/>
        <v>25694.545454545489</v>
      </c>
      <c r="AE157" s="4521">
        <f t="shared" si="239"/>
        <v>25694.545454545489</v>
      </c>
      <c r="AF157" s="4521">
        <f t="shared" si="239"/>
        <v>25694.545454545489</v>
      </c>
      <c r="AG157" s="4521">
        <f t="shared" si="239"/>
        <v>25694.545454545489</v>
      </c>
      <c r="AH157" s="4521">
        <f t="shared" si="239"/>
        <v>25694.545454545489</v>
      </c>
      <c r="AI157" s="4521">
        <f t="shared" si="239"/>
        <v>-283805.45454545453</v>
      </c>
      <c r="AJ157" s="4521">
        <f t="shared" si="239"/>
        <v>25694.545454545489</v>
      </c>
      <c r="AK157" s="4521">
        <f t="shared" si="239"/>
        <v>25694.545454545489</v>
      </c>
      <c r="AL157" s="4521">
        <f t="shared" si="239"/>
        <v>-391055.45454545453</v>
      </c>
      <c r="AM157" s="4539">
        <f t="shared" si="108"/>
        <v>-2397665.4545454546</v>
      </c>
      <c r="AN157" s="4564">
        <f t="shared" ref="AN157:AW157" si="240">AN66</f>
        <v>1.1272421506033923</v>
      </c>
      <c r="AO157" s="3305">
        <f t="shared" si="240"/>
        <v>-36.858286619182138</v>
      </c>
      <c r="AP157" s="3305">
        <f t="shared" si="240"/>
        <v>-15.883101296074445</v>
      </c>
      <c r="AQ157" s="3305">
        <f t="shared" si="240"/>
        <v>-22.274597257755911</v>
      </c>
      <c r="AR157" s="3305">
        <f t="shared" si="240"/>
        <v>1.0405160700535629</v>
      </c>
      <c r="AS157" s="3305">
        <f t="shared" si="240"/>
        <v>1.12638610869108</v>
      </c>
      <c r="AT157" s="3305">
        <f t="shared" si="240"/>
        <v>1.0281861009567157</v>
      </c>
      <c r="AU157" s="4564">
        <f t="shared" si="240"/>
        <v>0.83291555926578598</v>
      </c>
      <c r="AV157" s="6429">
        <f t="shared" si="240"/>
        <v>0.92657098678203864</v>
      </c>
      <c r="AW157" s="4463">
        <f t="shared" si="240"/>
        <v>-9.6973200835038202</v>
      </c>
      <c r="AX157" s="6429">
        <f>AX66</f>
        <v>0.94436388936120952</v>
      </c>
      <c r="AY157" s="3974"/>
      <c r="AZ157" s="6445"/>
      <c r="BA157" s="3305">
        <f>BA66</f>
        <v>-9.0419819138804396</v>
      </c>
      <c r="BE157" s="7069"/>
      <c r="BF157" s="7101" t="s">
        <v>1259</v>
      </c>
      <c r="BG157" s="7101"/>
      <c r="BH157" s="6293" t="s">
        <v>1447</v>
      </c>
      <c r="BI157" s="5595">
        <v>431</v>
      </c>
      <c r="BJ157" s="5595">
        <v>104</v>
      </c>
      <c r="BK157" s="5595">
        <v>122</v>
      </c>
      <c r="BL157" s="5595">
        <v>68.194000000000003</v>
      </c>
      <c r="BM157" s="6287">
        <v>54.555199999999999</v>
      </c>
      <c r="BN157" s="6060">
        <v>4.5462666666666669</v>
      </c>
      <c r="BO157" s="6292">
        <v>0</v>
      </c>
      <c r="BP157" s="4463">
        <v>25694.545454545489</v>
      </c>
      <c r="BQ157" s="5583">
        <v>1.1272421506033923</v>
      </c>
      <c r="BR157" s="4524">
        <v>25694.545454545489</v>
      </c>
      <c r="BS157" s="4524">
        <v>0.94436388936120952</v>
      </c>
      <c r="BT157" s="6489">
        <v>-7.7028830180351422</v>
      </c>
      <c r="BU157" s="3783"/>
    </row>
    <row r="158" spans="1:76" s="299" customFormat="1" ht="18" hidden="1" customHeight="1" thickBot="1">
      <c r="A158" s="7069"/>
      <c r="B158" s="7070" t="s">
        <v>1400</v>
      </c>
      <c r="C158" s="7071"/>
      <c r="D158" s="7071"/>
      <c r="E158" s="7071"/>
      <c r="F158" s="7071"/>
      <c r="G158" s="7071"/>
      <c r="H158" s="7071"/>
      <c r="I158" s="7076"/>
      <c r="J158" s="6528"/>
      <c r="K158" s="4324"/>
      <c r="L158" s="4751"/>
      <c r="M158" s="4751"/>
      <c r="N158" s="4751"/>
      <c r="O158" s="5429"/>
      <c r="P158" s="4751"/>
      <c r="Q158" s="4751"/>
      <c r="R158" s="6024"/>
      <c r="S158" s="6102"/>
      <c r="T158" s="6210"/>
      <c r="U158" s="6210"/>
      <c r="V158" s="6210"/>
      <c r="W158" s="6210"/>
      <c r="X158" s="3344">
        <f t="shared" ref="X158:AE158" si="241">X148+X153+X155+X156+X157</f>
        <v>505305679.72045928</v>
      </c>
      <c r="Y158" s="3344">
        <f t="shared" si="241"/>
        <v>50581451.954955034</v>
      </c>
      <c r="Z158" s="3345">
        <f t="shared" si="241"/>
        <v>1847.3501251067869</v>
      </c>
      <c r="AA158" s="3344">
        <f t="shared" si="241"/>
        <v>55438151.271058127</v>
      </c>
      <c r="AB158" s="3344">
        <f t="shared" si="241"/>
        <v>41147358.496451207</v>
      </c>
      <c r="AC158" s="3344">
        <f t="shared" si="241"/>
        <v>33775787.100155205</v>
      </c>
      <c r="AD158" s="3344">
        <f t="shared" si="241"/>
        <v>65326873.516360864</v>
      </c>
      <c r="AE158" s="3344">
        <f t="shared" si="241"/>
        <v>41975139.936041087</v>
      </c>
      <c r="AF158" s="3344">
        <f t="shared" ref="AF158:AL158" si="242">AF148+AF153+AF155+AF156+AF157</f>
        <v>40214933.860819861</v>
      </c>
      <c r="AG158" s="3344">
        <f t="shared" si="242"/>
        <v>57195157.628276378</v>
      </c>
      <c r="AH158" s="3344">
        <f t="shared" si="242"/>
        <v>21421095.929906331</v>
      </c>
      <c r="AI158" s="3344">
        <f t="shared" si="242"/>
        <v>21146905.583875503</v>
      </c>
      <c r="AJ158" s="3344">
        <f t="shared" si="242"/>
        <v>40191699.399513565</v>
      </c>
      <c r="AK158" s="3344">
        <f t="shared" si="242"/>
        <v>19618950.710937619</v>
      </c>
      <c r="AL158" s="3344">
        <f t="shared" si="242"/>
        <v>36155103.131453812</v>
      </c>
      <c r="AM158" s="6473">
        <f t="shared" si="108"/>
        <v>473607156.5648495</v>
      </c>
      <c r="AN158" s="4559">
        <f>AN148+AN153+AN155+AN156+AN157</f>
        <v>1847.3501251067869</v>
      </c>
      <c r="AO158" s="3345">
        <f>AA158/년간!F10</f>
        <v>2240.9991725755503</v>
      </c>
      <c r="AP158" s="3345">
        <f>AB158/년간!G10</f>
        <v>1671.2403713296333</v>
      </c>
      <c r="AQ158" s="3345">
        <f>AC158/년간!H10</f>
        <v>1254.3101250884849</v>
      </c>
      <c r="AR158" s="3345">
        <f>AD158/년간!I10</f>
        <v>2645.4510285218967</v>
      </c>
      <c r="AS158" s="3345">
        <f>AE158/년간!J10</f>
        <v>1840.0876021707079</v>
      </c>
      <c r="AT158" s="3345">
        <f>AF158/년간!K10</f>
        <v>1609.2301037095729</v>
      </c>
      <c r="AU158" s="4559">
        <f>AG158/년간!L10</f>
        <v>1854.0408425408857</v>
      </c>
      <c r="AV158" s="6614">
        <f>AH158/년간!M10</f>
        <v>772.46612627719333</v>
      </c>
      <c r="AW158" s="6254">
        <f>AI158/년간!N10</f>
        <v>722.56649383611852</v>
      </c>
      <c r="AX158" s="6614">
        <f>AJ158/년간!O10</f>
        <v>1477.1847056841666</v>
      </c>
      <c r="AY158" s="6431"/>
      <c r="AZ158" s="6446"/>
      <c r="BA158" s="3345">
        <f>AM158/년간!V10</f>
        <v>1786.0487316215479</v>
      </c>
      <c r="BE158" s="7069"/>
      <c r="BF158" s="7070" t="s">
        <v>1400</v>
      </c>
      <c r="BG158" s="7071"/>
      <c r="BH158" s="7071"/>
      <c r="BI158" s="7071"/>
      <c r="BJ158" s="7071"/>
      <c r="BK158" s="7071"/>
      <c r="BL158" s="7071"/>
      <c r="BM158" s="7071"/>
      <c r="BN158" s="7071"/>
      <c r="BO158" s="7073"/>
      <c r="BP158" s="6254">
        <v>50555674.417781696</v>
      </c>
      <c r="BQ158" s="6236">
        <v>1846.4077225486271</v>
      </c>
      <c r="BR158" s="4559">
        <v>40191699.399513565</v>
      </c>
      <c r="BS158" s="3344">
        <v>1477.1847056841666</v>
      </c>
      <c r="BT158" s="6485">
        <v>1597.3136290124628</v>
      </c>
      <c r="BU158" s="3783"/>
    </row>
    <row r="159" spans="1:76" s="299" customFormat="1" ht="17.399999999999999" hidden="1" customHeight="1">
      <c r="A159" s="7069"/>
      <c r="B159" s="7097" t="s">
        <v>1449</v>
      </c>
      <c r="C159" s="7098"/>
      <c r="D159" s="3025" t="s">
        <v>1451</v>
      </c>
      <c r="E159" s="3213">
        <f t="shared" ref="E159:S159" si="243">E72</f>
        <v>39.166384432747506</v>
      </c>
      <c r="F159" s="3213">
        <f t="shared" si="243"/>
        <v>39.29</v>
      </c>
      <c r="G159" s="3295">
        <f t="shared" si="243"/>
        <v>39.056847287531163</v>
      </c>
      <c r="H159" s="3368">
        <f t="shared" si="243"/>
        <v>39.078220717254119</v>
      </c>
      <c r="I159" s="6545">
        <f t="shared" si="243"/>
        <v>40.049999999999997</v>
      </c>
      <c r="J159" s="6546">
        <f t="shared" si="243"/>
        <v>40.049999999999997</v>
      </c>
      <c r="K159" s="3296">
        <f t="shared" si="243"/>
        <v>39.686855614973261</v>
      </c>
      <c r="L159" s="3296">
        <f t="shared" si="243"/>
        <v>38.205425955619923</v>
      </c>
      <c r="M159" s="3296">
        <f t="shared" si="243"/>
        <v>37.873108298171587</v>
      </c>
      <c r="N159" s="3296">
        <f t="shared" si="243"/>
        <v>41.862582996637755</v>
      </c>
      <c r="O159" s="3296">
        <f t="shared" si="243"/>
        <v>37.883401145893878</v>
      </c>
      <c r="P159" s="3296">
        <f t="shared" si="243"/>
        <v>40.279656145063804</v>
      </c>
      <c r="Q159" s="3296">
        <f t="shared" si="243"/>
        <v>41.477539495798318</v>
      </c>
      <c r="R159" s="3296">
        <f t="shared" si="243"/>
        <v>39.763105821623178</v>
      </c>
      <c r="S159" s="3296">
        <f t="shared" si="243"/>
        <v>42.75064637857578</v>
      </c>
      <c r="T159" s="3296">
        <f>T72</f>
        <v>36.644188552188552</v>
      </c>
      <c r="U159" s="3296">
        <f>U72</f>
        <v>26.318565789473681</v>
      </c>
      <c r="V159" s="3296" t="e">
        <f>V72</f>
        <v>#DIV/0!</v>
      </c>
      <c r="W159" s="6502">
        <f>W72</f>
        <v>39.517993080100446</v>
      </c>
      <c r="X159" s="3053">
        <f t="shared" ref="X159:AK159" si="244">X72</f>
        <v>372059743.93755233</v>
      </c>
      <c r="Y159" s="3053">
        <f t="shared" si="244"/>
        <v>37205974.393755235</v>
      </c>
      <c r="Z159" s="3306">
        <f t="shared" si="244"/>
        <v>1360.2154935018182</v>
      </c>
      <c r="AA159" s="3053">
        <f t="shared" si="244"/>
        <v>21277505.583189853</v>
      </c>
      <c r="AB159" s="3053">
        <f t="shared" si="244"/>
        <v>-31498396.193020746</v>
      </c>
      <c r="AC159" s="3053">
        <f t="shared" si="244"/>
        <v>-48024313.397627249</v>
      </c>
      <c r="AD159" s="3053">
        <f t="shared" si="244"/>
        <v>92134091.163219541</v>
      </c>
      <c r="AE159" s="3053">
        <f t="shared" si="244"/>
        <v>-40311395.903552338</v>
      </c>
      <c r="AF159" s="3053">
        <f t="shared" si="244"/>
        <v>41745236.901289955</v>
      </c>
      <c r="AG159" s="3053">
        <f t="shared" si="244"/>
        <v>99979333.459800884</v>
      </c>
      <c r="AH159" s="3053">
        <f t="shared" si="244"/>
        <v>26786202.554098718</v>
      </c>
      <c r="AI159" s="3053">
        <f t="shared" si="244"/>
        <v>141028804.36427099</v>
      </c>
      <c r="AJ159" s="3053">
        <f t="shared" si="244"/>
        <v>-101289552.3790842</v>
      </c>
      <c r="AK159" s="3053">
        <f t="shared" si="244"/>
        <v>-36265172.834318042</v>
      </c>
      <c r="AL159" s="3053"/>
      <c r="AM159" s="4539">
        <f t="shared" si="108"/>
        <v>165562343.31826738</v>
      </c>
      <c r="AN159" s="4571">
        <f t="shared" ref="AN159:AW159" si="245">AN72</f>
        <v>1360.2154935018182</v>
      </c>
      <c r="AO159" s="3306">
        <f t="shared" si="245"/>
        <v>860.10935273184862</v>
      </c>
      <c r="AP159" s="3306">
        <f t="shared" si="245"/>
        <v>-1279.3382922612641</v>
      </c>
      <c r="AQ159" s="3306">
        <f t="shared" si="245"/>
        <v>-1783.4486689072494</v>
      </c>
      <c r="AR159" s="3306">
        <f t="shared" si="245"/>
        <v>3731.0254281283878</v>
      </c>
      <c r="AS159" s="3306">
        <f t="shared" si="245"/>
        <v>-1767.1531278120076</v>
      </c>
      <c r="AT159" s="3306">
        <f t="shared" si="245"/>
        <v>1670.4663034020957</v>
      </c>
      <c r="AU159" s="4571">
        <f t="shared" si="245"/>
        <v>3240.9346408172764</v>
      </c>
      <c r="AV159" s="6621">
        <f t="shared" si="245"/>
        <v>965.93723273295552</v>
      </c>
      <c r="AW159" s="6264">
        <f t="shared" si="245"/>
        <v>4818.7990576310076</v>
      </c>
      <c r="AX159" s="6621">
        <f>AX72</f>
        <v>-3722.7432493633087</v>
      </c>
      <c r="AY159" s="6438"/>
      <c r="AZ159" s="4684"/>
      <c r="BA159" s="3306" t="e">
        <f>BA72</f>
        <v>#DIV/0!</v>
      </c>
      <c r="BE159" s="7069"/>
      <c r="BF159" s="7097" t="s">
        <v>1449</v>
      </c>
      <c r="BG159" s="7098"/>
      <c r="BH159" s="3025" t="s">
        <v>1450</v>
      </c>
      <c r="BI159" s="3213">
        <v>39.166384432747506</v>
      </c>
      <c r="BJ159" s="3213">
        <v>39.29</v>
      </c>
      <c r="BK159" s="3213">
        <v>39.056847287531163</v>
      </c>
      <c r="BL159" s="3404">
        <v>39.078220717254119</v>
      </c>
      <c r="BM159" s="3402">
        <v>40.049999999999997</v>
      </c>
      <c r="BN159" s="4690">
        <v>40.049999999999997</v>
      </c>
      <c r="BO159" s="6731">
        <v>36.644188552188552</v>
      </c>
      <c r="BP159" s="6264">
        <v>37205974.393755235</v>
      </c>
      <c r="BQ159" s="6237">
        <v>1360.2154935018182</v>
      </c>
      <c r="BR159" s="3053">
        <v>-101289552.3790842</v>
      </c>
      <c r="BS159" s="3053">
        <v>-3722.7432493633087</v>
      </c>
      <c r="BT159" s="6490">
        <v>764.97085548576069</v>
      </c>
      <c r="BU159" s="4472"/>
    </row>
    <row r="160" spans="1:76" s="299" customFormat="1" ht="18" hidden="1" customHeight="1" thickBot="1">
      <c r="A160" s="7069"/>
      <c r="B160" s="7090" t="s">
        <v>1322</v>
      </c>
      <c r="C160" s="3287" t="s">
        <v>455</v>
      </c>
      <c r="D160" s="3288" t="s">
        <v>1327</v>
      </c>
      <c r="E160" s="3319">
        <v>19.101947616711083</v>
      </c>
      <c r="F160" s="3319">
        <v>20.55</v>
      </c>
      <c r="G160" s="3348">
        <v>20.22</v>
      </c>
      <c r="H160" s="3369">
        <v>19.258406150666101</v>
      </c>
      <c r="I160" s="6534">
        <f t="shared" ref="I160:S160" si="246">I77</f>
        <v>19</v>
      </c>
      <c r="J160" s="6535">
        <f t="shared" si="246"/>
        <v>19</v>
      </c>
      <c r="K160" s="3357">
        <f t="shared" si="246"/>
        <v>19.843488637383409</v>
      </c>
      <c r="L160" s="3357">
        <f t="shared" si="246"/>
        <v>18.508702989539355</v>
      </c>
      <c r="M160" s="3357">
        <f t="shared" si="246"/>
        <v>20.58138472610813</v>
      </c>
      <c r="N160" s="3357">
        <f t="shared" si="246"/>
        <v>18.97166279798688</v>
      </c>
      <c r="O160" s="3357">
        <f t="shared" si="246"/>
        <v>19.389789969879214</v>
      </c>
      <c r="P160" s="3357">
        <f t="shared" si="246"/>
        <v>21.213221038512344</v>
      </c>
      <c r="Q160" s="3357">
        <f t="shared" si="246"/>
        <v>19.295262200427114</v>
      </c>
      <c r="R160" s="3357">
        <f t="shared" si="246"/>
        <v>20.093297017502927</v>
      </c>
      <c r="S160" s="3357">
        <f t="shared" si="246"/>
        <v>18.665752306913255</v>
      </c>
      <c r="T160" s="3357">
        <f>T77</f>
        <v>21.003877124305038</v>
      </c>
      <c r="U160" s="3357">
        <f>U77</f>
        <v>41.579363377163709</v>
      </c>
      <c r="V160" s="3357">
        <f>V77</f>
        <v>0</v>
      </c>
      <c r="W160" s="6512">
        <f>W77</f>
        <v>21.740527471429214</v>
      </c>
      <c r="X160" s="3303">
        <f t="shared" ref="X160:AL160" si="247">X77</f>
        <v>128706793.06830597</v>
      </c>
      <c r="Y160" s="3303">
        <f t="shared" si="247"/>
        <v>12870679.306830596</v>
      </c>
      <c r="Z160" s="3305">
        <f t="shared" si="247"/>
        <v>470.53995199175949</v>
      </c>
      <c r="AA160" s="3303">
        <f t="shared" si="247"/>
        <v>-970289.37103457784</v>
      </c>
      <c r="AB160" s="3303">
        <f t="shared" si="247"/>
        <v>18895401.829496298</v>
      </c>
      <c r="AC160" s="4521">
        <f t="shared" si="247"/>
        <v>-13064548.524555327</v>
      </c>
      <c r="AD160" s="4521">
        <f t="shared" si="247"/>
        <v>12042432.352082623</v>
      </c>
      <c r="AE160" s="4521">
        <f t="shared" si="247"/>
        <v>5360024.5579605103</v>
      </c>
      <c r="AF160" s="4521">
        <f t="shared" si="247"/>
        <v>-21666981.757434115</v>
      </c>
      <c r="AG160" s="4521">
        <f t="shared" si="247"/>
        <v>9010915.2737976238</v>
      </c>
      <c r="AH160" s="4521">
        <f t="shared" si="247"/>
        <v>-5274232.6612064298</v>
      </c>
      <c r="AI160" s="4521">
        <f t="shared" si="247"/>
        <v>19682885.697172619</v>
      </c>
      <c r="AJ160" s="4521">
        <f t="shared" si="247"/>
        <v>-20147840.2973231</v>
      </c>
      <c r="AK160" s="4521">
        <f t="shared" si="247"/>
        <v>-17568917.731957741</v>
      </c>
      <c r="AL160" s="4521">
        <f t="shared" si="247"/>
        <v>0</v>
      </c>
      <c r="AM160" s="4539">
        <f t="shared" si="108"/>
        <v>-13701150.633001618</v>
      </c>
      <c r="AN160" s="4564">
        <f t="shared" ref="AN160:AW160" si="248">AN77</f>
        <v>470.53995199175949</v>
      </c>
      <c r="AO160" s="3305">
        <f t="shared" si="248"/>
        <v>-39.222406010903725</v>
      </c>
      <c r="AP160" s="3305">
        <f t="shared" si="248"/>
        <v>767.45530026365043</v>
      </c>
      <c r="AQ160" s="3305">
        <f t="shared" si="248"/>
        <v>-485.16990723168891</v>
      </c>
      <c r="AR160" s="3305">
        <f t="shared" si="248"/>
        <v>487.66554002838836</v>
      </c>
      <c r="AS160" s="3305">
        <f t="shared" si="248"/>
        <v>234.97038369525663</v>
      </c>
      <c r="AT160" s="3305">
        <f t="shared" si="248"/>
        <v>-867.02018263317586</v>
      </c>
      <c r="AU160" s="4564">
        <f t="shared" si="248"/>
        <v>292.09824116363308</v>
      </c>
      <c r="AV160" s="6429">
        <f t="shared" si="248"/>
        <v>-190.19410053613436</v>
      </c>
      <c r="AW160" s="4463">
        <f t="shared" si="248"/>
        <v>672.54254530873368</v>
      </c>
      <c r="AX160" s="6429">
        <f>AX77</f>
        <v>-740.50318808199052</v>
      </c>
      <c r="AY160" s="3974"/>
      <c r="AZ160" s="6445"/>
      <c r="BA160" s="3305">
        <f>BA77</f>
        <v>-51.669241840262572</v>
      </c>
      <c r="BE160" s="7069"/>
      <c r="BF160" s="7101" t="s">
        <v>1322</v>
      </c>
      <c r="BG160" s="6181" t="s">
        <v>455</v>
      </c>
      <c r="BH160" s="6293" t="s">
        <v>1327</v>
      </c>
      <c r="BI160" s="6294">
        <v>19.101947616711083</v>
      </c>
      <c r="BJ160" s="6294">
        <v>20.55</v>
      </c>
      <c r="BK160" s="6294">
        <v>20.22</v>
      </c>
      <c r="BL160" s="6294">
        <v>19.258406150666101</v>
      </c>
      <c r="BM160" s="6295">
        <v>19</v>
      </c>
      <c r="BN160" s="4691">
        <v>19</v>
      </c>
      <c r="BO160" s="6289">
        <v>21.003877124305038</v>
      </c>
      <c r="BP160" s="4463">
        <v>12862209.587694746</v>
      </c>
      <c r="BQ160" s="5583">
        <v>470.23030701183586</v>
      </c>
      <c r="BR160" s="4521">
        <v>-20147840.2973231</v>
      </c>
      <c r="BS160" s="4521">
        <v>-740.50318808199052</v>
      </c>
      <c r="BT160" s="6488">
        <v>14.659691418246901</v>
      </c>
      <c r="BU160" s="3783"/>
    </row>
    <row r="161" spans="1:76" s="299" customFormat="1" ht="17.399999999999999" hidden="1" customHeight="1">
      <c r="A161" s="7069"/>
      <c r="B161" s="7086"/>
      <c r="C161" s="3161" t="s">
        <v>1326</v>
      </c>
      <c r="D161" s="3018" t="s">
        <v>319</v>
      </c>
      <c r="E161" s="3027">
        <v>81.21731478694231</v>
      </c>
      <c r="F161" s="3027">
        <v>85.08</v>
      </c>
      <c r="G161" s="3031">
        <v>82.8</v>
      </c>
      <c r="H161" s="3370">
        <v>84.993476614377755</v>
      </c>
      <c r="I161" s="6572">
        <f t="shared" ref="I161:S161" si="249">I83</f>
        <v>81.225874424117535</v>
      </c>
      <c r="J161" s="6573">
        <f t="shared" si="249"/>
        <v>81.225874424117535</v>
      </c>
      <c r="K161" s="3358">
        <f t="shared" si="249"/>
        <v>79.290355297528436</v>
      </c>
      <c r="L161" s="3358">
        <f t="shared" si="249"/>
        <v>78.765102545199298</v>
      </c>
      <c r="M161" s="3358">
        <f t="shared" si="249"/>
        <v>78.709590987448664</v>
      </c>
      <c r="N161" s="3358">
        <f t="shared" si="249"/>
        <v>76.58236562344598</v>
      </c>
      <c r="O161" s="3358">
        <f t="shared" si="249"/>
        <v>82.539588602059794</v>
      </c>
      <c r="P161" s="3358">
        <f t="shared" si="249"/>
        <v>74.823900757777963</v>
      </c>
      <c r="Q161" s="3358">
        <f t="shared" si="249"/>
        <v>69.994703218135356</v>
      </c>
      <c r="R161" s="3358">
        <f t="shared" si="249"/>
        <v>74.467009414445101</v>
      </c>
      <c r="S161" s="3358">
        <f t="shared" si="249"/>
        <v>64.833699111404613</v>
      </c>
      <c r="T161" s="3358">
        <f>T83</f>
        <v>71.735139925999434</v>
      </c>
      <c r="U161" s="3358">
        <f>U83</f>
        <v>349.79191570291516</v>
      </c>
      <c r="V161" s="3358">
        <f>V83</f>
        <v>0</v>
      </c>
      <c r="W161" s="6518">
        <f>W83</f>
        <v>100.13939738057816</v>
      </c>
      <c r="X161" s="3318">
        <f t="shared" ref="X161:AL161" si="250">X83</f>
        <v>34314525.32277023</v>
      </c>
      <c r="Y161" s="3318">
        <f t="shared" si="250"/>
        <v>3431452.532277023</v>
      </c>
      <c r="Z161" s="4551">
        <f t="shared" si="250"/>
        <v>125.45068300650836</v>
      </c>
      <c r="AA161" s="3318">
        <f t="shared" si="250"/>
        <v>7959522.0951737706</v>
      </c>
      <c r="AB161" s="3318">
        <f t="shared" si="250"/>
        <v>9233364.5195545908</v>
      </c>
      <c r="AC161" s="4524">
        <f t="shared" si="250"/>
        <v>10250117.328931699</v>
      </c>
      <c r="AD161" s="4524">
        <f t="shared" si="250"/>
        <v>14727410.519334652</v>
      </c>
      <c r="AE161" s="4524">
        <f t="shared" si="250"/>
        <v>-177615.02692551466</v>
      </c>
      <c r="AF161" s="4524">
        <f t="shared" si="250"/>
        <v>19360855.62324911</v>
      </c>
      <c r="AG161" s="4524">
        <f t="shared" si="250"/>
        <v>39008954.980874203</v>
      </c>
      <c r="AH161" s="4524">
        <f t="shared" si="250"/>
        <v>22487861.87400211</v>
      </c>
      <c r="AI161" s="4524">
        <f t="shared" si="250"/>
        <v>52326680.810029969</v>
      </c>
      <c r="AJ161" s="4524">
        <f t="shared" si="250"/>
        <v>29602667.830022521</v>
      </c>
      <c r="AK161" s="4524">
        <f t="shared" si="250"/>
        <v>-36153836.792074963</v>
      </c>
      <c r="AL161" s="4524">
        <f t="shared" si="250"/>
        <v>0</v>
      </c>
      <c r="AM161" s="4539">
        <f t="shared" si="108"/>
        <v>168625983.76217216</v>
      </c>
      <c r="AN161" s="4575">
        <f t="shared" ref="AN161:AW161" si="251">AN83</f>
        <v>125.45068300650836</v>
      </c>
      <c r="AO161" s="4551">
        <f t="shared" si="251"/>
        <v>321.75103282517483</v>
      </c>
      <c r="AP161" s="4551">
        <f t="shared" si="251"/>
        <v>375.02216696639596</v>
      </c>
      <c r="AQ161" s="4551">
        <f t="shared" si="251"/>
        <v>380.65214915346525</v>
      </c>
      <c r="AR161" s="4551">
        <f t="shared" si="251"/>
        <v>596.39534557061745</v>
      </c>
      <c r="AS161" s="4551">
        <f t="shared" si="251"/>
        <v>-7.7862089203955831</v>
      </c>
      <c r="AT161" s="4551">
        <f t="shared" si="251"/>
        <v>774.73885224666776</v>
      </c>
      <c r="AU161" s="4575">
        <f t="shared" si="251"/>
        <v>1264.5160667172208</v>
      </c>
      <c r="AV161" s="6624">
        <f t="shared" si="251"/>
        <v>810.93477228748657</v>
      </c>
      <c r="AW161" s="6253">
        <f t="shared" si="251"/>
        <v>1787.9451032218528</v>
      </c>
      <c r="AX161" s="6624">
        <f>AX83</f>
        <v>1088.0009758056462</v>
      </c>
      <c r="AY161" s="3974"/>
      <c r="AZ161" s="6445"/>
      <c r="BA161" s="4551">
        <f>BA83</f>
        <v>635.91569561855749</v>
      </c>
      <c r="BE161" s="7069"/>
      <c r="BF161" s="7087"/>
      <c r="BG161" s="6179" t="s">
        <v>1326</v>
      </c>
      <c r="BH161" s="3414" t="s">
        <v>319</v>
      </c>
      <c r="BI161" s="6296">
        <v>81.21731478694231</v>
      </c>
      <c r="BJ161" s="6296">
        <v>85.08</v>
      </c>
      <c r="BK161" s="6296">
        <v>82.8</v>
      </c>
      <c r="BL161" s="6296">
        <v>84.993476614377755</v>
      </c>
      <c r="BM161" s="6297">
        <v>83.72</v>
      </c>
      <c r="BN161" s="4692">
        <v>81.225874424117535</v>
      </c>
      <c r="BO161" s="6298">
        <v>71.735139925999434</v>
      </c>
      <c r="BP161" s="6253">
        <v>3429194.4199829055</v>
      </c>
      <c r="BQ161" s="6235">
        <v>125.3681285410341</v>
      </c>
      <c r="BR161" s="4524">
        <v>29602667.830022521</v>
      </c>
      <c r="BS161" s="4524">
        <v>1088.0009758056462</v>
      </c>
      <c r="BT161" s="6488">
        <v>776.1607411210083</v>
      </c>
      <c r="BU161" s="7157" t="s">
        <v>1939</v>
      </c>
      <c r="BV161" s="7159" t="s">
        <v>1788</v>
      </c>
      <c r="BW161" s="7162" t="s">
        <v>1938</v>
      </c>
      <c r="BX161" s="7165" t="s">
        <v>1787</v>
      </c>
    </row>
    <row r="162" spans="1:76" s="299" customFormat="1" ht="17.399999999999999" hidden="1" customHeight="1">
      <c r="A162" s="7069"/>
      <c r="B162" s="7090" t="s">
        <v>1321</v>
      </c>
      <c r="C162" s="3287" t="s">
        <v>1323</v>
      </c>
      <c r="D162" s="3288" t="s">
        <v>1142</v>
      </c>
      <c r="E162" s="3319">
        <v>102.28</v>
      </c>
      <c r="F162" s="3319">
        <v>101.81</v>
      </c>
      <c r="G162" s="3348">
        <v>101.58</v>
      </c>
      <c r="H162" s="3369">
        <v>99.984010721754942</v>
      </c>
      <c r="I162" s="6534">
        <f t="shared" ref="I162:S162" si="252">I89</f>
        <v>100</v>
      </c>
      <c r="J162" s="6535">
        <f t="shared" si="252"/>
        <v>100</v>
      </c>
      <c r="K162" s="3357">
        <f t="shared" si="252"/>
        <v>99.622247799999997</v>
      </c>
      <c r="L162" s="3357">
        <f t="shared" si="252"/>
        <v>100.06858792211101</v>
      </c>
      <c r="M162" s="3357">
        <f t="shared" si="252"/>
        <v>100.7185573</v>
      </c>
      <c r="N162" s="3357">
        <f t="shared" si="252"/>
        <v>100.8135599</v>
      </c>
      <c r="O162" s="3357">
        <f t="shared" si="252"/>
        <v>100.5854544</v>
      </c>
      <c r="P162" s="3357">
        <f t="shared" si="252"/>
        <v>100.080066</v>
      </c>
      <c r="Q162" s="3357">
        <f t="shared" si="252"/>
        <v>100.220308</v>
      </c>
      <c r="R162" s="3357">
        <f t="shared" si="252"/>
        <v>100.20377581177</v>
      </c>
      <c r="S162" s="3357">
        <f t="shared" si="252"/>
        <v>100.71383498362999</v>
      </c>
      <c r="T162" s="3357">
        <f t="shared" ref="T162:Y163" si="253">T89</f>
        <v>100.346099148183</v>
      </c>
      <c r="U162" s="3357">
        <f t="shared" si="253"/>
        <v>0</v>
      </c>
      <c r="V162" s="3357">
        <f t="shared" si="253"/>
        <v>0</v>
      </c>
      <c r="W162" s="6512">
        <f t="shared" si="253"/>
        <v>100.3372491265694</v>
      </c>
      <c r="X162" s="3303">
        <f t="shared" si="253"/>
        <v>-4643693.1414636504</v>
      </c>
      <c r="Y162" s="3303">
        <f t="shared" si="253"/>
        <v>-464369.31414636504</v>
      </c>
      <c r="Z162" s="3305">
        <f>X162/년간!D10</f>
        <v>-16.976906158240961</v>
      </c>
      <c r="AA162" s="3303">
        <f t="shared" ref="AA162:AL162" si="254">AA89</f>
        <v>9502125.9669158962</v>
      </c>
      <c r="AB162" s="3303">
        <f t="shared" si="254"/>
        <v>-2210986.2174032074</v>
      </c>
      <c r="AC162" s="4521">
        <f t="shared" si="254"/>
        <v>-21001464.393208895</v>
      </c>
      <c r="AD162" s="4521">
        <f t="shared" si="254"/>
        <v>-21750235.950475197</v>
      </c>
      <c r="AE162" s="4521">
        <f t="shared" si="254"/>
        <v>-14567274.558024738</v>
      </c>
      <c r="AF162" s="4521">
        <f t="shared" si="254"/>
        <v>-2548708.2970768656</v>
      </c>
      <c r="AG162" s="4521">
        <f t="shared" si="254"/>
        <v>-7739775.6381341517</v>
      </c>
      <c r="AH162" s="4521">
        <f t="shared" si="254"/>
        <v>-6470690.613893358</v>
      </c>
      <c r="AI162" s="4521">
        <f t="shared" si="254"/>
        <v>-22678639.20446926</v>
      </c>
      <c r="AJ162" s="4521">
        <f t="shared" si="254"/>
        <v>-10460342.35015724</v>
      </c>
      <c r="AK162" s="4521">
        <f t="shared" si="254"/>
        <v>141561382.07548392</v>
      </c>
      <c r="AL162" s="4521">
        <f t="shared" si="254"/>
        <v>0</v>
      </c>
      <c r="AM162" s="4539">
        <f t="shared" si="108"/>
        <v>41635390.819556892</v>
      </c>
      <c r="AN162" s="4564">
        <f>AN89</f>
        <v>-16.976906158240961</v>
      </c>
      <c r="AO162" s="3305">
        <f>AA162/년간!F10</f>
        <v>384.10834310566179</v>
      </c>
      <c r="AP162" s="3305">
        <f>AB162/년간!G10</f>
        <v>-89.80137637015811</v>
      </c>
      <c r="AQ162" s="3305">
        <f>AC162/년간!H10</f>
        <v>-779.91815118843419</v>
      </c>
      <c r="AR162" s="3305">
        <f>AD162/년간!I10</f>
        <v>-880.78888470558877</v>
      </c>
      <c r="AS162" s="3305">
        <f>AE162/년간!J10</f>
        <v>-638.5937331592429</v>
      </c>
      <c r="AT162" s="3305">
        <f>AF162/년간!K10</f>
        <v>-101.9884337352193</v>
      </c>
      <c r="AU162" s="4564">
        <f>AG162/년간!L10</f>
        <v>-250.89292066413191</v>
      </c>
      <c r="AV162" s="6429">
        <f>AH162/년간!M10</f>
        <v>-233.3395699831616</v>
      </c>
      <c r="AW162" s="4463">
        <f>AI162/년간!N10</f>
        <v>-774.90414613864982</v>
      </c>
      <c r="AX162" s="6429">
        <f>AJ162/년간!O10</f>
        <v>-384.45395359569341</v>
      </c>
      <c r="AY162" s="6429"/>
      <c r="AZ162" s="4521"/>
      <c r="BA162" s="3305">
        <f>AM162/년간!V10</f>
        <v>157.01375271269737</v>
      </c>
      <c r="BB162" s="299" t="s">
        <v>1408</v>
      </c>
      <c r="BE162" s="7069"/>
      <c r="BF162" s="7101" t="s">
        <v>1321</v>
      </c>
      <c r="BG162" s="6181" t="s">
        <v>1323</v>
      </c>
      <c r="BH162" s="6293" t="s">
        <v>1142</v>
      </c>
      <c r="BI162" s="6294">
        <v>102.28</v>
      </c>
      <c r="BJ162" s="6294">
        <v>101.81</v>
      </c>
      <c r="BK162" s="6294">
        <v>101.58</v>
      </c>
      <c r="BL162" s="6294">
        <v>99.984010721754942</v>
      </c>
      <c r="BM162" s="6295">
        <v>100</v>
      </c>
      <c r="BN162" s="4691">
        <v>100</v>
      </c>
      <c r="BO162" s="6289">
        <v>100.346099148183</v>
      </c>
      <c r="BP162" s="4463">
        <v>-464063.72983551677</v>
      </c>
      <c r="BQ162" s="5583">
        <v>-16.965734282730114</v>
      </c>
      <c r="BR162" s="4521">
        <v>-10460342.35015724</v>
      </c>
      <c r="BS162" s="4521">
        <v>-384.45395359569341</v>
      </c>
      <c r="BT162" s="6488">
        <v>-378.74157336663001</v>
      </c>
      <c r="BU162" s="7158"/>
      <c r="BV162" s="7160"/>
      <c r="BW162" s="7163"/>
      <c r="BX162" s="7166"/>
    </row>
    <row r="163" spans="1:76" s="299" customFormat="1" ht="17.399999999999999" hidden="1" customHeight="1">
      <c r="A163" s="7069"/>
      <c r="B163" s="7086"/>
      <c r="C163" s="3161" t="s">
        <v>1325</v>
      </c>
      <c r="D163" s="3018" t="s">
        <v>321</v>
      </c>
      <c r="E163" s="3027">
        <v>5.35</v>
      </c>
      <c r="F163" s="3027">
        <v>4.5</v>
      </c>
      <c r="G163" s="3031">
        <v>4.18</v>
      </c>
      <c r="H163" s="3370">
        <v>4.1374715776825299</v>
      </c>
      <c r="I163" s="6572">
        <f t="shared" ref="I163:S163" si="255">I90</f>
        <v>3.5</v>
      </c>
      <c r="J163" s="6573">
        <f t="shared" si="255"/>
        <v>3.5</v>
      </c>
      <c r="K163" s="3358">
        <f t="shared" si="255"/>
        <v>3.80206434275172</v>
      </c>
      <c r="L163" s="3358">
        <f t="shared" si="255"/>
        <v>4.8069420836404904</v>
      </c>
      <c r="M163" s="3358">
        <f t="shared" si="255"/>
        <v>5.9326465085499098</v>
      </c>
      <c r="N163" s="3358">
        <f t="shared" si="255"/>
        <v>3.97261849417916</v>
      </c>
      <c r="O163" s="3358">
        <f t="shared" si="255"/>
        <v>5.4446246168049504</v>
      </c>
      <c r="P163" s="3358">
        <f t="shared" si="255"/>
        <v>4.6098125783057897</v>
      </c>
      <c r="Q163" s="3358">
        <f t="shared" si="255"/>
        <v>4.36157894668598</v>
      </c>
      <c r="R163" s="3358">
        <f t="shared" si="255"/>
        <v>3.4564467871272302</v>
      </c>
      <c r="S163" s="3358">
        <f t="shared" si="255"/>
        <v>2.9983209402734499</v>
      </c>
      <c r="T163" s="3358">
        <f t="shared" si="253"/>
        <v>3.3739692027913502</v>
      </c>
      <c r="U163" s="3358">
        <f t="shared" si="253"/>
        <v>0</v>
      </c>
      <c r="V163" s="3358">
        <f t="shared" si="253"/>
        <v>0</v>
      </c>
      <c r="W163" s="6518">
        <f t="shared" si="253"/>
        <v>4.275902450111003</v>
      </c>
      <c r="X163" s="3318">
        <f t="shared" si="253"/>
        <v>112580092.62027605</v>
      </c>
      <c r="Y163" s="3318">
        <f t="shared" si="253"/>
        <v>11258009.262027605</v>
      </c>
      <c r="Z163" s="4551">
        <f>X163/년간!D10</f>
        <v>411.58224918757008</v>
      </c>
      <c r="AA163" s="3318">
        <f t="shared" ref="AA163:AL163" si="256">AA90</f>
        <v>5357168.1654369729</v>
      </c>
      <c r="AB163" s="3318">
        <f t="shared" si="256"/>
        <v>-10642172.665290195</v>
      </c>
      <c r="AC163" s="4524">
        <f t="shared" si="256"/>
        <v>-31210673.130931996</v>
      </c>
      <c r="AD163" s="4524">
        <f t="shared" si="256"/>
        <v>2628361.1074478589</v>
      </c>
      <c r="AE163" s="4524">
        <f t="shared" si="256"/>
        <v>-19252002.104160212</v>
      </c>
      <c r="AF163" s="4524">
        <f t="shared" si="256"/>
        <v>-7621152.7432602607</v>
      </c>
      <c r="AG163" s="4524">
        <f t="shared" si="256"/>
        <v>-4463668.2708326261</v>
      </c>
      <c r="AH163" s="4524">
        <f t="shared" si="256"/>
        <v>12193291.976668226</v>
      </c>
      <c r="AI163" s="4524">
        <f t="shared" si="256"/>
        <v>21525139.505818062</v>
      </c>
      <c r="AJ163" s="4524">
        <f t="shared" si="256"/>
        <v>13412439.298472706</v>
      </c>
      <c r="AK163" s="4524">
        <f t="shared" si="256"/>
        <v>3562176.102185146</v>
      </c>
      <c r="AL163" s="4524">
        <f t="shared" si="256"/>
        <v>0</v>
      </c>
      <c r="AM163" s="4539">
        <f t="shared" si="108"/>
        <v>-14511092.758446325</v>
      </c>
      <c r="AN163" s="4575">
        <f>AN90</f>
        <v>411.58224918757008</v>
      </c>
      <c r="AO163" s="4551">
        <f>AA163/년간!F10</f>
        <v>216.55501041860759</v>
      </c>
      <c r="AP163" s="4551">
        <f>AB163/년간!G10</f>
        <v>-432.24229323074525</v>
      </c>
      <c r="AQ163" s="4551">
        <f>AC163/년간!H10</f>
        <v>-1159.0511037646622</v>
      </c>
      <c r="AR163" s="4551">
        <f>AD163/년간!I10</f>
        <v>106.43706365778377</v>
      </c>
      <c r="AS163" s="4551">
        <f>AE163/년간!J10</f>
        <v>-843.96074540331256</v>
      </c>
      <c r="AT163" s="4551">
        <f>AF163/년간!K10</f>
        <v>-304.96602237040645</v>
      </c>
      <c r="AU163" s="4575">
        <f>AG163/년간!L10</f>
        <v>-144.69447458233955</v>
      </c>
      <c r="AV163" s="6624">
        <f>AH163/년간!M10</f>
        <v>439.70229397244816</v>
      </c>
      <c r="AW163" s="6253">
        <f>AI163/년간!N10</f>
        <v>735.49033074189776</v>
      </c>
      <c r="AX163" s="6624">
        <f>AJ163/년간!O10</f>
        <v>492.9537813437405</v>
      </c>
      <c r="AY163" s="3974"/>
      <c r="AZ163" s="6445"/>
      <c r="BA163" s="4551">
        <f>AM163/년간!V10</f>
        <v>-54.723663813802368</v>
      </c>
      <c r="BE163" s="7069"/>
      <c r="BF163" s="7087"/>
      <c r="BG163" s="6179" t="s">
        <v>1325</v>
      </c>
      <c r="BH163" s="3414" t="s">
        <v>321</v>
      </c>
      <c r="BI163" s="6296">
        <v>5.35</v>
      </c>
      <c r="BJ163" s="6296">
        <v>4.5</v>
      </c>
      <c r="BK163" s="6296">
        <v>4.18</v>
      </c>
      <c r="BL163" s="6296">
        <v>4.1374715776825299</v>
      </c>
      <c r="BM163" s="6297">
        <v>3.5</v>
      </c>
      <c r="BN163" s="4692">
        <v>3.5</v>
      </c>
      <c r="BO163" s="6298">
        <v>3.3739692027913502</v>
      </c>
      <c r="BP163" s="6253">
        <v>11250600.781542229</v>
      </c>
      <c r="BQ163" s="6235">
        <v>411.311402096378</v>
      </c>
      <c r="BR163" s="4524">
        <v>13412439.298472706</v>
      </c>
      <c r="BS163" s="4524">
        <v>492.9537813437405</v>
      </c>
      <c r="BT163" s="6488">
        <v>-68.50168007462895</v>
      </c>
      <c r="BU163" s="7158"/>
      <c r="BV163" s="7161"/>
      <c r="BW163" s="7164"/>
      <c r="BX163" s="7167"/>
    </row>
    <row r="164" spans="1:76" s="299" customFormat="1" ht="18" hidden="1" customHeight="1" thickBot="1">
      <c r="A164" s="7069"/>
      <c r="B164" s="7111" t="s">
        <v>1486</v>
      </c>
      <c r="C164" s="7112"/>
      <c r="D164" s="1769" t="s">
        <v>719</v>
      </c>
      <c r="E164" s="3320">
        <f t="shared" ref="E164:S164" si="257">E96</f>
        <v>6617.8326432033155</v>
      </c>
      <c r="F164" s="3320">
        <f t="shared" si="257"/>
        <v>7820</v>
      </c>
      <c r="G164" s="3349">
        <f t="shared" si="257"/>
        <v>5759</v>
      </c>
      <c r="H164" s="5864">
        <f t="shared" si="257"/>
        <v>6270.6033332895695</v>
      </c>
      <c r="I164" s="6574">
        <f t="shared" si="257"/>
        <v>6532.36</v>
      </c>
      <c r="J164" s="6575">
        <f t="shared" si="257"/>
        <v>6532.36</v>
      </c>
      <c r="K164" s="3359">
        <f t="shared" si="257"/>
        <v>4855.9523068427943</v>
      </c>
      <c r="L164" s="3359">
        <f t="shared" si="257"/>
        <v>6622.2340409999997</v>
      </c>
      <c r="M164" s="3359">
        <f t="shared" si="257"/>
        <v>5456.6663869060103</v>
      </c>
      <c r="N164" s="3359">
        <f t="shared" si="257"/>
        <v>5494.0822157897201</v>
      </c>
      <c r="O164" s="3359">
        <f t="shared" si="257"/>
        <v>4394.7677683483198</v>
      </c>
      <c r="P164" s="3359">
        <f t="shared" si="257"/>
        <v>6084.1668544071499</v>
      </c>
      <c r="Q164" s="3359">
        <f t="shared" si="257"/>
        <v>4847.8562620668699</v>
      </c>
      <c r="R164" s="3359">
        <f t="shared" si="257"/>
        <v>9318.7816863493608</v>
      </c>
      <c r="S164" s="3359">
        <f t="shared" si="257"/>
        <v>5346.4099420563798</v>
      </c>
      <c r="T164" s="3359">
        <f>T96</f>
        <v>4396.5049648434597</v>
      </c>
      <c r="U164" s="3359">
        <f>U96</f>
        <v>0</v>
      </c>
      <c r="V164" s="3359">
        <f>V96</f>
        <v>0</v>
      </c>
      <c r="W164" s="6519">
        <f>W96</f>
        <v>5681.7422428610062</v>
      </c>
      <c r="X164" s="3054">
        <f t="shared" ref="X164:AL164" si="258">X96</f>
        <v>-71551184.845296085</v>
      </c>
      <c r="Y164" s="3054">
        <f t="shared" si="258"/>
        <v>-7155118.4845296089</v>
      </c>
      <c r="Z164" s="3307">
        <f t="shared" si="258"/>
        <v>-261.58441430664311</v>
      </c>
      <c r="AA164" s="3054">
        <f t="shared" si="258"/>
        <v>34995835.143384025</v>
      </c>
      <c r="AB164" s="3054">
        <f t="shared" si="258"/>
        <v>-8657446.909932347</v>
      </c>
      <c r="AC164" s="5263">
        <f t="shared" si="258"/>
        <v>21917515.026088275</v>
      </c>
      <c r="AD164" s="5263">
        <f t="shared" si="258"/>
        <v>19175443.536385983</v>
      </c>
      <c r="AE164" s="5263">
        <f t="shared" si="258"/>
        <v>42790604.231301673</v>
      </c>
      <c r="AF164" s="5263">
        <f t="shared" si="258"/>
        <v>4659079.3014730755</v>
      </c>
      <c r="AG164" s="5263">
        <f t="shared" si="258"/>
        <v>43890210.58038336</v>
      </c>
      <c r="AH164" s="5263">
        <f t="shared" si="258"/>
        <v>-84528393.791246936</v>
      </c>
      <c r="AI164" s="5263">
        <f t="shared" si="258"/>
        <v>27047794.9813192</v>
      </c>
      <c r="AJ164" s="5263">
        <f t="shared" si="258"/>
        <v>50991049.379175968</v>
      </c>
      <c r="AK164" s="5263">
        <f t="shared" si="258"/>
        <v>8361686.5092549762</v>
      </c>
      <c r="AL164" s="5263">
        <f t="shared" si="258"/>
        <v>0</v>
      </c>
      <c r="AM164" s="4539">
        <f t="shared" si="108"/>
        <v>160643377.98758724</v>
      </c>
      <c r="AN164" s="4573">
        <f t="shared" ref="AN164:AW164" si="259">AN96</f>
        <v>-261.58441430664311</v>
      </c>
      <c r="AO164" s="3307">
        <f t="shared" si="259"/>
        <v>1414.6510264467752</v>
      </c>
      <c r="AP164" s="3307">
        <f t="shared" si="259"/>
        <v>-351.63070771043022</v>
      </c>
      <c r="AQ164" s="3307">
        <f t="shared" si="259"/>
        <v>813.93694638355919</v>
      </c>
      <c r="AR164" s="3307">
        <f t="shared" si="259"/>
        <v>776.52111749984942</v>
      </c>
      <c r="AS164" s="3307">
        <f t="shared" si="259"/>
        <v>1875.8355649412497</v>
      </c>
      <c r="AT164" s="3307">
        <f t="shared" si="259"/>
        <v>186.43647888241958</v>
      </c>
      <c r="AU164" s="4573">
        <f t="shared" si="259"/>
        <v>1422.7470712226996</v>
      </c>
      <c r="AV164" s="6622">
        <f t="shared" si="259"/>
        <v>-3048.1783530597913</v>
      </c>
      <c r="AW164" s="4377">
        <f t="shared" si="259"/>
        <v>924.19339123318969</v>
      </c>
      <c r="AX164" s="6622">
        <f>AX96</f>
        <v>1874.0983684461098</v>
      </c>
      <c r="AY164" s="6432"/>
      <c r="AZ164" s="5262"/>
      <c r="BA164" s="3307">
        <f>BA96</f>
        <v>605.81200583873454</v>
      </c>
      <c r="BE164" s="7069"/>
      <c r="BF164" s="7094" t="s">
        <v>1486</v>
      </c>
      <c r="BG164" s="7095"/>
      <c r="BH164" s="3030" t="s">
        <v>334</v>
      </c>
      <c r="BI164" s="3321">
        <v>6617.8326432033155</v>
      </c>
      <c r="BJ164" s="3321">
        <v>7820</v>
      </c>
      <c r="BK164" s="3321">
        <v>5759</v>
      </c>
      <c r="BL164" s="3321">
        <v>6270.6033332895695</v>
      </c>
      <c r="BM164" s="3403">
        <v>6532.36</v>
      </c>
      <c r="BN164" s="3055">
        <v>6532.36</v>
      </c>
      <c r="BO164" s="6299">
        <v>4396.5049648434597</v>
      </c>
      <c r="BP164" s="6262">
        <v>-7155118.4845296089</v>
      </c>
      <c r="BQ164" s="6245">
        <v>-261.58441430664311</v>
      </c>
      <c r="BR164" s="5263">
        <v>50991049.379175968</v>
      </c>
      <c r="BS164" s="5263">
        <v>1874.0983684461098</v>
      </c>
      <c r="BT164" s="6492">
        <v>577.18123884024351</v>
      </c>
      <c r="BU164" s="5602">
        <v>61008.6414621734</v>
      </c>
      <c r="BV164" s="5602">
        <v>61008.6414621734</v>
      </c>
      <c r="BW164" s="5609">
        <v>47523.055015177291</v>
      </c>
      <c r="BX164" s="6495">
        <v>57139.105935188898</v>
      </c>
    </row>
    <row r="165" spans="1:76" s="299" customFormat="1" ht="18" hidden="1" customHeight="1" thickBot="1">
      <c r="A165" s="7069"/>
      <c r="B165" s="7070" t="s">
        <v>1398</v>
      </c>
      <c r="C165" s="7071"/>
      <c r="D165" s="7071"/>
      <c r="E165" s="7071"/>
      <c r="F165" s="7071"/>
      <c r="G165" s="7071"/>
      <c r="H165" s="7071"/>
      <c r="I165" s="7076"/>
      <c r="J165" s="6528"/>
      <c r="K165" s="4324"/>
      <c r="L165" s="4751"/>
      <c r="M165" s="4751"/>
      <c r="N165" s="4751"/>
      <c r="O165" s="5429"/>
      <c r="P165" s="4751"/>
      <c r="Q165" s="4751"/>
      <c r="R165" s="6024"/>
      <c r="S165" s="6102"/>
      <c r="T165" s="6210"/>
      <c r="U165" s="6210"/>
      <c r="V165" s="6210"/>
      <c r="W165" s="6210"/>
      <c r="X165" s="3052">
        <f t="shared" ref="X165:AE165" si="260">SUM(X158:X164)</f>
        <v>1076771956.6826041</v>
      </c>
      <c r="Y165" s="3052">
        <f t="shared" si="260"/>
        <v>107728079.65116951</v>
      </c>
      <c r="Z165" s="3309">
        <f t="shared" si="260"/>
        <v>3936.577182329559</v>
      </c>
      <c r="AA165" s="3052">
        <f t="shared" si="260"/>
        <v>133560018.85412407</v>
      </c>
      <c r="AB165" s="3052">
        <f t="shared" si="260"/>
        <v>16267122.859855594</v>
      </c>
      <c r="AC165" s="3052">
        <f t="shared" si="260"/>
        <v>-47357579.991148286</v>
      </c>
      <c r="AD165" s="3052">
        <f t="shared" si="260"/>
        <v>184284376.2443563</v>
      </c>
      <c r="AE165" s="3052">
        <f t="shared" si="260"/>
        <v>15817481.132640466</v>
      </c>
      <c r="AF165" s="3052">
        <f t="shared" ref="AF165:AL165" si="261">SUM(AF158:AF164)</f>
        <v>74143262.889060766</v>
      </c>
      <c r="AG165" s="3052">
        <f t="shared" si="261"/>
        <v>236881128.01416567</v>
      </c>
      <c r="AH165" s="3052">
        <f t="shared" si="261"/>
        <v>-13384864.731671348</v>
      </c>
      <c r="AI165" s="3052">
        <f t="shared" si="261"/>
        <v>260079571.73801708</v>
      </c>
      <c r="AJ165" s="3052">
        <f t="shared" si="261"/>
        <v>2300120.8806202188</v>
      </c>
      <c r="AK165" s="3052">
        <f t="shared" si="261"/>
        <v>83116268.039510906</v>
      </c>
      <c r="AL165" s="3052">
        <f t="shared" si="261"/>
        <v>36155103.131453812</v>
      </c>
      <c r="AM165" s="6474">
        <f t="shared" si="108"/>
        <v>981862009.06098509</v>
      </c>
      <c r="AN165" s="4574">
        <f>SUM(AN158:AN164)</f>
        <v>3936.577182329559</v>
      </c>
      <c r="AO165" s="3309">
        <f>AA165/년간!F10</f>
        <v>5398.9515320927148</v>
      </c>
      <c r="AP165" s="3309">
        <f>AB165/년간!G10</f>
        <v>660.70516898708183</v>
      </c>
      <c r="AQ165" s="3309">
        <f>AC165/년간!H10</f>
        <v>-1758.6886104665252</v>
      </c>
      <c r="AR165" s="3309">
        <f>AD165/년간!I10</f>
        <v>7462.7066387013347</v>
      </c>
      <c r="AS165" s="3309">
        <f>AE165/년간!J10</f>
        <v>693.39973551225569</v>
      </c>
      <c r="AT165" s="3309">
        <f>AF165/년간!K10</f>
        <v>2966.8970995019545</v>
      </c>
      <c r="AU165" s="4574">
        <f>AG165/년간!L10</f>
        <v>7678.7494672152443</v>
      </c>
      <c r="AV165" s="6623">
        <f>AH165/년간!M10</f>
        <v>-482.67159830900408</v>
      </c>
      <c r="AW165" s="6263">
        <f>AI165/년간!N10</f>
        <v>8886.6327758341504</v>
      </c>
      <c r="AX165" s="6623">
        <f>AJ165/년간!O10</f>
        <v>84.537440238670428</v>
      </c>
      <c r="AY165" s="6441"/>
      <c r="AZ165" s="6455"/>
      <c r="BA165" s="3309">
        <f>AM165/년간!V10</f>
        <v>3702.7594950851108</v>
      </c>
      <c r="BB165" s="299">
        <f>X165/년간!D10</f>
        <v>3936.5771823295581</v>
      </c>
      <c r="BE165" s="7069"/>
      <c r="BF165" s="7070" t="s">
        <v>1398</v>
      </c>
      <c r="BG165" s="7071"/>
      <c r="BH165" s="7071"/>
      <c r="BI165" s="7071"/>
      <c r="BJ165" s="7071"/>
      <c r="BK165" s="7071"/>
      <c r="BL165" s="7071"/>
      <c r="BM165" s="7071"/>
      <c r="BN165" s="7071"/>
      <c r="BO165" s="7073"/>
      <c r="BP165" s="6263">
        <v>107684471.3863917</v>
      </c>
      <c r="BQ165" s="6240">
        <v>3934.9829051103197</v>
      </c>
      <c r="BR165" s="4574">
        <v>2300120.8806202188</v>
      </c>
      <c r="BS165" s="3052">
        <v>84.537440238670428</v>
      </c>
      <c r="BT165" s="6486">
        <v>3283.0429024364635</v>
      </c>
      <c r="BU165" s="4471"/>
      <c r="BV165" s="3826"/>
      <c r="BW165" s="6331">
        <f>BV164-BW164</f>
        <v>13485.586446996109</v>
      </c>
      <c r="BX165" s="6331">
        <f>BV164-BX164</f>
        <v>3869.5355269845022</v>
      </c>
    </row>
    <row r="166" spans="1:76" ht="17.399999999999999" customHeight="1">
      <c r="A166" s="7068" t="s">
        <v>1265</v>
      </c>
      <c r="B166" s="7082" t="s">
        <v>1185</v>
      </c>
      <c r="C166" s="7082"/>
      <c r="D166" s="2567" t="s">
        <v>452</v>
      </c>
      <c r="E166" s="2470">
        <f t="shared" ref="E166:S166" si="262">E5</f>
        <v>139.78</v>
      </c>
      <c r="F166" s="2468">
        <f t="shared" si="262"/>
        <v>125.91</v>
      </c>
      <c r="G166" s="2469">
        <f t="shared" si="262"/>
        <v>92.647999999999996</v>
      </c>
      <c r="H166" s="3367">
        <f t="shared" si="262"/>
        <v>83.9</v>
      </c>
      <c r="I166" s="6530">
        <f t="shared" si="262"/>
        <v>60</v>
      </c>
      <c r="J166" s="6531">
        <f t="shared" si="262"/>
        <v>5</v>
      </c>
      <c r="K166" s="3354">
        <f t="shared" si="262"/>
        <v>1.82</v>
      </c>
      <c r="L166" s="3354">
        <f t="shared" si="262"/>
        <v>1.69</v>
      </c>
      <c r="M166" s="3354">
        <f t="shared" si="262"/>
        <v>4.66</v>
      </c>
      <c r="N166" s="3354">
        <f t="shared" si="262"/>
        <v>4.93</v>
      </c>
      <c r="O166" s="3354">
        <f t="shared" si="262"/>
        <v>4.53</v>
      </c>
      <c r="P166" s="3354">
        <f t="shared" si="262"/>
        <v>3.47</v>
      </c>
      <c r="Q166" s="3354">
        <f t="shared" si="262"/>
        <v>4.5999999999999996</v>
      </c>
      <c r="R166" s="3354">
        <f t="shared" si="262"/>
        <v>4.83</v>
      </c>
      <c r="S166" s="3354">
        <f t="shared" si="262"/>
        <v>0</v>
      </c>
      <c r="T166" s="3354">
        <f>T5</f>
        <v>2.2799999999999998</v>
      </c>
      <c r="U166" s="3354">
        <f>U5</f>
        <v>5.16</v>
      </c>
      <c r="V166" s="3354">
        <f>V5</f>
        <v>12.2</v>
      </c>
      <c r="W166" s="6511">
        <f>W5</f>
        <v>50.17</v>
      </c>
      <c r="X166" s="3390">
        <f t="shared" ref="X166:AL166" si="263">X5</f>
        <v>16805959.798130441</v>
      </c>
      <c r="Y166" s="3390">
        <f t="shared" si="263"/>
        <v>1400496.6498442034</v>
      </c>
      <c r="Z166" s="3391">
        <f t="shared" si="263"/>
        <v>100.40602101882209</v>
      </c>
      <c r="AA166" s="3390">
        <f t="shared" si="263"/>
        <v>3636603.4347000523</v>
      </c>
      <c r="AB166" s="3390">
        <f t="shared" si="263"/>
        <v>3728016.6051501343</v>
      </c>
      <c r="AC166" s="3390">
        <f t="shared" si="263"/>
        <v>1639577.2494828789</v>
      </c>
      <c r="AD166" s="3390">
        <f t="shared" si="263"/>
        <v>1449719.1262404015</v>
      </c>
      <c r="AE166" s="3390">
        <f t="shared" si="263"/>
        <v>1730990.4199329608</v>
      </c>
      <c r="AF166" s="3390">
        <f t="shared" si="263"/>
        <v>2476359.3482182436</v>
      </c>
      <c r="AG166" s="3390">
        <f t="shared" si="263"/>
        <v>1681767.9435367633</v>
      </c>
      <c r="AH166" s="3390">
        <f t="shared" si="263"/>
        <v>1520036.9496635413</v>
      </c>
      <c r="AI166" s="3390">
        <f t="shared" si="263"/>
        <v>4916387.8210011981</v>
      </c>
      <c r="AJ166" s="3390">
        <f t="shared" si="263"/>
        <v>3313141.4469536091</v>
      </c>
      <c r="AK166" s="3390">
        <f t="shared" si="263"/>
        <v>1287988.1323671795</v>
      </c>
      <c r="AL166" s="3390">
        <f t="shared" si="263"/>
        <v>-3662386.6366218692</v>
      </c>
      <c r="AM166" s="4539">
        <f t="shared" si="108"/>
        <v>23718201.840625092</v>
      </c>
      <c r="AN166" s="4562">
        <f t="shared" ref="AN166:AW166" si="264">AN5</f>
        <v>100.40602101882209</v>
      </c>
      <c r="AO166" s="3391">
        <f t="shared" si="264"/>
        <v>265.16853087760541</v>
      </c>
      <c r="AP166" s="3391">
        <f t="shared" si="264"/>
        <v>326.7630360735086</v>
      </c>
      <c r="AQ166" s="3391">
        <f t="shared" si="264"/>
        <v>123.28501290938011</v>
      </c>
      <c r="AR166" s="3391">
        <f t="shared" si="264"/>
        <v>112.33500031308031</v>
      </c>
      <c r="AS166" s="3391">
        <f t="shared" si="264"/>
        <v>136.95673487742903</v>
      </c>
      <c r="AT166" s="3391">
        <f t="shared" si="264"/>
        <v>182.19040756747415</v>
      </c>
      <c r="AU166" s="4562">
        <f t="shared" si="264"/>
        <v>111.68237609061488</v>
      </c>
      <c r="AV166" s="6610">
        <f t="shared" si="264"/>
        <v>122.43581334981408</v>
      </c>
      <c r="AW166" s="6249">
        <f t="shared" si="264"/>
        <v>377.72285665343651</v>
      </c>
      <c r="AX166" s="6610">
        <f>AX5</f>
        <v>242.89056366485971</v>
      </c>
      <c r="AY166" s="6427"/>
      <c r="AZ166" s="6443"/>
      <c r="BA166" s="3391">
        <f>BA5</f>
        <v>150.46614189561603</v>
      </c>
      <c r="BE166" s="7068" t="s">
        <v>1265</v>
      </c>
      <c r="BF166" s="7082" t="s">
        <v>1185</v>
      </c>
      <c r="BG166" s="7082"/>
      <c r="BH166" s="2567" t="s">
        <v>1447</v>
      </c>
      <c r="BI166" s="2470">
        <v>139.78</v>
      </c>
      <c r="BJ166" s="2468">
        <v>125.91</v>
      </c>
      <c r="BK166" s="2469">
        <v>92.647999999999996</v>
      </c>
      <c r="BL166" s="3056">
        <v>83.9</v>
      </c>
      <c r="BM166" s="3061">
        <v>60</v>
      </c>
      <c r="BN166" s="6058">
        <v>6</v>
      </c>
      <c r="BO166" s="6266">
        <v>2.2799999999999998</v>
      </c>
      <c r="BP166" s="6249">
        <v>697318.41561280435</v>
      </c>
      <c r="BQ166" s="6231">
        <v>100.40602101882209</v>
      </c>
      <c r="BR166" s="4520">
        <v>3313141.4469536091</v>
      </c>
      <c r="BS166" s="4520">
        <v>242.89056366485971</v>
      </c>
      <c r="BT166" s="6493">
        <v>198.13873508778556</v>
      </c>
    </row>
    <row r="167" spans="1:76" ht="17.399999999999999" customHeight="1">
      <c r="A167" s="7069"/>
      <c r="B167" s="7077" t="s">
        <v>1256</v>
      </c>
      <c r="C167" s="3311" t="s">
        <v>528</v>
      </c>
      <c r="D167" s="3328" t="s">
        <v>321</v>
      </c>
      <c r="E167" s="5857">
        <f t="shared" ref="E167:S167" si="265">E13</f>
        <v>4.9024831787199821</v>
      </c>
      <c r="F167" s="5797">
        <f t="shared" si="265"/>
        <v>1.6164350932909886</v>
      </c>
      <c r="G167" s="5798">
        <f t="shared" si="265"/>
        <v>0.40448129362749535</v>
      </c>
      <c r="H167" s="5799">
        <f t="shared" si="265"/>
        <v>0.23536599392254112</v>
      </c>
      <c r="I167" s="6534">
        <f t="shared" si="265"/>
        <v>0.1792328832596487</v>
      </c>
      <c r="J167" s="6535">
        <f t="shared" si="265"/>
        <v>0.1792328832596487</v>
      </c>
      <c r="K167" s="3357">
        <f t="shared" si="265"/>
        <v>2.1874961263089431E-2</v>
      </c>
      <c r="L167" s="3357">
        <f t="shared" si="265"/>
        <v>4.6454838446725509E-2</v>
      </c>
      <c r="M167" s="3357">
        <f t="shared" si="265"/>
        <v>0.43837618842807174</v>
      </c>
      <c r="N167" s="3357">
        <f t="shared" si="265"/>
        <v>0.44555268679893256</v>
      </c>
      <c r="O167" s="3357">
        <f t="shared" si="265"/>
        <v>0.18435064029803722</v>
      </c>
      <c r="P167" s="3357">
        <f t="shared" si="265"/>
        <v>0.37006654576354736</v>
      </c>
      <c r="Q167" s="3357">
        <f t="shared" si="265"/>
        <v>0.42633756771097236</v>
      </c>
      <c r="R167" s="3357">
        <f t="shared" si="265"/>
        <v>0.35360536513579977</v>
      </c>
      <c r="S167" s="3357">
        <f t="shared" si="265"/>
        <v>0.34650034650034645</v>
      </c>
      <c r="T167" s="3357">
        <f>T13</f>
        <v>0.23899469739679055</v>
      </c>
      <c r="U167" s="3357">
        <f>U13</f>
        <v>0.26729814284262166</v>
      </c>
      <c r="V167" s="3357">
        <f>V13</f>
        <v>0.50339996367053907</v>
      </c>
      <c r="W167" s="6512">
        <f>W13</f>
        <v>0.30624591959697794</v>
      </c>
      <c r="X167" s="3303">
        <f t="shared" ref="X167:AL167" si="266">X13</f>
        <v>6606753.334543067</v>
      </c>
      <c r="Y167" s="3303">
        <f t="shared" si="266"/>
        <v>550562.77787858888</v>
      </c>
      <c r="Z167" s="3305">
        <f t="shared" si="266"/>
        <v>39.471581637848409</v>
      </c>
      <c r="AA167" s="3303">
        <f t="shared" si="266"/>
        <v>2058823.0383249035</v>
      </c>
      <c r="AB167" s="3303">
        <f t="shared" si="266"/>
        <v>1515541.8704084246</v>
      </c>
      <c r="AC167" s="4521">
        <f t="shared" si="266"/>
        <v>-1898474.9242127512</v>
      </c>
      <c r="AD167" s="4521">
        <f t="shared" si="266"/>
        <v>-1907389.6165934787</v>
      </c>
      <c r="AE167" s="4521">
        <f t="shared" si="266"/>
        <v>453395.90303636075</v>
      </c>
      <c r="AF167" s="4521">
        <f t="shared" si="266"/>
        <v>-1287428.0080372121</v>
      </c>
      <c r="AG167" s="4521">
        <f t="shared" si="266"/>
        <v>-2022160.2604651945</v>
      </c>
      <c r="AH167" s="4521">
        <f t="shared" si="266"/>
        <v>-1032222.2240864171</v>
      </c>
      <c r="AI167" s="4521">
        <f t="shared" si="266"/>
        <v>-1017153.7670142782</v>
      </c>
      <c r="AJ167" s="4521">
        <f t="shared" si="266"/>
        <v>-34805.368377334577</v>
      </c>
      <c r="AK167" s="4521">
        <f t="shared" si="266"/>
        <v>-298212.59168456361</v>
      </c>
      <c r="AL167" s="4521">
        <f t="shared" si="266"/>
        <v>-2386459.8778294637</v>
      </c>
      <c r="AM167" s="4539">
        <f t="shared" si="108"/>
        <v>-7856545.826531006</v>
      </c>
      <c r="AN167" s="4564">
        <f t="shared" ref="AN167:AW167" si="267">AN13</f>
        <v>39.471581637848409</v>
      </c>
      <c r="AO167" s="3305">
        <f t="shared" si="267"/>
        <v>150.12224736971118</v>
      </c>
      <c r="AP167" s="3305">
        <f t="shared" si="267"/>
        <v>132.83821273409728</v>
      </c>
      <c r="AQ167" s="3305">
        <f t="shared" si="267"/>
        <v>-142.7523501033719</v>
      </c>
      <c r="AR167" s="3305">
        <f t="shared" si="267"/>
        <v>-147.79870755575831</v>
      </c>
      <c r="AS167" s="3305">
        <f t="shared" si="267"/>
        <v>35.872886280369059</v>
      </c>
      <c r="AT167" s="3305">
        <f t="shared" si="267"/>
        <v>-94.71849619355379</v>
      </c>
      <c r="AU167" s="4564">
        <f t="shared" si="267"/>
        <v>-134.28705404494039</v>
      </c>
      <c r="AV167" s="6429">
        <f t="shared" si="267"/>
        <v>-83.14335226637013</v>
      </c>
      <c r="AW167" s="4463">
        <f t="shared" si="267"/>
        <v>-78.147257808110894</v>
      </c>
      <c r="AX167" s="6429">
        <f>AX13</f>
        <v>-2.5516253015720554</v>
      </c>
      <c r="AY167" s="3974"/>
      <c r="AZ167" s="6445"/>
      <c r="BA167" s="3305">
        <f>BA13</f>
        <v>-49.841220978203332</v>
      </c>
      <c r="BE167" s="7069"/>
      <c r="BF167" s="7138" t="s">
        <v>1256</v>
      </c>
      <c r="BG167" s="6186" t="s">
        <v>528</v>
      </c>
      <c r="BH167" s="4554" t="s">
        <v>321</v>
      </c>
      <c r="BI167" s="3823">
        <v>587</v>
      </c>
      <c r="BJ167" s="3822">
        <v>203.59</v>
      </c>
      <c r="BK167" s="3811">
        <v>66.490000000000009</v>
      </c>
      <c r="BL167" s="5588">
        <v>35.659999999999997</v>
      </c>
      <c r="BM167" s="5589">
        <v>30</v>
      </c>
      <c r="BN167" s="5860">
        <v>0.17929715515180492</v>
      </c>
      <c r="BO167" s="6270">
        <v>0.23899469739679055</v>
      </c>
      <c r="BP167" s="4463">
        <v>549932.3885937772</v>
      </c>
      <c r="BQ167" s="5583">
        <v>39.426387042211289</v>
      </c>
      <c r="BR167" s="4521">
        <v>-34805.368377334577</v>
      </c>
      <c r="BS167" s="4521">
        <v>-2.5516253015720554</v>
      </c>
      <c r="BT167" s="6488">
        <v>-39.273527032527142</v>
      </c>
    </row>
    <row r="168" spans="1:76" ht="17.399999999999999" customHeight="1">
      <c r="A168" s="7069"/>
      <c r="B168" s="7078"/>
      <c r="C168" s="3311" t="s">
        <v>1057</v>
      </c>
      <c r="D168" s="3328" t="s">
        <v>321</v>
      </c>
      <c r="E168" s="5797">
        <f t="shared" ref="E168:S168" si="268">E20</f>
        <v>6.9486644032283227</v>
      </c>
      <c r="F168" s="5797">
        <f t="shared" si="268"/>
        <v>3.3509329098848748</v>
      </c>
      <c r="G168" s="5798">
        <f t="shared" si="268"/>
        <v>3.4277214650782906</v>
      </c>
      <c r="H168" s="5799">
        <f t="shared" si="268"/>
        <v>3.577497104820067</v>
      </c>
      <c r="I168" s="6534">
        <f t="shared" si="268"/>
        <v>3.1793945187325519</v>
      </c>
      <c r="J168" s="6535">
        <f t="shared" si="268"/>
        <v>3.1793945187325519</v>
      </c>
      <c r="K168" s="3357">
        <f t="shared" si="268"/>
        <v>3.9535346656156962</v>
      </c>
      <c r="L168" s="3357">
        <f t="shared" si="268"/>
        <v>3.0055403968645611</v>
      </c>
      <c r="M168" s="3357">
        <f t="shared" si="268"/>
        <v>2.8836581177043827</v>
      </c>
      <c r="N168" s="3357">
        <f t="shared" si="268"/>
        <v>3.1335914181128404</v>
      </c>
      <c r="O168" s="3357">
        <f t="shared" si="268"/>
        <v>3.391893540590925</v>
      </c>
      <c r="P168" s="3357">
        <f t="shared" si="268"/>
        <v>2.7949956408662358</v>
      </c>
      <c r="Q168" s="3357">
        <f t="shared" si="268"/>
        <v>2.9046737089841015</v>
      </c>
      <c r="R168" s="3357">
        <f t="shared" si="268"/>
        <v>2.6315005191313392</v>
      </c>
      <c r="S168" s="3357">
        <f t="shared" si="268"/>
        <v>3.6163572748938599</v>
      </c>
      <c r="T168" s="3357">
        <f>T20</f>
        <v>4.0856363453751952</v>
      </c>
      <c r="U168" s="3357">
        <f>U20</f>
        <v>2.7128879117238474</v>
      </c>
      <c r="V168" s="3357">
        <f>V20</f>
        <v>3.1124870675017169</v>
      </c>
      <c r="W168" s="6512">
        <f>W20</f>
        <v>3.189781473102633</v>
      </c>
      <c r="X168" s="3303">
        <f t="shared" ref="X168:AL168" si="269">X20</f>
        <v>46855867.367112018</v>
      </c>
      <c r="Y168" s="3303">
        <f t="shared" si="269"/>
        <v>3904655.6139260014</v>
      </c>
      <c r="Z168" s="3305">
        <f t="shared" si="269"/>
        <v>279.93707352797236</v>
      </c>
      <c r="AA168" s="3303">
        <f t="shared" si="269"/>
        <v>-3626357.4343026057</v>
      </c>
      <c r="AB168" s="3303">
        <f t="shared" si="269"/>
        <v>4588529.1251553614</v>
      </c>
      <c r="AC168" s="4521">
        <f t="shared" si="269"/>
        <v>6488521.0404761974</v>
      </c>
      <c r="AD168" s="4521">
        <f t="shared" si="269"/>
        <v>4028328.7490045708</v>
      </c>
      <c r="AE168" s="4521">
        <f t="shared" si="269"/>
        <v>1649540.5722331181</v>
      </c>
      <c r="AF168" s="4521">
        <f t="shared" si="269"/>
        <v>7478917.4005269455</v>
      </c>
      <c r="AG168" s="4521">
        <f t="shared" si="269"/>
        <v>7124393.9942498039</v>
      </c>
      <c r="AH168" s="4521">
        <f t="shared" si="269"/>
        <v>8258490.2950522378</v>
      </c>
      <c r="AI168" s="4521">
        <f t="shared" si="269"/>
        <v>-355666.51949226286</v>
      </c>
      <c r="AJ168" s="4521">
        <f t="shared" si="269"/>
        <v>-4873909.8082844829</v>
      </c>
      <c r="AK168" s="4521">
        <f t="shared" si="269"/>
        <v>8074537.9496016912</v>
      </c>
      <c r="AL168" s="4521">
        <f t="shared" si="269"/>
        <v>4140250.5730582424</v>
      </c>
      <c r="AM168" s="4539">
        <f t="shared" si="108"/>
        <v>42975575.937278815</v>
      </c>
      <c r="AN168" s="4564">
        <f t="shared" ref="AN168:AW168" si="270">AN20</f>
        <v>279.93707352797236</v>
      </c>
      <c r="AO168" s="3305">
        <f t="shared" si="270"/>
        <v>-264.42142800495293</v>
      </c>
      <c r="AP168" s="3305">
        <f t="shared" si="270"/>
        <v>402.18750795695661</v>
      </c>
      <c r="AQ168" s="3305">
        <f t="shared" si="270"/>
        <v>487.89247380090933</v>
      </c>
      <c r="AR168" s="3305">
        <f t="shared" si="270"/>
        <v>312.14481694406425</v>
      </c>
      <c r="AS168" s="3305">
        <f t="shared" si="270"/>
        <v>130.51238656170216</v>
      </c>
      <c r="AT168" s="3305">
        <f t="shared" si="270"/>
        <v>550.23799770653989</v>
      </c>
      <c r="AU168" s="4564">
        <f t="shared" si="270"/>
        <v>473.11476743350789</v>
      </c>
      <c r="AV168" s="6429">
        <f t="shared" si="270"/>
        <v>665.20420871353201</v>
      </c>
      <c r="AW168" s="4463">
        <f t="shared" si="270"/>
        <v>-27.325625774421578</v>
      </c>
      <c r="AX168" s="6429">
        <f>AX20</f>
        <v>-357.31245391723911</v>
      </c>
      <c r="AY168" s="3974"/>
      <c r="AZ168" s="6445"/>
      <c r="BA168" s="3305">
        <f>BA20</f>
        <v>272.63319329497682</v>
      </c>
      <c r="BE168" s="7069"/>
      <c r="BF168" s="7078"/>
      <c r="BG168" s="6186" t="s">
        <v>1057</v>
      </c>
      <c r="BH168" s="4554" t="s">
        <v>321</v>
      </c>
      <c r="BI168" s="3823">
        <v>742.44</v>
      </c>
      <c r="BJ168" s="3822">
        <v>542.54</v>
      </c>
      <c r="BK168" s="3811">
        <v>423.25</v>
      </c>
      <c r="BL168" s="5588">
        <v>437.47500000000008</v>
      </c>
      <c r="BM168" s="5589">
        <v>429.52090909090919</v>
      </c>
      <c r="BN168" s="5860">
        <v>3.1805346315171796</v>
      </c>
      <c r="BO168" s="6270">
        <v>4.0856363453751952</v>
      </c>
      <c r="BP168" s="4463">
        <v>3893473.2002954935</v>
      </c>
      <c r="BQ168" s="5583">
        <v>279.13537103325297</v>
      </c>
      <c r="BR168" s="4521">
        <v>-4873909.8082844829</v>
      </c>
      <c r="BS168" s="4521">
        <v>-357.31245391723911</v>
      </c>
      <c r="BT168" s="6488">
        <v>233.587431995174</v>
      </c>
    </row>
    <row r="169" spans="1:76" ht="17.399999999999999" customHeight="1">
      <c r="A169" s="7069"/>
      <c r="B169" s="7078"/>
      <c r="C169" s="3311" t="s">
        <v>1252</v>
      </c>
      <c r="D169" s="3328" t="s">
        <v>321</v>
      </c>
      <c r="E169" s="5846"/>
      <c r="F169" s="5846"/>
      <c r="G169" s="5853"/>
      <c r="H169" s="4475">
        <f t="shared" ref="H169:S169" si="271">H25</f>
        <v>1.3320817617901037</v>
      </c>
      <c r="I169" s="6534">
        <f t="shared" si="271"/>
        <v>1.1227989676104266</v>
      </c>
      <c r="J169" s="6535">
        <f t="shared" si="271"/>
        <v>1.1227989676104266</v>
      </c>
      <c r="K169" s="3357">
        <f t="shared" si="271"/>
        <v>0</v>
      </c>
      <c r="L169" s="3357">
        <f t="shared" si="271"/>
        <v>0</v>
      </c>
      <c r="M169" s="3357">
        <f t="shared" si="271"/>
        <v>2.332492172390872</v>
      </c>
      <c r="N169" s="3357">
        <f t="shared" si="271"/>
        <v>1.0716510710311717</v>
      </c>
      <c r="O169" s="3357">
        <f t="shared" si="271"/>
        <v>0</v>
      </c>
      <c r="P169" s="3357">
        <f t="shared" si="271"/>
        <v>0.64301821271837056</v>
      </c>
      <c r="Q169" s="3357">
        <f t="shared" si="271"/>
        <v>0.42899387654406251</v>
      </c>
      <c r="R169" s="3357">
        <f t="shared" si="271"/>
        <v>2.1630338212657785</v>
      </c>
      <c r="S169" s="3357">
        <f t="shared" si="271"/>
        <v>3.6058316546121425</v>
      </c>
      <c r="T169" s="3357">
        <f>T25</f>
        <v>0.76331680653232625</v>
      </c>
      <c r="U169" s="3357">
        <f>U25</f>
        <v>4.565301689248968</v>
      </c>
      <c r="V169" s="3357">
        <f>V25</f>
        <v>1.3915763037142928</v>
      </c>
      <c r="W169" s="6512">
        <f>W25</f>
        <v>1.411526356967461</v>
      </c>
      <c r="X169" s="4535">
        <f t="shared" ref="X169:AL169" si="272">X25</f>
        <v>24632160.626421724</v>
      </c>
      <c r="Y169" s="4535">
        <f t="shared" si="272"/>
        <v>2052680.0522018101</v>
      </c>
      <c r="Z169" s="4541">
        <f t="shared" si="272"/>
        <v>147.16310566627868</v>
      </c>
      <c r="AA169" s="4535">
        <f t="shared" si="272"/>
        <v>12846069.391966449</v>
      </c>
      <c r="AB169" s="4535">
        <f t="shared" si="272"/>
        <v>10686640.922371436</v>
      </c>
      <c r="AC169" s="4523">
        <f t="shared" si="272"/>
        <v>-9355461.5967583805</v>
      </c>
      <c r="AD169" s="4523">
        <f t="shared" si="272"/>
        <v>2363340.8404593114</v>
      </c>
      <c r="AE169" s="4523">
        <f t="shared" si="272"/>
        <v>11838796.958078789</v>
      </c>
      <c r="AF169" s="4523">
        <f t="shared" si="272"/>
        <v>6585865.4643047396</v>
      </c>
      <c r="AG169" s="4523">
        <f t="shared" si="272"/>
        <v>9562619.1742821783</v>
      </c>
      <c r="AH169" s="4523">
        <f t="shared" si="272"/>
        <v>-7254158.8655284513</v>
      </c>
      <c r="AI169" s="4523">
        <f t="shared" si="272"/>
        <v>-20810426.435094282</v>
      </c>
      <c r="AJ169" s="4523">
        <f t="shared" si="272"/>
        <v>5455412.3610113515</v>
      </c>
      <c r="AK169" s="4523">
        <f t="shared" si="272"/>
        <v>-30194864.005765539</v>
      </c>
      <c r="AL169" s="4523">
        <f t="shared" si="272"/>
        <v>-529713.96642525948</v>
      </c>
      <c r="AM169" s="4539">
        <f t="shared" si="108"/>
        <v>-8805879.7570976503</v>
      </c>
      <c r="AN169" s="4566">
        <f t="shared" ref="AN169:AW169" si="273">AN25</f>
        <v>147.16310566627868</v>
      </c>
      <c r="AO169" s="4541">
        <f t="shared" si="273"/>
        <v>936.69090110741627</v>
      </c>
      <c r="AP169" s="4541">
        <f t="shared" si="273"/>
        <v>936.69090110741638</v>
      </c>
      <c r="AQ169" s="4541">
        <f t="shared" si="273"/>
        <v>-703.46682603295721</v>
      </c>
      <c r="AR169" s="4541">
        <f t="shared" si="273"/>
        <v>183.1291932675293</v>
      </c>
      <c r="AS169" s="4541">
        <f t="shared" si="273"/>
        <v>936.69090110741627</v>
      </c>
      <c r="AT169" s="4541">
        <f t="shared" si="273"/>
        <v>484.53448970948227</v>
      </c>
      <c r="AU169" s="4566">
        <f t="shared" si="273"/>
        <v>635.03174450307961</v>
      </c>
      <c r="AV169" s="5965">
        <f t="shared" si="273"/>
        <v>-584.30740191304949</v>
      </c>
      <c r="AW169" s="6252">
        <f t="shared" si="273"/>
        <v>-1598.8514347184343</v>
      </c>
      <c r="AX169" s="5965">
        <f>AX25</f>
        <v>399.94313693086463</v>
      </c>
      <c r="AY169" s="4018"/>
      <c r="AZ169" s="4689"/>
      <c r="BA169" s="4541">
        <f>BA25</f>
        <v>-55.863710156042245</v>
      </c>
      <c r="BE169" s="7069"/>
      <c r="BF169" s="7078"/>
      <c r="BG169" s="6186" t="s">
        <v>1252</v>
      </c>
      <c r="BH169" s="4554" t="s">
        <v>321</v>
      </c>
      <c r="BI169" s="3824"/>
      <c r="BJ169" s="3825"/>
      <c r="BK169" s="3812"/>
      <c r="BL169" s="5588">
        <v>201.822</v>
      </c>
      <c r="BM169" s="5589">
        <v>187.93409119863321</v>
      </c>
      <c r="BN169" s="5860">
        <v>1.1232015969318265</v>
      </c>
      <c r="BO169" s="6268">
        <v>0.76331680653232625</v>
      </c>
      <c r="BP169" s="6252">
        <v>2048730.9976237281</v>
      </c>
      <c r="BQ169" s="6234">
        <v>146.87998549100689</v>
      </c>
      <c r="BR169" s="4523">
        <v>5455412.3610113515</v>
      </c>
      <c r="BS169" s="4523">
        <v>399.94313693086463</v>
      </c>
      <c r="BT169" s="6488">
        <v>166.4434775264431</v>
      </c>
    </row>
    <row r="170" spans="1:76" ht="17.399999999999999" customHeight="1">
      <c r="A170" s="7069"/>
      <c r="B170" s="7078"/>
      <c r="C170" s="3311" t="s">
        <v>1253</v>
      </c>
      <c r="D170" s="3328" t="s">
        <v>321</v>
      </c>
      <c r="E170" s="5846"/>
      <c r="F170" s="5846"/>
      <c r="G170" s="5853"/>
      <c r="H170" s="4475">
        <f t="shared" ref="H170:S170" si="274">H32</f>
        <v>0.53508472033932741</v>
      </c>
      <c r="I170" s="6534">
        <f t="shared" si="274"/>
        <v>0.42270283187955554</v>
      </c>
      <c r="J170" s="6535">
        <f t="shared" si="274"/>
        <v>0.42270283187955554</v>
      </c>
      <c r="K170" s="3357">
        <f t="shared" si="274"/>
        <v>1.9519757100430135</v>
      </c>
      <c r="L170" s="3357">
        <f t="shared" si="274"/>
        <v>0</v>
      </c>
      <c r="M170" s="3357">
        <f t="shared" si="274"/>
        <v>0</v>
      </c>
      <c r="N170" s="3357">
        <f t="shared" si="274"/>
        <v>0.64934461136957478</v>
      </c>
      <c r="O170" s="3357">
        <f t="shared" si="274"/>
        <v>0</v>
      </c>
      <c r="P170" s="3357">
        <f t="shared" si="274"/>
        <v>0</v>
      </c>
      <c r="Q170" s="3357">
        <f t="shared" si="274"/>
        <v>0</v>
      </c>
      <c r="R170" s="3357">
        <f t="shared" si="274"/>
        <v>0</v>
      </c>
      <c r="S170" s="3357">
        <f t="shared" si="274"/>
        <v>0</v>
      </c>
      <c r="T170" s="3357">
        <f>T32</f>
        <v>0</v>
      </c>
      <c r="U170" s="3357">
        <f>U32</f>
        <v>0</v>
      </c>
      <c r="V170" s="3357">
        <f>V32</f>
        <v>0.67533308587178853</v>
      </c>
      <c r="W170" s="6512">
        <f>W32</f>
        <v>1.1373857695214658</v>
      </c>
      <c r="X170" s="4535">
        <f t="shared" ref="X170:AL170" si="275">X32</f>
        <v>13227120.456281273</v>
      </c>
      <c r="Y170" s="4535">
        <f t="shared" si="275"/>
        <v>1102260.0380234395</v>
      </c>
      <c r="Z170" s="4541">
        <f t="shared" si="275"/>
        <v>79.024497886732419</v>
      </c>
      <c r="AA170" s="4535">
        <f t="shared" si="275"/>
        <v>-13663936.026063226</v>
      </c>
      <c r="AB170" s="4535">
        <f t="shared" si="275"/>
        <v>4292723.1896257717</v>
      </c>
      <c r="AC170" s="4523">
        <f t="shared" si="275"/>
        <v>5003910.894070548</v>
      </c>
      <c r="AD170" s="4523">
        <f t="shared" si="275"/>
        <v>-1036878.8183577504</v>
      </c>
      <c r="AE170" s="4523">
        <f t="shared" si="275"/>
        <v>4755533.4373430423</v>
      </c>
      <c r="AF170" s="4523">
        <f t="shared" si="275"/>
        <v>5114181.3914076015</v>
      </c>
      <c r="AG170" s="4523">
        <f t="shared" si="275"/>
        <v>5665906.3754223911</v>
      </c>
      <c r="AH170" s="4523">
        <f t="shared" si="275"/>
        <v>4671255.7284082081</v>
      </c>
      <c r="AI170" s="4523">
        <f t="shared" si="275"/>
        <v>4897346.5570322983</v>
      </c>
      <c r="AJ170" s="4523">
        <f t="shared" si="275"/>
        <v>5132362.2711678185</v>
      </c>
      <c r="AK170" s="4523">
        <f t="shared" si="275"/>
        <v>4997126.9275540598</v>
      </c>
      <c r="AL170" s="4523">
        <f t="shared" si="275"/>
        <v>-1248711.4882828358</v>
      </c>
      <c r="AM170" s="4539">
        <f t="shared" si="108"/>
        <v>28580820.439327925</v>
      </c>
      <c r="AN170" s="4566">
        <f t="shared" ref="AN170:AW170" si="276">AN32</f>
        <v>79.024497886732419</v>
      </c>
      <c r="AO170" s="4541">
        <f t="shared" si="276"/>
        <v>-996.32690423821737</v>
      </c>
      <c r="AP170" s="4541">
        <f t="shared" si="276"/>
        <v>376.25992881241024</v>
      </c>
      <c r="AQ170" s="4541">
        <f t="shared" si="276"/>
        <v>376.25992881241018</v>
      </c>
      <c r="AR170" s="4541">
        <f t="shared" si="276"/>
        <v>-80.3450684181214</v>
      </c>
      <c r="AS170" s="4541">
        <f t="shared" si="276"/>
        <v>376.25992881241018</v>
      </c>
      <c r="AT170" s="4541">
        <f t="shared" si="276"/>
        <v>376.25992881241024</v>
      </c>
      <c r="AU170" s="4566">
        <f t="shared" si="276"/>
        <v>376.25992881241024</v>
      </c>
      <c r="AV170" s="5965">
        <f t="shared" si="276"/>
        <v>376.25992881241018</v>
      </c>
      <c r="AW170" s="6252">
        <f t="shared" si="276"/>
        <v>376.25992881241024</v>
      </c>
      <c r="AX170" s="5965">
        <f>AX32</f>
        <v>376.25992881241029</v>
      </c>
      <c r="AY170" s="4018"/>
      <c r="AZ170" s="4689"/>
      <c r="BA170" s="4541">
        <f>BA32</f>
        <v>181.31415748183466</v>
      </c>
      <c r="BE170" s="7069"/>
      <c r="BF170" s="7078"/>
      <c r="BG170" s="6186" t="s">
        <v>1253</v>
      </c>
      <c r="BH170" s="4554" t="s">
        <v>321</v>
      </c>
      <c r="BI170" s="3824"/>
      <c r="BJ170" s="3825"/>
      <c r="BK170" s="3812"/>
      <c r="BL170" s="5588">
        <v>81.070000000000007</v>
      </c>
      <c r="BM170" s="5589">
        <v>70.75200000000001</v>
      </c>
      <c r="BN170" s="5860">
        <v>0.42285441071001678</v>
      </c>
      <c r="BO170" s="6268">
        <v>0</v>
      </c>
      <c r="BP170" s="6252">
        <v>1100773.3279341392</v>
      </c>
      <c r="BQ170" s="6234">
        <v>78.917910952381831</v>
      </c>
      <c r="BR170" s="4523">
        <v>5132362.2711678185</v>
      </c>
      <c r="BS170" s="4523">
        <v>376.25992881241029</v>
      </c>
      <c r="BT170" s="6488">
        <v>188.5692208083949</v>
      </c>
    </row>
    <row r="171" spans="1:76" ht="17.399999999999999" customHeight="1">
      <c r="A171" s="7069"/>
      <c r="B171" s="7079"/>
      <c r="C171" s="3311" t="s">
        <v>338</v>
      </c>
      <c r="D171" s="3328" t="s">
        <v>321</v>
      </c>
      <c r="E171" s="5851">
        <f>SUM(E167:E170)</f>
        <v>11.851147581948304</v>
      </c>
      <c r="F171" s="5851">
        <f>SUM(F167:F170)</f>
        <v>4.9673680031758636</v>
      </c>
      <c r="G171" s="5851">
        <f>SUM(G167:G170)</f>
        <v>3.8322027587057859</v>
      </c>
      <c r="H171" s="5852">
        <f t="shared" ref="H171:O171" si="277">SUM(H167:H170)</f>
        <v>5.6800295808720387</v>
      </c>
      <c r="I171" s="6576">
        <f t="shared" si="277"/>
        <v>4.9041292014821831</v>
      </c>
      <c r="J171" s="6577">
        <f t="shared" si="277"/>
        <v>4.9041292014821831</v>
      </c>
      <c r="K171" s="5858">
        <f t="shared" si="277"/>
        <v>5.927385336921799</v>
      </c>
      <c r="L171" s="5858">
        <f t="shared" si="277"/>
        <v>3.0519952353112867</v>
      </c>
      <c r="M171" s="5858">
        <f t="shared" si="277"/>
        <v>5.6545264785233265</v>
      </c>
      <c r="N171" s="5858">
        <f t="shared" si="277"/>
        <v>5.3001397873125189</v>
      </c>
      <c r="O171" s="5858">
        <f t="shared" si="277"/>
        <v>3.576244180888962</v>
      </c>
      <c r="P171" s="5858">
        <f t="shared" ref="P171:W171" si="278">SUM(P167:P170)</f>
        <v>3.8080803993481536</v>
      </c>
      <c r="Q171" s="5858">
        <f t="shared" si="278"/>
        <v>3.7600051532391361</v>
      </c>
      <c r="R171" s="5858">
        <f t="shared" si="278"/>
        <v>5.1481397055329179</v>
      </c>
      <c r="S171" s="5858">
        <f t="shared" si="278"/>
        <v>7.5686892760063493</v>
      </c>
      <c r="T171" s="5858">
        <f t="shared" si="278"/>
        <v>5.087947849304312</v>
      </c>
      <c r="U171" s="5858">
        <f t="shared" si="278"/>
        <v>7.5454877438154373</v>
      </c>
      <c r="V171" s="5858">
        <f t="shared" si="278"/>
        <v>5.6827964207583364</v>
      </c>
      <c r="W171" s="6512">
        <f t="shared" si="278"/>
        <v>6.0449395191885369</v>
      </c>
      <c r="X171" s="4535">
        <f t="shared" ref="X171:AE171" si="279">SUM(X167:X170)</f>
        <v>91321901.784358084</v>
      </c>
      <c r="Y171" s="4535">
        <f t="shared" si="279"/>
        <v>7610158.4820298394</v>
      </c>
      <c r="Z171" s="4541">
        <f t="shared" si="279"/>
        <v>545.5962587188319</v>
      </c>
      <c r="AA171" s="4535">
        <f t="shared" si="279"/>
        <v>-2385401.0300744791</v>
      </c>
      <c r="AB171" s="4535">
        <f t="shared" si="279"/>
        <v>21083435.107560992</v>
      </c>
      <c r="AC171" s="4523">
        <f t="shared" si="279"/>
        <v>238495.41357561387</v>
      </c>
      <c r="AD171" s="4523">
        <f t="shared" si="279"/>
        <v>3447401.1545126536</v>
      </c>
      <c r="AE171" s="4523">
        <f t="shared" si="279"/>
        <v>18697266.870691311</v>
      </c>
      <c r="AF171" s="4523">
        <f t="shared" ref="AF171:AL171" si="280">SUM(AF167:AF170)</f>
        <v>17891536.248202074</v>
      </c>
      <c r="AG171" s="4523">
        <f t="shared" si="280"/>
        <v>20330759.283489179</v>
      </c>
      <c r="AH171" s="4523">
        <f t="shared" si="280"/>
        <v>4643364.9338455778</v>
      </c>
      <c r="AI171" s="4523">
        <f t="shared" si="280"/>
        <v>-17285900.164568525</v>
      </c>
      <c r="AJ171" s="4523">
        <f t="shared" si="280"/>
        <v>5679059.4555173526</v>
      </c>
      <c r="AK171" s="4523">
        <f t="shared" si="280"/>
        <v>-17421411.720294353</v>
      </c>
      <c r="AL171" s="4523">
        <f t="shared" si="280"/>
        <v>-24634.75947931665</v>
      </c>
      <c r="AM171" s="4539">
        <f t="shared" si="108"/>
        <v>54893970.792978078</v>
      </c>
      <c r="AN171" s="4566">
        <f t="shared" ref="AN171:AS171" si="281">SUM(AN167:AN170)</f>
        <v>545.5962587188319</v>
      </c>
      <c r="AO171" s="4541">
        <f t="shared" si="281"/>
        <v>-173.93518376604288</v>
      </c>
      <c r="AP171" s="4541">
        <f t="shared" si="281"/>
        <v>1847.9765506108806</v>
      </c>
      <c r="AQ171" s="4541">
        <f t="shared" si="281"/>
        <v>17.933226476990399</v>
      </c>
      <c r="AR171" s="4541">
        <f t="shared" si="281"/>
        <v>267.13023423771381</v>
      </c>
      <c r="AS171" s="4541">
        <f t="shared" si="281"/>
        <v>1479.3361027618976</v>
      </c>
      <c r="AT171" s="4541">
        <f>SUM(AT167:AT170)</f>
        <v>1316.3139200348785</v>
      </c>
      <c r="AU171" s="4566">
        <f>SUM(AU167:AU170)</f>
        <v>1350.1193867040574</v>
      </c>
      <c r="AV171" s="5965">
        <f>SUM(AV167:AV170)</f>
        <v>374.01338334652257</v>
      </c>
      <c r="AW171" s="6252">
        <f>SUM(AW167:AW170)</f>
        <v>-1328.0643894885566</v>
      </c>
      <c r="AX171" s="5965">
        <f>SUM(AX167:AX170)</f>
        <v>416.33898652446373</v>
      </c>
      <c r="AY171" s="4018"/>
      <c r="AZ171" s="4689"/>
      <c r="BA171" s="4541">
        <f>SUM(BA167:BA170)</f>
        <v>348.24241964256589</v>
      </c>
      <c r="BE171" s="7069"/>
      <c r="BF171" s="7079"/>
      <c r="BG171" s="6186" t="s">
        <v>338</v>
      </c>
      <c r="BH171" s="4554" t="s">
        <v>321</v>
      </c>
      <c r="BI171" s="4555">
        <v>1469.22</v>
      </c>
      <c r="BJ171" s="4699">
        <v>872.04</v>
      </c>
      <c r="BK171" s="3813">
        <v>582.38800000000003</v>
      </c>
      <c r="BL171" s="5592">
        <v>756.02700000000016</v>
      </c>
      <c r="BM171" s="5589">
        <v>718.20700028954229</v>
      </c>
      <c r="BN171" s="5860">
        <v>4.9058877943108277</v>
      </c>
      <c r="BO171" s="6316">
        <v>5.087947849304312</v>
      </c>
      <c r="BP171" s="6252">
        <v>7592909.914447139</v>
      </c>
      <c r="BQ171" s="6234">
        <v>544.35965451885295</v>
      </c>
      <c r="BR171" s="4523">
        <v>5679059.4555173526</v>
      </c>
      <c r="BS171" s="4523">
        <v>416.33898652446373</v>
      </c>
      <c r="BT171" s="6488">
        <v>549.32660329748489</v>
      </c>
    </row>
    <row r="172" spans="1:76" s="299" customFormat="1" ht="17.399999999999999" customHeight="1">
      <c r="A172" s="7069"/>
      <c r="B172" s="7088" t="s">
        <v>1446</v>
      </c>
      <c r="C172" s="7089"/>
      <c r="D172" s="3328" t="s">
        <v>1448</v>
      </c>
      <c r="E172" s="3322">
        <f t="shared" ref="E172:S172" si="282">E41</f>
        <v>420.60000000000008</v>
      </c>
      <c r="F172" s="3322">
        <f t="shared" si="282"/>
        <v>1029.94</v>
      </c>
      <c r="G172" s="3326">
        <f t="shared" si="282"/>
        <v>384</v>
      </c>
      <c r="H172" s="3290">
        <f t="shared" si="282"/>
        <v>1686.7099999999998</v>
      </c>
      <c r="I172" s="6578">
        <f t="shared" si="282"/>
        <v>200</v>
      </c>
      <c r="J172" s="6579">
        <f t="shared" si="282"/>
        <v>16.666666666666668</v>
      </c>
      <c r="K172" s="3338">
        <f t="shared" si="282"/>
        <v>0</v>
      </c>
      <c r="L172" s="3338">
        <f t="shared" si="282"/>
        <v>0</v>
      </c>
      <c r="M172" s="3338">
        <f t="shared" si="282"/>
        <v>3.51</v>
      </c>
      <c r="N172" s="3338">
        <f t="shared" si="282"/>
        <v>0</v>
      </c>
      <c r="O172" s="3338">
        <f t="shared" si="282"/>
        <v>39.479999999999997</v>
      </c>
      <c r="P172" s="3338">
        <f t="shared" si="282"/>
        <v>14.17</v>
      </c>
      <c r="Q172" s="3338">
        <f t="shared" si="282"/>
        <v>0</v>
      </c>
      <c r="R172" s="3338">
        <f t="shared" si="282"/>
        <v>1.65</v>
      </c>
      <c r="S172" s="3338">
        <f t="shared" si="282"/>
        <v>0</v>
      </c>
      <c r="T172" s="3338">
        <f>T41</f>
        <v>0</v>
      </c>
      <c r="U172" s="3338">
        <f>U41</f>
        <v>36.6</v>
      </c>
      <c r="V172" s="3338">
        <f>V41</f>
        <v>120.88</v>
      </c>
      <c r="W172" s="6520">
        <f>W41</f>
        <v>216.29</v>
      </c>
      <c r="X172" s="3303">
        <f t="shared" ref="X172:AL172" si="283">X41</f>
        <v>63762317.06485495</v>
      </c>
      <c r="Y172" s="3303">
        <f t="shared" si="283"/>
        <v>5313526.4220712455</v>
      </c>
      <c r="Z172" s="3305">
        <f t="shared" si="283"/>
        <v>380.94346436166177</v>
      </c>
      <c r="AA172" s="3303">
        <f t="shared" si="283"/>
        <v>6028329.7693375256</v>
      </c>
      <c r="AB172" s="3303">
        <f t="shared" si="283"/>
        <v>6028329.7693375256</v>
      </c>
      <c r="AC172" s="4521">
        <f t="shared" si="283"/>
        <v>5877792.1844032472</v>
      </c>
      <c r="AD172" s="4521">
        <f t="shared" si="283"/>
        <v>6028329.7693375256</v>
      </c>
      <c r="AE172" s="4521">
        <f t="shared" si="283"/>
        <v>4335103.6003331635</v>
      </c>
      <c r="AF172" s="4521">
        <f t="shared" si="283"/>
        <v>5420603.963491735</v>
      </c>
      <c r="AG172" s="4521">
        <f t="shared" si="283"/>
        <v>6028329.7693375256</v>
      </c>
      <c r="AH172" s="4521">
        <f t="shared" si="283"/>
        <v>5957564.2379581621</v>
      </c>
      <c r="AI172" s="4521">
        <f t="shared" si="283"/>
        <v>6028329.7693375256</v>
      </c>
      <c r="AJ172" s="4521">
        <f t="shared" si="283"/>
        <v>6028329.7693375256</v>
      </c>
      <c r="AK172" s="4521">
        <f t="shared" si="283"/>
        <v>4458621.6187407766</v>
      </c>
      <c r="AL172" s="4521">
        <f t="shared" si="283"/>
        <v>844004.05228465784</v>
      </c>
      <c r="AM172" s="4539">
        <f t="shared" si="108"/>
        <v>63063668.273236901</v>
      </c>
      <c r="AN172" s="4564">
        <f t="shared" ref="AN172:AW172" si="284">AN41</f>
        <v>380.94346436166177</v>
      </c>
      <c r="AO172" s="3305">
        <f t="shared" si="284"/>
        <v>439.5649339512907</v>
      </c>
      <c r="AP172" s="3305">
        <f t="shared" si="284"/>
        <v>528.38695384558639</v>
      </c>
      <c r="AQ172" s="3305">
        <f t="shared" si="284"/>
        <v>441.96983433464925</v>
      </c>
      <c r="AR172" s="3305">
        <f t="shared" si="284"/>
        <v>467.1197435892737</v>
      </c>
      <c r="AS172" s="3305">
        <f t="shared" si="284"/>
        <v>342.99533239474039</v>
      </c>
      <c r="AT172" s="3305">
        <f t="shared" si="284"/>
        <v>398.80401286711339</v>
      </c>
      <c r="AU172" s="4564">
        <f t="shared" si="284"/>
        <v>400.32764037679249</v>
      </c>
      <c r="AV172" s="6429">
        <f t="shared" si="284"/>
        <v>479.86940266131631</v>
      </c>
      <c r="AW172" s="4463">
        <f t="shared" si="284"/>
        <v>463.15262835782846</v>
      </c>
      <c r="AX172" s="6429">
        <f>AX41</f>
        <v>441.94443221806324</v>
      </c>
      <c r="AY172" s="4712"/>
      <c r="AZ172" s="5261"/>
      <c r="BA172" s="3305">
        <f>BA41</f>
        <v>400.07024658193234</v>
      </c>
      <c r="BE172" s="7069"/>
      <c r="BF172" s="7143" t="s">
        <v>1446</v>
      </c>
      <c r="BG172" s="7144"/>
      <c r="BH172" s="4554" t="s">
        <v>1447</v>
      </c>
      <c r="BI172" s="4699">
        <v>420.60000000000008</v>
      </c>
      <c r="BJ172" s="4699">
        <v>1029.94</v>
      </c>
      <c r="BK172" s="4699">
        <v>384</v>
      </c>
      <c r="BL172" s="4699">
        <v>1686.7099999999998</v>
      </c>
      <c r="BM172" s="6300">
        <v>200</v>
      </c>
      <c r="BN172" s="4693">
        <v>16.666666666666668</v>
      </c>
      <c r="BO172" s="6301">
        <v>0</v>
      </c>
      <c r="BP172" s="4463">
        <v>5313526.4220712455</v>
      </c>
      <c r="BQ172" s="5583">
        <v>380.94346436166177</v>
      </c>
      <c r="BR172" s="4521">
        <v>6028329.7693375256</v>
      </c>
      <c r="BS172" s="4521">
        <v>441.94443221806324</v>
      </c>
      <c r="BT172" s="6488">
        <v>438.61860325468467</v>
      </c>
      <c r="BU172" s="3783"/>
    </row>
    <row r="173" spans="1:76" ht="17.399999999999999" customHeight="1">
      <c r="A173" s="7069"/>
      <c r="B173" s="7080" t="s">
        <v>1257</v>
      </c>
      <c r="C173" s="3311" t="s">
        <v>1260</v>
      </c>
      <c r="D173" s="3328" t="s">
        <v>1261</v>
      </c>
      <c r="E173" s="3323">
        <f t="shared" ref="E173:S173" si="285">E50</f>
        <v>183</v>
      </c>
      <c r="F173" s="3323">
        <f t="shared" si="285"/>
        <v>145</v>
      </c>
      <c r="G173" s="3341">
        <f t="shared" si="285"/>
        <v>56</v>
      </c>
      <c r="H173" s="3291">
        <f t="shared" si="285"/>
        <v>61</v>
      </c>
      <c r="I173" s="6540">
        <f t="shared" si="285"/>
        <v>44</v>
      </c>
      <c r="J173" s="6541">
        <f t="shared" si="285"/>
        <v>3.6666666666666665</v>
      </c>
      <c r="K173" s="3355">
        <f t="shared" si="285"/>
        <v>5</v>
      </c>
      <c r="L173" s="3355">
        <f t="shared" si="285"/>
        <v>5</v>
      </c>
      <c r="M173" s="3355">
        <f t="shared" si="285"/>
        <v>4</v>
      </c>
      <c r="N173" s="3355">
        <f t="shared" si="285"/>
        <v>4</v>
      </c>
      <c r="O173" s="3355">
        <f t="shared" si="285"/>
        <v>3</v>
      </c>
      <c r="P173" s="3355">
        <f t="shared" si="285"/>
        <v>3</v>
      </c>
      <c r="Q173" s="3355">
        <f t="shared" si="285"/>
        <v>1</v>
      </c>
      <c r="R173" s="3355">
        <f t="shared" si="285"/>
        <v>5</v>
      </c>
      <c r="S173" s="3355">
        <f t="shared" si="285"/>
        <v>2</v>
      </c>
      <c r="T173" s="3355">
        <f t="shared" ref="T173:W174" si="286">T50</f>
        <v>3</v>
      </c>
      <c r="U173" s="3355">
        <f t="shared" si="286"/>
        <v>5</v>
      </c>
      <c r="V173" s="3355">
        <f t="shared" si="286"/>
        <v>12</v>
      </c>
      <c r="W173" s="6513">
        <f t="shared" si="286"/>
        <v>52</v>
      </c>
      <c r="X173" s="4532"/>
      <c r="Y173" s="4532"/>
      <c r="Z173" s="4540"/>
      <c r="AA173" s="4532"/>
      <c r="AB173" s="4532"/>
      <c r="AC173" s="4522"/>
      <c r="AD173" s="4522"/>
      <c r="AE173" s="4522"/>
      <c r="AF173" s="4522"/>
      <c r="AG173" s="4522"/>
      <c r="AH173" s="4522"/>
      <c r="AI173" s="4522"/>
      <c r="AJ173" s="4522"/>
      <c r="AK173" s="4522"/>
      <c r="AL173" s="4522"/>
      <c r="AM173" s="6475"/>
      <c r="AN173" s="4565"/>
      <c r="AO173" s="4540"/>
      <c r="AP173" s="4540"/>
      <c r="AQ173" s="4540"/>
      <c r="AR173" s="4540"/>
      <c r="AS173" s="4540"/>
      <c r="AT173" s="4540"/>
      <c r="AU173" s="4565"/>
      <c r="AV173" s="6612"/>
      <c r="AW173" s="6251"/>
      <c r="AX173" s="6612"/>
      <c r="AY173" s="6430"/>
      <c r="AZ173" s="4679"/>
      <c r="BA173" s="4540"/>
      <c r="BE173" s="7069"/>
      <c r="BF173" s="7120" t="s">
        <v>1257</v>
      </c>
      <c r="BG173" s="6186" t="s">
        <v>1260</v>
      </c>
      <c r="BH173" s="4554" t="s">
        <v>1491</v>
      </c>
      <c r="BI173" s="4454">
        <v>183</v>
      </c>
      <c r="BJ173" s="3838">
        <v>145</v>
      </c>
      <c r="BK173" s="3814">
        <v>56</v>
      </c>
      <c r="BL173" s="3838">
        <v>61</v>
      </c>
      <c r="BM173" s="5589">
        <v>44</v>
      </c>
      <c r="BN173" s="4378">
        <v>3.6666666666666665</v>
      </c>
      <c r="BO173" s="6280">
        <v>3</v>
      </c>
      <c r="BP173" s="6251"/>
      <c r="BQ173" s="6233"/>
      <c r="BR173" s="4522"/>
      <c r="BS173" s="4522"/>
      <c r="BT173" s="4540"/>
      <c r="BU173" s="3783"/>
    </row>
    <row r="174" spans="1:76" ht="17.399999999999999" customHeight="1">
      <c r="A174" s="7069"/>
      <c r="B174" s="7081"/>
      <c r="C174" s="3311" t="s">
        <v>1242</v>
      </c>
      <c r="D174" s="3328" t="s">
        <v>1244</v>
      </c>
      <c r="E174" s="3395">
        <f t="shared" ref="E174:S174" si="287">E51</f>
        <v>149.81666666666666</v>
      </c>
      <c r="F174" s="3323">
        <f t="shared" si="287"/>
        <v>138.06666666666666</v>
      </c>
      <c r="G174" s="3341">
        <f t="shared" si="287"/>
        <v>30.799999999999997</v>
      </c>
      <c r="H174" s="3291">
        <f t="shared" si="287"/>
        <v>47.3</v>
      </c>
      <c r="I174" s="6540">
        <f t="shared" si="287"/>
        <v>39.741818181818189</v>
      </c>
      <c r="J174" s="6541">
        <f t="shared" si="287"/>
        <v>3.3118181818181816</v>
      </c>
      <c r="K174" s="3355">
        <f t="shared" si="287"/>
        <v>0.71666666666666667</v>
      </c>
      <c r="L174" s="3355">
        <f t="shared" si="287"/>
        <v>2.2999999999999998</v>
      </c>
      <c r="M174" s="3355">
        <f t="shared" si="287"/>
        <v>3.35</v>
      </c>
      <c r="N174" s="3355">
        <f t="shared" si="287"/>
        <v>4.25</v>
      </c>
      <c r="O174" s="3355">
        <f t="shared" si="287"/>
        <v>5.4666666666666668</v>
      </c>
      <c r="P174" s="3355">
        <f t="shared" si="287"/>
        <v>5.416666666666667</v>
      </c>
      <c r="Q174" s="3355">
        <f t="shared" si="287"/>
        <v>0.23333333333333334</v>
      </c>
      <c r="R174" s="3355">
        <f t="shared" si="287"/>
        <v>3.3666666666666667</v>
      </c>
      <c r="S174" s="3355">
        <f t="shared" si="287"/>
        <v>0.7</v>
      </c>
      <c r="T174" s="3355">
        <f t="shared" si="286"/>
        <v>2.4500000000000002</v>
      </c>
      <c r="U174" s="3355">
        <f t="shared" si="286"/>
        <v>9.3000000000000007</v>
      </c>
      <c r="V174" s="3355">
        <f t="shared" si="286"/>
        <v>15.850000000000001</v>
      </c>
      <c r="W174" s="6513">
        <f t="shared" si="286"/>
        <v>53.399999999999991</v>
      </c>
      <c r="X174" s="3303">
        <f t="shared" ref="X174:AL174" si="288">X51</f>
        <v>7941842.0844387235</v>
      </c>
      <c r="Y174" s="3303">
        <f t="shared" si="288"/>
        <v>661820.17370322789</v>
      </c>
      <c r="Z174" s="3305">
        <f t="shared" si="288"/>
        <v>47.447975172892363</v>
      </c>
      <c r="AA174" s="3303">
        <f t="shared" si="288"/>
        <v>3388703.9685526108</v>
      </c>
      <c r="AB174" s="3303">
        <f t="shared" si="288"/>
        <v>1724999.1777903473</v>
      </c>
      <c r="AC174" s="4521">
        <f t="shared" si="288"/>
        <v>621700.21128484572</v>
      </c>
      <c r="AD174" s="4521">
        <f t="shared" si="288"/>
        <v>-323984.61714844115</v>
      </c>
      <c r="AE174" s="4521">
        <f t="shared" si="288"/>
        <v>-1602410.4037341811</v>
      </c>
      <c r="AF174" s="4521">
        <f t="shared" si="288"/>
        <v>-1549872.3577101096</v>
      </c>
      <c r="AG174" s="4521">
        <f t="shared" si="288"/>
        <v>3896571.7467853022</v>
      </c>
      <c r="AH174" s="4521">
        <f t="shared" si="288"/>
        <v>604187.52927682188</v>
      </c>
      <c r="AI174" s="4521">
        <f t="shared" si="288"/>
        <v>3406216.6505606347</v>
      </c>
      <c r="AJ174" s="4521">
        <f t="shared" si="288"/>
        <v>1567385.0397181325</v>
      </c>
      <c r="AK174" s="4521">
        <f t="shared" si="288"/>
        <v>-5630327.2655796632</v>
      </c>
      <c r="AL174" s="4521">
        <f t="shared" si="288"/>
        <v>-12512811.294733029</v>
      </c>
      <c r="AM174" s="4539">
        <f t="shared" si="108"/>
        <v>-6409641.614936728</v>
      </c>
      <c r="AN174" s="4564">
        <f t="shared" ref="AN174:AW174" si="289">AN51</f>
        <v>47.447975172892363</v>
      </c>
      <c r="AO174" s="3305">
        <f t="shared" si="289"/>
        <v>20.245572759903279</v>
      </c>
      <c r="AP174" s="3305">
        <f t="shared" si="289"/>
        <v>10.305885875196244</v>
      </c>
      <c r="AQ174" s="3305">
        <f t="shared" si="289"/>
        <v>3.7143040463905228</v>
      </c>
      <c r="AR174" s="3305">
        <f t="shared" si="289"/>
        <v>-1.935623235442951</v>
      </c>
      <c r="AS174" s="3305">
        <f t="shared" si="289"/>
        <v>-9.5734878942178341</v>
      </c>
      <c r="AT174" s="3305">
        <f t="shared" si="289"/>
        <v>-9.2596030452270846</v>
      </c>
      <c r="AU174" s="4564">
        <f t="shared" si="289"/>
        <v>23.279792966813851</v>
      </c>
      <c r="AV174" s="6429">
        <f t="shared" si="289"/>
        <v>3.6096757633936067</v>
      </c>
      <c r="AW174" s="4463">
        <f t="shared" si="289"/>
        <v>20.350201042900196</v>
      </c>
      <c r="AX174" s="6429">
        <f>AX51</f>
        <v>9.3642313282239957</v>
      </c>
      <c r="AY174" s="3974"/>
      <c r="AZ174" s="6445"/>
      <c r="BA174" s="3305">
        <f>BA51</f>
        <v>-40.662190633743997</v>
      </c>
      <c r="BE174" s="7069"/>
      <c r="BF174" s="7081"/>
      <c r="BG174" s="6186" t="s">
        <v>1242</v>
      </c>
      <c r="BH174" s="4554" t="s">
        <v>1492</v>
      </c>
      <c r="BI174" s="4454">
        <v>149.81666666666666</v>
      </c>
      <c r="BJ174" s="3838">
        <v>138.06666666666666</v>
      </c>
      <c r="BK174" s="3814">
        <v>30.799999999999997</v>
      </c>
      <c r="BL174" s="3838">
        <v>47.3</v>
      </c>
      <c r="BM174" s="5589">
        <v>39.741818181818189</v>
      </c>
      <c r="BN174" s="5865">
        <v>3.3118181818181816</v>
      </c>
      <c r="BO174" s="6292">
        <v>2.4500000000000002</v>
      </c>
      <c r="BP174" s="4463">
        <v>661820.17370322789</v>
      </c>
      <c r="BQ174" s="5583">
        <v>47.447975172892363</v>
      </c>
      <c r="BR174" s="4521">
        <v>1567385.0397181325</v>
      </c>
      <c r="BS174" s="4521">
        <v>9.3642313282239957</v>
      </c>
      <c r="BT174" s="6488">
        <v>89.100366087866846</v>
      </c>
      <c r="BU174" s="3783"/>
    </row>
    <row r="175" spans="1:76" ht="17.399999999999999" customHeight="1">
      <c r="A175" s="7069"/>
      <c r="B175" s="7090" t="s">
        <v>1258</v>
      </c>
      <c r="C175" s="7090"/>
      <c r="D175" s="3343" t="s">
        <v>1261</v>
      </c>
      <c r="E175" s="3396">
        <f>E61/2</f>
        <v>16</v>
      </c>
      <c r="F175" s="3394">
        <f>F61/2</f>
        <v>6</v>
      </c>
      <c r="G175" s="3347">
        <f t="shared" ref="G175:S175" si="290">G61</f>
        <v>7</v>
      </c>
      <c r="H175" s="3293">
        <f t="shared" si="290"/>
        <v>20</v>
      </c>
      <c r="I175" s="6540">
        <f t="shared" si="290"/>
        <v>16</v>
      </c>
      <c r="J175" s="6541">
        <f t="shared" si="290"/>
        <v>1.3333333333333333</v>
      </c>
      <c r="K175" s="3355">
        <f t="shared" si="290"/>
        <v>1</v>
      </c>
      <c r="L175" s="3355">
        <f t="shared" si="290"/>
        <v>0</v>
      </c>
      <c r="M175" s="3355">
        <f t="shared" si="290"/>
        <v>0</v>
      </c>
      <c r="N175" s="3355">
        <f t="shared" si="290"/>
        <v>1</v>
      </c>
      <c r="O175" s="3355">
        <f t="shared" si="290"/>
        <v>0</v>
      </c>
      <c r="P175" s="3355">
        <f t="shared" si="290"/>
        <v>0</v>
      </c>
      <c r="Q175" s="3355">
        <f t="shared" si="290"/>
        <v>1</v>
      </c>
      <c r="R175" s="3355">
        <f t="shared" si="290"/>
        <v>2</v>
      </c>
      <c r="S175" s="3355">
        <f t="shared" si="290"/>
        <v>0</v>
      </c>
      <c r="T175" s="3355">
        <f>T61</f>
        <v>1</v>
      </c>
      <c r="U175" s="3355">
        <f>U61</f>
        <v>0</v>
      </c>
      <c r="V175" s="3355">
        <f>V61</f>
        <v>2</v>
      </c>
      <c r="W175" s="6513">
        <f>W61</f>
        <v>8</v>
      </c>
      <c r="X175" s="3303">
        <f t="shared" ref="X175:AL175" si="291">X61</f>
        <v>47242909.090909064</v>
      </c>
      <c r="Y175" s="3303">
        <f t="shared" si="291"/>
        <v>3936909.0909090885</v>
      </c>
      <c r="Z175" s="3305">
        <f t="shared" si="291"/>
        <v>282.24942699790336</v>
      </c>
      <c r="AA175" s="3303">
        <f t="shared" si="291"/>
        <v>-2487540.9090909115</v>
      </c>
      <c r="AB175" s="3303">
        <f t="shared" si="291"/>
        <v>3936909.0909090885</v>
      </c>
      <c r="AC175" s="4521">
        <f t="shared" si="291"/>
        <v>3936909.0909090885</v>
      </c>
      <c r="AD175" s="4521">
        <f t="shared" si="291"/>
        <v>3936909.0909090885</v>
      </c>
      <c r="AE175" s="4521">
        <f t="shared" si="291"/>
        <v>3936909.0909090885</v>
      </c>
      <c r="AF175" s="4521">
        <f t="shared" si="291"/>
        <v>3936909.0909090885</v>
      </c>
      <c r="AG175" s="4521">
        <f t="shared" si="291"/>
        <v>-2098090.9090909115</v>
      </c>
      <c r="AH175" s="4521">
        <f t="shared" si="291"/>
        <v>3936909.0909090885</v>
      </c>
      <c r="AI175" s="4521">
        <f t="shared" si="291"/>
        <v>3936909.0909090885</v>
      </c>
      <c r="AJ175" s="4521">
        <f t="shared" si="291"/>
        <v>3936909.0909090885</v>
      </c>
      <c r="AK175" s="4521">
        <f t="shared" si="291"/>
        <v>3936909.0909090885</v>
      </c>
      <c r="AL175" s="4521">
        <f t="shared" si="291"/>
        <v>-5863090.909090912</v>
      </c>
      <c r="AM175" s="4539">
        <f t="shared" si="108"/>
        <v>24983459.090909064</v>
      </c>
      <c r="AN175" s="4564">
        <f t="shared" ref="AN175:AW175" si="292">AN61</f>
        <v>282.24942699790336</v>
      </c>
      <c r="AO175" s="3305">
        <f t="shared" si="292"/>
        <v>-181.38287008904652</v>
      </c>
      <c r="AP175" s="3305">
        <f t="shared" si="292"/>
        <v>345.07259584457864</v>
      </c>
      <c r="AQ175" s="3305">
        <f t="shared" si="292"/>
        <v>296.02867949580639</v>
      </c>
      <c r="AR175" s="3305">
        <f t="shared" si="292"/>
        <v>305.06094315438042</v>
      </c>
      <c r="AS175" s="3305">
        <f t="shared" si="292"/>
        <v>311.49000502328499</v>
      </c>
      <c r="AT175" s="3305">
        <f t="shared" si="292"/>
        <v>289.64579488227309</v>
      </c>
      <c r="AU175" s="4564">
        <f t="shared" si="292"/>
        <v>-139.32943536110935</v>
      </c>
      <c r="AV175" s="6429">
        <f t="shared" si="292"/>
        <v>317.10983521579902</v>
      </c>
      <c r="AW175" s="4463">
        <f t="shared" si="292"/>
        <v>302.47014725950402</v>
      </c>
      <c r="AX175" s="6429">
        <f>AX61</f>
        <v>288.61975363818755</v>
      </c>
      <c r="AY175" s="3974"/>
      <c r="AZ175" s="6445"/>
      <c r="BA175" s="3305">
        <f>BA61</f>
        <v>158.49282023467967</v>
      </c>
      <c r="BE175" s="7069"/>
      <c r="BF175" s="7101" t="s">
        <v>1258</v>
      </c>
      <c r="BG175" s="7101"/>
      <c r="BH175" s="4556" t="s">
        <v>1491</v>
      </c>
      <c r="BI175" s="4431">
        <v>16</v>
      </c>
      <c r="BJ175" s="5595">
        <v>6</v>
      </c>
      <c r="BK175" s="6302">
        <v>7</v>
      </c>
      <c r="BL175" s="5595">
        <v>20</v>
      </c>
      <c r="BM175" s="5589">
        <v>16</v>
      </c>
      <c r="BN175" s="4378">
        <v>1.3333333333333333</v>
      </c>
      <c r="BO175" s="6280">
        <v>1</v>
      </c>
      <c r="BP175" s="4463">
        <v>3936909.0909090885</v>
      </c>
      <c r="BQ175" s="5583">
        <v>282.24942699790336</v>
      </c>
      <c r="BR175" s="4521">
        <v>3936909.0909090885</v>
      </c>
      <c r="BS175" s="4521">
        <v>288.61975363818755</v>
      </c>
      <c r="BT175" s="6488">
        <v>204.34307584985785</v>
      </c>
      <c r="BU175" s="3783"/>
    </row>
    <row r="176" spans="1:76" ht="18" customHeight="1" thickBot="1">
      <c r="A176" s="7069"/>
      <c r="B176" s="7086" t="s">
        <v>1259</v>
      </c>
      <c r="C176" s="7086"/>
      <c r="D176" s="2848" t="s">
        <v>1262</v>
      </c>
      <c r="E176" s="3383">
        <f>E67/2</f>
        <v>166</v>
      </c>
      <c r="F176" s="3384">
        <f>F67/2</f>
        <v>43</v>
      </c>
      <c r="G176" s="3385">
        <f>G67/2</f>
        <v>50.5</v>
      </c>
      <c r="H176" s="3386">
        <f t="shared" ref="H176:S176" si="293">H67</f>
        <v>308.73</v>
      </c>
      <c r="I176" s="6543">
        <f t="shared" si="293"/>
        <v>246.98400000000001</v>
      </c>
      <c r="J176" s="6571">
        <f t="shared" si="293"/>
        <v>20.582000000000001</v>
      </c>
      <c r="K176" s="3387">
        <f t="shared" si="293"/>
        <v>0</v>
      </c>
      <c r="L176" s="3387">
        <f t="shared" si="293"/>
        <v>0</v>
      </c>
      <c r="M176" s="3387">
        <f t="shared" si="293"/>
        <v>6.9</v>
      </c>
      <c r="N176" s="3387">
        <f t="shared" si="293"/>
        <v>4.32</v>
      </c>
      <c r="O176" s="3387">
        <f t="shared" si="293"/>
        <v>0</v>
      </c>
      <c r="P176" s="3387">
        <f t="shared" si="293"/>
        <v>0</v>
      </c>
      <c r="Q176" s="3387">
        <f t="shared" si="293"/>
        <v>2.12</v>
      </c>
      <c r="R176" s="3387">
        <f t="shared" si="293"/>
        <v>0</v>
      </c>
      <c r="S176" s="3387">
        <f t="shared" si="293"/>
        <v>0</v>
      </c>
      <c r="T176" s="3387">
        <f>T67</f>
        <v>0</v>
      </c>
      <c r="U176" s="3387">
        <f>U67</f>
        <v>0</v>
      </c>
      <c r="V176" s="3387">
        <f>V67</f>
        <v>31.27</v>
      </c>
      <c r="W176" s="6521">
        <f>W67</f>
        <v>44.61</v>
      </c>
      <c r="X176" s="3318">
        <f t="shared" ref="X176:AL176" si="294">X67</f>
        <v>642460.38181818184</v>
      </c>
      <c r="Y176" s="3318">
        <f t="shared" si="294"/>
        <v>53538.365151515151</v>
      </c>
      <c r="Z176" s="4551">
        <f t="shared" si="294"/>
        <v>3.8383342204455837</v>
      </c>
      <c r="AA176" s="3318">
        <f t="shared" si="294"/>
        <v>53538.365151515151</v>
      </c>
      <c r="AB176" s="3318">
        <f t="shared" si="294"/>
        <v>53538.365151515151</v>
      </c>
      <c r="AC176" s="4524">
        <f t="shared" si="294"/>
        <v>-230461.63484848486</v>
      </c>
      <c r="AD176" s="4524">
        <f t="shared" si="294"/>
        <v>-183961.63484848486</v>
      </c>
      <c r="AE176" s="4524">
        <f t="shared" si="294"/>
        <v>53538.365151515151</v>
      </c>
      <c r="AF176" s="4524">
        <f t="shared" si="294"/>
        <v>53538.365151515151</v>
      </c>
      <c r="AG176" s="4524">
        <f t="shared" si="294"/>
        <v>-230461.63484848486</v>
      </c>
      <c r="AH176" s="4524">
        <f t="shared" si="294"/>
        <v>53538.365151515151</v>
      </c>
      <c r="AI176" s="4524">
        <f t="shared" si="294"/>
        <v>-291711.63484848483</v>
      </c>
      <c r="AJ176" s="4524">
        <f t="shared" si="294"/>
        <v>53538.365151515151</v>
      </c>
      <c r="AK176" s="4524">
        <f t="shared" si="294"/>
        <v>53538.365151515151</v>
      </c>
      <c r="AL176" s="4524">
        <f t="shared" si="294"/>
        <v>-666461.63484848489</v>
      </c>
      <c r="AM176" s="4539">
        <f t="shared" ref="AM176:AM184" si="295">SUM(AA176:AL176)</f>
        <v>-1228289.6181818182</v>
      </c>
      <c r="AN176" s="4575">
        <f t="shared" ref="AN176:AW176" si="296">AN67</f>
        <v>3.8383342204455837</v>
      </c>
      <c r="AO176" s="4551">
        <f t="shared" si="296"/>
        <v>3.9038322125951033</v>
      </c>
      <c r="AP176" s="4551">
        <f t="shared" si="296"/>
        <v>4.6926718939913865</v>
      </c>
      <c r="AQ176" s="4551">
        <f t="shared" si="296"/>
        <v>-17.329141177320903</v>
      </c>
      <c r="AR176" s="4551">
        <f t="shared" si="296"/>
        <v>-14.254713160811576</v>
      </c>
      <c r="AS176" s="4551">
        <f t="shared" si="296"/>
        <v>4.2359793545888156</v>
      </c>
      <c r="AT176" s="4551">
        <f t="shared" si="296"/>
        <v>3.9389180631110716</v>
      </c>
      <c r="AU176" s="4575">
        <f t="shared" si="296"/>
        <v>-15.304431908410795</v>
      </c>
      <c r="AV176" s="6624">
        <f t="shared" si="296"/>
        <v>4.312403908468176</v>
      </c>
      <c r="AW176" s="6253">
        <f t="shared" si="296"/>
        <v>-22.412013869885264</v>
      </c>
      <c r="AX176" s="6624">
        <f>AX67</f>
        <v>3.9249648400322825</v>
      </c>
      <c r="AY176" s="3974"/>
      <c r="AZ176" s="6445"/>
      <c r="BA176" s="4551">
        <f>BA67</f>
        <v>-7.7921590017713864</v>
      </c>
      <c r="BE176" s="7069"/>
      <c r="BF176" s="7091" t="s">
        <v>1259</v>
      </c>
      <c r="BG176" s="7091"/>
      <c r="BH176" s="2849" t="s">
        <v>1447</v>
      </c>
      <c r="BI176" s="4431">
        <v>166</v>
      </c>
      <c r="BJ176" s="5595">
        <v>43</v>
      </c>
      <c r="BK176" s="6302">
        <v>50.5</v>
      </c>
      <c r="BL176" s="3050">
        <v>308.73</v>
      </c>
      <c r="BM176" s="5589">
        <v>246.98400000000001</v>
      </c>
      <c r="BN176" s="4378">
        <v>20.582000000000001</v>
      </c>
      <c r="BO176" s="6272">
        <v>0</v>
      </c>
      <c r="BP176" s="4463">
        <v>53538.365151515151</v>
      </c>
      <c r="BQ176" s="5583">
        <v>3.8383342204455837</v>
      </c>
      <c r="BR176" s="4524">
        <v>53538.365151515151</v>
      </c>
      <c r="BS176" s="4524">
        <v>3.9249648400322825</v>
      </c>
      <c r="BT176" s="6489">
        <v>-2.0511758470949721</v>
      </c>
      <c r="BU176" s="3783"/>
    </row>
    <row r="177" spans="1:76" s="299" customFormat="1" ht="18" customHeight="1" thickBot="1">
      <c r="A177" s="7069"/>
      <c r="B177" s="7070" t="s">
        <v>1400</v>
      </c>
      <c r="C177" s="7071"/>
      <c r="D177" s="7071"/>
      <c r="E177" s="7071"/>
      <c r="F177" s="7071"/>
      <c r="G177" s="7071"/>
      <c r="H177" s="7071"/>
      <c r="I177" s="7076"/>
      <c r="J177" s="6528"/>
      <c r="K177" s="4324"/>
      <c r="L177" s="4751"/>
      <c r="M177" s="4751"/>
      <c r="N177" s="4751"/>
      <c r="O177" s="5429"/>
      <c r="P177" s="4751"/>
      <c r="Q177" s="4751"/>
      <c r="R177" s="6024"/>
      <c r="S177" s="6102"/>
      <c r="T177" s="6210"/>
      <c r="U177" s="6210"/>
      <c r="V177" s="6210"/>
      <c r="W177" s="6210"/>
      <c r="X177" s="3344">
        <f t="shared" ref="X177:AE177" si="297">X166+X171+X172+X174+X175+X176</f>
        <v>227717390.20450941</v>
      </c>
      <c r="Y177" s="3344">
        <f t="shared" si="297"/>
        <v>18976449.183709119</v>
      </c>
      <c r="Z177" s="3345">
        <f t="shared" si="297"/>
        <v>1360.481480490557</v>
      </c>
      <c r="AA177" s="3344">
        <f t="shared" si="297"/>
        <v>8234233.5985763129</v>
      </c>
      <c r="AB177" s="3344">
        <f t="shared" si="297"/>
        <v>36555228.115899608</v>
      </c>
      <c r="AC177" s="3344">
        <f t="shared" si="297"/>
        <v>12084012.514807189</v>
      </c>
      <c r="AD177" s="3344">
        <f t="shared" si="297"/>
        <v>14354412.889002744</v>
      </c>
      <c r="AE177" s="3344">
        <f t="shared" si="297"/>
        <v>27151397.94328386</v>
      </c>
      <c r="AF177" s="3344">
        <f t="shared" ref="AF177:AL177" si="298">AF166+AF171+AF172+AF174+AF175+AF176</f>
        <v>28229074.658262547</v>
      </c>
      <c r="AG177" s="3344">
        <f t="shared" si="298"/>
        <v>29608876.199209373</v>
      </c>
      <c r="AH177" s="3344">
        <f t="shared" si="298"/>
        <v>16715601.106804706</v>
      </c>
      <c r="AI177" s="3344">
        <f t="shared" si="298"/>
        <v>710231.53239143733</v>
      </c>
      <c r="AJ177" s="3344">
        <f t="shared" si="298"/>
        <v>20578363.167587221</v>
      </c>
      <c r="AK177" s="3344">
        <f t="shared" si="298"/>
        <v>-13314681.778705455</v>
      </c>
      <c r="AL177" s="3344">
        <f t="shared" si="298"/>
        <v>-21885381.182488956</v>
      </c>
      <c r="AM177" s="6473">
        <f t="shared" si="295"/>
        <v>159021368.76463059</v>
      </c>
      <c r="AN177" s="4559">
        <f>AN166+AN171+AN172+AN174+AN175+AN176</f>
        <v>1360.481480490557</v>
      </c>
      <c r="AO177" s="3345">
        <f>AA177/년간!F11</f>
        <v>600.41180333362115</v>
      </c>
      <c r="AP177" s="3345">
        <f>AB177/년간!G11</f>
        <v>3204.0890877496495</v>
      </c>
      <c r="AQ177" s="3345">
        <f>AC177/년간!H11</f>
        <v>908.63522249713435</v>
      </c>
      <c r="AR177" s="3345">
        <f>AD177/년간!I11</f>
        <v>1112.2864748028521</v>
      </c>
      <c r="AS177" s="3345">
        <f>AE177/년간!J11</f>
        <v>2148.2307278245453</v>
      </c>
      <c r="AT177" s="3345">
        <f>AF177/년간!K11</f>
        <v>2076.8660335754498</v>
      </c>
      <c r="AU177" s="4559">
        <f>AG177/년간!L11</f>
        <v>1966.2579846458293</v>
      </c>
      <c r="AV177" s="6614">
        <f>AH177/년간!M11</f>
        <v>1346.4068867508104</v>
      </c>
      <c r="AW177" s="6254">
        <f>AI177/년간!N11</f>
        <v>54.566623518648576</v>
      </c>
      <c r="AX177" s="6614">
        <f>AJ177/년간!O11</f>
        <v>1508.6256681468615</v>
      </c>
      <c r="AY177" s="6431"/>
      <c r="AZ177" s="6446"/>
      <c r="BA177" s="3345">
        <f>AM177/년간!V11</f>
        <v>1008.8172787192785</v>
      </c>
      <c r="BE177" s="7069"/>
      <c r="BF177" s="7070" t="s">
        <v>1400</v>
      </c>
      <c r="BG177" s="7071"/>
      <c r="BH177" s="7071"/>
      <c r="BI177" s="7071"/>
      <c r="BJ177" s="7071"/>
      <c r="BK177" s="7071"/>
      <c r="BL177" s="7071"/>
      <c r="BM177" s="7071"/>
      <c r="BN177" s="7071"/>
      <c r="BO177" s="7073"/>
      <c r="BP177" s="6254">
        <v>18256022.381895021</v>
      </c>
      <c r="BQ177" s="6236">
        <v>1359.2448762905781</v>
      </c>
      <c r="BR177" s="4559">
        <v>20578363.167587221</v>
      </c>
      <c r="BS177" s="3344">
        <v>1508.6256681468615</v>
      </c>
      <c r="BT177" s="6478">
        <v>1477.4762077305845</v>
      </c>
      <c r="BU177" s="3783"/>
    </row>
    <row r="178" spans="1:76" s="299" customFormat="1" ht="17.399999999999999" customHeight="1">
      <c r="A178" s="7069"/>
      <c r="B178" s="7092" t="s">
        <v>1449</v>
      </c>
      <c r="C178" s="7093"/>
      <c r="D178" s="3025" t="s">
        <v>1451</v>
      </c>
      <c r="E178" s="3379">
        <f t="shared" ref="E178:S178" si="299">E73</f>
        <v>19.959255318262262</v>
      </c>
      <c r="F178" s="3379">
        <f t="shared" si="299"/>
        <v>22.3</v>
      </c>
      <c r="G178" s="3380">
        <f t="shared" si="299"/>
        <v>23.635136290988044</v>
      </c>
      <c r="H178" s="3388">
        <f t="shared" si="299"/>
        <v>23.126629659404287</v>
      </c>
      <c r="I178" s="6580">
        <f t="shared" si="299"/>
        <v>24.5</v>
      </c>
      <c r="J178" s="6581">
        <f t="shared" si="299"/>
        <v>24.5</v>
      </c>
      <c r="K178" s="3382">
        <f t="shared" si="299"/>
        <v>23.168020947715178</v>
      </c>
      <c r="L178" s="3382">
        <f t="shared" si="299"/>
        <v>22.388742436631237</v>
      </c>
      <c r="M178" s="3382">
        <f t="shared" si="299"/>
        <v>24.288338964478129</v>
      </c>
      <c r="N178" s="3382">
        <f t="shared" si="299"/>
        <v>22.942111344849042</v>
      </c>
      <c r="O178" s="3382">
        <f t="shared" si="299"/>
        <v>21.184386401095065</v>
      </c>
      <c r="P178" s="3382">
        <f t="shared" si="299"/>
        <v>22.248172195547795</v>
      </c>
      <c r="Q178" s="3382">
        <f t="shared" si="299"/>
        <v>23.236019956794568</v>
      </c>
      <c r="R178" s="3382">
        <f t="shared" si="299"/>
        <v>22.968708951312014</v>
      </c>
      <c r="S178" s="3382">
        <f t="shared" si="299"/>
        <v>22.938130764260119</v>
      </c>
      <c r="T178" s="3382">
        <f>T73</f>
        <v>22.080294609615283</v>
      </c>
      <c r="U178" s="3382">
        <f>U73</f>
        <v>21.626852304184986</v>
      </c>
      <c r="V178" s="3382">
        <f>V73</f>
        <v>21.470551661768035</v>
      </c>
      <c r="W178" s="6522">
        <f>W73</f>
        <v>22.529190340300048</v>
      </c>
      <c r="X178" s="3053">
        <f t="shared" ref="X178:AL178" si="300">X73</f>
        <v>426148537.29105282</v>
      </c>
      <c r="Y178" s="3053">
        <f t="shared" si="300"/>
        <v>35512378.107587732</v>
      </c>
      <c r="Z178" s="3306">
        <f t="shared" si="300"/>
        <v>2545.9943678519107</v>
      </c>
      <c r="AA178" s="3053">
        <f t="shared" si="300"/>
        <v>1113083.8903085422</v>
      </c>
      <c r="AB178" s="3053">
        <f t="shared" si="300"/>
        <v>-17081752.906193033</v>
      </c>
      <c r="AC178" s="3053">
        <f t="shared" si="300"/>
        <v>28890869.60941292</v>
      </c>
      <c r="AD178" s="3053">
        <f t="shared" si="300"/>
        <v>-4714118.5747836977</v>
      </c>
      <c r="AE178" s="3053">
        <f t="shared" si="300"/>
        <v>-52630183.548417054</v>
      </c>
      <c r="AF178" s="3053">
        <f t="shared" si="300"/>
        <v>-24377840.881709475</v>
      </c>
      <c r="AG178" s="3053">
        <f t="shared" si="300"/>
        <v>3220011.0863500759</v>
      </c>
      <c r="AH178" s="3053">
        <f t="shared" si="300"/>
        <v>-3876776.3314035912</v>
      </c>
      <c r="AI178" s="3053">
        <f t="shared" si="300"/>
        <v>-4859764.4513989789</v>
      </c>
      <c r="AJ178" s="3053">
        <f t="shared" si="300"/>
        <v>-29363932.201508906</v>
      </c>
      <c r="AK178" s="3053">
        <f t="shared" si="300"/>
        <v>-41830079.449330963</v>
      </c>
      <c r="AL178" s="3053">
        <f t="shared" si="300"/>
        <v>-44331188.666744292</v>
      </c>
      <c r="AM178" s="4539">
        <f t="shared" si="295"/>
        <v>-189841672.42541847</v>
      </c>
      <c r="AN178" s="4571">
        <f t="shared" ref="AN178:AW178" si="301">AN73</f>
        <v>2545.9943678519107</v>
      </c>
      <c r="AO178" s="3306">
        <f t="shared" si="301"/>
        <v>81.162223276894153</v>
      </c>
      <c r="AP178" s="3306">
        <f t="shared" si="301"/>
        <v>-1497.2265502718512</v>
      </c>
      <c r="AQ178" s="3306">
        <f t="shared" si="301"/>
        <v>2172.3961063030615</v>
      </c>
      <c r="AR178" s="3306">
        <f t="shared" si="301"/>
        <v>-365.2849038058489</v>
      </c>
      <c r="AS178" s="3306">
        <f t="shared" si="301"/>
        <v>-4164.1236206669137</v>
      </c>
      <c r="AT178" s="3306">
        <f t="shared" si="301"/>
        <v>-1793.5235324587704</v>
      </c>
      <c r="AU178" s="4571">
        <f t="shared" si="301"/>
        <v>213.83359728299956</v>
      </c>
      <c r="AV178" s="6621">
        <f t="shared" si="301"/>
        <v>-312.26626656396201</v>
      </c>
      <c r="AW178" s="6264">
        <f t="shared" si="301"/>
        <v>-373.37252024829542</v>
      </c>
      <c r="AX178" s="6621">
        <f>AX73</f>
        <v>-2152.7067763434034</v>
      </c>
      <c r="AY178" s="6438"/>
      <c r="AZ178" s="4684"/>
      <c r="BA178" s="3306">
        <f>BA73</f>
        <v>-1204.3385165876152</v>
      </c>
      <c r="BE178" s="7069"/>
      <c r="BF178" s="7097" t="s">
        <v>1449</v>
      </c>
      <c r="BG178" s="7098"/>
      <c r="BH178" s="3025" t="s">
        <v>1450</v>
      </c>
      <c r="BI178" s="3999">
        <v>19.959255318262262</v>
      </c>
      <c r="BJ178" s="3999">
        <v>22.3</v>
      </c>
      <c r="BK178" s="3999">
        <v>23.635136290988044</v>
      </c>
      <c r="BL178" s="4048">
        <v>23.126629659404287</v>
      </c>
      <c r="BM178" s="5608">
        <v>24.5</v>
      </c>
      <c r="BN178" s="4686">
        <v>24.5</v>
      </c>
      <c r="BO178" s="6303">
        <v>22.080294609615283</v>
      </c>
      <c r="BP178" s="6261">
        <v>35512378.107587732</v>
      </c>
      <c r="BQ178" s="6243">
        <v>2545.9943678519107</v>
      </c>
      <c r="BR178" s="3053">
        <v>-29363932.201508906</v>
      </c>
      <c r="BS178" s="3053">
        <v>-2152.7067763434034</v>
      </c>
      <c r="BT178" s="6490">
        <v>-787.31532663338703</v>
      </c>
      <c r="BU178" s="4472"/>
    </row>
    <row r="179" spans="1:76" s="299" customFormat="1" ht="18" customHeight="1" thickBot="1">
      <c r="A179" s="7069"/>
      <c r="B179" s="7090" t="s">
        <v>1322</v>
      </c>
      <c r="C179" s="3287" t="s">
        <v>455</v>
      </c>
      <c r="D179" s="3288" t="s">
        <v>1327</v>
      </c>
      <c r="E179" s="3028">
        <f t="shared" ref="E179:S179" si="302">E78</f>
        <v>36.084247210762676</v>
      </c>
      <c r="F179" s="3028">
        <f t="shared" si="302"/>
        <v>27.81</v>
      </c>
      <c r="G179" s="3335">
        <f t="shared" si="302"/>
        <v>24.83</v>
      </c>
      <c r="H179" s="3336">
        <f t="shared" si="302"/>
        <v>23.751775128874105</v>
      </c>
      <c r="I179" s="6582">
        <f t="shared" si="302"/>
        <v>22.220362270190495</v>
      </c>
      <c r="J179" s="6583">
        <f t="shared" si="302"/>
        <v>22.220362270190495</v>
      </c>
      <c r="K179" s="3337">
        <f t="shared" si="302"/>
        <v>24.794174843648715</v>
      </c>
      <c r="L179" s="3337">
        <f t="shared" si="302"/>
        <v>23.919946918773277</v>
      </c>
      <c r="M179" s="3337">
        <f t="shared" si="302"/>
        <v>25.361378381060945</v>
      </c>
      <c r="N179" s="3337">
        <f t="shared" si="302"/>
        <v>24.434419293748626</v>
      </c>
      <c r="O179" s="3337">
        <f t="shared" si="302"/>
        <v>24.606458855231576</v>
      </c>
      <c r="P179" s="3337">
        <f t="shared" si="302"/>
        <v>27.007353509194648</v>
      </c>
      <c r="Q179" s="3337">
        <f t="shared" si="302"/>
        <v>24.345402493875547</v>
      </c>
      <c r="R179" s="3337">
        <f t="shared" si="302"/>
        <v>24.659262164950864</v>
      </c>
      <c r="S179" s="3337">
        <f t="shared" si="302"/>
        <v>25.014482331555502</v>
      </c>
      <c r="T179" s="3337">
        <f>T78</f>
        <v>25.385195671410152</v>
      </c>
      <c r="U179" s="3337">
        <f>U78</f>
        <v>27.327959762217596</v>
      </c>
      <c r="V179" s="3337">
        <f>V78</f>
        <v>29.321112945134619</v>
      </c>
      <c r="W179" s="6523">
        <f>W78</f>
        <v>25.514762264233507</v>
      </c>
      <c r="X179" s="3053">
        <f t="shared" ref="X179:AL179" si="303">X78</f>
        <v>154911756.86852363</v>
      </c>
      <c r="Y179" s="3053">
        <f t="shared" si="303"/>
        <v>12909313.072376968</v>
      </c>
      <c r="Z179" s="4550">
        <f t="shared" si="303"/>
        <v>925.50936114543924</v>
      </c>
      <c r="AA179" s="3053">
        <f t="shared" si="303"/>
        <v>-8639662.3982189931</v>
      </c>
      <c r="AB179" s="3053">
        <f t="shared" si="303"/>
        <v>-1159542.2791389863</v>
      </c>
      <c r="AC179" s="3053">
        <f t="shared" si="303"/>
        <v>-12936862.605978834</v>
      </c>
      <c r="AD179" s="3053">
        <f t="shared" si="303"/>
        <v>-5324167.2113662688</v>
      </c>
      <c r="AE179" s="3053">
        <f t="shared" si="303"/>
        <v>-6528377.0884144586</v>
      </c>
      <c r="AF179" s="3053">
        <f t="shared" si="303"/>
        <v>-26742674.656361341</v>
      </c>
      <c r="AG179" s="3053">
        <f t="shared" si="303"/>
        <v>-5402364.2668276019</v>
      </c>
      <c r="AH179" s="3053">
        <f t="shared" si="303"/>
        <v>-6808863.5427971557</v>
      </c>
      <c r="AI179" s="3053">
        <f t="shared" si="303"/>
        <v>-9932625.3103998732</v>
      </c>
      <c r="AJ179" s="3053">
        <f t="shared" si="303"/>
        <v>-13465295.058707142</v>
      </c>
      <c r="AK179" s="3053">
        <f t="shared" si="303"/>
        <v>-28703897.52292224</v>
      </c>
      <c r="AL179" s="3053">
        <f t="shared" si="303"/>
        <v>-42617794.130881749</v>
      </c>
      <c r="AM179" s="4539">
        <f t="shared" si="295"/>
        <v>-168262126.07201466</v>
      </c>
      <c r="AN179" s="4572">
        <f t="shared" ref="AN179:AW179" si="304">AN78</f>
        <v>925.50936114543924</v>
      </c>
      <c r="AO179" s="4550">
        <f t="shared" si="304"/>
        <v>-629.97426762403597</v>
      </c>
      <c r="AP179" s="4550">
        <f t="shared" si="304"/>
        <v>-101.63462122556508</v>
      </c>
      <c r="AQ179" s="4550">
        <f t="shared" si="304"/>
        <v>-972.76372545911704</v>
      </c>
      <c r="AR179" s="4550">
        <f t="shared" si="304"/>
        <v>-412.55600104191672</v>
      </c>
      <c r="AS179" s="4550">
        <f t="shared" si="304"/>
        <v>-516.52811002413796</v>
      </c>
      <c r="AT179" s="4550">
        <f t="shared" si="304"/>
        <v>-1967.5087941467202</v>
      </c>
      <c r="AU179" s="4572">
        <f t="shared" si="304"/>
        <v>-358.75869803862156</v>
      </c>
      <c r="AV179" s="6432">
        <f t="shared" si="304"/>
        <v>-548.43979025298938</v>
      </c>
      <c r="AW179" s="6261">
        <f t="shared" si="304"/>
        <v>-763.11709794050284</v>
      </c>
      <c r="AX179" s="6432">
        <f>AX78</f>
        <v>-987.15770488166027</v>
      </c>
      <c r="AY179" s="6440"/>
      <c r="AZ179" s="6454"/>
      <c r="BA179" s="4550">
        <f>BA78</f>
        <v>-1067.4398129897415</v>
      </c>
      <c r="BE179" s="7069"/>
      <c r="BF179" s="7101" t="s">
        <v>1322</v>
      </c>
      <c r="BG179" s="6181" t="s">
        <v>455</v>
      </c>
      <c r="BH179" s="6293" t="s">
        <v>1327</v>
      </c>
      <c r="BI179" s="6294">
        <v>36.084247210762676</v>
      </c>
      <c r="BJ179" s="6294">
        <v>27.81</v>
      </c>
      <c r="BK179" s="6304">
        <v>24.83</v>
      </c>
      <c r="BL179" s="6294">
        <v>23.751775128874105</v>
      </c>
      <c r="BM179" s="6305">
        <v>22.220362270190495</v>
      </c>
      <c r="BN179" s="4694">
        <v>22.220362270190495</v>
      </c>
      <c r="BO179" s="6306">
        <v>25.385195671410152</v>
      </c>
      <c r="BP179" s="6261">
        <v>12904685.525571242</v>
      </c>
      <c r="BQ179" s="6243">
        <v>925.17759772287548</v>
      </c>
      <c r="BR179" s="3053">
        <v>-13465295.058707142</v>
      </c>
      <c r="BS179" s="5262">
        <v>-987.15770488166027</v>
      </c>
      <c r="BT179" s="6491">
        <v>-736.13418366153223</v>
      </c>
      <c r="BU179" s="4472"/>
    </row>
    <row r="180" spans="1:76" s="299" customFormat="1" ht="17.399999999999999" customHeight="1">
      <c r="A180" s="7069"/>
      <c r="B180" s="7086"/>
      <c r="C180" s="3161" t="s">
        <v>1326</v>
      </c>
      <c r="D180" s="3018" t="s">
        <v>319</v>
      </c>
      <c r="E180" s="3027">
        <f t="shared" ref="E180:S180" si="305">E84</f>
        <v>79.070682134390594</v>
      </c>
      <c r="F180" s="3027">
        <f t="shared" si="305"/>
        <v>72.349999999999994</v>
      </c>
      <c r="G180" s="3031">
        <f t="shared" si="305"/>
        <v>65.83</v>
      </c>
      <c r="H180" s="3362">
        <f t="shared" si="305"/>
        <v>67.750527960591967</v>
      </c>
      <c r="I180" s="6584">
        <f t="shared" si="305"/>
        <v>63.356954989929271</v>
      </c>
      <c r="J180" s="6585">
        <f t="shared" si="305"/>
        <v>63.356954989929271</v>
      </c>
      <c r="K180" s="3032">
        <f t="shared" si="305"/>
        <v>63.412496115856392</v>
      </c>
      <c r="L180" s="3032">
        <f t="shared" si="305"/>
        <v>72.355967566665313</v>
      </c>
      <c r="M180" s="3032">
        <f t="shared" si="305"/>
        <v>58.194672112657422</v>
      </c>
      <c r="N180" s="3032">
        <f t="shared" si="305"/>
        <v>59.030926780583513</v>
      </c>
      <c r="O180" s="3032">
        <f t="shared" si="305"/>
        <v>56.592481753638232</v>
      </c>
      <c r="P180" s="3032">
        <f t="shared" si="305"/>
        <v>63.324271730373781</v>
      </c>
      <c r="Q180" s="3032">
        <f t="shared" si="305"/>
        <v>53.561811310430194</v>
      </c>
      <c r="R180" s="3032">
        <f t="shared" si="305"/>
        <v>60.199259442431199</v>
      </c>
      <c r="S180" s="3032">
        <f t="shared" si="305"/>
        <v>57.911399054691742</v>
      </c>
      <c r="T180" s="3032">
        <f>T84</f>
        <v>56.2657646693971</v>
      </c>
      <c r="U180" s="3032">
        <f>U84</f>
        <v>52.788360107069849</v>
      </c>
      <c r="V180" s="3032">
        <f>V84</f>
        <v>60.293634841534761</v>
      </c>
      <c r="W180" s="6524">
        <f>W84</f>
        <v>59.494253790444112</v>
      </c>
      <c r="X180" s="3054">
        <f t="shared" ref="X180:AL180" si="306">X84</f>
        <v>74583887.049190134</v>
      </c>
      <c r="Y180" s="3054">
        <f t="shared" si="306"/>
        <v>6215323.9207658442</v>
      </c>
      <c r="Z180" s="3307">
        <f t="shared" si="306"/>
        <v>445.59617068461068</v>
      </c>
      <c r="AA180" s="3054">
        <f t="shared" si="306"/>
        <v>6033791.5720397318</v>
      </c>
      <c r="AB180" s="3054">
        <f t="shared" si="306"/>
        <v>-5517029.4989164304</v>
      </c>
      <c r="AC180" s="5263">
        <f t="shared" si="306"/>
        <v>13343829.595965682</v>
      </c>
      <c r="AD180" s="5263">
        <f t="shared" si="306"/>
        <v>11815570.567540603</v>
      </c>
      <c r="AE180" s="5263">
        <f t="shared" si="306"/>
        <v>14807738.124033496</v>
      </c>
      <c r="AF180" s="5263">
        <f t="shared" si="306"/>
        <v>6317045.5550538125</v>
      </c>
      <c r="AG180" s="5263">
        <f t="shared" si="306"/>
        <v>22434368.017875928</v>
      </c>
      <c r="AH180" s="5263">
        <f t="shared" si="306"/>
        <v>9843621.0720655899</v>
      </c>
      <c r="AI180" s="5263">
        <f t="shared" si="306"/>
        <v>13446796.057920802</v>
      </c>
      <c r="AJ180" s="5263">
        <f t="shared" si="306"/>
        <v>16449044.758717712</v>
      </c>
      <c r="AK180" s="5263">
        <f t="shared" si="306"/>
        <v>20864896.433957089</v>
      </c>
      <c r="AL180" s="5263">
        <f t="shared" si="306"/>
        <v>9575917.6760965958</v>
      </c>
      <c r="AM180" s="4539">
        <f t="shared" si="295"/>
        <v>139415589.93235061</v>
      </c>
      <c r="AN180" s="4573">
        <f t="shared" ref="AN180:AW180" si="307">AN84</f>
        <v>445.59617068461068</v>
      </c>
      <c r="AO180" s="3307">
        <f t="shared" si="307"/>
        <v>439.96318969308203</v>
      </c>
      <c r="AP180" s="3307">
        <f t="shared" si="307"/>
        <v>-483.57115863770139</v>
      </c>
      <c r="AQ180" s="3307">
        <f t="shared" si="307"/>
        <v>1003.3648640331272</v>
      </c>
      <c r="AR180" s="3307">
        <f t="shared" si="307"/>
        <v>915.55812390088761</v>
      </c>
      <c r="AS180" s="3307">
        <f t="shared" si="307"/>
        <v>1171.5948517301422</v>
      </c>
      <c r="AT180" s="3307">
        <f t="shared" si="307"/>
        <v>464.75690417290957</v>
      </c>
      <c r="AU180" s="4573">
        <f t="shared" si="307"/>
        <v>1489.8152482669861</v>
      </c>
      <c r="AV180" s="6622">
        <f t="shared" si="307"/>
        <v>792.88319440688065</v>
      </c>
      <c r="AW180" s="4377">
        <f t="shared" si="307"/>
        <v>1033.1085351195236</v>
      </c>
      <c r="AX180" s="6622">
        <f>AX84</f>
        <v>1205.9001455754612</v>
      </c>
      <c r="AY180" s="6440"/>
      <c r="AZ180" s="6454"/>
      <c r="BA180" s="3307">
        <f>BA84</f>
        <v>884.43997897393842</v>
      </c>
      <c r="BB180" s="783"/>
      <c r="BE180" s="7069"/>
      <c r="BF180" s="7087"/>
      <c r="BG180" s="6179" t="s">
        <v>1326</v>
      </c>
      <c r="BH180" s="3414" t="s">
        <v>319</v>
      </c>
      <c r="BI180" s="6296">
        <v>79.070682134390594</v>
      </c>
      <c r="BJ180" s="6296">
        <v>72.349999999999994</v>
      </c>
      <c r="BK180" s="6307">
        <v>65.83</v>
      </c>
      <c r="BL180" s="6296">
        <v>67.750527960591967</v>
      </c>
      <c r="BM180" s="6308">
        <v>63.356954989929271</v>
      </c>
      <c r="BN180" s="4379">
        <v>63.356954989929271</v>
      </c>
      <c r="BO180" s="6309">
        <v>56.2657646693971</v>
      </c>
      <c r="BP180" s="4377">
        <v>6213095.9399124198</v>
      </c>
      <c r="BQ180" s="6244">
        <v>445.43643971172804</v>
      </c>
      <c r="BR180" s="5263">
        <v>16449044.758717712</v>
      </c>
      <c r="BS180" s="5263">
        <v>1205.9001455754612</v>
      </c>
      <c r="BT180" s="6491">
        <v>827.51906488852455</v>
      </c>
      <c r="BU180" s="7157" t="s">
        <v>1939</v>
      </c>
      <c r="BV180" s="7168" t="s">
        <v>1788</v>
      </c>
      <c r="BW180" s="7155" t="s">
        <v>1938</v>
      </c>
      <c r="BX180" s="7153" t="s">
        <v>1787</v>
      </c>
    </row>
    <row r="181" spans="1:76" s="299" customFormat="1" ht="17.399999999999999" customHeight="1">
      <c r="A181" s="7069"/>
      <c r="B181" s="3161" t="s">
        <v>1376</v>
      </c>
      <c r="C181" s="3165" t="s">
        <v>1373</v>
      </c>
      <c r="D181" s="2569" t="s">
        <v>1365</v>
      </c>
      <c r="E181" s="3330">
        <f t="shared" ref="E181:S181" si="308">E91</f>
        <v>26.925635918047181</v>
      </c>
      <c r="F181" s="3330">
        <f t="shared" si="308"/>
        <v>24.51</v>
      </c>
      <c r="G181" s="3332">
        <f t="shared" si="308"/>
        <v>25.5164081871166</v>
      </c>
      <c r="H181" s="3333">
        <f t="shared" si="308"/>
        <v>24.863893783777399</v>
      </c>
      <c r="I181" s="6586">
        <f t="shared" si="308"/>
        <v>24.363893783777399</v>
      </c>
      <c r="J181" s="6587">
        <f t="shared" si="308"/>
        <v>24.35</v>
      </c>
      <c r="K181" s="3334">
        <f t="shared" si="308"/>
        <v>23.86</v>
      </c>
      <c r="L181" s="3334">
        <f t="shared" si="308"/>
        <v>25.8</v>
      </c>
      <c r="M181" s="3334">
        <f t="shared" si="308"/>
        <v>24.39</v>
      </c>
      <c r="N181" s="3334">
        <f t="shared" si="308"/>
        <v>23.94</v>
      </c>
      <c r="O181" s="3334">
        <f t="shared" si="308"/>
        <v>25.22</v>
      </c>
      <c r="P181" s="3334">
        <f t="shared" si="308"/>
        <v>24.06</v>
      </c>
      <c r="Q181" s="3334">
        <f t="shared" si="308"/>
        <v>23.66</v>
      </c>
      <c r="R181" s="3334">
        <f t="shared" si="308"/>
        <v>24.03</v>
      </c>
      <c r="S181" s="3334">
        <f t="shared" si="308"/>
        <v>23.96</v>
      </c>
      <c r="T181" s="3334">
        <f>T91</f>
        <v>24.45</v>
      </c>
      <c r="U181" s="3334">
        <f>U91</f>
        <v>25.211862013922094</v>
      </c>
      <c r="V181" s="3334">
        <f>V91</f>
        <v>25.48</v>
      </c>
      <c r="W181" s="6504">
        <f>W91</f>
        <v>24.505155167826842</v>
      </c>
      <c r="X181" s="3054">
        <f t="shared" ref="X181:AL181" si="309">X91</f>
        <v>316766650</v>
      </c>
      <c r="Y181" s="3054">
        <f t="shared" si="309"/>
        <v>26397220.833333332</v>
      </c>
      <c r="Z181" s="3307">
        <f t="shared" si="309"/>
        <v>1892.5</v>
      </c>
      <c r="AA181" s="3054">
        <f t="shared" si="309"/>
        <v>52110784.461258754</v>
      </c>
      <c r="AB181" s="3054">
        <f t="shared" si="309"/>
        <v>-40423687.560702659</v>
      </c>
      <c r="AC181" s="5263">
        <f t="shared" si="309"/>
        <v>23854399.82931228</v>
      </c>
      <c r="AD181" s="5263">
        <f t="shared" si="309"/>
        <v>45129103.543616034</v>
      </c>
      <c r="AE181" s="5263">
        <f t="shared" si="309"/>
        <v>-17035571.566774495</v>
      </c>
      <c r="AF181" s="5263">
        <f t="shared" si="309"/>
        <v>41357350.920648448</v>
      </c>
      <c r="AG181" s="5263">
        <f t="shared" si="309"/>
        <v>68617593.17792058</v>
      </c>
      <c r="AH181" s="5263">
        <f t="shared" si="309"/>
        <v>39185220.478743225</v>
      </c>
      <c r="AI181" s="5263">
        <f t="shared" si="309"/>
        <v>44530354.464996442</v>
      </c>
      <c r="AJ181" s="5263">
        <f t="shared" si="309"/>
        <v>21368996.228936002</v>
      </c>
      <c r="AK181" s="5263">
        <f t="shared" si="309"/>
        <v>-17491936.407315679</v>
      </c>
      <c r="AL181" s="5263">
        <f t="shared" si="309"/>
        <v>-29527070.007430185</v>
      </c>
      <c r="AM181" s="4539">
        <f t="shared" si="295"/>
        <v>231675537.56320876</v>
      </c>
      <c r="AN181" s="4573">
        <f t="shared" ref="AN181:AW181" si="310">AN91</f>
        <v>1892.5</v>
      </c>
      <c r="AO181" s="3307">
        <f t="shared" si="310"/>
        <v>3799.7379715974598</v>
      </c>
      <c r="AP181" s="3307">
        <f t="shared" si="310"/>
        <v>-3543.1620284025457</v>
      </c>
      <c r="AQ181" s="3307">
        <f t="shared" si="310"/>
        <v>1793.6879715974549</v>
      </c>
      <c r="AR181" s="3307">
        <f t="shared" si="310"/>
        <v>3496.9379715974524</v>
      </c>
      <c r="AS181" s="3307">
        <f t="shared" si="310"/>
        <v>-1347.8620284025387</v>
      </c>
      <c r="AT181" s="3307">
        <f t="shared" si="310"/>
        <v>3042.7379715974625</v>
      </c>
      <c r="AU181" s="4573">
        <f t="shared" si="310"/>
        <v>4556.7379715974566</v>
      </c>
      <c r="AV181" s="6622">
        <f t="shared" si="310"/>
        <v>3156.2879715974527</v>
      </c>
      <c r="AW181" s="4377">
        <f t="shared" si="310"/>
        <v>3421.2379715974544</v>
      </c>
      <c r="AX181" s="6622">
        <f>AX91</f>
        <v>1566.5879715974595</v>
      </c>
      <c r="AY181" s="6440"/>
      <c r="AZ181" s="6454"/>
      <c r="BA181" s="3307">
        <f>BA91</f>
        <v>1469.728799129326</v>
      </c>
      <c r="BB181" s="783"/>
      <c r="BE181" s="7069"/>
      <c r="BF181" s="6179" t="s">
        <v>1376</v>
      </c>
      <c r="BG181" s="3796" t="s">
        <v>1373</v>
      </c>
      <c r="BH181" s="4944" t="s">
        <v>1365</v>
      </c>
      <c r="BI181" s="4048">
        <v>26.925635918047181</v>
      </c>
      <c r="BJ181" s="4048">
        <v>24.51</v>
      </c>
      <c r="BK181" s="4049">
        <v>25.57</v>
      </c>
      <c r="BL181" s="4048">
        <v>24.881323443696086</v>
      </c>
      <c r="BM181" s="6310">
        <v>24.383696974822165</v>
      </c>
      <c r="BN181" s="4380">
        <v>24.35</v>
      </c>
      <c r="BO181" s="6276">
        <v>24.45</v>
      </c>
      <c r="BP181" s="4377">
        <v>26387758.333333332</v>
      </c>
      <c r="BQ181" s="6244">
        <v>1891.8216035368623</v>
      </c>
      <c r="BR181" s="5263">
        <v>21368996.228936002</v>
      </c>
      <c r="BS181" s="5263">
        <v>1566.5879715974595</v>
      </c>
      <c r="BT181" s="6491">
        <v>2116.3158784400403</v>
      </c>
      <c r="BU181" s="7158"/>
      <c r="BV181" s="7169"/>
      <c r="BW181" s="7156"/>
      <c r="BX181" s="7154"/>
    </row>
    <row r="182" spans="1:76" s="299" customFormat="1" ht="17.399999999999999" customHeight="1">
      <c r="A182" s="7069"/>
      <c r="B182" s="7083" t="s">
        <v>1486</v>
      </c>
      <c r="C182" s="7084"/>
      <c r="D182" s="1769" t="s">
        <v>719</v>
      </c>
      <c r="E182" s="3373">
        <f t="shared" ref="E182:S182" si="311">E97</f>
        <v>7519.3209617538841</v>
      </c>
      <c r="F182" s="3373">
        <f t="shared" si="311"/>
        <v>5677</v>
      </c>
      <c r="G182" s="3374">
        <f t="shared" si="311"/>
        <v>4118</v>
      </c>
      <c r="H182" s="3377">
        <f t="shared" si="311"/>
        <v>4571.6205676967529</v>
      </c>
      <c r="I182" s="6588">
        <f t="shared" si="311"/>
        <v>4343.0395393119152</v>
      </c>
      <c r="J182" s="6589">
        <f t="shared" si="311"/>
        <v>4343.0395393119152</v>
      </c>
      <c r="K182" s="3376">
        <f t="shared" si="311"/>
        <v>2137.9207557653285</v>
      </c>
      <c r="L182" s="3376">
        <f t="shared" si="311"/>
        <v>4358.3918912641238</v>
      </c>
      <c r="M182" s="3376">
        <f t="shared" si="311"/>
        <v>4618.2844226818697</v>
      </c>
      <c r="N182" s="3376">
        <f t="shared" si="311"/>
        <v>3741.03679722781</v>
      </c>
      <c r="O182" s="3376">
        <f t="shared" si="311"/>
        <v>3096.9971575188397</v>
      </c>
      <c r="P182" s="3376">
        <f t="shared" si="311"/>
        <v>4223.3597333755142</v>
      </c>
      <c r="Q182" s="3376">
        <f t="shared" si="311"/>
        <v>5002.3673688397712</v>
      </c>
      <c r="R182" s="3376">
        <f t="shared" si="311"/>
        <v>5230.2993080128272</v>
      </c>
      <c r="S182" s="3376">
        <f t="shared" si="311"/>
        <v>5136.2944899530266</v>
      </c>
      <c r="T182" s="3376">
        <f>T97</f>
        <v>4290.8784667976979</v>
      </c>
      <c r="U182" s="3376">
        <f>U97</f>
        <v>4977.7525120378286</v>
      </c>
      <c r="V182" s="3376">
        <f>V97</f>
        <v>5247.7553921607332</v>
      </c>
      <c r="W182" s="6525">
        <f>W97</f>
        <v>4338.4448579696145</v>
      </c>
      <c r="X182" s="3054">
        <f t="shared" ref="X182:AL182" si="312">X97</f>
        <v>38246177.669351049</v>
      </c>
      <c r="Y182" s="3054">
        <f t="shared" si="312"/>
        <v>3187181.4724459206</v>
      </c>
      <c r="Z182" s="3307">
        <f t="shared" si="312"/>
        <v>228.49908991128598</v>
      </c>
      <c r="AA182" s="3054">
        <f t="shared" si="312"/>
        <v>33376513.66776925</v>
      </c>
      <c r="AB182" s="3054">
        <f t="shared" si="312"/>
        <v>2432711.043412515</v>
      </c>
      <c r="AC182" s="5263">
        <f t="shared" si="312"/>
        <v>-620586.34055546729</v>
      </c>
      <c r="AD182" s="5263">
        <f t="shared" si="312"/>
        <v>10718949.344708258</v>
      </c>
      <c r="AE182" s="5263">
        <f t="shared" si="312"/>
        <v>18637703.34705542</v>
      </c>
      <c r="AF182" s="5263">
        <f t="shared" si="312"/>
        <v>4733613.4992194241</v>
      </c>
      <c r="AG182" s="5263">
        <f t="shared" si="312"/>
        <v>-6486396.3975441288</v>
      </c>
      <c r="AH182" s="5263">
        <f t="shared" si="312"/>
        <v>-8177476.8006618517</v>
      </c>
      <c r="AI182" s="5263">
        <f t="shared" si="312"/>
        <v>-7349716.7177385436</v>
      </c>
      <c r="AJ182" s="5263">
        <f t="shared" si="312"/>
        <v>3829454.2050505332</v>
      </c>
      <c r="AK182" s="5263">
        <f t="shared" si="312"/>
        <v>-5393858.6593910437</v>
      </c>
      <c r="AL182" s="5263">
        <f t="shared" si="312"/>
        <v>-8561151.5338804722</v>
      </c>
      <c r="AM182" s="4539">
        <f t="shared" si="295"/>
        <v>37139758.657443888</v>
      </c>
      <c r="AN182" s="4573">
        <f t="shared" ref="AN182:AW182" si="313">AN97</f>
        <v>228.49908991128598</v>
      </c>
      <c r="AO182" s="3307">
        <f t="shared" si="313"/>
        <v>2433.6998119314244</v>
      </c>
      <c r="AP182" s="3307">
        <f t="shared" si="313"/>
        <v>213.22867643262907</v>
      </c>
      <c r="AQ182" s="3307">
        <f t="shared" si="313"/>
        <v>-46.663854985116814</v>
      </c>
      <c r="AR182" s="3307">
        <f t="shared" si="313"/>
        <v>830.58377046894293</v>
      </c>
      <c r="AS182" s="3307">
        <f t="shared" si="313"/>
        <v>1474.6234101779135</v>
      </c>
      <c r="AT182" s="3307">
        <f t="shared" si="313"/>
        <v>348.26083432123869</v>
      </c>
      <c r="AU182" s="4573">
        <f t="shared" si="313"/>
        <v>-430.74680114301827</v>
      </c>
      <c r="AV182" s="6622">
        <f t="shared" si="313"/>
        <v>-658.67874031607425</v>
      </c>
      <c r="AW182" s="4377">
        <f t="shared" si="313"/>
        <v>-564.67392225627373</v>
      </c>
      <c r="AX182" s="6622">
        <f>AX97</f>
        <v>280.742100899055</v>
      </c>
      <c r="AY182" s="6438"/>
      <c r="AZ182" s="4684"/>
      <c r="BA182" s="3307">
        <f>BA97</f>
        <v>235.61129269707772</v>
      </c>
      <c r="BB182" s="783"/>
      <c r="BE182" s="7069"/>
      <c r="BF182" s="7099" t="s">
        <v>1486</v>
      </c>
      <c r="BG182" s="7100"/>
      <c r="BH182" s="3413" t="s">
        <v>334</v>
      </c>
      <c r="BI182" s="6311">
        <v>7519.3209617538841</v>
      </c>
      <c r="BJ182" s="6312">
        <v>5677</v>
      </c>
      <c r="BK182" s="6313">
        <v>4118</v>
      </c>
      <c r="BL182" s="6313">
        <v>4571.6205676967529</v>
      </c>
      <c r="BM182" s="3779">
        <v>4343.0395393119152</v>
      </c>
      <c r="BN182" s="4695">
        <v>4343.0395393119152</v>
      </c>
      <c r="BO182" s="6314">
        <v>4290.8784667976979</v>
      </c>
      <c r="BP182" s="4377">
        <v>3187181.4724459206</v>
      </c>
      <c r="BQ182" s="6244">
        <v>228.49908991128598</v>
      </c>
      <c r="BR182" s="5263">
        <v>3829454.2050505332</v>
      </c>
      <c r="BS182" s="5263">
        <v>280.742100899055</v>
      </c>
      <c r="BT182" s="6491">
        <v>387.99708483904197</v>
      </c>
      <c r="BU182" s="7158"/>
      <c r="BV182" s="7170"/>
      <c r="BW182" s="7156"/>
      <c r="BX182" s="7154"/>
    </row>
    <row r="183" spans="1:76" s="299" customFormat="1" ht="18" customHeight="1" thickBot="1">
      <c r="A183" s="7069"/>
      <c r="B183" s="7094" t="s">
        <v>1495</v>
      </c>
      <c r="C183" s="7095"/>
      <c r="D183" s="2875" t="s">
        <v>1489</v>
      </c>
      <c r="E183" s="3397"/>
      <c r="F183" s="3397"/>
      <c r="G183" s="3398"/>
      <c r="H183" s="3371"/>
      <c r="I183" s="6567"/>
      <c r="J183" s="6568"/>
      <c r="K183" s="4381"/>
      <c r="L183" s="4381"/>
      <c r="M183" s="4381"/>
      <c r="N183" s="4381"/>
      <c r="O183" s="4381"/>
      <c r="P183" s="4381"/>
      <c r="Q183" s="4381"/>
      <c r="R183" s="4381"/>
      <c r="S183" s="4381"/>
      <c r="T183" s="4381"/>
      <c r="U183" s="4381"/>
      <c r="V183" s="4381"/>
      <c r="W183" s="6526"/>
      <c r="X183" s="3055">
        <f>협력사!C24*1000</f>
        <v>101257632</v>
      </c>
      <c r="Y183" s="3055">
        <f>X183/12</f>
        <v>8438136</v>
      </c>
      <c r="Z183" s="3308">
        <f>X183/년간!D11</f>
        <v>604.95657784681566</v>
      </c>
      <c r="AA183" s="3055">
        <f>협력사!D24*1000</f>
        <v>8394376.140539892</v>
      </c>
      <c r="AB183" s="3055">
        <f>협력사!E24*1000</f>
        <v>3679978.9274145174</v>
      </c>
      <c r="AC183" s="3055">
        <f>협력사!F24*1000</f>
        <v>3564399.580083983</v>
      </c>
      <c r="AD183" s="3055">
        <f>협력사!G24*1000</f>
        <v>5070305.674865027</v>
      </c>
      <c r="AE183" s="3055">
        <f>협력사!H24*1000</f>
        <v>12375342.248590281</v>
      </c>
      <c r="AF183" s="3055">
        <f>협력사!I24*1000</f>
        <v>10444703.143491302</v>
      </c>
      <c r="AG183" s="3055">
        <f>협력사!J24*1000</f>
        <v>11236885.677384524</v>
      </c>
      <c r="AH183" s="3055">
        <f>협력사!K24*1000</f>
        <v>5917072.0319136167</v>
      </c>
      <c r="AI183" s="3055">
        <f>협력사!L24*1000</f>
        <v>10609466.986802639</v>
      </c>
      <c r="AJ183" s="3055">
        <f>협력사!M24*1000</f>
        <v>8626479.7174565084</v>
      </c>
      <c r="AK183" s="3055">
        <f>협력사!N24*1000</f>
        <v>14794852.465326933</v>
      </c>
      <c r="AL183" s="3055">
        <f>협력사!O24*1000</f>
        <v>8733264.0670065992</v>
      </c>
      <c r="AM183" s="4539">
        <f t="shared" si="295"/>
        <v>103447126.66087583</v>
      </c>
      <c r="AN183" s="6422">
        <f>Y183/(년간!E11/12)</f>
        <v>604.95657784681555</v>
      </c>
      <c r="AO183" s="3308">
        <f>AA183/년간!F11</f>
        <v>612.08884300704096</v>
      </c>
      <c r="AP183" s="3308">
        <f>AB183/년간!G11</f>
        <v>322.55250294414265</v>
      </c>
      <c r="AQ183" s="3308">
        <f>AC183/년간!H11</f>
        <v>268.01850805348812</v>
      </c>
      <c r="AR183" s="3308">
        <f>AD183/년간!I11</f>
        <v>392.88492457878044</v>
      </c>
      <c r="AS183" s="3308">
        <f>AE183/년간!J11</f>
        <v>979.14260404934339</v>
      </c>
      <c r="AT183" s="3308">
        <f>AF183/년간!K11</f>
        <v>768.4364242221651</v>
      </c>
      <c r="AU183" s="6422">
        <f>AG183/년간!L11</f>
        <v>746.21596703152329</v>
      </c>
      <c r="AV183" s="6625">
        <f>AH183/년간!M11</f>
        <v>476.60783972201438</v>
      </c>
      <c r="AW183" s="6262">
        <f>AI183/년간!N11</f>
        <v>815.11840068982292</v>
      </c>
      <c r="AX183" s="6625">
        <f>AJ183/년간!O11</f>
        <v>632.41807045186181</v>
      </c>
      <c r="AY183" s="6438"/>
      <c r="AZ183" s="4684"/>
      <c r="BA183" s="3308">
        <f>AM183/년간!V11</f>
        <v>656.25927898920702</v>
      </c>
      <c r="BB183" s="783"/>
      <c r="BE183" s="7069"/>
      <c r="BF183" s="7094" t="s">
        <v>1495</v>
      </c>
      <c r="BG183" s="7095"/>
      <c r="BH183" s="2875" t="s">
        <v>1488</v>
      </c>
      <c r="BI183" s="3397"/>
      <c r="BJ183" s="3397"/>
      <c r="BK183" s="3398"/>
      <c r="BL183" s="3398"/>
      <c r="BM183" s="3400"/>
      <c r="BN183" s="4950"/>
      <c r="BO183" s="6286"/>
      <c r="BP183" s="6262">
        <v>8394376.140539892</v>
      </c>
      <c r="BQ183" s="6245">
        <v>604.95657784681566</v>
      </c>
      <c r="BR183" s="5263">
        <v>8626479.7174565084</v>
      </c>
      <c r="BS183" s="5263">
        <v>632.41807045186181</v>
      </c>
      <c r="BT183" s="6492">
        <v>606.87901424300333</v>
      </c>
      <c r="BU183" s="5602">
        <v>64371.54080029796</v>
      </c>
      <c r="BV183" s="5602">
        <v>64371.54080029796</v>
      </c>
      <c r="BW183" s="5609">
        <v>64199.383452329646</v>
      </c>
      <c r="BX183" s="6494">
        <v>71166.482833912247</v>
      </c>
    </row>
    <row r="184" spans="1:76" s="299" customFormat="1" ht="18" customHeight="1" thickBot="1">
      <c r="A184" s="7069"/>
      <c r="B184" s="7070" t="s">
        <v>1398</v>
      </c>
      <c r="C184" s="7071"/>
      <c r="D184" s="7071"/>
      <c r="E184" s="7071"/>
      <c r="F184" s="7071"/>
      <c r="G184" s="7071"/>
      <c r="H184" s="7071"/>
      <c r="I184" s="7072"/>
      <c r="J184" s="4324"/>
      <c r="K184" s="4324"/>
      <c r="L184" s="4751"/>
      <c r="M184" s="4751"/>
      <c r="N184" s="4751"/>
      <c r="O184" s="5429"/>
      <c r="P184" s="4751"/>
      <c r="Q184" s="4751"/>
      <c r="R184" s="6024"/>
      <c r="S184" s="6102"/>
      <c r="T184" s="6210"/>
      <c r="U184" s="6210"/>
      <c r="V184" s="6210"/>
      <c r="W184" s="6210"/>
      <c r="X184" s="3052">
        <f t="shared" ref="X184:AE184" si="314">SUM(X177:X183)</f>
        <v>1339632031.0826271</v>
      </c>
      <c r="Y184" s="3052">
        <f t="shared" si="314"/>
        <v>111636002.59021892</v>
      </c>
      <c r="Z184" s="3309">
        <f t="shared" si="314"/>
        <v>8003.5370479306202</v>
      </c>
      <c r="AA184" s="3052">
        <f t="shared" si="314"/>
        <v>100623120.93227348</v>
      </c>
      <c r="AB184" s="3052">
        <f t="shared" si="314"/>
        <v>-21514094.158224467</v>
      </c>
      <c r="AC184" s="3052">
        <f t="shared" si="314"/>
        <v>68180062.183047757</v>
      </c>
      <c r="AD184" s="3052">
        <f t="shared" si="314"/>
        <v>77050056.233582705</v>
      </c>
      <c r="AE184" s="3052">
        <f t="shared" si="314"/>
        <v>-3221950.5406429488</v>
      </c>
      <c r="AF184" s="3052">
        <f t="shared" ref="AF184:AL184" si="315">SUM(AF177:AF183)</f>
        <v>39961272.238604717</v>
      </c>
      <c r="AG184" s="3052">
        <f t="shared" si="315"/>
        <v>123228973.49436875</v>
      </c>
      <c r="AH184" s="3052">
        <f t="shared" si="315"/>
        <v>52798398.014664538</v>
      </c>
      <c r="AI184" s="3052">
        <f t="shared" si="315"/>
        <v>47154742.562573917</v>
      </c>
      <c r="AJ184" s="3052">
        <f t="shared" si="315"/>
        <v>28023110.817531925</v>
      </c>
      <c r="AK184" s="3052">
        <f t="shared" si="315"/>
        <v>-71074704.918381363</v>
      </c>
      <c r="AL184" s="3052">
        <f t="shared" si="315"/>
        <v>-128613403.77832244</v>
      </c>
      <c r="AM184" s="6474">
        <f t="shared" si="295"/>
        <v>312595583.0810765</v>
      </c>
      <c r="AN184" s="4574">
        <f>SUM(AN177:AN183)</f>
        <v>8003.5370479306202</v>
      </c>
      <c r="AO184" s="3309">
        <f>AA184/년간!F11</f>
        <v>7337.0895752154856</v>
      </c>
      <c r="AP184" s="3309">
        <f>AB184/년간!G11</f>
        <v>-1885.7240914112424</v>
      </c>
      <c r="AQ184" s="3309">
        <f>AC184/년간!H11</f>
        <v>5126.6750920400327</v>
      </c>
      <c r="AR184" s="3309">
        <f>AD184/년간!I11</f>
        <v>5970.4103605011505</v>
      </c>
      <c r="AS184" s="3309">
        <f>AE184/년간!J11</f>
        <v>-254.92216531164584</v>
      </c>
      <c r="AT184" s="3309">
        <f>AF184/년간!K11</f>
        <v>2940.0258412837347</v>
      </c>
      <c r="AU184" s="4574">
        <f>AG184/년간!L11</f>
        <v>8183.3552696431543</v>
      </c>
      <c r="AV184" s="6623">
        <f>AH184/년간!M11</f>
        <v>4252.8010953441326</v>
      </c>
      <c r="AW184" s="6263">
        <f>AI184/년간!N11</f>
        <v>3622.8679904803766</v>
      </c>
      <c r="AX184" s="6623">
        <f>AJ184/년간!O11</f>
        <v>2054.4094754456351</v>
      </c>
      <c r="AY184" s="6441"/>
      <c r="AZ184" s="6455"/>
      <c r="BA184" s="3309">
        <f>AM184/년간!V11</f>
        <v>1983.0782989314707</v>
      </c>
      <c r="BB184" s="299">
        <f>X184/년간!D11</f>
        <v>8003.5370479306193</v>
      </c>
      <c r="BE184" s="7069"/>
      <c r="BF184" s="7070" t="s">
        <v>1398</v>
      </c>
      <c r="BG184" s="7071"/>
      <c r="BH184" s="7071"/>
      <c r="BI184" s="7071"/>
      <c r="BJ184" s="7071"/>
      <c r="BK184" s="7071"/>
      <c r="BL184" s="7071"/>
      <c r="BM184" s="7071"/>
      <c r="BN184" s="7071"/>
      <c r="BO184" s="7073"/>
      <c r="BP184" s="6263">
        <v>110855497.90128556</v>
      </c>
      <c r="BQ184" s="6240">
        <v>8001.1305528720568</v>
      </c>
      <c r="BR184" s="4574">
        <v>28023110.817531925</v>
      </c>
      <c r="BS184" s="3052">
        <v>2054.4094754456351</v>
      </c>
      <c r="BT184" s="6486">
        <v>3892.7377398462754</v>
      </c>
      <c r="BU184" s="4471"/>
      <c r="BV184"/>
      <c r="BW184" s="6331">
        <f>BV183-BW183</f>
        <v>172.15734796831384</v>
      </c>
      <c r="BX184" s="6332">
        <f>BV183-BX183</f>
        <v>-6794.9420336142866</v>
      </c>
    </row>
    <row r="185" spans="1:76" ht="17.399999999999999">
      <c r="A185" s="7068" t="s">
        <v>1266</v>
      </c>
      <c r="B185" s="7082" t="s">
        <v>1185</v>
      </c>
      <c r="C185" s="7082"/>
      <c r="D185" s="2567" t="s">
        <v>452</v>
      </c>
      <c r="E185" s="6464">
        <f t="shared" ref="E185:K185" si="316">E6</f>
        <v>53.02000000000001</v>
      </c>
      <c r="F185" s="6464">
        <f t="shared" si="316"/>
        <v>95</v>
      </c>
      <c r="G185" s="6464">
        <f t="shared" si="316"/>
        <v>73.749999999999986</v>
      </c>
      <c r="H185" s="3289">
        <f t="shared" si="316"/>
        <v>73.5</v>
      </c>
      <c r="I185" s="6530">
        <f t="shared" si="316"/>
        <v>48</v>
      </c>
      <c r="J185" s="6531">
        <f t="shared" si="316"/>
        <v>4</v>
      </c>
      <c r="K185" s="3354">
        <f t="shared" si="316"/>
        <v>2.29</v>
      </c>
      <c r="L185" s="3354">
        <f t="shared" ref="L185:S185" si="317">L6</f>
        <v>0</v>
      </c>
      <c r="M185" s="3354">
        <f t="shared" si="317"/>
        <v>6.6899999999999995</v>
      </c>
      <c r="N185" s="3354">
        <f t="shared" si="317"/>
        <v>0</v>
      </c>
      <c r="O185" s="3354">
        <f t="shared" si="317"/>
        <v>4.9000000000000004</v>
      </c>
      <c r="P185" s="3354">
        <f t="shared" si="317"/>
        <v>0</v>
      </c>
      <c r="Q185" s="3354">
        <f t="shared" si="317"/>
        <v>1.97</v>
      </c>
      <c r="R185" s="3354">
        <f t="shared" si="317"/>
        <v>8.39</v>
      </c>
      <c r="S185" s="3354">
        <f t="shared" si="317"/>
        <v>6.67</v>
      </c>
      <c r="T185" s="3354">
        <f t="shared" ref="T185:AA185" si="318">T6</f>
        <v>2.2400000000000002</v>
      </c>
      <c r="U185" s="3354">
        <f t="shared" si="318"/>
        <v>1.46</v>
      </c>
      <c r="V185" s="3354">
        <f t="shared" si="318"/>
        <v>2.56</v>
      </c>
      <c r="W185" s="6511">
        <f t="shared" si="318"/>
        <v>37.170000000000009</v>
      </c>
      <c r="X185" s="3390">
        <f t="shared" si="318"/>
        <v>22040879.972900674</v>
      </c>
      <c r="Y185" s="3390">
        <f t="shared" si="318"/>
        <v>1836739.997741723</v>
      </c>
      <c r="Z185" s="3391">
        <f t="shared" si="318"/>
        <v>413.49392114851929</v>
      </c>
      <c r="AA185" s="3390">
        <f t="shared" si="318"/>
        <v>3314775.478277415</v>
      </c>
      <c r="AB185" s="3390">
        <f t="shared" ref="AB185:AL185" si="319">AB6</f>
        <v>5294132.9346673191</v>
      </c>
      <c r="AC185" s="3390">
        <f t="shared" si="319"/>
        <v>-488356.75234074</v>
      </c>
      <c r="AD185" s="3390">
        <f t="shared" si="319"/>
        <v>5294132.9346673191</v>
      </c>
      <c r="AE185" s="3390">
        <f t="shared" si="319"/>
        <v>1058826.5869334636</v>
      </c>
      <c r="AF185" s="3390">
        <f t="shared" si="319"/>
        <v>5294132.9346673191</v>
      </c>
      <c r="AG185" s="3390">
        <f t="shared" si="319"/>
        <v>3591366.9132314632</v>
      </c>
      <c r="AH185" s="3390">
        <f t="shared" si="319"/>
        <v>-1957748.7505341193</v>
      </c>
      <c r="AI185" s="3390">
        <f t="shared" si="319"/>
        <v>-471069.7876561124</v>
      </c>
      <c r="AJ185" s="3390">
        <f t="shared" si="319"/>
        <v>3357992.8899889849</v>
      </c>
      <c r="AK185" s="3390">
        <f t="shared" si="319"/>
        <v>4032184.5126894764</v>
      </c>
      <c r="AL185" s="3390">
        <f t="shared" si="319"/>
        <v>3081401.4550349372</v>
      </c>
      <c r="AM185" s="3391">
        <f>SUM(AA185:AL185)</f>
        <v>31401771.34962672</v>
      </c>
      <c r="AN185" s="4562">
        <f>AN6</f>
        <v>413.49392114851929</v>
      </c>
      <c r="AO185" s="3391">
        <f>AO6</f>
        <v>644.04465645271819</v>
      </c>
      <c r="AP185" s="3391">
        <f t="shared" ref="AP185:AW185" si="320">AP6</f>
        <v>1004.4763790175806</v>
      </c>
      <c r="AQ185" s="3391">
        <f t="shared" si="320"/>
        <v>-115.92202066384766</v>
      </c>
      <c r="AR185" s="3391">
        <f t="shared" si="320"/>
        <v>1162.622756323402</v>
      </c>
      <c r="AS185" s="3391">
        <f t="shared" si="320"/>
        <v>262.68789029643773</v>
      </c>
      <c r="AT185" s="3391">
        <f t="shared" si="320"/>
        <v>1007.4544686671866</v>
      </c>
      <c r="AU185" s="4562">
        <f t="shared" si="320"/>
        <v>722.06276805303492</v>
      </c>
      <c r="AV185" s="6610">
        <f t="shared" si="320"/>
        <v>-423.99007903386274</v>
      </c>
      <c r="AW185" s="6249">
        <f t="shared" si="320"/>
        <v>-114.92211890264718</v>
      </c>
      <c r="AX185" s="6610">
        <f>AX6</f>
        <v>758.37486336327652</v>
      </c>
      <c r="AY185" s="6427"/>
      <c r="AZ185" s="6443"/>
      <c r="BA185" s="3391">
        <f>BA6</f>
        <v>559.6232627262284</v>
      </c>
      <c r="BE185" s="7068" t="s">
        <v>1266</v>
      </c>
      <c r="BF185" s="7082" t="s">
        <v>1185</v>
      </c>
      <c r="BG185" s="7082"/>
      <c r="BH185" s="2567" t="s">
        <v>1447</v>
      </c>
      <c r="BI185" s="2470">
        <v>53.02000000000001</v>
      </c>
      <c r="BJ185" s="2468">
        <v>95</v>
      </c>
      <c r="BK185" s="2469">
        <v>73.749999999999986</v>
      </c>
      <c r="BL185" s="3056">
        <v>73.5</v>
      </c>
      <c r="BM185" s="3061">
        <v>48</v>
      </c>
      <c r="BN185" s="6058">
        <v>4.8</v>
      </c>
      <c r="BO185" s="6315">
        <v>2.2400000000000002</v>
      </c>
      <c r="BP185" s="6249">
        <v>1145261.4103566038</v>
      </c>
      <c r="BQ185" s="6231">
        <v>413.49392114851929</v>
      </c>
      <c r="BR185" s="4520">
        <v>3357992.8899889849</v>
      </c>
      <c r="BS185" s="4520">
        <v>758.37486336327652</v>
      </c>
      <c r="BT185" s="6493">
        <v>521.34463435442819</v>
      </c>
    </row>
    <row r="186" spans="1:76" ht="17.399999999999999">
      <c r="A186" s="7069"/>
      <c r="B186" s="7080" t="s">
        <v>1256</v>
      </c>
      <c r="C186" s="3311" t="s">
        <v>528</v>
      </c>
      <c r="D186" s="3328" t="s">
        <v>321</v>
      </c>
      <c r="E186" s="5797">
        <f t="shared" ref="E186:J186" si="321">E14</f>
        <v>7.5697612445800431</v>
      </c>
      <c r="F186" s="5797">
        <f t="shared" si="321"/>
        <v>4.1547518923465097</v>
      </c>
      <c r="G186" s="5797">
        <f t="shared" si="321"/>
        <v>2.3977272727272729</v>
      </c>
      <c r="H186" s="5799">
        <f t="shared" si="321"/>
        <v>2.1509988324319407</v>
      </c>
      <c r="I186" s="6534">
        <f t="shared" si="321"/>
        <v>1.5571064085246886</v>
      </c>
      <c r="J186" s="6535">
        <f t="shared" si="321"/>
        <v>1.5571064085246886</v>
      </c>
      <c r="K186" s="3357">
        <f t="shared" ref="K186:R186" si="322">K14</f>
        <v>1.3371389268304055</v>
      </c>
      <c r="L186" s="3357">
        <f t="shared" si="322"/>
        <v>1.5783961415718315</v>
      </c>
      <c r="M186" s="3357">
        <f t="shared" si="322"/>
        <v>3.1309313227009854</v>
      </c>
      <c r="N186" s="3357">
        <f t="shared" si="322"/>
        <v>2.7885555466737175</v>
      </c>
      <c r="O186" s="3357">
        <f t="shared" si="322"/>
        <v>2.4734912199744956</v>
      </c>
      <c r="P186" s="3357">
        <f t="shared" si="322"/>
        <v>1.9558664575943492</v>
      </c>
      <c r="Q186" s="3357">
        <f t="shared" si="322"/>
        <v>2.3857202599240814</v>
      </c>
      <c r="R186" s="3357">
        <f t="shared" si="322"/>
        <v>1.381718008246994</v>
      </c>
      <c r="S186" s="3357">
        <f t="shared" ref="S186:Z186" si="323">S14</f>
        <v>3.0885318129754933</v>
      </c>
      <c r="T186" s="3357">
        <f t="shared" si="323"/>
        <v>2.6143436588164088</v>
      </c>
      <c r="U186" s="3357">
        <f t="shared" si="323"/>
        <v>6.3744987129603148</v>
      </c>
      <c r="V186" s="3357">
        <f t="shared" si="323"/>
        <v>3.1922259832746307</v>
      </c>
      <c r="W186" s="6512">
        <f t="shared" si="323"/>
        <v>2.6676841017914397</v>
      </c>
      <c r="X186" s="3303">
        <f t="shared" si="323"/>
        <v>27362535.280014858</v>
      </c>
      <c r="Y186" s="3303">
        <f t="shared" si="323"/>
        <v>2280211.2733345716</v>
      </c>
      <c r="Z186" s="3305">
        <f t="shared" si="323"/>
        <v>513.32986792763882</v>
      </c>
      <c r="AA186" s="3303">
        <f t="shared" ref="AA186:AH186" si="324">AA14</f>
        <v>3620566.585232168</v>
      </c>
      <c r="AB186" s="3303">
        <f t="shared" si="324"/>
        <v>2608538.4786782786</v>
      </c>
      <c r="AC186" s="3303">
        <f t="shared" si="324"/>
        <v>-3568257.2794034453</v>
      </c>
      <c r="AD186" s="3303">
        <f t="shared" si="324"/>
        <v>-2509363.6103313789</v>
      </c>
      <c r="AE186" s="3303">
        <f t="shared" si="324"/>
        <v>-1123551.5465107029</v>
      </c>
      <c r="AF186" s="3303">
        <f t="shared" si="324"/>
        <v>886313.7641945373</v>
      </c>
      <c r="AG186" s="3303">
        <f t="shared" si="324"/>
        <v>-1009081.658157076</v>
      </c>
      <c r="AH186" s="3303">
        <f t="shared" si="324"/>
        <v>3070258.3198006316</v>
      </c>
      <c r="AI186" s="3303">
        <f>AI14</f>
        <v>-3321673.4101406354</v>
      </c>
      <c r="AJ186" s="4521">
        <f>AJ14</f>
        <v>-1773327.3400697601</v>
      </c>
      <c r="AK186" s="4521">
        <f>AK14</f>
        <v>-17741756.36134791</v>
      </c>
      <c r="AL186" s="4521">
        <f>AL14</f>
        <v>-4198212.9957643533</v>
      </c>
      <c r="AM186" s="3305">
        <f>SUM(AA186:AL186)</f>
        <v>-25059547.053819645</v>
      </c>
      <c r="AN186" s="4564">
        <f>AN14</f>
        <v>513.32986792763882</v>
      </c>
      <c r="AO186" s="3305">
        <f t="shared" ref="AO186:AV186" si="325">AO14</f>
        <v>703.45837231842006</v>
      </c>
      <c r="AP186" s="3305">
        <f t="shared" si="325"/>
        <v>494.92812476108304</v>
      </c>
      <c r="AQ186" s="3305">
        <f t="shared" si="325"/>
        <v>-847.00291763002645</v>
      </c>
      <c r="AR186" s="3305">
        <f t="shared" si="325"/>
        <v>-551.07102017725242</v>
      </c>
      <c r="AS186" s="3305">
        <f t="shared" si="325"/>
        <v>-278.74572572547544</v>
      </c>
      <c r="AT186" s="3305">
        <f t="shared" si="325"/>
        <v>168.66232363225168</v>
      </c>
      <c r="AU186" s="4564">
        <f t="shared" si="325"/>
        <v>-202.88105138910521</v>
      </c>
      <c r="AV186" s="6429">
        <f t="shared" si="325"/>
        <v>664.92652201233398</v>
      </c>
      <c r="AW186" s="4463">
        <f>AW14</f>
        <v>-810.35497626652023</v>
      </c>
      <c r="AX186" s="6429">
        <f>AX14</f>
        <v>-400.49128252566919</v>
      </c>
      <c r="AY186" s="3974"/>
      <c r="AZ186" s="6445"/>
      <c r="BA186" s="3305">
        <f>BA14</f>
        <v>-446.59600022425809</v>
      </c>
      <c r="BE186" s="7069"/>
      <c r="BF186" s="7120" t="s">
        <v>1256</v>
      </c>
      <c r="BG186" s="6186" t="s">
        <v>528</v>
      </c>
      <c r="BH186" s="4554" t="s">
        <v>321</v>
      </c>
      <c r="BI186" s="3823">
        <v>475.64699999999999</v>
      </c>
      <c r="BJ186" s="3822">
        <v>187.72</v>
      </c>
      <c r="BK186" s="3811">
        <v>148.27800000000002</v>
      </c>
      <c r="BL186" s="5588">
        <v>113.43899999999999</v>
      </c>
      <c r="BM186" s="5589">
        <v>83</v>
      </c>
      <c r="BN186" s="5860">
        <v>1.5589782118707738</v>
      </c>
      <c r="BO186" s="6270">
        <v>2.6143436588164088</v>
      </c>
      <c r="BP186" s="4463">
        <v>2273024.6063231817</v>
      </c>
      <c r="BQ186" s="5583">
        <v>511.71197801062164</v>
      </c>
      <c r="BR186" s="4521">
        <v>-1773327.3400697601</v>
      </c>
      <c r="BS186" s="4521">
        <v>-400.49128252566919</v>
      </c>
      <c r="BT186" s="6488">
        <v>-66.961572799999701</v>
      </c>
    </row>
    <row r="187" spans="1:76" ht="17.399999999999999">
      <c r="A187" s="7069"/>
      <c r="B187" s="7096"/>
      <c r="C187" s="3311" t="s">
        <v>1057</v>
      </c>
      <c r="D187" s="3328" t="s">
        <v>321</v>
      </c>
      <c r="E187" s="5797">
        <f t="shared" ref="E187:K187" si="326">E21</f>
        <v>7.7981843885154776</v>
      </c>
      <c r="F187" s="5797">
        <f t="shared" si="326"/>
        <v>6.7283431455004203</v>
      </c>
      <c r="G187" s="5797">
        <f t="shared" si="326"/>
        <v>5.5958132045088576</v>
      </c>
      <c r="H187" s="5799">
        <f t="shared" si="326"/>
        <v>5.0262406536484958</v>
      </c>
      <c r="I187" s="6534">
        <f t="shared" si="326"/>
        <v>4.7088398619240586</v>
      </c>
      <c r="J187" s="6535">
        <f t="shared" si="326"/>
        <v>4.7088398619240586</v>
      </c>
      <c r="K187" s="3357">
        <f t="shared" si="326"/>
        <v>4.295864817236307</v>
      </c>
      <c r="L187" s="3357">
        <f t="shared" ref="L187:S187" si="327">L21</f>
        <v>4.1532746170221646</v>
      </c>
      <c r="M187" s="3357">
        <f t="shared" si="327"/>
        <v>5.2696493831661773</v>
      </c>
      <c r="N187" s="3357">
        <f t="shared" si="327"/>
        <v>4.6446644993029702</v>
      </c>
      <c r="O187" s="3357">
        <f t="shared" si="327"/>
        <v>4.9866773843016414</v>
      </c>
      <c r="P187" s="3357">
        <f t="shared" si="327"/>
        <v>4.6299115502306396</v>
      </c>
      <c r="Q187" s="3357">
        <f t="shared" si="327"/>
        <v>4.8816187351219202</v>
      </c>
      <c r="R187" s="3357">
        <f t="shared" si="327"/>
        <v>4.8425101354863296</v>
      </c>
      <c r="S187" s="3357">
        <f t="shared" si="327"/>
        <v>4.869438782542721</v>
      </c>
      <c r="T187" s="3357">
        <f t="shared" ref="T187:AA187" si="328">T21</f>
        <v>4.406171802307199</v>
      </c>
      <c r="U187" s="3357">
        <f t="shared" si="328"/>
        <v>4.3847826847380347</v>
      </c>
      <c r="V187" s="3357">
        <f t="shared" si="328"/>
        <v>3.6829254175447015</v>
      </c>
      <c r="W187" s="6512">
        <f t="shared" si="328"/>
        <v>4.5690483667398576</v>
      </c>
      <c r="X187" s="3303">
        <f t="shared" si="328"/>
        <v>14623675.958561948</v>
      </c>
      <c r="Y187" s="3303">
        <f t="shared" si="328"/>
        <v>1218639.6632134956</v>
      </c>
      <c r="Z187" s="3305">
        <f t="shared" si="328"/>
        <v>274.3448138706654</v>
      </c>
      <c r="AA187" s="3303">
        <f t="shared" si="328"/>
        <v>3249176.3383041616</v>
      </c>
      <c r="AB187" s="3303">
        <f t="shared" ref="AB187:AL187" si="329">AB21</f>
        <v>3976868.3128235312</v>
      </c>
      <c r="AC187" s="3303">
        <f t="shared" si="329"/>
        <v>-886331.4356822155</v>
      </c>
      <c r="AD187" s="3303">
        <f t="shared" si="329"/>
        <v>1501848.0629187438</v>
      </c>
      <c r="AE187" s="3303">
        <f t="shared" si="329"/>
        <v>137836.96662859086</v>
      </c>
      <c r="AF187" s="3303">
        <f t="shared" si="329"/>
        <v>1800172.5228962624</v>
      </c>
      <c r="AG187" s="3303">
        <f t="shared" si="329"/>
        <v>621738.40246238641</v>
      </c>
      <c r="AH187" s="3303">
        <f t="shared" si="329"/>
        <v>733282.48183793784</v>
      </c>
      <c r="AI187" s="3303">
        <f t="shared" si="329"/>
        <v>555548.03587856912</v>
      </c>
      <c r="AJ187" s="3303">
        <f t="shared" si="329"/>
        <v>2373146.270757698</v>
      </c>
      <c r="AK187" s="3303">
        <f t="shared" si="329"/>
        <v>2694587.7405898576</v>
      </c>
      <c r="AL187" s="3303">
        <f t="shared" si="329"/>
        <v>5416227.839482489</v>
      </c>
      <c r="AM187" s="3305">
        <f t="shared" ref="AM187:AM209" si="330">SUM(AA187:AL187)</f>
        <v>22174101.53889801</v>
      </c>
      <c r="AN187" s="4564">
        <f>AN21</f>
        <v>274.3448138706654</v>
      </c>
      <c r="AO187" s="3305">
        <f>AO21</f>
        <v>631.29906452815658</v>
      </c>
      <c r="AP187" s="3305">
        <f t="shared" ref="AP187:AW187" si="331">AP21</f>
        <v>754.54665230195224</v>
      </c>
      <c r="AQ187" s="3305">
        <f t="shared" si="331"/>
        <v>-210.38990555511617</v>
      </c>
      <c r="AR187" s="3305">
        <f t="shared" si="331"/>
        <v>329.81467523336283</v>
      </c>
      <c r="AS187" s="3305">
        <f t="shared" si="331"/>
        <v>34.19644200037483</v>
      </c>
      <c r="AT187" s="3305">
        <f t="shared" si="331"/>
        <v>342.56636071373754</v>
      </c>
      <c r="AU187" s="4564">
        <f t="shared" si="331"/>
        <v>125.00369990960287</v>
      </c>
      <c r="AV187" s="6429">
        <f t="shared" si="331"/>
        <v>158.80714894788838</v>
      </c>
      <c r="AW187" s="4463">
        <f t="shared" si="331"/>
        <v>135.53142041445588</v>
      </c>
      <c r="AX187" s="6429">
        <f>AX21</f>
        <v>535.95541675874188</v>
      </c>
      <c r="AY187" s="3974"/>
      <c r="AZ187" s="6445"/>
      <c r="BA187" s="3305">
        <f>BA21</f>
        <v>395.1733458936958</v>
      </c>
      <c r="BE187" s="7069"/>
      <c r="BF187" s="7096"/>
      <c r="BG187" s="6186" t="s">
        <v>1057</v>
      </c>
      <c r="BH187" s="4554" t="s">
        <v>321</v>
      </c>
      <c r="BI187" s="3823">
        <v>418.88499999999999</v>
      </c>
      <c r="BJ187" s="3822">
        <v>235.17499999999998</v>
      </c>
      <c r="BK187" s="3811">
        <v>310.24</v>
      </c>
      <c r="BL187" s="5588">
        <v>272.18</v>
      </c>
      <c r="BM187" s="5589">
        <v>240</v>
      </c>
      <c r="BN187" s="5860">
        <v>4.7145003756574004</v>
      </c>
      <c r="BO187" s="6316">
        <v>4.406171802307199</v>
      </c>
      <c r="BP187" s="4463">
        <v>1196906.4894802556</v>
      </c>
      <c r="BQ187" s="5583">
        <v>269.45215882040873</v>
      </c>
      <c r="BR187" s="4521">
        <v>2373146.270757698</v>
      </c>
      <c r="BS187" s="4521">
        <v>535.95541675874188</v>
      </c>
      <c r="BT187" s="6488">
        <v>301.86770072534273</v>
      </c>
    </row>
    <row r="188" spans="1:76" ht="17.399999999999999">
      <c r="A188" s="7069"/>
      <c r="B188" s="7096"/>
      <c r="C188" s="3311" t="s">
        <v>1252</v>
      </c>
      <c r="D188" s="3328" t="s">
        <v>321</v>
      </c>
      <c r="E188" s="5846"/>
      <c r="F188" s="5846"/>
      <c r="G188" s="5853"/>
      <c r="H188" s="4475">
        <f>H26</f>
        <v>2.8719045580662459</v>
      </c>
      <c r="I188" s="6534">
        <f>I26</f>
        <v>2.2512381809995494</v>
      </c>
      <c r="J188" s="6535">
        <f>J26</f>
        <v>2.2512381809995494</v>
      </c>
      <c r="K188" s="3357">
        <f t="shared" ref="K188:R188" si="332">K26</f>
        <v>1.340636238757599</v>
      </c>
      <c r="L188" s="3357">
        <f t="shared" si="332"/>
        <v>3.5366395094240817</v>
      </c>
      <c r="M188" s="3357">
        <f t="shared" si="332"/>
        <v>5.3408608613170721</v>
      </c>
      <c r="N188" s="3357">
        <f t="shared" si="332"/>
        <v>1.574574206146681</v>
      </c>
      <c r="O188" s="3357">
        <f t="shared" si="332"/>
        <v>0</v>
      </c>
      <c r="P188" s="3357">
        <f t="shared" si="332"/>
        <v>0</v>
      </c>
      <c r="Q188" s="3357">
        <f t="shared" si="332"/>
        <v>0.22920285659139158</v>
      </c>
      <c r="R188" s="3357">
        <f t="shared" si="332"/>
        <v>1.4553518832946393</v>
      </c>
      <c r="S188" s="3357">
        <f t="shared" ref="S188:Z188" si="333">S26</f>
        <v>1.8223801455708479</v>
      </c>
      <c r="T188" s="3357">
        <f t="shared" si="333"/>
        <v>0</v>
      </c>
      <c r="U188" s="3357">
        <f t="shared" si="333"/>
        <v>0.67078327321661158</v>
      </c>
      <c r="V188" s="3357">
        <f t="shared" si="333"/>
        <v>2.7654096557815278</v>
      </c>
      <c r="W188" s="6512">
        <f t="shared" si="333"/>
        <v>1.5451146477741862</v>
      </c>
      <c r="X188" s="4535">
        <f t="shared" si="333"/>
        <v>28596097.468080711</v>
      </c>
      <c r="Y188" s="4535">
        <f t="shared" si="333"/>
        <v>2383008.1223400594</v>
      </c>
      <c r="Z188" s="4541">
        <f t="shared" si="333"/>
        <v>536.47188706439874</v>
      </c>
      <c r="AA188" s="4535">
        <f t="shared" ref="AA188:AJ188" si="334">AA26</f>
        <v>6812055.5783071984</v>
      </c>
      <c r="AB188" s="4535">
        <f t="shared" si="334"/>
        <v>-3028254.5409184489</v>
      </c>
      <c r="AC188" s="4535">
        <f t="shared" si="334"/>
        <v>-8990283.9114814848</v>
      </c>
      <c r="AD188" s="4535">
        <f t="shared" si="334"/>
        <v>5106170.953837378</v>
      </c>
      <c r="AE188" s="4535">
        <f t="shared" si="334"/>
        <v>10005609.224560931</v>
      </c>
      <c r="AF188" s="4535">
        <f t="shared" si="334"/>
        <v>13044521.91178263</v>
      </c>
      <c r="AG188" s="4535">
        <f t="shared" si="334"/>
        <v>11361134.956577674</v>
      </c>
      <c r="AH188" s="4535">
        <f t="shared" si="334"/>
        <v>5653569.5397858443</v>
      </c>
      <c r="AI188" s="4535">
        <f t="shared" si="334"/>
        <v>3718458.3440022115</v>
      </c>
      <c r="AJ188" s="4535">
        <f t="shared" si="334"/>
        <v>10991440.026706969</v>
      </c>
      <c r="AK188" s="4535">
        <f>AK26</f>
        <v>9246302.5126672387</v>
      </c>
      <c r="AL188" s="4535">
        <f>AL26</f>
        <v>429385.92447624844</v>
      </c>
      <c r="AM188" s="3305">
        <f t="shared" si="330"/>
        <v>64350110.520304397</v>
      </c>
      <c r="AN188" s="4566">
        <f>AN26</f>
        <v>536.47188706439874</v>
      </c>
      <c r="AO188" s="4541">
        <f t="shared" ref="AO188:AV188" si="335">AO26</f>
        <v>1323.549067928911</v>
      </c>
      <c r="AP188" s="4541">
        <f t="shared" si="335"/>
        <v>-574.56248143804032</v>
      </c>
      <c r="AQ188" s="4541">
        <f t="shared" si="335"/>
        <v>-2134.0380211093338</v>
      </c>
      <c r="AR188" s="4541">
        <f t="shared" si="335"/>
        <v>1121.3451988964755</v>
      </c>
      <c r="AS188" s="4541">
        <f t="shared" si="335"/>
        <v>2482.3256336456657</v>
      </c>
      <c r="AT188" s="4541">
        <f t="shared" si="335"/>
        <v>2482.3256336456661</v>
      </c>
      <c r="AU188" s="4566">
        <f t="shared" si="335"/>
        <v>2284.2145492701043</v>
      </c>
      <c r="AV188" s="5965">
        <f t="shared" si="335"/>
        <v>1224.3948031346035</v>
      </c>
      <c r="AW188" s="6252">
        <f>AW26</f>
        <v>907.15457272314381</v>
      </c>
      <c r="AX188" s="5965">
        <f>AX26</f>
        <v>2482.3256336456652</v>
      </c>
      <c r="AY188" s="4018"/>
      <c r="AZ188" s="4689"/>
      <c r="BA188" s="4541">
        <f>BA26</f>
        <v>1146.8085161569786</v>
      </c>
      <c r="BE188" s="7069"/>
      <c r="BF188" s="7096"/>
      <c r="BG188" s="6186" t="s">
        <v>1252</v>
      </c>
      <c r="BH188" s="4554" t="s">
        <v>321</v>
      </c>
      <c r="BI188" s="3824"/>
      <c r="BJ188" s="3825"/>
      <c r="BK188" s="3812"/>
      <c r="BL188" s="5588">
        <v>151.458</v>
      </c>
      <c r="BM188" s="5589">
        <v>120</v>
      </c>
      <c r="BN188" s="5860">
        <v>2.2539444027047333</v>
      </c>
      <c r="BO188" s="6268">
        <v>0</v>
      </c>
      <c r="BP188" s="6252">
        <v>2372617.7603958789</v>
      </c>
      <c r="BQ188" s="6234">
        <v>534.13276911208436</v>
      </c>
      <c r="BR188" s="4523">
        <v>10991440.026706969</v>
      </c>
      <c r="BS188" s="4523">
        <v>2482.3256336456652</v>
      </c>
      <c r="BT188" s="6488">
        <v>1173.583622707539</v>
      </c>
    </row>
    <row r="189" spans="1:76" ht="17.399999999999999">
      <c r="A189" s="7069"/>
      <c r="B189" s="7096"/>
      <c r="C189" s="3311" t="s">
        <v>1253</v>
      </c>
      <c r="D189" s="3328" t="s">
        <v>321</v>
      </c>
      <c r="E189" s="5846"/>
      <c r="F189" s="5846"/>
      <c r="G189" s="5853"/>
      <c r="H189" s="4475">
        <f>H33</f>
        <v>4.0059482923309782</v>
      </c>
      <c r="I189" s="6534">
        <f>I33</f>
        <v>2.7014858171994596</v>
      </c>
      <c r="J189" s="6535">
        <f>J33</f>
        <v>2.7014858171994596</v>
      </c>
      <c r="K189" s="3357">
        <f>K33</f>
        <v>0</v>
      </c>
      <c r="L189" s="3357">
        <f t="shared" ref="L189:S189" si="336">L33</f>
        <v>2.4191069605770945</v>
      </c>
      <c r="M189" s="3357">
        <f t="shared" si="336"/>
        <v>0</v>
      </c>
      <c r="N189" s="3357">
        <f t="shared" si="336"/>
        <v>0</v>
      </c>
      <c r="O189" s="3357">
        <f t="shared" si="336"/>
        <v>0</v>
      </c>
      <c r="P189" s="3357">
        <f t="shared" si="336"/>
        <v>0</v>
      </c>
      <c r="Q189" s="3357">
        <f t="shared" si="336"/>
        <v>0</v>
      </c>
      <c r="R189" s="3357">
        <f t="shared" si="336"/>
        <v>0</v>
      </c>
      <c r="S189" s="3357">
        <f t="shared" si="336"/>
        <v>0</v>
      </c>
      <c r="T189" s="3357">
        <f t="shared" ref="T189:AA189" si="337">T33</f>
        <v>0</v>
      </c>
      <c r="U189" s="3357">
        <f t="shared" si="337"/>
        <v>0</v>
      </c>
      <c r="V189" s="3357">
        <f t="shared" si="337"/>
        <v>0.19507928579544112</v>
      </c>
      <c r="W189" s="6512">
        <f t="shared" si="337"/>
        <v>0.93368805277100986</v>
      </c>
      <c r="X189" s="4535">
        <f t="shared" si="337"/>
        <v>60100784.351503879</v>
      </c>
      <c r="Y189" s="4535">
        <f t="shared" si="337"/>
        <v>5008398.6959586563</v>
      </c>
      <c r="Z189" s="4541">
        <f t="shared" si="337"/>
        <v>1127.5098370010483</v>
      </c>
      <c r="AA189" s="4535">
        <f t="shared" si="337"/>
        <v>1485083.8608254737</v>
      </c>
      <c r="AB189" s="4535">
        <f t="shared" ref="AB189:AL189" si="338">AB33</f>
        <v>-9499654.5112074036</v>
      </c>
      <c r="AC189" s="4535">
        <f t="shared" si="338"/>
        <v>1215581.5406477018</v>
      </c>
      <c r="AD189" s="4535">
        <f t="shared" si="338"/>
        <v>1313919.8240582433</v>
      </c>
      <c r="AE189" s="4535">
        <f t="shared" si="338"/>
        <v>1163047.969748965</v>
      </c>
      <c r="AF189" s="4535">
        <f t="shared" si="338"/>
        <v>1516289.9515007222</v>
      </c>
      <c r="AG189" s="4535">
        <f t="shared" si="338"/>
        <v>1435151.230299799</v>
      </c>
      <c r="AH189" s="4535">
        <f t="shared" si="338"/>
        <v>1332337.044174931</v>
      </c>
      <c r="AI189" s="4535">
        <f t="shared" si="338"/>
        <v>1182754.1182710738</v>
      </c>
      <c r="AJ189" s="4535">
        <f t="shared" si="338"/>
        <v>1277640.543496243</v>
      </c>
      <c r="AK189" s="4535">
        <f t="shared" si="338"/>
        <v>1402323.519378643</v>
      </c>
      <c r="AL189" s="4535">
        <f t="shared" si="338"/>
        <v>559436.9635223652</v>
      </c>
      <c r="AM189" s="3305">
        <f t="shared" si="330"/>
        <v>4383912.0547167575</v>
      </c>
      <c r="AN189" s="4566">
        <f>AN33</f>
        <v>1127.5098370010483</v>
      </c>
      <c r="AO189" s="4541">
        <f>AO33</f>
        <v>288.54452774154737</v>
      </c>
      <c r="AP189" s="4541">
        <f t="shared" ref="AP189:AW189" si="339">AP33</f>
        <v>-1802.4063020501512</v>
      </c>
      <c r="AQ189" s="4541">
        <f t="shared" si="339"/>
        <v>288.54452774154743</v>
      </c>
      <c r="AR189" s="4541">
        <f t="shared" si="339"/>
        <v>288.54452774154743</v>
      </c>
      <c r="AS189" s="4541">
        <f t="shared" si="339"/>
        <v>288.54452774154743</v>
      </c>
      <c r="AT189" s="4541">
        <f t="shared" si="339"/>
        <v>288.54452774154743</v>
      </c>
      <c r="AU189" s="4566">
        <f t="shared" si="339"/>
        <v>288.54452774154743</v>
      </c>
      <c r="AV189" s="5965">
        <f t="shared" si="339"/>
        <v>288.54452774154743</v>
      </c>
      <c r="AW189" s="6252">
        <f t="shared" si="339"/>
        <v>288.54452774154743</v>
      </c>
      <c r="AX189" s="5965">
        <f>AX33</f>
        <v>288.54452774154743</v>
      </c>
      <c r="AY189" s="4018"/>
      <c r="AZ189" s="4689"/>
      <c r="BA189" s="4541">
        <f>BA33</f>
        <v>78.127413267551205</v>
      </c>
      <c r="BE189" s="7069"/>
      <c r="BF189" s="7096"/>
      <c r="BG189" s="6186" t="s">
        <v>1253</v>
      </c>
      <c r="BH189" s="4554" t="s">
        <v>321</v>
      </c>
      <c r="BI189" s="3824"/>
      <c r="BJ189" s="3825"/>
      <c r="BK189" s="3812"/>
      <c r="BL189" s="5588">
        <v>211.26499999999999</v>
      </c>
      <c r="BM189" s="5589">
        <v>144</v>
      </c>
      <c r="BN189" s="5860">
        <v>2.7047332832456799</v>
      </c>
      <c r="BO189" s="6268">
        <v>0</v>
      </c>
      <c r="BP189" s="6252">
        <v>4995930.261625642</v>
      </c>
      <c r="BQ189" s="6234">
        <v>1124.7028954582715</v>
      </c>
      <c r="BR189" s="4523">
        <v>1277640.543496243</v>
      </c>
      <c r="BS189" s="4523">
        <v>288.54452774154743</v>
      </c>
      <c r="BT189" s="6488">
        <v>-27.045231346311187</v>
      </c>
    </row>
    <row r="190" spans="1:76" ht="17.399999999999999">
      <c r="A190" s="7069"/>
      <c r="B190" s="7081"/>
      <c r="C190" s="3311" t="s">
        <v>338</v>
      </c>
      <c r="D190" s="3328" t="s">
        <v>321</v>
      </c>
      <c r="E190" s="5851">
        <f>SUM(E186:E189)</f>
        <v>15.36794563309552</v>
      </c>
      <c r="F190" s="5851">
        <f>SUM(F186:F189)</f>
        <v>10.88309503784693</v>
      </c>
      <c r="G190" s="5851">
        <f>SUM(G186:G189)</f>
        <v>7.9935404772361309</v>
      </c>
      <c r="H190" s="5852">
        <f t="shared" ref="H190:O190" si="340">SUM(H186:H189)</f>
        <v>14.05509233647766</v>
      </c>
      <c r="I190" s="6576">
        <f t="shared" si="340"/>
        <v>11.218670268647758</v>
      </c>
      <c r="J190" s="6577">
        <f t="shared" si="340"/>
        <v>11.218670268647758</v>
      </c>
      <c r="K190" s="5858">
        <f t="shared" si="340"/>
        <v>6.9736399828243112</v>
      </c>
      <c r="L190" s="5858">
        <f t="shared" si="340"/>
        <v>11.687417228595171</v>
      </c>
      <c r="M190" s="5858">
        <f t="shared" si="340"/>
        <v>13.741441567184236</v>
      </c>
      <c r="N190" s="5858">
        <f t="shared" si="340"/>
        <v>9.007794252123368</v>
      </c>
      <c r="O190" s="5858">
        <f t="shared" si="340"/>
        <v>7.460168604276137</v>
      </c>
      <c r="P190" s="5858">
        <f t="shared" ref="P190:W190" si="341">SUM(P186:P189)</f>
        <v>6.585778007824989</v>
      </c>
      <c r="Q190" s="5858">
        <f t="shared" si="341"/>
        <v>7.4965418516373932</v>
      </c>
      <c r="R190" s="5858">
        <f t="shared" si="341"/>
        <v>7.6795800270279635</v>
      </c>
      <c r="S190" s="5858">
        <f t="shared" si="341"/>
        <v>9.7803507410890624</v>
      </c>
      <c r="T190" s="5858">
        <f t="shared" si="341"/>
        <v>7.0205154611236082</v>
      </c>
      <c r="U190" s="5858">
        <f t="shared" si="341"/>
        <v>11.430064670914961</v>
      </c>
      <c r="V190" s="5858">
        <f t="shared" si="341"/>
        <v>9.8356403423962995</v>
      </c>
      <c r="W190" s="6512">
        <f t="shared" si="341"/>
        <v>9.7155351690764924</v>
      </c>
      <c r="X190" s="4535">
        <f t="shared" ref="X190:AE190" si="342">SUM(X186:X189)</f>
        <v>130683093.05816139</v>
      </c>
      <c r="Y190" s="4535">
        <f t="shared" si="342"/>
        <v>10890257.754846781</v>
      </c>
      <c r="Z190" s="4541">
        <f t="shared" si="342"/>
        <v>2451.6564058637514</v>
      </c>
      <c r="AA190" s="4535">
        <f t="shared" si="342"/>
        <v>15166882.362669</v>
      </c>
      <c r="AB190" s="4535">
        <f t="shared" si="342"/>
        <v>-5942502.2606240427</v>
      </c>
      <c r="AC190" s="4523">
        <f t="shared" si="342"/>
        <v>-12229291.085919444</v>
      </c>
      <c r="AD190" s="4523">
        <f t="shared" si="342"/>
        <v>5412575.2304829862</v>
      </c>
      <c r="AE190" s="4523">
        <f t="shared" si="342"/>
        <v>10182942.614427784</v>
      </c>
      <c r="AF190" s="4523">
        <f t="shared" ref="AF190:AL190" si="343">SUM(AF186:AF189)</f>
        <v>17247298.150374152</v>
      </c>
      <c r="AG190" s="4523">
        <f t="shared" si="343"/>
        <v>12408942.931182783</v>
      </c>
      <c r="AH190" s="4523">
        <f t="shared" si="343"/>
        <v>10789447.385599345</v>
      </c>
      <c r="AI190" s="4523">
        <f t="shared" si="343"/>
        <v>2135087.0880112187</v>
      </c>
      <c r="AJ190" s="4523">
        <f t="shared" si="343"/>
        <v>12868899.500891151</v>
      </c>
      <c r="AK190" s="4523">
        <f t="shared" si="343"/>
        <v>-4398542.5887121707</v>
      </c>
      <c r="AL190" s="4523">
        <f t="shared" si="343"/>
        <v>2206837.7317167493</v>
      </c>
      <c r="AM190" s="3305">
        <f t="shared" si="330"/>
        <v>65848577.060099512</v>
      </c>
      <c r="AN190" s="4566">
        <f t="shared" ref="AN190:AS190" si="344">SUM(AN186:AN189)</f>
        <v>2451.6564058637514</v>
      </c>
      <c r="AO190" s="4541">
        <f t="shared" si="344"/>
        <v>2946.851032517035</v>
      </c>
      <c r="AP190" s="4541">
        <f t="shared" si="344"/>
        <v>-1127.4940064251564</v>
      </c>
      <c r="AQ190" s="4541">
        <f t="shared" si="344"/>
        <v>-2902.8863165529292</v>
      </c>
      <c r="AR190" s="4541">
        <f t="shared" si="344"/>
        <v>1188.6333816941333</v>
      </c>
      <c r="AS190" s="4541">
        <f t="shared" si="344"/>
        <v>2526.3208776621123</v>
      </c>
      <c r="AT190" s="4541">
        <f>SUM(AT186:AT189)</f>
        <v>3282.0988457332028</v>
      </c>
      <c r="AU190" s="4566">
        <f>SUM(AU186:AU189)</f>
        <v>2494.8817255321492</v>
      </c>
      <c r="AV190" s="5965">
        <f>SUM(AV186:AV189)</f>
        <v>2336.6730018363733</v>
      </c>
      <c r="AW190" s="6252">
        <f>SUM(AW186:AW189)</f>
        <v>520.87554461262687</v>
      </c>
      <c r="AX190" s="5965">
        <f>SUM(AX186:AX189)</f>
        <v>2906.3342956202855</v>
      </c>
      <c r="AY190" s="4018"/>
      <c r="AZ190" s="4689"/>
      <c r="BA190" s="4541">
        <f>SUM(BA186:BA189)</f>
        <v>1173.5132750939674</v>
      </c>
      <c r="BE190" s="7069"/>
      <c r="BF190" s="7081"/>
      <c r="BG190" s="6186" t="s">
        <v>338</v>
      </c>
      <c r="BH190" s="4554" t="s">
        <v>321</v>
      </c>
      <c r="BI190" s="4555">
        <v>947.55200000000002</v>
      </c>
      <c r="BJ190" s="4699">
        <v>517.89499999999998</v>
      </c>
      <c r="BK190" s="3813">
        <v>532.26800000000003</v>
      </c>
      <c r="BL190" s="5592">
        <v>748.34199999999998</v>
      </c>
      <c r="BM190" s="5589">
        <v>587</v>
      </c>
      <c r="BN190" s="5860">
        <v>11.232156273478587</v>
      </c>
      <c r="BO190" s="6268">
        <v>7.0205154611236082</v>
      </c>
      <c r="BP190" s="6252">
        <v>10838479.117824959</v>
      </c>
      <c r="BQ190" s="6234">
        <v>2439.9998014013863</v>
      </c>
      <c r="BR190" s="4523">
        <v>12868899.500891151</v>
      </c>
      <c r="BS190" s="4523">
        <v>2906.3342956202855</v>
      </c>
      <c r="BT190" s="6488">
        <v>1381.444519286571</v>
      </c>
    </row>
    <row r="191" spans="1:76" s="299" customFormat="1" ht="17.399999999999999">
      <c r="A191" s="7069"/>
      <c r="B191" s="7088" t="s">
        <v>1446</v>
      </c>
      <c r="C191" s="7089"/>
      <c r="D191" s="3328" t="s">
        <v>1448</v>
      </c>
      <c r="E191" s="3329">
        <f t="shared" ref="E191:K191" si="345">E42</f>
        <v>401.6500000000002</v>
      </c>
      <c r="F191" s="3329">
        <f t="shared" si="345"/>
        <v>321.48</v>
      </c>
      <c r="G191" s="3329">
        <f t="shared" si="345"/>
        <v>171.09</v>
      </c>
      <c r="H191" s="3290">
        <f t="shared" si="345"/>
        <v>226.51299999999998</v>
      </c>
      <c r="I191" s="6578">
        <f t="shared" si="345"/>
        <v>60</v>
      </c>
      <c r="J191" s="6579">
        <f t="shared" si="345"/>
        <v>5</v>
      </c>
      <c r="K191" s="3338">
        <f t="shared" si="345"/>
        <v>0</v>
      </c>
      <c r="L191" s="3338">
        <f t="shared" ref="L191:S191" si="346">L42</f>
        <v>0</v>
      </c>
      <c r="M191" s="3338">
        <f t="shared" si="346"/>
        <v>8.43</v>
      </c>
      <c r="N191" s="3338">
        <f t="shared" si="346"/>
        <v>16.82</v>
      </c>
      <c r="O191" s="3338">
        <f t="shared" si="346"/>
        <v>35.299999999999997</v>
      </c>
      <c r="P191" s="3338">
        <f t="shared" si="346"/>
        <v>4.9000000000000004</v>
      </c>
      <c r="Q191" s="3338">
        <f t="shared" si="346"/>
        <v>0</v>
      </c>
      <c r="R191" s="3338">
        <f t="shared" si="346"/>
        <v>0</v>
      </c>
      <c r="S191" s="3338">
        <f t="shared" si="346"/>
        <v>2</v>
      </c>
      <c r="T191" s="3338">
        <f t="shared" ref="T191:AA191" si="347">T42</f>
        <v>0</v>
      </c>
      <c r="U191" s="3338">
        <f t="shared" si="347"/>
        <v>0</v>
      </c>
      <c r="V191" s="3338">
        <f t="shared" si="347"/>
        <v>1.25</v>
      </c>
      <c r="W191" s="6520">
        <f t="shared" si="347"/>
        <v>68.7</v>
      </c>
      <c r="X191" s="4521">
        <f t="shared" si="347"/>
        <v>22847387.95245878</v>
      </c>
      <c r="Y191" s="4537">
        <f t="shared" si="347"/>
        <v>1903948.9960382313</v>
      </c>
      <c r="Z191" s="3305">
        <f t="shared" si="347"/>
        <v>428.62426745570275</v>
      </c>
      <c r="AA191" s="4537">
        <f t="shared" si="347"/>
        <v>2590003.176566442</v>
      </c>
      <c r="AB191" s="4521">
        <f t="shared" ref="AB191:AL191" si="348">AB42</f>
        <v>2590003.176566442</v>
      </c>
      <c r="AC191" s="4521">
        <f t="shared" si="348"/>
        <v>1433315.8281958792</v>
      </c>
      <c r="AD191" s="4521">
        <f t="shared" si="348"/>
        <v>282116.91326954181</v>
      </c>
      <c r="AE191" s="4521">
        <f t="shared" si="348"/>
        <v>-2253539.3379627238</v>
      </c>
      <c r="AF191" s="4521">
        <f t="shared" si="348"/>
        <v>1917670.0796487958</v>
      </c>
      <c r="AG191" s="4521">
        <f t="shared" si="348"/>
        <v>2590003.176566442</v>
      </c>
      <c r="AH191" s="4521">
        <f t="shared" si="348"/>
        <v>2590003.176566442</v>
      </c>
      <c r="AI191" s="4521">
        <f t="shared" si="348"/>
        <v>2315581.5043551582</v>
      </c>
      <c r="AJ191" s="4521">
        <f t="shared" si="348"/>
        <v>2590003.176566442</v>
      </c>
      <c r="AK191" s="4521">
        <f t="shared" si="348"/>
        <v>2590003.176566442</v>
      </c>
      <c r="AL191" s="4521">
        <f t="shared" si="348"/>
        <v>2418489.6314343899</v>
      </c>
      <c r="AM191" s="3305">
        <f t="shared" si="330"/>
        <v>21653653.678339694</v>
      </c>
      <c r="AN191" s="4564">
        <f>AN42</f>
        <v>428.62426745570275</v>
      </c>
      <c r="AO191" s="3305">
        <f>AO42</f>
        <v>503.22494449308249</v>
      </c>
      <c r="AP191" s="3305">
        <f t="shared" ref="AP191:AW191" si="349">AP42</f>
        <v>491.41134998813061</v>
      </c>
      <c r="AQ191" s="3305">
        <f t="shared" si="349"/>
        <v>340.2284626096727</v>
      </c>
      <c r="AR191" s="3305">
        <f t="shared" si="349"/>
        <v>61.954534832906667</v>
      </c>
      <c r="AS191" s="3305">
        <f t="shared" si="349"/>
        <v>-559.0882413558611</v>
      </c>
      <c r="AT191" s="3305">
        <f t="shared" si="349"/>
        <v>364.92572344010148</v>
      </c>
      <c r="AU191" s="4564">
        <f t="shared" si="349"/>
        <v>520.73344442965526</v>
      </c>
      <c r="AV191" s="6429">
        <f t="shared" si="349"/>
        <v>560.91755963617106</v>
      </c>
      <c r="AW191" s="4463">
        <f t="shared" si="349"/>
        <v>564.90893694617353</v>
      </c>
      <c r="AX191" s="6429">
        <f>AX42</f>
        <v>584.93075163880724</v>
      </c>
      <c r="AY191" s="4712"/>
      <c r="AZ191" s="5261"/>
      <c r="BA191" s="3305">
        <f>BA42</f>
        <v>385.89824078699002</v>
      </c>
      <c r="BE191" s="7069"/>
      <c r="BF191" s="7143" t="s">
        <v>1446</v>
      </c>
      <c r="BG191" s="7144"/>
      <c r="BH191" s="4554" t="s">
        <v>1447</v>
      </c>
      <c r="BI191" s="6317">
        <v>401.6500000000002</v>
      </c>
      <c r="BJ191" s="6317">
        <v>321.48</v>
      </c>
      <c r="BK191" s="6317">
        <v>171.09</v>
      </c>
      <c r="BL191" s="6317">
        <v>226.51299999999998</v>
      </c>
      <c r="BM191" s="6318">
        <v>60</v>
      </c>
      <c r="BN191" s="4696">
        <v>5</v>
      </c>
      <c r="BO191" s="6301">
        <v>0</v>
      </c>
      <c r="BP191" s="4463">
        <v>1903948.9960382313</v>
      </c>
      <c r="BQ191" s="5583">
        <v>428.62426745570275</v>
      </c>
      <c r="BR191" s="4463">
        <v>2590003.176566442</v>
      </c>
      <c r="BS191" s="4521">
        <v>584.93075163880724</v>
      </c>
      <c r="BT191" s="6488">
        <v>357.28751124336901</v>
      </c>
      <c r="BU191" s="3783"/>
    </row>
    <row r="192" spans="1:76" ht="17.399999999999999">
      <c r="A192" s="7069"/>
      <c r="B192" s="7102" t="s">
        <v>1257</v>
      </c>
      <c r="C192" s="3311" t="s">
        <v>1260</v>
      </c>
      <c r="D192" s="3328" t="s">
        <v>1261</v>
      </c>
      <c r="E192" s="3340">
        <f t="shared" ref="E192:K192" si="350">E52</f>
        <v>275</v>
      </c>
      <c r="F192" s="3838">
        <f t="shared" si="350"/>
        <v>213</v>
      </c>
      <c r="G192" s="6463">
        <f t="shared" si="350"/>
        <v>204</v>
      </c>
      <c r="H192" s="3292">
        <f t="shared" si="350"/>
        <v>125</v>
      </c>
      <c r="I192" s="6540">
        <f t="shared" si="350"/>
        <v>96</v>
      </c>
      <c r="J192" s="6541">
        <f t="shared" si="350"/>
        <v>8</v>
      </c>
      <c r="K192" s="3355">
        <f t="shared" si="350"/>
        <v>10</v>
      </c>
      <c r="L192" s="3355">
        <f t="shared" ref="L192:S192" si="351">L52</f>
        <v>4</v>
      </c>
      <c r="M192" s="3355">
        <f t="shared" si="351"/>
        <v>5</v>
      </c>
      <c r="N192" s="3355">
        <f t="shared" si="351"/>
        <v>6</v>
      </c>
      <c r="O192" s="3355">
        <f t="shared" si="351"/>
        <v>3</v>
      </c>
      <c r="P192" s="3355">
        <f t="shared" si="351"/>
        <v>4</v>
      </c>
      <c r="Q192" s="3355">
        <f t="shared" si="351"/>
        <v>8</v>
      </c>
      <c r="R192" s="3355">
        <f t="shared" si="351"/>
        <v>10</v>
      </c>
      <c r="S192" s="3355">
        <f t="shared" si="351"/>
        <v>8</v>
      </c>
      <c r="T192" s="3355">
        <f t="shared" ref="T192:W193" si="352">T52</f>
        <v>3</v>
      </c>
      <c r="U192" s="3355">
        <f t="shared" si="352"/>
        <v>3</v>
      </c>
      <c r="V192" s="3355">
        <f t="shared" si="352"/>
        <v>6</v>
      </c>
      <c r="W192" s="6513">
        <f t="shared" si="352"/>
        <v>70</v>
      </c>
      <c r="X192" s="4532"/>
      <c r="Y192" s="4532"/>
      <c r="Z192" s="4540"/>
      <c r="AA192" s="4532"/>
      <c r="AB192" s="4532"/>
      <c r="AC192" s="4522"/>
      <c r="AD192" s="4522"/>
      <c r="AE192" s="4522"/>
      <c r="AF192" s="4522"/>
      <c r="AG192" s="4522"/>
      <c r="AH192" s="4522"/>
      <c r="AI192" s="4522"/>
      <c r="AJ192" s="4522"/>
      <c r="AK192" s="4522"/>
      <c r="AL192" s="4522"/>
      <c r="AM192" s="4540"/>
      <c r="AN192" s="4565"/>
      <c r="AO192" s="4540"/>
      <c r="AP192" s="4540"/>
      <c r="AQ192" s="4540"/>
      <c r="AR192" s="4540"/>
      <c r="AS192" s="4540"/>
      <c r="AT192" s="4540"/>
      <c r="AU192" s="4565"/>
      <c r="AV192" s="6612"/>
      <c r="AW192" s="6251"/>
      <c r="AX192" s="6612"/>
      <c r="AY192" s="6430"/>
      <c r="AZ192" s="4679"/>
      <c r="BA192" s="4540"/>
      <c r="BE192" s="7069"/>
      <c r="BF192" s="7145" t="s">
        <v>1257</v>
      </c>
      <c r="BG192" s="6186" t="s">
        <v>1260</v>
      </c>
      <c r="BH192" s="4554" t="s">
        <v>1491</v>
      </c>
      <c r="BI192" s="4454">
        <v>275</v>
      </c>
      <c r="BJ192" s="3838">
        <v>213</v>
      </c>
      <c r="BK192" s="3814">
        <v>204</v>
      </c>
      <c r="BL192" s="3838">
        <v>125</v>
      </c>
      <c r="BM192" s="5589">
        <v>96</v>
      </c>
      <c r="BN192" s="4378">
        <v>8</v>
      </c>
      <c r="BO192" s="6271">
        <v>3</v>
      </c>
      <c r="BP192" s="6251"/>
      <c r="BQ192" s="6233"/>
      <c r="BR192" s="4522"/>
      <c r="BS192" s="4522"/>
      <c r="BT192" s="4540"/>
      <c r="BU192" s="3783"/>
    </row>
    <row r="193" spans="1:76" ht="17.399999999999999">
      <c r="A193" s="7069"/>
      <c r="B193" s="7102"/>
      <c r="C193" s="3311" t="s">
        <v>1242</v>
      </c>
      <c r="D193" s="3328" t="s">
        <v>1244</v>
      </c>
      <c r="E193" s="6463">
        <f t="shared" ref="E193:J193" si="353">E53</f>
        <v>136.38333333333333</v>
      </c>
      <c r="F193" s="6463">
        <f t="shared" si="353"/>
        <v>137.19999999999999</v>
      </c>
      <c r="G193" s="6463">
        <f t="shared" si="353"/>
        <v>83.98</v>
      </c>
      <c r="H193" s="3292">
        <f t="shared" si="353"/>
        <v>74.75</v>
      </c>
      <c r="I193" s="6540">
        <f t="shared" si="353"/>
        <v>56.889696969696978</v>
      </c>
      <c r="J193" s="6541">
        <f t="shared" si="353"/>
        <v>4.7408080808080815</v>
      </c>
      <c r="K193" s="3355">
        <f t="shared" ref="K193:R193" si="354">K53</f>
        <v>4.5666666666666673</v>
      </c>
      <c r="L193" s="3355">
        <f t="shared" si="354"/>
        <v>2.1833333333333336</v>
      </c>
      <c r="M193" s="3355">
        <f t="shared" si="354"/>
        <v>1.8499999999999999</v>
      </c>
      <c r="N193" s="3355">
        <f t="shared" si="354"/>
        <v>2.4666666666666668</v>
      </c>
      <c r="O193" s="3355">
        <f t="shared" si="354"/>
        <v>3.1333333333333333</v>
      </c>
      <c r="P193" s="3355">
        <f t="shared" si="354"/>
        <v>1.7833333333333334</v>
      </c>
      <c r="Q193" s="3355">
        <f t="shared" si="354"/>
        <v>5</v>
      </c>
      <c r="R193" s="3355">
        <f t="shared" si="354"/>
        <v>7.5166666666666666</v>
      </c>
      <c r="S193" s="3355">
        <f>S53</f>
        <v>16.933333333333334</v>
      </c>
      <c r="T193" s="3355">
        <f t="shared" si="352"/>
        <v>0.96666666666666667</v>
      </c>
      <c r="U193" s="3355">
        <f t="shared" si="352"/>
        <v>1.5</v>
      </c>
      <c r="V193" s="3355">
        <f t="shared" si="352"/>
        <v>3.1833333333333331</v>
      </c>
      <c r="W193" s="6513">
        <f t="shared" si="352"/>
        <v>51.083333333333329</v>
      </c>
      <c r="X193" s="3303">
        <f t="shared" ref="X193:AL193" si="355">X53</f>
        <v>23280957.562936105</v>
      </c>
      <c r="Y193" s="3303">
        <f t="shared" si="355"/>
        <v>1940079.7969113425</v>
      </c>
      <c r="Z193" s="3305">
        <f t="shared" si="355"/>
        <v>436.75817129926656</v>
      </c>
      <c r="AA193" s="3303">
        <f t="shared" si="355"/>
        <v>2167073.6427434846</v>
      </c>
      <c r="AB193" s="3303">
        <f t="shared" si="355"/>
        <v>5273755.6569020655</v>
      </c>
      <c r="AC193" s="4521">
        <f t="shared" si="355"/>
        <v>5708256.6379032657</v>
      </c>
      <c r="AD193" s="4521">
        <f t="shared" si="355"/>
        <v>4904429.8230510456</v>
      </c>
      <c r="AE193" s="4521">
        <f t="shared" si="355"/>
        <v>4035427.8610486453</v>
      </c>
      <c r="AF193" s="4521">
        <f t="shared" si="355"/>
        <v>5795156.8341035051</v>
      </c>
      <c r="AG193" s="4521">
        <f t="shared" si="355"/>
        <v>1602222.3674419255</v>
      </c>
      <c r="AH193" s="4521">
        <f t="shared" si="355"/>
        <v>-1678260.0391171346</v>
      </c>
      <c r="AI193" s="4521">
        <f t="shared" si="355"/>
        <v>-13952912.752401033</v>
      </c>
      <c r="AJ193" s="4521">
        <f t="shared" si="355"/>
        <v>6859684.2375564454</v>
      </c>
      <c r="AK193" s="4521">
        <f t="shared" si="355"/>
        <v>6164482.667954525</v>
      </c>
      <c r="AL193" s="4521">
        <f t="shared" si="355"/>
        <v>3970252.7138984655</v>
      </c>
      <c r="AM193" s="3305">
        <f t="shared" si="330"/>
        <v>30849569.651085205</v>
      </c>
      <c r="AN193" s="4564">
        <f t="shared" ref="AN193:AW193" si="356">AN53</f>
        <v>436.75817129926656</v>
      </c>
      <c r="AO193" s="3305">
        <f t="shared" si="356"/>
        <v>40.654991046515917</v>
      </c>
      <c r="AP193" s="3305">
        <f t="shared" si="356"/>
        <v>98.937334100669091</v>
      </c>
      <c r="AQ193" s="3305">
        <f t="shared" si="356"/>
        <v>107.08871075159961</v>
      </c>
      <c r="AR193" s="3305">
        <f t="shared" si="356"/>
        <v>92.008663947378167</v>
      </c>
      <c r="AS193" s="3305">
        <f t="shared" si="356"/>
        <v>75.705910645517136</v>
      </c>
      <c r="AT193" s="3305">
        <f t="shared" si="356"/>
        <v>108.7189860817857</v>
      </c>
      <c r="AU193" s="4564">
        <f t="shared" si="356"/>
        <v>30.05820140030627</v>
      </c>
      <c r="AV193" s="6429">
        <f t="shared" si="356"/>
        <v>-31.484692314219096</v>
      </c>
      <c r="AW193" s="4463">
        <f t="shared" si="356"/>
        <v>-261.76108270300602</v>
      </c>
      <c r="AX193" s="6429">
        <f>AX53</f>
        <v>128.68985887656547</v>
      </c>
      <c r="AY193" s="3974"/>
      <c r="AZ193" s="6445"/>
      <c r="BA193" s="3305">
        <f>BA53</f>
        <v>549.78226003946622</v>
      </c>
      <c r="BE193" s="7069"/>
      <c r="BF193" s="7145"/>
      <c r="BG193" s="6186" t="s">
        <v>1242</v>
      </c>
      <c r="BH193" s="4554" t="s">
        <v>1492</v>
      </c>
      <c r="BI193" s="4454">
        <v>136.38333333333333</v>
      </c>
      <c r="BJ193" s="3838">
        <v>137.19999999999999</v>
      </c>
      <c r="BK193" s="3814">
        <v>83.98</v>
      </c>
      <c r="BL193" s="3838">
        <v>74.75</v>
      </c>
      <c r="BM193" s="5589">
        <v>56.889696969696978</v>
      </c>
      <c r="BN193" s="5865">
        <v>4.7408080808080815</v>
      </c>
      <c r="BO193" s="6273">
        <v>0.96666666666666667</v>
      </c>
      <c r="BP193" s="4463">
        <v>1940079.7969113425</v>
      </c>
      <c r="BQ193" s="5583">
        <v>436.75817129926656</v>
      </c>
      <c r="BR193" s="4521">
        <v>6859684.2375564454</v>
      </c>
      <c r="BS193" s="4521">
        <v>128.68985887656547</v>
      </c>
      <c r="BT193" s="6488">
        <v>444.64283881217654</v>
      </c>
      <c r="BU193" s="3783"/>
    </row>
    <row r="194" spans="1:76" ht="17.399999999999999">
      <c r="A194" s="7069"/>
      <c r="B194" s="7090" t="s">
        <v>1258</v>
      </c>
      <c r="C194" s="7090"/>
      <c r="D194" s="3343" t="s">
        <v>1261</v>
      </c>
      <c r="E194" s="4764">
        <f t="shared" ref="E194:S194" si="357">E62</f>
        <v>32</v>
      </c>
      <c r="F194" s="5595">
        <f t="shared" si="357"/>
        <v>12</v>
      </c>
      <c r="G194" s="3347">
        <f t="shared" si="357"/>
        <v>8</v>
      </c>
      <c r="H194" s="3293">
        <f t="shared" si="357"/>
        <v>21</v>
      </c>
      <c r="I194" s="6540">
        <f t="shared" si="357"/>
        <v>12</v>
      </c>
      <c r="J194" s="6541">
        <f t="shared" si="357"/>
        <v>1</v>
      </c>
      <c r="K194" s="3355">
        <f t="shared" si="357"/>
        <v>1</v>
      </c>
      <c r="L194" s="3355">
        <f t="shared" si="357"/>
        <v>0</v>
      </c>
      <c r="M194" s="3355">
        <f t="shared" si="357"/>
        <v>0</v>
      </c>
      <c r="N194" s="3355">
        <f t="shared" si="357"/>
        <v>0</v>
      </c>
      <c r="O194" s="3355">
        <f t="shared" si="357"/>
        <v>1</v>
      </c>
      <c r="P194" s="3355">
        <f t="shared" si="357"/>
        <v>1</v>
      </c>
      <c r="Q194" s="3355">
        <f t="shared" si="357"/>
        <v>3</v>
      </c>
      <c r="R194" s="3355">
        <f t="shared" si="357"/>
        <v>0</v>
      </c>
      <c r="S194" s="3355">
        <f t="shared" si="357"/>
        <v>1</v>
      </c>
      <c r="T194" s="3355">
        <f>T62</f>
        <v>0</v>
      </c>
      <c r="U194" s="3355">
        <f>U62</f>
        <v>2</v>
      </c>
      <c r="V194" s="3355">
        <f>V62</f>
        <v>0</v>
      </c>
      <c r="W194" s="6513">
        <f>W62</f>
        <v>9</v>
      </c>
      <c r="X194" s="3303">
        <f t="shared" ref="X194:AL194" si="358">X62</f>
        <v>36240465.045454517</v>
      </c>
      <c r="Y194" s="3303">
        <f t="shared" si="358"/>
        <v>3020038.7537878766</v>
      </c>
      <c r="Z194" s="3305">
        <f t="shared" si="358"/>
        <v>679.88265506255664</v>
      </c>
      <c r="AA194" s="3303">
        <f t="shared" si="358"/>
        <v>3020038.7537878766</v>
      </c>
      <c r="AB194" s="3303">
        <f t="shared" si="358"/>
        <v>3020038.7537878766</v>
      </c>
      <c r="AC194" s="4521">
        <f t="shared" si="358"/>
        <v>3020038.7537878766</v>
      </c>
      <c r="AD194" s="4521">
        <f t="shared" si="358"/>
        <v>3020038.7537878766</v>
      </c>
      <c r="AE194" s="4521">
        <f t="shared" si="358"/>
        <v>-2518361.2462121234</v>
      </c>
      <c r="AF194" s="4521">
        <f t="shared" si="358"/>
        <v>3020038.7537878766</v>
      </c>
      <c r="AG194" s="4521">
        <f t="shared" si="358"/>
        <v>-6327917.246212123</v>
      </c>
      <c r="AH194" s="4521">
        <f t="shared" si="358"/>
        <v>3020038.7537878766</v>
      </c>
      <c r="AI194" s="4521">
        <f t="shared" si="358"/>
        <v>-1979561.2462121234</v>
      </c>
      <c r="AJ194" s="4521">
        <f t="shared" si="358"/>
        <v>3020038.7537878766</v>
      </c>
      <c r="AK194" s="4521">
        <f t="shared" si="358"/>
        <v>1384438.7537878766</v>
      </c>
      <c r="AL194" s="4521">
        <f t="shared" si="358"/>
        <v>3020038.7537878766</v>
      </c>
      <c r="AM194" s="3305">
        <f t="shared" si="330"/>
        <v>14718909.045454523</v>
      </c>
      <c r="AN194" s="4564">
        <f t="shared" ref="AN194:AW194" si="359">AN62</f>
        <v>679.88265506255664</v>
      </c>
      <c r="AO194" s="3305">
        <f t="shared" si="359"/>
        <v>586.77875301164727</v>
      </c>
      <c r="AP194" s="3305">
        <f t="shared" si="359"/>
        <v>573.00366827457458</v>
      </c>
      <c r="AQ194" s="3305">
        <f t="shared" si="359"/>
        <v>716.87141243406461</v>
      </c>
      <c r="AR194" s="3305">
        <f t="shared" si="359"/>
        <v>663.21828776537757</v>
      </c>
      <c r="AS194" s="3305">
        <f t="shared" si="359"/>
        <v>-624.78880955162651</v>
      </c>
      <c r="AT194" s="3305">
        <f t="shared" si="359"/>
        <v>574.70251986463768</v>
      </c>
      <c r="AU194" s="4564">
        <f t="shared" si="359"/>
        <v>-1272.2602711453956</v>
      </c>
      <c r="AV194" s="6429">
        <f t="shared" si="359"/>
        <v>654.05045951606871</v>
      </c>
      <c r="AW194" s="4463">
        <f t="shared" si="359"/>
        <v>-482.93348220059687</v>
      </c>
      <c r="AX194" s="6429">
        <f>AX62</f>
        <v>682.05072264557225</v>
      </c>
      <c r="AY194" s="3974"/>
      <c r="AZ194" s="6445"/>
      <c r="BA194" s="3305">
        <f>BA62</f>
        <v>262.31144135395317</v>
      </c>
      <c r="BE194" s="7069"/>
      <c r="BF194" s="7101" t="s">
        <v>1258</v>
      </c>
      <c r="BG194" s="7101"/>
      <c r="BH194" s="4556" t="s">
        <v>1491</v>
      </c>
      <c r="BI194" s="4431">
        <v>16</v>
      </c>
      <c r="BJ194" s="5595">
        <v>6</v>
      </c>
      <c r="BK194" s="6302">
        <v>8</v>
      </c>
      <c r="BL194" s="5595">
        <v>21</v>
      </c>
      <c r="BM194" s="5589">
        <v>12</v>
      </c>
      <c r="BN194" s="4378">
        <v>1</v>
      </c>
      <c r="BO194" s="6271">
        <v>0</v>
      </c>
      <c r="BP194" s="4463">
        <v>3020038.7537878766</v>
      </c>
      <c r="BQ194" s="5583">
        <v>679.88265506255664</v>
      </c>
      <c r="BR194" s="4521">
        <v>3020038.7537878766</v>
      </c>
      <c r="BS194" s="4521">
        <v>682.05072264557225</v>
      </c>
      <c r="BT194" s="6488">
        <v>422.05212453247503</v>
      </c>
      <c r="BU194" s="3783"/>
    </row>
    <row r="195" spans="1:76" ht="18" thickBot="1">
      <c r="A195" s="7069"/>
      <c r="B195" s="7091" t="s">
        <v>1259</v>
      </c>
      <c r="C195" s="7091"/>
      <c r="D195" s="2849" t="s">
        <v>1262</v>
      </c>
      <c r="E195" s="3049">
        <f>E67/2</f>
        <v>166</v>
      </c>
      <c r="F195" s="3050">
        <f>F67/2</f>
        <v>43</v>
      </c>
      <c r="G195" s="3051">
        <f>G67/2</f>
        <v>50.5</v>
      </c>
      <c r="H195" s="3363">
        <f t="shared" ref="H195:S195" si="360">H68</f>
        <v>229.05600000000001</v>
      </c>
      <c r="I195" s="6543">
        <f t="shared" si="360"/>
        <v>48</v>
      </c>
      <c r="J195" s="6571">
        <f t="shared" si="360"/>
        <v>4</v>
      </c>
      <c r="K195" s="3356">
        <f t="shared" si="360"/>
        <v>2.15</v>
      </c>
      <c r="L195" s="3356">
        <f t="shared" si="360"/>
        <v>2.15</v>
      </c>
      <c r="M195" s="3356">
        <f t="shared" si="360"/>
        <v>0</v>
      </c>
      <c r="N195" s="3356">
        <f t="shared" si="360"/>
        <v>0</v>
      </c>
      <c r="O195" s="3356">
        <f t="shared" si="360"/>
        <v>23.19</v>
      </c>
      <c r="P195" s="3356">
        <f t="shared" si="360"/>
        <v>18.257999999999999</v>
      </c>
      <c r="Q195" s="3356">
        <f t="shared" si="360"/>
        <v>0</v>
      </c>
      <c r="R195" s="3356">
        <f t="shared" si="360"/>
        <v>0</v>
      </c>
      <c r="S195" s="3356">
        <f t="shared" si="360"/>
        <v>0</v>
      </c>
      <c r="T195" s="3356">
        <f>T68</f>
        <v>0</v>
      </c>
      <c r="U195" s="3356">
        <f>U68</f>
        <v>19.873000000000001</v>
      </c>
      <c r="V195" s="3356">
        <f>V68</f>
        <v>0</v>
      </c>
      <c r="W195" s="6527">
        <f>W68</f>
        <v>65.621000000000009</v>
      </c>
      <c r="X195" s="4538">
        <f t="shared" ref="X195:AL195" si="361">X68</f>
        <v>4652137.4415584421</v>
      </c>
      <c r="Y195" s="4538">
        <f t="shared" si="361"/>
        <v>387678.12012987019</v>
      </c>
      <c r="Z195" s="4542">
        <f t="shared" si="361"/>
        <v>87.275578597449382</v>
      </c>
      <c r="AA195" s="4538">
        <f t="shared" si="361"/>
        <v>137978.12012987019</v>
      </c>
      <c r="AB195" s="4538">
        <f t="shared" si="361"/>
        <v>168878.12012987019</v>
      </c>
      <c r="AC195" s="4538">
        <f t="shared" si="361"/>
        <v>387678.12012987019</v>
      </c>
      <c r="AD195" s="4538">
        <f t="shared" si="361"/>
        <v>387678.12012987019</v>
      </c>
      <c r="AE195" s="4538">
        <f t="shared" si="361"/>
        <v>-449021.87987012981</v>
      </c>
      <c r="AF195" s="4538">
        <f t="shared" si="361"/>
        <v>-251821.87987012981</v>
      </c>
      <c r="AG195" s="4538">
        <f t="shared" si="361"/>
        <v>387678.12012987019</v>
      </c>
      <c r="AH195" s="4538">
        <f t="shared" si="361"/>
        <v>387678.12012987019</v>
      </c>
      <c r="AI195" s="4538">
        <f t="shared" si="361"/>
        <v>387678.12012987019</v>
      </c>
      <c r="AJ195" s="4538">
        <f t="shared" si="361"/>
        <v>387678.12012987019</v>
      </c>
      <c r="AK195" s="4538">
        <f t="shared" si="361"/>
        <v>-229521.87987012981</v>
      </c>
      <c r="AL195" s="4538">
        <f t="shared" si="361"/>
        <v>387678.12012987019</v>
      </c>
      <c r="AM195" s="3305">
        <f t="shared" si="330"/>
        <v>2090237.4415584425</v>
      </c>
      <c r="AN195" s="6420">
        <f t="shared" ref="AN195:AW195" si="362">AN68</f>
        <v>87.275578597449382</v>
      </c>
      <c r="AO195" s="4542">
        <f t="shared" si="362"/>
        <v>26.808473623442516</v>
      </c>
      <c r="AP195" s="4542">
        <f t="shared" si="362"/>
        <v>32.041900854536763</v>
      </c>
      <c r="AQ195" s="4542">
        <f t="shared" si="362"/>
        <v>92.023773270693411</v>
      </c>
      <c r="AR195" s="4542">
        <f t="shared" si="362"/>
        <v>85.136397244620355</v>
      </c>
      <c r="AS195" s="4542">
        <f t="shared" si="362"/>
        <v>-111.39936584104402</v>
      </c>
      <c r="AT195" s="4542">
        <f t="shared" si="362"/>
        <v>-47.92079861124153</v>
      </c>
      <c r="AU195" s="6420">
        <f t="shared" si="362"/>
        <v>77.944677694514851</v>
      </c>
      <c r="AV195" s="6613">
        <f t="shared" si="362"/>
        <v>83.959536048085113</v>
      </c>
      <c r="AW195" s="6265">
        <f t="shared" si="362"/>
        <v>94.577899464110502</v>
      </c>
      <c r="AX195" s="6613">
        <f>AX68</f>
        <v>87.553890378662061</v>
      </c>
      <c r="AY195" s="3974"/>
      <c r="AZ195" s="6445"/>
      <c r="BA195" s="4542">
        <f>BA68</f>
        <v>37.250939887866068</v>
      </c>
      <c r="BE195" s="7069"/>
      <c r="BF195" s="7091" t="s">
        <v>1259</v>
      </c>
      <c r="BG195" s="7091"/>
      <c r="BH195" s="2849" t="s">
        <v>1447</v>
      </c>
      <c r="BI195" s="3049">
        <v>166</v>
      </c>
      <c r="BJ195" s="3050">
        <v>43</v>
      </c>
      <c r="BK195" s="3051">
        <v>50.5</v>
      </c>
      <c r="BL195" s="3050">
        <v>229.05600000000007</v>
      </c>
      <c r="BM195" s="3062">
        <v>48</v>
      </c>
      <c r="BN195" s="6188">
        <v>4</v>
      </c>
      <c r="BO195" s="6319">
        <v>0</v>
      </c>
      <c r="BP195" s="6265">
        <v>387678.12012987019</v>
      </c>
      <c r="BQ195" s="6246">
        <v>87.275578597449382</v>
      </c>
      <c r="BR195" s="4524">
        <v>387678.12012987019</v>
      </c>
      <c r="BS195" s="4524">
        <v>87.553890378662061</v>
      </c>
      <c r="BT195" s="6489">
        <v>41.472022367907492</v>
      </c>
      <c r="BU195" s="3783"/>
    </row>
    <row r="196" spans="1:76" ht="18" thickBot="1">
      <c r="A196" s="7069"/>
      <c r="B196" s="7070" t="s">
        <v>1400</v>
      </c>
      <c r="C196" s="7071"/>
      <c r="D196" s="7071"/>
      <c r="E196" s="7071"/>
      <c r="F196" s="7071"/>
      <c r="G196" s="7071"/>
      <c r="H196" s="7071"/>
      <c r="I196" s="7076"/>
      <c r="J196" s="6528"/>
      <c r="K196" s="4324"/>
      <c r="L196" s="4751"/>
      <c r="M196" s="4751"/>
      <c r="N196" s="4751"/>
      <c r="O196" s="5429"/>
      <c r="P196" s="4751"/>
      <c r="Q196" s="4751"/>
      <c r="R196" s="6024"/>
      <c r="S196" s="6102"/>
      <c r="T196" s="6210"/>
      <c r="U196" s="6210"/>
      <c r="V196" s="6210"/>
      <c r="W196" s="6210"/>
      <c r="X196" s="3344">
        <f t="shared" ref="X196:AE196" si="363">X185+X190+X191+X193+X194+X195</f>
        <v>239744921.03346989</v>
      </c>
      <c r="Y196" s="3344">
        <f t="shared" si="363"/>
        <v>19978743.419455823</v>
      </c>
      <c r="Z196" s="3345">
        <f t="shared" si="363"/>
        <v>4497.6909994272464</v>
      </c>
      <c r="AA196" s="3344">
        <f t="shared" si="363"/>
        <v>26396751.534174081</v>
      </c>
      <c r="AB196" s="3344">
        <f t="shared" si="363"/>
        <v>10404306.381429531</v>
      </c>
      <c r="AC196" s="3344">
        <f t="shared" si="363"/>
        <v>-2168358.4982432914</v>
      </c>
      <c r="AD196" s="3344">
        <f t="shared" si="363"/>
        <v>19300971.775388636</v>
      </c>
      <c r="AE196" s="3344">
        <f t="shared" si="363"/>
        <v>10056274.598364916</v>
      </c>
      <c r="AF196" s="3344">
        <f t="shared" ref="AF196:AL196" si="364">AF185+AF190+AF191+AF193+AF194+AF195</f>
        <v>33022474.872711517</v>
      </c>
      <c r="AG196" s="3344">
        <f t="shared" si="364"/>
        <v>14252296.262340359</v>
      </c>
      <c r="AH196" s="3344">
        <f t="shared" si="364"/>
        <v>13151158.646432281</v>
      </c>
      <c r="AI196" s="3344">
        <f t="shared" si="364"/>
        <v>-11565197.073773023</v>
      </c>
      <c r="AJ196" s="3344">
        <f t="shared" si="364"/>
        <v>29084296.678920768</v>
      </c>
      <c r="AK196" s="3344">
        <f t="shared" si="364"/>
        <v>9543044.642416019</v>
      </c>
      <c r="AL196" s="3344">
        <f t="shared" si="364"/>
        <v>15084698.406002289</v>
      </c>
      <c r="AM196" s="6353">
        <f t="shared" si="330"/>
        <v>166562718.2261641</v>
      </c>
      <c r="AN196" s="4559">
        <f>AN185+AN190+AN191+AN193+AN194+AN195</f>
        <v>4497.6909994272464</v>
      </c>
      <c r="AO196" s="3345">
        <f>AA196/년간!F12</f>
        <v>5128.7596655353664</v>
      </c>
      <c r="AP196" s="3345">
        <f>AB196/년간!G12</f>
        <v>1974.0494107680674</v>
      </c>
      <c r="AQ196" s="3345">
        <f>AC196/년간!H12</f>
        <v>-514.70671273652704</v>
      </c>
      <c r="AR196" s="3345">
        <f>AD196/년간!I12</f>
        <v>4238.6070168887109</v>
      </c>
      <c r="AS196" s="3345">
        <f>AE196/년간!J12</f>
        <v>2494.8953786066368</v>
      </c>
      <c r="AT196" s="3345">
        <f>AF196/년간!K12</f>
        <v>6284.0582749843034</v>
      </c>
      <c r="AU196" s="4559">
        <f>AG196/년간!L12</f>
        <v>2865.4973827326526</v>
      </c>
      <c r="AV196" s="6614">
        <f>AH196/년간!M12</f>
        <v>2848.1493308916365</v>
      </c>
      <c r="AW196" s="6254">
        <f>AI196/년간!N12</f>
        <v>-2821.4438456302578</v>
      </c>
      <c r="AX196" s="6614">
        <f>AJ196/년간!O12</f>
        <v>6568.4473560531833</v>
      </c>
      <c r="AY196" s="6431"/>
      <c r="AZ196" s="6446"/>
      <c r="BA196" s="3345">
        <f>AM196/년간!V12</f>
        <v>2968.3794198884716</v>
      </c>
      <c r="BE196" s="7069"/>
      <c r="BF196" s="7070" t="s">
        <v>1400</v>
      </c>
      <c r="BG196" s="7071"/>
      <c r="BH196" s="7071"/>
      <c r="BI196" s="7071"/>
      <c r="BJ196" s="7071"/>
      <c r="BK196" s="7071"/>
      <c r="BL196" s="7071"/>
      <c r="BM196" s="7071"/>
      <c r="BN196" s="7071"/>
      <c r="BO196" s="7073"/>
      <c r="BP196" s="6254">
        <v>19235486.19504888</v>
      </c>
      <c r="BQ196" s="6236">
        <v>4486.0343949648814</v>
      </c>
      <c r="BR196" s="4559">
        <v>29084296.678920768</v>
      </c>
      <c r="BS196" s="3344">
        <v>6568.4473560531833</v>
      </c>
      <c r="BT196" s="6485">
        <v>3168.2436505969263</v>
      </c>
      <c r="BU196" s="3783"/>
    </row>
    <row r="197" spans="1:76" s="299" customFormat="1" ht="17.399999999999999">
      <c r="A197" s="7069"/>
      <c r="B197" s="7092" t="s">
        <v>1449</v>
      </c>
      <c r="C197" s="7093"/>
      <c r="D197" s="3025" t="s">
        <v>1451</v>
      </c>
      <c r="E197" s="3379">
        <f t="shared" ref="E197:S197" si="365">E74</f>
        <v>9.6301471114610937</v>
      </c>
      <c r="F197" s="3379">
        <f t="shared" si="365"/>
        <v>9.7799999999999994</v>
      </c>
      <c r="G197" s="3380">
        <f t="shared" si="365"/>
        <v>9.9899535671630861</v>
      </c>
      <c r="H197" s="3381">
        <f t="shared" si="365"/>
        <v>9.3511203248380532</v>
      </c>
      <c r="I197" s="6580">
        <f t="shared" si="365"/>
        <v>9.5</v>
      </c>
      <c r="J197" s="6581">
        <f t="shared" si="365"/>
        <v>9.5</v>
      </c>
      <c r="K197" s="3382">
        <f t="shared" si="365"/>
        <v>9.7591442025092441</v>
      </c>
      <c r="L197" s="3382">
        <f t="shared" si="365"/>
        <v>10.472311819054873</v>
      </c>
      <c r="M197" s="3382">
        <f t="shared" si="365"/>
        <v>9.9624877818067148</v>
      </c>
      <c r="N197" s="3382">
        <f t="shared" si="365"/>
        <v>9.7368752672843897</v>
      </c>
      <c r="O197" s="3382">
        <f t="shared" si="365"/>
        <v>9.1052445314558934</v>
      </c>
      <c r="P197" s="3382">
        <f t="shared" si="365"/>
        <v>9.7512711078122098</v>
      </c>
      <c r="Q197" s="3382">
        <f t="shared" si="365"/>
        <v>9.6621640872887404</v>
      </c>
      <c r="R197" s="3382">
        <f t="shared" si="365"/>
        <v>10.378213148529689</v>
      </c>
      <c r="S197" s="3382">
        <f t="shared" si="365"/>
        <v>8.9028814479638001</v>
      </c>
      <c r="T197" s="3382">
        <f>T74</f>
        <v>8.7014542119743208</v>
      </c>
      <c r="U197" s="3382">
        <f>U74</f>
        <v>9.1654691183404058</v>
      </c>
      <c r="V197" s="3382">
        <f>V74</f>
        <v>8.7790909946363058</v>
      </c>
      <c r="W197" s="6522">
        <f>W74</f>
        <v>9.5212979035692769</v>
      </c>
      <c r="X197" s="3053">
        <f t="shared" ref="X197:AL197" si="366">X74</f>
        <v>116304956.93343122</v>
      </c>
      <c r="Y197" s="3053">
        <f t="shared" si="366"/>
        <v>9692079.7444526013</v>
      </c>
      <c r="Z197" s="3306">
        <f t="shared" si="366"/>
        <v>2181.9179974004055</v>
      </c>
      <c r="AA197" s="3053">
        <f t="shared" si="366"/>
        <v>29982446.976952035</v>
      </c>
      <c r="AB197" s="3053">
        <f t="shared" si="366"/>
        <v>78657604.100983247</v>
      </c>
      <c r="AC197" s="3053">
        <f t="shared" si="366"/>
        <v>35980229.229228139</v>
      </c>
      <c r="AD197" s="3053">
        <f t="shared" si="366"/>
        <v>25147585.082905196</v>
      </c>
      <c r="AE197" s="3053">
        <f t="shared" si="366"/>
        <v>-15154061.377782851</v>
      </c>
      <c r="AF197" s="3053">
        <f t="shared" si="366"/>
        <v>30059394.307427596</v>
      </c>
      <c r="AG197" s="3053">
        <f t="shared" si="366"/>
        <v>22310445.129262205</v>
      </c>
      <c r="AH197" s="3053">
        <f t="shared" si="366"/>
        <v>63583861.438013792</v>
      </c>
      <c r="AI197" s="3053">
        <f t="shared" si="366"/>
        <v>-28721139.306133408</v>
      </c>
      <c r="AJ197" s="3053">
        <f t="shared" si="366"/>
        <v>-46059882.891632475</v>
      </c>
      <c r="AK197" s="3053">
        <f t="shared" si="366"/>
        <v>-13718174.942483636</v>
      </c>
      <c r="AL197" s="3053">
        <f t="shared" si="366"/>
        <v>-42345664.194401264</v>
      </c>
      <c r="AM197" s="3305">
        <f t="shared" si="330"/>
        <v>139722643.55233857</v>
      </c>
      <c r="AN197" s="4571">
        <f t="shared" ref="AN197:AW197" si="367">AN74</f>
        <v>2181.9179974004055</v>
      </c>
      <c r="AO197" s="3306">
        <f t="shared" si="367"/>
        <v>5825.4427454971201</v>
      </c>
      <c r="AP197" s="3306">
        <f t="shared" si="367"/>
        <v>14924.01235945145</v>
      </c>
      <c r="AQ197" s="3306">
        <f t="shared" si="367"/>
        <v>8540.6843587378262</v>
      </c>
      <c r="AR197" s="3306">
        <f t="shared" si="367"/>
        <v>5522.5577152610267</v>
      </c>
      <c r="AS197" s="3306">
        <f t="shared" si="367"/>
        <v>-3759.6226444233193</v>
      </c>
      <c r="AT197" s="3306">
        <f t="shared" si="367"/>
        <v>5720.1946936660979</v>
      </c>
      <c r="AU197" s="4571">
        <f t="shared" si="367"/>
        <v>4485.6296100459622</v>
      </c>
      <c r="AV197" s="6621">
        <f t="shared" si="367"/>
        <v>13770.370906392673</v>
      </c>
      <c r="AW197" s="6264">
        <f t="shared" si="367"/>
        <v>-7006.8050909868807</v>
      </c>
      <c r="AX197" s="6621">
        <f>AX74</f>
        <v>-10402.242809568568</v>
      </c>
      <c r="AY197" s="6438"/>
      <c r="AZ197" s="4684"/>
      <c r="BA197" s="3306">
        <f>BA74</f>
        <v>2490.0519397745065</v>
      </c>
      <c r="BE197" s="7069"/>
      <c r="BF197" s="7097" t="s">
        <v>1449</v>
      </c>
      <c r="BG197" s="7098"/>
      <c r="BH197" s="3025" t="s">
        <v>1450</v>
      </c>
      <c r="BI197" s="3999">
        <v>9.6301471114610937</v>
      </c>
      <c r="BJ197" s="3999">
        <v>9.7799999999999994</v>
      </c>
      <c r="BK197" s="3999">
        <v>9.9899535671630861</v>
      </c>
      <c r="BL197" s="3999">
        <v>9.3511203248380532</v>
      </c>
      <c r="BM197" s="5608">
        <v>9.5</v>
      </c>
      <c r="BN197" s="4686">
        <v>9.5</v>
      </c>
      <c r="BO197" s="6303">
        <v>8.7014542119743208</v>
      </c>
      <c r="BP197" s="6261">
        <v>9692079.7444526013</v>
      </c>
      <c r="BQ197" s="6243">
        <v>2181.9179974004055</v>
      </c>
      <c r="BR197" s="3053">
        <v>-46059882.891632475</v>
      </c>
      <c r="BS197" s="3053">
        <v>-10402.242809568568</v>
      </c>
      <c r="BT197" s="6490">
        <v>4202.5466548525774</v>
      </c>
      <c r="BU197" s="4472"/>
    </row>
    <row r="198" spans="1:76" ht="18" thickBot="1">
      <c r="A198" s="7069"/>
      <c r="B198" s="7085" t="s">
        <v>1322</v>
      </c>
      <c r="C198" s="3164" t="s">
        <v>455</v>
      </c>
      <c r="D198" s="3025" t="s">
        <v>1327</v>
      </c>
      <c r="E198" s="3028">
        <f t="shared" ref="E198:S198" si="368">E79</f>
        <v>42.62</v>
      </c>
      <c r="F198" s="3028">
        <f t="shared" si="368"/>
        <v>48.67</v>
      </c>
      <c r="G198" s="3335">
        <f t="shared" si="368"/>
        <v>52.269771847106512</v>
      </c>
      <c r="H198" s="3364">
        <f t="shared" si="368"/>
        <v>61.248628266089717</v>
      </c>
      <c r="I198" s="6582">
        <f t="shared" si="368"/>
        <v>60.71</v>
      </c>
      <c r="J198" s="6583">
        <f t="shared" si="368"/>
        <v>60.71</v>
      </c>
      <c r="K198" s="3337">
        <f t="shared" si="368"/>
        <v>58.191442854894575</v>
      </c>
      <c r="L198" s="3337">
        <f t="shared" si="368"/>
        <v>56.771319352476212</v>
      </c>
      <c r="M198" s="3337">
        <f t="shared" si="368"/>
        <v>67.732361201707945</v>
      </c>
      <c r="N198" s="3337">
        <f t="shared" si="368"/>
        <v>62.560980855335757</v>
      </c>
      <c r="O198" s="3337">
        <f t="shared" si="368"/>
        <v>58.778670298930237</v>
      </c>
      <c r="P198" s="3337">
        <f t="shared" si="368"/>
        <v>57.711249392034134</v>
      </c>
      <c r="Q198" s="3337">
        <f t="shared" si="368"/>
        <v>56.51194483893088</v>
      </c>
      <c r="R198" s="3337">
        <f t="shared" si="368"/>
        <v>49.374302845774942</v>
      </c>
      <c r="S198" s="3337">
        <f t="shared" si="368"/>
        <v>64.418829532739196</v>
      </c>
      <c r="T198" s="3337">
        <f>T79</f>
        <v>66.926858525424876</v>
      </c>
      <c r="U198" s="3337">
        <f>U79</f>
        <v>67.253001284554259</v>
      </c>
      <c r="V198" s="3337">
        <f>V79</f>
        <v>75.824576639013472</v>
      </c>
      <c r="W198" s="6523">
        <f>W79</f>
        <v>61.837961468484707</v>
      </c>
      <c r="X198" s="3053">
        <f t="shared" ref="X198:AL198" si="369">X79</f>
        <v>17351517.686153814</v>
      </c>
      <c r="Y198" s="3053">
        <f t="shared" si="369"/>
        <v>1445959.8071794845</v>
      </c>
      <c r="Z198" s="3306">
        <f t="shared" si="369"/>
        <v>325.51999261132022</v>
      </c>
      <c r="AA198" s="3053">
        <f t="shared" si="369"/>
        <v>9509297.6408569049</v>
      </c>
      <c r="AB198" s="3053">
        <f t="shared" si="369"/>
        <v>13875527.404275237</v>
      </c>
      <c r="AC198" s="3053">
        <f t="shared" si="369"/>
        <v>-16061041.275109274</v>
      </c>
      <c r="AD198" s="3053">
        <f t="shared" si="369"/>
        <v>-3513855.3651896389</v>
      </c>
      <c r="AE198" s="3053">
        <f t="shared" si="369"/>
        <v>5853985.9254104616</v>
      </c>
      <c r="AF198" s="3053">
        <f t="shared" si="369"/>
        <v>10930205.278948193</v>
      </c>
      <c r="AG198" s="3053">
        <f t="shared" si="369"/>
        <v>13852766.418847337</v>
      </c>
      <c r="AH198" s="3053">
        <f t="shared" si="369"/>
        <v>32239443.279241621</v>
      </c>
      <c r="AI198" s="3053">
        <f t="shared" si="369"/>
        <v>-7640922.3780358396</v>
      </c>
      <c r="AJ198" s="3053">
        <f t="shared" si="369"/>
        <v>-14783803.054014519</v>
      </c>
      <c r="AK198" s="3053">
        <f t="shared" si="369"/>
        <v>-17158541.381692402</v>
      </c>
      <c r="AL198" s="3053">
        <f t="shared" si="369"/>
        <v>-41091839.508046433</v>
      </c>
      <c r="AM198" s="3305">
        <f t="shared" si="330"/>
        <v>-13988777.014508359</v>
      </c>
      <c r="AN198" s="4571">
        <f t="shared" ref="AN198:AW198" si="370">AN79</f>
        <v>325.51999261132022</v>
      </c>
      <c r="AO198" s="3306">
        <f t="shared" si="370"/>
        <v>1847.6100032557845</v>
      </c>
      <c r="AP198" s="3306">
        <f t="shared" si="370"/>
        <v>2632.6576412047411</v>
      </c>
      <c r="AQ198" s="3306">
        <f t="shared" si="370"/>
        <v>-3812.4349661435181</v>
      </c>
      <c r="AR198" s="3306">
        <f t="shared" si="370"/>
        <v>-771.66332247667106</v>
      </c>
      <c r="AS198" s="3306">
        <f t="shared" si="370"/>
        <v>1452.3352846897744</v>
      </c>
      <c r="AT198" s="3306">
        <f t="shared" si="370"/>
        <v>2079.9787779446833</v>
      </c>
      <c r="AU198" s="4571">
        <f t="shared" si="370"/>
        <v>2785.1698551693962</v>
      </c>
      <c r="AV198" s="6621">
        <f t="shared" si="370"/>
        <v>6982.1033471450883</v>
      </c>
      <c r="AW198" s="6264">
        <f t="shared" si="370"/>
        <v>-1864.0783447898932</v>
      </c>
      <c r="AX198" s="6621">
        <f>AX79</f>
        <v>-3338.7993924890734</v>
      </c>
      <c r="AY198" s="6432"/>
      <c r="AZ198" s="5262"/>
      <c r="BA198" s="3306">
        <f>BA79</f>
        <v>-249.29947254398741</v>
      </c>
      <c r="BE198" s="7069"/>
      <c r="BF198" s="7085" t="s">
        <v>1322</v>
      </c>
      <c r="BG198" s="6180" t="s">
        <v>455</v>
      </c>
      <c r="BH198" s="3025" t="s">
        <v>1327</v>
      </c>
      <c r="BI198" s="3028">
        <v>42.62</v>
      </c>
      <c r="BJ198" s="3028">
        <v>48.67</v>
      </c>
      <c r="BK198" s="3028">
        <v>52.269771847106512</v>
      </c>
      <c r="BL198" s="3028">
        <v>61.248628266089717</v>
      </c>
      <c r="BM198" s="3060">
        <v>60.71</v>
      </c>
      <c r="BN198" s="4697">
        <v>60.71</v>
      </c>
      <c r="BO198" s="6320">
        <v>66.926858525424876</v>
      </c>
      <c r="BP198" s="6264">
        <v>1444223.7005522242</v>
      </c>
      <c r="BQ198" s="6247">
        <v>325.12915365876273</v>
      </c>
      <c r="BR198" s="3053">
        <v>-14783803.054014519</v>
      </c>
      <c r="BS198" s="3053">
        <v>-3338.7993924890734</v>
      </c>
      <c r="BT198" s="6491">
        <v>950.07302214790843</v>
      </c>
      <c r="BU198" s="4472"/>
    </row>
    <row r="199" spans="1:76" ht="17.399999999999999">
      <c r="A199" s="7069"/>
      <c r="B199" s="7086"/>
      <c r="C199" s="3161" t="s">
        <v>1326</v>
      </c>
      <c r="D199" s="3018" t="s">
        <v>319</v>
      </c>
      <c r="E199" s="3027">
        <f t="shared" ref="E199:S199" si="371">E85</f>
        <v>114.7</v>
      </c>
      <c r="F199" s="3027">
        <f t="shared" si="371"/>
        <v>144.24</v>
      </c>
      <c r="G199" s="3031">
        <f t="shared" si="371"/>
        <v>126.50420240387075</v>
      </c>
      <c r="H199" s="3365">
        <f t="shared" si="371"/>
        <v>130.19365474477331</v>
      </c>
      <c r="I199" s="6584">
        <f t="shared" si="371"/>
        <v>130</v>
      </c>
      <c r="J199" s="6585">
        <f t="shared" si="371"/>
        <v>130</v>
      </c>
      <c r="K199" s="3032">
        <f t="shared" si="371"/>
        <v>113.92732245798852</v>
      </c>
      <c r="L199" s="3032">
        <f t="shared" si="371"/>
        <v>106.17750742808138</v>
      </c>
      <c r="M199" s="3032">
        <f t="shared" si="371"/>
        <v>132.57977347154056</v>
      </c>
      <c r="N199" s="3032">
        <f t="shared" si="371"/>
        <v>126.94010820421239</v>
      </c>
      <c r="O199" s="3032">
        <f t="shared" si="371"/>
        <v>137.60971930712475</v>
      </c>
      <c r="P199" s="3032">
        <f t="shared" si="371"/>
        <v>113.0160838522082</v>
      </c>
      <c r="Q199" s="3032">
        <f t="shared" si="371"/>
        <v>122.16150357073923</v>
      </c>
      <c r="R199" s="3032">
        <f t="shared" si="371"/>
        <v>116.3436882774871</v>
      </c>
      <c r="S199" s="3032">
        <f t="shared" si="371"/>
        <v>141.42895218021533</v>
      </c>
      <c r="T199" s="3032">
        <f>T85</f>
        <v>134.54320408412491</v>
      </c>
      <c r="U199" s="3032">
        <f>U85</f>
        <v>112.54000265432336</v>
      </c>
      <c r="V199" s="3032">
        <f>V85</f>
        <v>121.62397074239458</v>
      </c>
      <c r="W199" s="6524">
        <f>W85</f>
        <v>123.24098635253669</v>
      </c>
      <c r="X199" s="3054">
        <f t="shared" ref="X199:AL199" si="372">X85</f>
        <v>1046915.304511525</v>
      </c>
      <c r="Y199" s="3054">
        <f t="shared" si="372"/>
        <v>87242.942042627081</v>
      </c>
      <c r="Z199" s="3307">
        <f t="shared" si="372"/>
        <v>19.640464214909294</v>
      </c>
      <c r="AA199" s="3054">
        <f t="shared" si="372"/>
        <v>8490854.1724759471</v>
      </c>
      <c r="AB199" s="3054">
        <f t="shared" si="372"/>
        <v>13290696.833244335</v>
      </c>
      <c r="AC199" s="5263">
        <f t="shared" si="372"/>
        <v>-1055486.3042429977</v>
      </c>
      <c r="AD199" s="5263">
        <f t="shared" si="372"/>
        <v>1555615.7998139521</v>
      </c>
      <c r="AE199" s="5263">
        <f t="shared" si="372"/>
        <v>-3138683.9477755055</v>
      </c>
      <c r="AF199" s="5263">
        <f t="shared" si="372"/>
        <v>9478082.0334473681</v>
      </c>
      <c r="AG199" s="5263">
        <f t="shared" si="372"/>
        <v>4194749.1834531957</v>
      </c>
      <c r="AH199" s="5263">
        <f t="shared" si="372"/>
        <v>6714895.8622941347</v>
      </c>
      <c r="AI199" s="5263">
        <f t="shared" si="372"/>
        <v>-4835657.129445144</v>
      </c>
      <c r="AJ199" s="5263">
        <f t="shared" si="372"/>
        <v>-2022224.6655164559</v>
      </c>
      <c r="AK199" s="5263">
        <f t="shared" si="372"/>
        <v>9008640.1254219152</v>
      </c>
      <c r="AL199" s="5263">
        <f t="shared" si="372"/>
        <v>4054325.8432557881</v>
      </c>
      <c r="AM199" s="3305">
        <f t="shared" si="330"/>
        <v>45735807.806426533</v>
      </c>
      <c r="AN199" s="4573">
        <f t="shared" ref="AN199:AW199" si="373">AN85</f>
        <v>19.640464214909294</v>
      </c>
      <c r="AO199" s="3307">
        <f t="shared" si="373"/>
        <v>1649.7314205257132</v>
      </c>
      <c r="AP199" s="3307">
        <f t="shared" si="373"/>
        <v>2521.6954682526525</v>
      </c>
      <c r="AQ199" s="3307">
        <f t="shared" si="373"/>
        <v>-250.54246631056131</v>
      </c>
      <c r="AR199" s="3307">
        <f t="shared" si="373"/>
        <v>341.62238675889648</v>
      </c>
      <c r="AS199" s="3307">
        <f t="shared" si="373"/>
        <v>-778.68677904690094</v>
      </c>
      <c r="AT199" s="3307">
        <f t="shared" si="373"/>
        <v>1803.6449437193371</v>
      </c>
      <c r="AU199" s="4573">
        <f t="shared" si="373"/>
        <v>843.3758732735788</v>
      </c>
      <c r="AV199" s="6622">
        <f t="shared" si="373"/>
        <v>1454.246479065052</v>
      </c>
      <c r="AW199" s="4377">
        <f t="shared" si="373"/>
        <v>-1179.7062307214123</v>
      </c>
      <c r="AX199" s="6622">
        <f>AX85</f>
        <v>-456.7026806319177</v>
      </c>
      <c r="AY199" s="6432"/>
      <c r="AZ199" s="5262"/>
      <c r="BA199" s="3307">
        <f>BA85</f>
        <v>815.07573897917632</v>
      </c>
      <c r="BE199" s="7069"/>
      <c r="BF199" s="7087"/>
      <c r="BG199" s="6179" t="s">
        <v>1326</v>
      </c>
      <c r="BH199" s="3414" t="s">
        <v>319</v>
      </c>
      <c r="BI199" s="6296">
        <v>114.7</v>
      </c>
      <c r="BJ199" s="6296">
        <v>144.24</v>
      </c>
      <c r="BK199" s="6296">
        <v>126.50420240387075</v>
      </c>
      <c r="BL199" s="6296">
        <v>130.19365474477331</v>
      </c>
      <c r="BM199" s="6321">
        <v>130</v>
      </c>
      <c r="BN199" s="4698">
        <v>130</v>
      </c>
      <c r="BO199" s="6322">
        <v>134.54320408412491</v>
      </c>
      <c r="BP199" s="4377">
        <v>87138.192900147566</v>
      </c>
      <c r="BQ199" s="6244">
        <v>19.616882688011607</v>
      </c>
      <c r="BR199" s="5263">
        <v>-2022224.6655164559</v>
      </c>
      <c r="BS199" s="5263">
        <v>-456.7026806319177</v>
      </c>
      <c r="BT199" s="6491">
        <v>701.32084852718219</v>
      </c>
      <c r="BU199" s="7157" t="s">
        <v>1939</v>
      </c>
      <c r="BV199" s="7157" t="s">
        <v>1788</v>
      </c>
      <c r="BW199" s="7155" t="s">
        <v>1789</v>
      </c>
      <c r="BX199" s="7153" t="s">
        <v>1787</v>
      </c>
    </row>
    <row r="200" spans="1:76" ht="17.399999999999999" customHeight="1">
      <c r="A200" s="7069"/>
      <c r="B200" s="3161" t="s">
        <v>1376</v>
      </c>
      <c r="C200" s="3165" t="s">
        <v>1384</v>
      </c>
      <c r="D200" s="2569" t="s">
        <v>1365</v>
      </c>
      <c r="E200" s="3330">
        <f t="shared" ref="E200:S200" si="374">E92</f>
        <v>32.450000000000003</v>
      </c>
      <c r="F200" s="3330">
        <f t="shared" si="374"/>
        <v>33.229999999999997</v>
      </c>
      <c r="G200" s="3332">
        <f t="shared" si="374"/>
        <v>38.068566825581534</v>
      </c>
      <c r="H200" s="3366">
        <f t="shared" si="374"/>
        <v>36.189847966144271</v>
      </c>
      <c r="I200" s="6586">
        <f t="shared" si="374"/>
        <v>35.49126354565324</v>
      </c>
      <c r="J200" s="6587">
        <f t="shared" si="374"/>
        <v>35.49126354565324</v>
      </c>
      <c r="K200" s="3334">
        <f t="shared" si="374"/>
        <v>35.114729636954607</v>
      </c>
      <c r="L200" s="3334">
        <f t="shared" si="374"/>
        <v>34.141379863289046</v>
      </c>
      <c r="M200" s="3334">
        <f t="shared" si="374"/>
        <v>31.489715638325446</v>
      </c>
      <c r="N200" s="3334">
        <f t="shared" si="374"/>
        <v>35.601408288628896</v>
      </c>
      <c r="O200" s="3334">
        <f t="shared" si="374"/>
        <v>35.390523824409414</v>
      </c>
      <c r="P200" s="3334">
        <f t="shared" si="374"/>
        <v>36.704370727845692</v>
      </c>
      <c r="Q200" s="3334">
        <f t="shared" si="374"/>
        <v>34.693069227304896</v>
      </c>
      <c r="R200" s="3334">
        <f t="shared" si="374"/>
        <v>30.280848262240546</v>
      </c>
      <c r="S200" s="3334">
        <f t="shared" si="374"/>
        <v>44.107942479144484</v>
      </c>
      <c r="T200" s="3334">
        <f>T92</f>
        <v>41.098674760833624</v>
      </c>
      <c r="U200" s="3334">
        <f>U92</f>
        <v>35.97</v>
      </c>
      <c r="V200" s="3334">
        <f>V92</f>
        <v>40.82</v>
      </c>
      <c r="W200" s="6504">
        <f>W92</f>
        <v>36.284388559081385</v>
      </c>
      <c r="X200" s="3054">
        <f t="shared" ref="X200:AL200" si="375">X92</f>
        <v>197283448.246326</v>
      </c>
      <c r="Y200" s="3054">
        <f t="shared" si="375"/>
        <v>16440287.353860499</v>
      </c>
      <c r="Z200" s="3307">
        <f t="shared" si="375"/>
        <v>3701.1002597614811</v>
      </c>
      <c r="AA200" s="3054">
        <f t="shared" si="375"/>
        <v>28104289.790943947</v>
      </c>
      <c r="AB200" s="3054">
        <f t="shared" si="375"/>
        <v>54835591.487023853</v>
      </c>
      <c r="AC200" s="5263">
        <f t="shared" si="375"/>
        <v>100567939.52124426</v>
      </c>
      <c r="AD200" s="5263">
        <f t="shared" si="375"/>
        <v>13609312.436218701</v>
      </c>
      <c r="AE200" s="5263">
        <f t="shared" si="375"/>
        <v>16363866.510775244</v>
      </c>
      <c r="AF200" s="5263">
        <f t="shared" si="375"/>
        <v>-13732582.585167117</v>
      </c>
      <c r="AG200" s="5263">
        <f t="shared" si="375"/>
        <v>37811215.939835727</v>
      </c>
      <c r="AH200" s="5263">
        <f t="shared" si="375"/>
        <v>138577729.63979673</v>
      </c>
      <c r="AI200" s="5263">
        <f t="shared" si="375"/>
        <v>-164846799.88730472</v>
      </c>
      <c r="AJ200" s="5263">
        <f t="shared" si="375"/>
        <v>-110395599.92137134</v>
      </c>
      <c r="AK200" s="5263">
        <f t="shared" si="375"/>
        <v>5426702.839349037</v>
      </c>
      <c r="AL200" s="5263">
        <f t="shared" si="375"/>
        <v>-109699260.46478055</v>
      </c>
      <c r="AM200" s="3305">
        <f t="shared" si="330"/>
        <v>-3377594.6934362501</v>
      </c>
      <c r="AN200" s="4573">
        <f t="shared" ref="AN200:AW200" si="376">AN92</f>
        <v>3701.1002597614811</v>
      </c>
      <c r="AO200" s="3307">
        <f t="shared" si="376"/>
        <v>5460.525993954303</v>
      </c>
      <c r="AP200" s="3307">
        <f t="shared" si="376"/>
        <v>10404.169494401684</v>
      </c>
      <c r="AQ200" s="3307">
        <f t="shared" si="376"/>
        <v>23871.972092991811</v>
      </c>
      <c r="AR200" s="3307">
        <f t="shared" si="376"/>
        <v>2988.6851221005877</v>
      </c>
      <c r="AS200" s="3307">
        <f t="shared" si="376"/>
        <v>4059.7673158713396</v>
      </c>
      <c r="AT200" s="3307">
        <f t="shared" si="376"/>
        <v>-2613.2611066815193</v>
      </c>
      <c r="AU200" s="4573">
        <f t="shared" si="376"/>
        <v>7602.1392145651835</v>
      </c>
      <c r="AV200" s="6622">
        <f t="shared" si="376"/>
        <v>30011.809496127014</v>
      </c>
      <c r="AW200" s="4377">
        <f t="shared" si="376"/>
        <v>-40216.002031528085</v>
      </c>
      <c r="AX200" s="6622">
        <f>AX92</f>
        <v>-24931.931290227229</v>
      </c>
      <c r="AY200" s="6432"/>
      <c r="AZ200" s="5262"/>
      <c r="BA200" s="3307">
        <f>BA92</f>
        <v>-60.193437544091239</v>
      </c>
      <c r="BE200" s="7069"/>
      <c r="BF200" s="6179" t="s">
        <v>1376</v>
      </c>
      <c r="BG200" s="3796" t="s">
        <v>1384</v>
      </c>
      <c r="BH200" s="4944" t="s">
        <v>1365</v>
      </c>
      <c r="BI200" s="4048">
        <v>32.450000000000003</v>
      </c>
      <c r="BJ200" s="4048">
        <v>33.229999999999997</v>
      </c>
      <c r="BK200" s="4048">
        <v>34.56</v>
      </c>
      <c r="BL200" s="4048">
        <v>34.778584420491057</v>
      </c>
      <c r="BM200" s="3778">
        <v>34.08</v>
      </c>
      <c r="BN200" s="4683">
        <v>35.49126354565324</v>
      </c>
      <c r="BO200" s="6277">
        <v>41.098674760833624</v>
      </c>
      <c r="BP200" s="4377">
        <v>16420548.152475104</v>
      </c>
      <c r="BQ200" s="6244">
        <v>3696.6564953793568</v>
      </c>
      <c r="BR200" s="5263">
        <v>-110395599.92137134</v>
      </c>
      <c r="BS200" s="5263">
        <v>-24931.931290227229</v>
      </c>
      <c r="BT200" s="6491">
        <v>2165.705124977304</v>
      </c>
      <c r="BU200" s="7158"/>
      <c r="BV200" s="7158"/>
      <c r="BW200" s="7156"/>
      <c r="BX200" s="7154"/>
    </row>
    <row r="201" spans="1:76" s="299" customFormat="1" ht="17.399999999999999" customHeight="1">
      <c r="A201" s="7069"/>
      <c r="B201" s="7083" t="s">
        <v>1486</v>
      </c>
      <c r="C201" s="7084"/>
      <c r="D201" s="1769" t="s">
        <v>719</v>
      </c>
      <c r="E201" s="3373">
        <f t="shared" ref="E201:S201" si="377">E98</f>
        <v>15121.883998696972</v>
      </c>
      <c r="F201" s="3373">
        <f t="shared" si="377"/>
        <v>22325</v>
      </c>
      <c r="G201" s="3374">
        <f t="shared" si="377"/>
        <v>16135.219800729554</v>
      </c>
      <c r="H201" s="3375">
        <f t="shared" si="377"/>
        <v>18457.150704298372</v>
      </c>
      <c r="I201" s="6588">
        <f t="shared" si="377"/>
        <v>18401.779252185475</v>
      </c>
      <c r="J201" s="6589">
        <f t="shared" si="377"/>
        <v>18401.779252185475</v>
      </c>
      <c r="K201" s="3376">
        <f t="shared" si="377"/>
        <v>19091.827170616361</v>
      </c>
      <c r="L201" s="3376">
        <f t="shared" si="377"/>
        <v>11882.18057352757</v>
      </c>
      <c r="M201" s="3376">
        <f t="shared" si="377"/>
        <v>14366.13215331167</v>
      </c>
      <c r="N201" s="3376">
        <f t="shared" si="377"/>
        <v>18990.798293750104</v>
      </c>
      <c r="O201" s="3376">
        <f t="shared" si="377"/>
        <v>14986.369748482908</v>
      </c>
      <c r="P201" s="3376">
        <f t="shared" si="377"/>
        <v>14967.443900619604</v>
      </c>
      <c r="Q201" s="3376">
        <f t="shared" si="377"/>
        <v>15561.531517403331</v>
      </c>
      <c r="R201" s="3376">
        <f t="shared" si="377"/>
        <v>18261.720563775598</v>
      </c>
      <c r="S201" s="3376">
        <f t="shared" si="377"/>
        <v>26814.558060616706</v>
      </c>
      <c r="T201" s="3376">
        <f>T98</f>
        <v>21224.51331111051</v>
      </c>
      <c r="U201" s="3376">
        <f>U98</f>
        <v>29191.047718205184</v>
      </c>
      <c r="V201" s="3376">
        <f>V98</f>
        <v>15668.240663526818</v>
      </c>
      <c r="W201" s="6525">
        <f>W98</f>
        <v>18417.196972912196</v>
      </c>
      <c r="X201" s="3054">
        <f t="shared" ref="X201:AL201" si="378">X98</f>
        <v>2947976.1104906257</v>
      </c>
      <c r="Y201" s="3054">
        <f t="shared" si="378"/>
        <v>245664.67587421881</v>
      </c>
      <c r="Z201" s="3307">
        <f t="shared" si="378"/>
        <v>55.304969805092036</v>
      </c>
      <c r="AA201" s="3054">
        <f t="shared" si="378"/>
        <v>-3266559.1836100905</v>
      </c>
      <c r="AB201" s="3054">
        <f t="shared" si="378"/>
        <v>34653643.073032744</v>
      </c>
      <c r="AC201" s="5263">
        <f t="shared" si="378"/>
        <v>17234659.315670982</v>
      </c>
      <c r="AD201" s="5263">
        <f t="shared" si="378"/>
        <v>-2430024.0670984788</v>
      </c>
      <c r="AE201" s="5263">
        <f t="shared" si="378"/>
        <v>13989815.629843624</v>
      </c>
      <c r="AF201" s="5263">
        <f t="shared" si="378"/>
        <v>18338269.665059779</v>
      </c>
      <c r="AG201" s="5263">
        <f t="shared" si="378"/>
        <v>14402114.887011079</v>
      </c>
      <c r="AH201" s="5263">
        <f t="shared" si="378"/>
        <v>902386.94805547909</v>
      </c>
      <c r="AI201" s="5263">
        <f t="shared" si="378"/>
        <v>-34257305.262806319</v>
      </c>
      <c r="AJ201" s="5263">
        <f t="shared" si="378"/>
        <v>-12253549.539451327</v>
      </c>
      <c r="AK201" s="5263">
        <f t="shared" si="378"/>
        <v>-52166632.148616962</v>
      </c>
      <c r="AL201" s="5263">
        <f t="shared" si="378"/>
        <v>13009623.890889924</v>
      </c>
      <c r="AM201" s="3305">
        <f t="shared" si="330"/>
        <v>8156443.2079804428</v>
      </c>
      <c r="AN201" s="4573">
        <f t="shared" ref="AN201:AW201" si="379">AN98</f>
        <v>55.304969805092036</v>
      </c>
      <c r="AO201" s="3307">
        <f t="shared" si="379"/>
        <v>-634.67646631798925</v>
      </c>
      <c r="AP201" s="3307">
        <f t="shared" si="379"/>
        <v>6574.9701307708019</v>
      </c>
      <c r="AQ201" s="3307">
        <f t="shared" si="379"/>
        <v>4091.0185509867028</v>
      </c>
      <c r="AR201" s="3307">
        <f t="shared" si="379"/>
        <v>-533.64758945173162</v>
      </c>
      <c r="AS201" s="3307">
        <f t="shared" si="379"/>
        <v>3470.780955815464</v>
      </c>
      <c r="AT201" s="3307">
        <f t="shared" si="379"/>
        <v>3489.7068036787682</v>
      </c>
      <c r="AU201" s="4573">
        <f t="shared" si="379"/>
        <v>2895.6191868950409</v>
      </c>
      <c r="AV201" s="6622">
        <f t="shared" si="379"/>
        <v>195.43014052277431</v>
      </c>
      <c r="AW201" s="4377">
        <f t="shared" si="379"/>
        <v>-8357.4073563183338</v>
      </c>
      <c r="AX201" s="6622">
        <f>AX98</f>
        <v>-2767.3626068121375</v>
      </c>
      <c r="AY201" s="6438"/>
      <c r="AZ201" s="4684"/>
      <c r="BA201" s="3307">
        <f>BA98</f>
        <v>145.35916810137084</v>
      </c>
      <c r="BE201" s="7069"/>
      <c r="BF201" s="7099" t="s">
        <v>1486</v>
      </c>
      <c r="BG201" s="7100"/>
      <c r="BH201" s="3413" t="s">
        <v>334</v>
      </c>
      <c r="BI201" s="4057">
        <v>15121.883998696972</v>
      </c>
      <c r="BJ201" s="4057">
        <v>22325</v>
      </c>
      <c r="BK201" s="4057">
        <v>16135.219800729554</v>
      </c>
      <c r="BL201" s="4057">
        <v>18457.150704298372</v>
      </c>
      <c r="BM201" s="6323">
        <v>18401.779252185475</v>
      </c>
      <c r="BN201" s="4695">
        <v>18401.779252185475</v>
      </c>
      <c r="BO201" s="6314">
        <v>21224.51331111051</v>
      </c>
      <c r="BP201" s="4377">
        <v>245664.67587421881</v>
      </c>
      <c r="BQ201" s="6244">
        <v>55.304969805092036</v>
      </c>
      <c r="BR201" s="5263">
        <v>-12253549.539451327</v>
      </c>
      <c r="BS201" s="5263">
        <v>-2767.3626068121375</v>
      </c>
      <c r="BT201" s="6491">
        <v>1015.580771744888</v>
      </c>
      <c r="BU201" s="7158"/>
      <c r="BV201" s="7158"/>
      <c r="BW201" s="7156"/>
      <c r="BX201" s="7154"/>
    </row>
    <row r="202" spans="1:76" s="299" customFormat="1" ht="18" customHeight="1" thickBot="1">
      <c r="A202" s="7069"/>
      <c r="B202" s="7083" t="s">
        <v>1496</v>
      </c>
      <c r="C202" s="7084"/>
      <c r="D202" s="3018" t="s">
        <v>1489</v>
      </c>
      <c r="E202" s="3314"/>
      <c r="F202" s="3314"/>
      <c r="G202" s="3352"/>
      <c r="H202" s="3378"/>
      <c r="I202" s="6567"/>
      <c r="J202" s="6568"/>
      <c r="K202" s="4376"/>
      <c r="L202" s="4376"/>
      <c r="M202" s="4376"/>
      <c r="N202" s="4376"/>
      <c r="O202" s="4376"/>
      <c r="P202" s="4376"/>
      <c r="Q202" s="4376"/>
      <c r="R202" s="4376"/>
      <c r="S202" s="4376"/>
      <c r="T202" s="4376"/>
      <c r="U202" s="4376"/>
      <c r="V202" s="4376"/>
      <c r="W202" s="4376"/>
      <c r="X202" s="3054">
        <f>협력사!C31*1000</f>
        <v>21456000.000000004</v>
      </c>
      <c r="Y202" s="3054">
        <f>X202/12</f>
        <v>1788000.0000000002</v>
      </c>
      <c r="Z202" s="3307">
        <f>X202/년간!D12</f>
        <v>402.52138676271954</v>
      </c>
      <c r="AA202" s="3054">
        <f>협력사!D31*1000</f>
        <v>4334705.22</v>
      </c>
      <c r="AB202" s="3054">
        <f>협력사!E31*1000</f>
        <v>3823011.2039999999</v>
      </c>
      <c r="AC202" s="5263">
        <f>협력사!F31*1000</f>
        <v>2938783.2</v>
      </c>
      <c r="AD202" s="5263">
        <f>협력사!G31*1000</f>
        <v>2645769.2280000001</v>
      </c>
      <c r="AE202" s="5263">
        <f>협력사!H31*1000</f>
        <v>2636261.4000000004</v>
      </c>
      <c r="AF202" s="5263">
        <f>협력사!I31*1000</f>
        <v>3669157.26</v>
      </c>
      <c r="AG202" s="5263">
        <f>협력사!J31*1000</f>
        <v>2846297.9639999997</v>
      </c>
      <c r="AH202" s="5263">
        <f>협력사!K31*1000</f>
        <v>643074.91199999989</v>
      </c>
      <c r="AI202" s="5263">
        <f>협력사!L31*1000</f>
        <v>2240390.0159999998</v>
      </c>
      <c r="AJ202" s="5263">
        <f>협력사!M31*1000</f>
        <v>1420988.1119999997</v>
      </c>
      <c r="AK202" s="5263">
        <f>협력사!N31*1000</f>
        <v>2728746.6359999999</v>
      </c>
      <c r="AL202" s="5263">
        <f>협력사!O31*1000</f>
        <v>3291437.1839999999</v>
      </c>
      <c r="AM202" s="3305">
        <f t="shared" si="330"/>
        <v>33218622.336000003</v>
      </c>
      <c r="AN202" s="4573">
        <f>Y202/(년간!E12/12)</f>
        <v>402.52138676271954</v>
      </c>
      <c r="AO202" s="3307">
        <f>AA202/년간!F12</f>
        <v>842.21201482083063</v>
      </c>
      <c r="AP202" s="3307">
        <f>AB202/년간!G12</f>
        <v>725.35474619298975</v>
      </c>
      <c r="AQ202" s="3307">
        <f>AC202/년간!H12</f>
        <v>697.58365212338401</v>
      </c>
      <c r="AR202" s="3307">
        <f>AD202/년간!I12</f>
        <v>581.02649676784063</v>
      </c>
      <c r="AS202" s="3307">
        <f>AE202/년간!J12</f>
        <v>654.03905982524304</v>
      </c>
      <c r="AT202" s="3307">
        <f>AF202/년간!K12</f>
        <v>698.22743845814239</v>
      </c>
      <c r="AU202" s="4573">
        <f>AG202/년간!L12</f>
        <v>572.26282812198406</v>
      </c>
      <c r="AV202" s="6622">
        <f>AH202/년간!M12</f>
        <v>139.2708756367164</v>
      </c>
      <c r="AW202" s="4377">
        <f>AI202/년간!N12</f>
        <v>546.56523206071665</v>
      </c>
      <c r="AX202" s="6622">
        <f>AJ202/년간!O12</f>
        <v>320.91838803219594</v>
      </c>
      <c r="AY202" s="6438"/>
      <c r="AZ202" s="4684"/>
      <c r="BA202" s="3307">
        <f>AM202/년간!V12</f>
        <v>592.00207555054601</v>
      </c>
      <c r="BE202" s="7069"/>
      <c r="BF202" s="7094" t="s">
        <v>1496</v>
      </c>
      <c r="BG202" s="7095"/>
      <c r="BH202" s="2875" t="s">
        <v>1488</v>
      </c>
      <c r="BI202" s="3397"/>
      <c r="BJ202" s="3397"/>
      <c r="BK202" s="3398"/>
      <c r="BL202" s="3398"/>
      <c r="BM202" s="3400"/>
      <c r="BN202" s="4950"/>
      <c r="BO202" s="6286"/>
      <c r="BP202" s="6262">
        <v>4334705.22</v>
      </c>
      <c r="BQ202" s="6245">
        <v>402.52138676271954</v>
      </c>
      <c r="BR202" s="5263">
        <v>1420988.1119999997</v>
      </c>
      <c r="BS202" s="5263">
        <v>320.91838803219594</v>
      </c>
      <c r="BT202" s="6492">
        <v>583.81306631911207</v>
      </c>
      <c r="BU202" s="5602">
        <v>189310.02807003414</v>
      </c>
      <c r="BV202" s="5602">
        <v>189310.02807003414</v>
      </c>
      <c r="BW202" s="5610">
        <v>207142.8835018111</v>
      </c>
      <c r="BX202" s="6494">
        <v>195528.68954496682</v>
      </c>
    </row>
    <row r="203" spans="1:76" ht="18" thickBot="1">
      <c r="A203" s="7069"/>
      <c r="B203" s="7070" t="s">
        <v>1410</v>
      </c>
      <c r="C203" s="7071"/>
      <c r="D203" s="7071"/>
      <c r="E203" s="7071"/>
      <c r="F203" s="7071"/>
      <c r="G203" s="7071"/>
      <c r="H203" s="7071"/>
      <c r="I203" s="7076"/>
      <c r="J203" s="6528"/>
      <c r="K203" s="4324"/>
      <c r="L203" s="4751"/>
      <c r="M203" s="4751"/>
      <c r="N203" s="4751"/>
      <c r="O203" s="5429"/>
      <c r="P203" s="4751"/>
      <c r="Q203" s="4751"/>
      <c r="R203" s="6024"/>
      <c r="S203" s="6102"/>
      <c r="T203" s="4751"/>
      <c r="U203" s="4751"/>
      <c r="V203" s="4751"/>
      <c r="W203" s="4751"/>
      <c r="X203" s="6203">
        <f t="shared" ref="X203:AE203" si="380">SUM(X196:X202)</f>
        <v>596135735.31438315</v>
      </c>
      <c r="Y203" s="6203">
        <f t="shared" si="380"/>
        <v>49677977.942865252</v>
      </c>
      <c r="Z203" s="6204">
        <f t="shared" si="380"/>
        <v>11183.696069983174</v>
      </c>
      <c r="AA203" s="6203">
        <f t="shared" si="380"/>
        <v>103551786.15179282</v>
      </c>
      <c r="AB203" s="6203">
        <f t="shared" si="380"/>
        <v>209540380.48398894</v>
      </c>
      <c r="AC203" s="6203">
        <f t="shared" si="380"/>
        <v>137436725.18854779</v>
      </c>
      <c r="AD203" s="6203">
        <f t="shared" si="380"/>
        <v>56315374.890038364</v>
      </c>
      <c r="AE203" s="6203">
        <f t="shared" si="380"/>
        <v>30607458.738835886</v>
      </c>
      <c r="AF203" s="6203">
        <f t="shared" ref="AF203:AL203" si="381">SUM(AF196:AF202)</f>
        <v>91765000.832427338</v>
      </c>
      <c r="AG203" s="6203">
        <f t="shared" si="381"/>
        <v>109669885.78474991</v>
      </c>
      <c r="AH203" s="6203">
        <f t="shared" si="381"/>
        <v>255812550.72583404</v>
      </c>
      <c r="AI203" s="6203">
        <f t="shared" si="381"/>
        <v>-249626631.02149847</v>
      </c>
      <c r="AJ203" s="6203">
        <f t="shared" si="381"/>
        <v>-155009775.28106537</v>
      </c>
      <c r="AK203" s="6203">
        <f t="shared" si="381"/>
        <v>-56336214.229606032</v>
      </c>
      <c r="AL203" s="6203">
        <f t="shared" si="381"/>
        <v>-157696678.84308028</v>
      </c>
      <c r="AM203" s="6351">
        <f t="shared" si="330"/>
        <v>376029863.42096496</v>
      </c>
      <c r="AN203" s="4574">
        <f>SUM(AN196:AN202)</f>
        <v>11183.696069983174</v>
      </c>
      <c r="AO203" s="3309">
        <f>AA203/년간!F12</f>
        <v>20119.605377271128</v>
      </c>
      <c r="AP203" s="3309">
        <f>AB203/년간!G12</f>
        <v>39756.909251042387</v>
      </c>
      <c r="AQ203" s="3309">
        <f>AC203/년간!H12</f>
        <v>32623.574509649112</v>
      </c>
      <c r="AR203" s="3309">
        <f>AD203/년간!I12</f>
        <v>12367.187825848659</v>
      </c>
      <c r="AS203" s="3309">
        <f>AE203/년간!J12</f>
        <v>7593.5085713382368</v>
      </c>
      <c r="AT203" s="3309">
        <f>AF203/년간!K12</f>
        <v>17462.549825769813</v>
      </c>
      <c r="AU203" s="4574">
        <f>AG203/년간!L12</f>
        <v>22049.693950803798</v>
      </c>
      <c r="AV203" s="6623">
        <f>AH203/년간!M12</f>
        <v>55401.380575780953</v>
      </c>
      <c r="AW203" s="6263">
        <f>AI203/년간!N12</f>
        <v>-60898.877667914152</v>
      </c>
      <c r="AX203" s="6623">
        <f>AJ203/년간!O12</f>
        <v>-35007.673035643551</v>
      </c>
      <c r="AY203" s="6208"/>
      <c r="AZ203" s="6456"/>
      <c r="BA203" s="3309">
        <f>AM203/년간!V12</f>
        <v>6701.3754322059913</v>
      </c>
      <c r="BB203">
        <f>X203/년간!D12</f>
        <v>11183.696069983174</v>
      </c>
      <c r="BE203" s="7069"/>
      <c r="BF203" s="7070" t="s">
        <v>1398</v>
      </c>
      <c r="BG203" s="7071"/>
      <c r="BH203" s="7071"/>
      <c r="BI203" s="7071"/>
      <c r="BJ203" s="7071"/>
      <c r="BK203" s="7071"/>
      <c r="BL203" s="7071"/>
      <c r="BM203" s="7071"/>
      <c r="BN203" s="7071"/>
      <c r="BO203" s="7073"/>
      <c r="BP203" s="6263">
        <v>51459845.881303176</v>
      </c>
      <c r="BQ203" s="6240">
        <v>11183.696069983174</v>
      </c>
      <c r="BR203" s="4574">
        <v>-155009775.28106537</v>
      </c>
      <c r="BS203" s="3052">
        <v>-35007.673035643551</v>
      </c>
      <c r="BT203" s="6484">
        <v>12787.283139165898</v>
      </c>
      <c r="BU203" s="4651"/>
      <c r="BV203" s="4651"/>
      <c r="BW203" s="6331">
        <f>BV202-BW202</f>
        <v>-17832.855431776959</v>
      </c>
      <c r="BX203" s="6332">
        <f>BV202-BX202</f>
        <v>-6218.6614749326836</v>
      </c>
    </row>
    <row r="204" spans="1:76" s="299" customFormat="1" ht="17.399999999999999">
      <c r="A204" s="7040" t="s">
        <v>1940</v>
      </c>
      <c r="B204" s="7041"/>
      <c r="C204" s="7041"/>
      <c r="D204" s="7041"/>
      <c r="E204" s="7041"/>
      <c r="F204" s="7041"/>
      <c r="G204" s="7041"/>
      <c r="H204" s="7041"/>
      <c r="I204" s="7041"/>
      <c r="J204" s="7041"/>
      <c r="K204" s="7041"/>
      <c r="L204" s="7041"/>
      <c r="M204" s="7041"/>
      <c r="N204" s="7041"/>
      <c r="O204" s="7041"/>
      <c r="P204" s="7041"/>
      <c r="Q204" s="7041"/>
      <c r="R204" s="7041"/>
      <c r="S204" s="7041"/>
      <c r="T204" s="7041"/>
      <c r="U204" s="7041"/>
      <c r="V204" s="7041"/>
      <c r="W204" s="7042"/>
      <c r="X204" s="6590">
        <f>X122+X141+X158</f>
        <v>822688478.20932364</v>
      </c>
      <c r="Y204" s="6591">
        <f>Y122+Y141+Y158</f>
        <v>81481278.236705825</v>
      </c>
      <c r="Z204" s="6591">
        <f>X204/년간!E10</f>
        <v>3007.6718393204533</v>
      </c>
      <c r="AA204" s="6215">
        <f t="shared" ref="AA204:AI204" si="382">AA122+AA141+AA158</f>
        <v>98150367.466626033</v>
      </c>
      <c r="AB204" s="6215">
        <f t="shared" si="382"/>
        <v>67748469.119114369</v>
      </c>
      <c r="AC204" s="6215">
        <f t="shared" si="382"/>
        <v>65662511.359481871</v>
      </c>
      <c r="AD204" s="6215">
        <f t="shared" si="382"/>
        <v>108451697.31843469</v>
      </c>
      <c r="AE204" s="6215">
        <f t="shared" si="382"/>
        <v>70041566.722135231</v>
      </c>
      <c r="AF204" s="6215">
        <f t="shared" si="382"/>
        <v>42604404.553157099</v>
      </c>
      <c r="AG204" s="6215">
        <f t="shared" si="382"/>
        <v>102675150.57891555</v>
      </c>
      <c r="AH204" s="6215">
        <f t="shared" si="382"/>
        <v>7875745.9341441058</v>
      </c>
      <c r="AI204" s="6346">
        <f t="shared" si="382"/>
        <v>79831459.64608188</v>
      </c>
      <c r="AJ204" s="6346">
        <f>AJ122+AJ141+AJ158</f>
        <v>43683921.814914502</v>
      </c>
      <c r="AK204" s="6346">
        <f t="shared" ref="AK204:AL204" si="383">AK122+AK141+AK158</f>
        <v>27523536.50674184</v>
      </c>
      <c r="AL204" s="6346">
        <f t="shared" si="383"/>
        <v>52523304.048053175</v>
      </c>
      <c r="AM204" s="6352">
        <f t="shared" si="330"/>
        <v>766772135.0678004</v>
      </c>
      <c r="AN204" s="6461">
        <f>Y204/(년간!E10/10)</f>
        <v>2978.8790347203535</v>
      </c>
      <c r="AO204" s="6325">
        <f>AA204/년간!F10</f>
        <v>3967.5726415416048</v>
      </c>
      <c r="AP204" s="6325">
        <f>AB204/년간!G10</f>
        <v>2751.6706011008705</v>
      </c>
      <c r="AQ204" s="6325">
        <f>AC204/년간!H10</f>
        <v>2438.4673136620204</v>
      </c>
      <c r="AR204" s="6325">
        <f>AD204/년간!I10</f>
        <v>4391.8167022664047</v>
      </c>
      <c r="AS204" s="6325">
        <f>AE204/년간!J10</f>
        <v>3070.4511946451207</v>
      </c>
      <c r="AT204" s="6325">
        <f>AF204/년간!K10</f>
        <v>1704.8465277810074</v>
      </c>
      <c r="AU204" s="6423">
        <f>AG204/년간!L10</f>
        <v>3328.3223717042788</v>
      </c>
      <c r="AV204" s="6325">
        <f>AH204/년간!M10</f>
        <v>284.00726896507837</v>
      </c>
      <c r="AW204" s="6329">
        <f>AI204/년간!N10</f>
        <v>2727.7531299081702</v>
      </c>
      <c r="AX204" s="6325">
        <f>AJ204/년간!O10</f>
        <v>1605.5360224473518</v>
      </c>
      <c r="AY204" s="6442"/>
      <c r="AZ204" s="6457"/>
      <c r="BA204" s="6465">
        <f>AM204/년간!V10</f>
        <v>2891.6209991710102</v>
      </c>
      <c r="BE204" s="7040" t="s">
        <v>1940</v>
      </c>
      <c r="BF204" s="7041"/>
      <c r="BG204" s="7041"/>
      <c r="BH204" s="7041"/>
      <c r="BI204" s="7041"/>
      <c r="BJ204" s="7041"/>
      <c r="BK204" s="7041"/>
      <c r="BL204" s="7041"/>
      <c r="BM204" s="7041"/>
      <c r="BN204" s="7041"/>
      <c r="BO204" s="7042"/>
      <c r="BP204" s="6329">
        <v>81481278.236705825</v>
      </c>
      <c r="BQ204" s="6326">
        <v>2978.8790347203535</v>
      </c>
      <c r="BR204" s="6481">
        <v>43683921.814914502</v>
      </c>
      <c r="BS204" s="6482">
        <v>1605.5360224473518</v>
      </c>
      <c r="BT204" s="6483">
        <v>2616.47441495776</v>
      </c>
    </row>
    <row r="205" spans="1:76" s="299" customFormat="1" ht="17.399999999999999">
      <c r="A205" s="7043" t="s">
        <v>1941</v>
      </c>
      <c r="B205" s="7044"/>
      <c r="C205" s="7044"/>
      <c r="D205" s="7044"/>
      <c r="E205" s="7044"/>
      <c r="F205" s="7044"/>
      <c r="G205" s="7044"/>
      <c r="H205" s="7044"/>
      <c r="I205" s="7044"/>
      <c r="J205" s="7044"/>
      <c r="K205" s="7044"/>
      <c r="L205" s="7044"/>
      <c r="M205" s="7044"/>
      <c r="N205" s="7044"/>
      <c r="O205" s="7044"/>
      <c r="P205" s="7044"/>
      <c r="Q205" s="7044"/>
      <c r="R205" s="7044"/>
      <c r="S205" s="7044"/>
      <c r="T205" s="7044"/>
      <c r="U205" s="7044"/>
      <c r="V205" s="7044"/>
      <c r="W205" s="7045"/>
      <c r="X205" s="6592">
        <f>X177+X196</f>
        <v>467462311.23797929</v>
      </c>
      <c r="Y205" s="6593">
        <f>Y177+Y196</f>
        <v>38955192.603164941</v>
      </c>
      <c r="Z205" s="6593">
        <f>X205/(년간!E11+년간!E12)</f>
        <v>2118.2428777708365</v>
      </c>
      <c r="AA205" s="6205">
        <f t="shared" ref="AA205:AI205" si="384">AA177+AA196</f>
        <v>34630985.132750392</v>
      </c>
      <c r="AB205" s="6205">
        <f t="shared" si="384"/>
        <v>46959534.497329138</v>
      </c>
      <c r="AC205" s="6205">
        <f t="shared" si="384"/>
        <v>9915654.016563898</v>
      </c>
      <c r="AD205" s="6205">
        <f t="shared" si="384"/>
        <v>33655384.664391384</v>
      </c>
      <c r="AE205" s="6205">
        <f t="shared" si="384"/>
        <v>37207672.541648775</v>
      </c>
      <c r="AF205" s="6205">
        <f t="shared" si="384"/>
        <v>61251549.53097406</v>
      </c>
      <c r="AG205" s="6205">
        <f t="shared" si="384"/>
        <v>43861172.461549729</v>
      </c>
      <c r="AH205" s="6205">
        <f t="shared" si="384"/>
        <v>29866759.753236987</v>
      </c>
      <c r="AI205" s="6347">
        <f t="shared" si="384"/>
        <v>-10854965.541381586</v>
      </c>
      <c r="AJ205" s="6347">
        <f>AJ177+AJ196</f>
        <v>49662659.846507989</v>
      </c>
      <c r="AK205" s="6347">
        <f t="shared" ref="AK205:AL205" si="385">AK177+AK196</f>
        <v>-3771637.1362894364</v>
      </c>
      <c r="AL205" s="6347">
        <f t="shared" si="385"/>
        <v>-6800682.7764866669</v>
      </c>
      <c r="AM205" s="6352">
        <f t="shared" si="330"/>
        <v>325584086.99079466</v>
      </c>
      <c r="AN205" s="6462">
        <f>Y205/((년간!E11+년간!E12)/12)</f>
        <v>2118.2428777708369</v>
      </c>
      <c r="AO205" s="6327">
        <f>AA205/(년간!F11+년간!F12)</f>
        <v>1836.1043847210767</v>
      </c>
      <c r="AP205" s="6327">
        <f>AB205/(년간!G11+년간!G12)</f>
        <v>2815.4092724366624</v>
      </c>
      <c r="AQ205" s="6327">
        <f>AC205/(년간!H11+년간!H12)</f>
        <v>566.22428612272097</v>
      </c>
      <c r="AR205" s="6327">
        <f>AD205/(년간!I11+년간!I12)</f>
        <v>1927.688627482562</v>
      </c>
      <c r="AS205" s="6327">
        <f>AE205/(년간!J11+년간!J12)</f>
        <v>2232.0543864471197</v>
      </c>
      <c r="AT205" s="6327">
        <f>AF205/(년간!K11+년간!K12)</f>
        <v>3249.9173364496764</v>
      </c>
      <c r="AU205" s="6424">
        <f>AG205/(년간!L11+년간!L12)</f>
        <v>2189.5280091627114</v>
      </c>
      <c r="AV205" s="6327">
        <f>AH205/(년간!M11+년간!M12)</f>
        <v>1753.5251766037211</v>
      </c>
      <c r="AW205" s="6330">
        <f>AI205/(년간!N11+년간!N12)</f>
        <v>-634.24084935265955</v>
      </c>
      <c r="AX205" s="6327">
        <f>AJ205/(년간!O11+년간!O12)</f>
        <v>2748.5996146027715</v>
      </c>
      <c r="AY205" s="6442"/>
      <c r="AZ205" s="6457"/>
      <c r="BA205" s="6466">
        <f>AM205/(년간!V11+년간!V12)</f>
        <v>1523.2443833070602</v>
      </c>
      <c r="BE205" s="7043" t="s">
        <v>1941</v>
      </c>
      <c r="BF205" s="7044"/>
      <c r="BG205" s="7044"/>
      <c r="BH205" s="7044"/>
      <c r="BI205" s="7044"/>
      <c r="BJ205" s="7044"/>
      <c r="BK205" s="7044"/>
      <c r="BL205" s="7044"/>
      <c r="BM205" s="7044"/>
      <c r="BN205" s="7044"/>
      <c r="BO205" s="7045"/>
      <c r="BP205" s="6330">
        <v>38955192.603164941</v>
      </c>
      <c r="BQ205" s="6328">
        <v>2118.2428777708369</v>
      </c>
      <c r="BR205" s="6330">
        <v>49662659.846507989</v>
      </c>
      <c r="BS205" s="6424">
        <v>2748.5996146027715</v>
      </c>
      <c r="BT205" s="6466">
        <v>1919.3119714802913</v>
      </c>
      <c r="BU205" s="4651"/>
      <c r="BV205" s="4651"/>
      <c r="BW205" s="6191"/>
      <c r="BX205" s="6191"/>
    </row>
    <row r="206" spans="1:76" ht="18" thickBot="1">
      <c r="A206" s="7061" t="s">
        <v>1409</v>
      </c>
      <c r="B206" s="7062"/>
      <c r="C206" s="7062"/>
      <c r="D206" s="7062"/>
      <c r="E206" s="7062"/>
      <c r="F206" s="7062"/>
      <c r="G206" s="7062"/>
      <c r="H206" s="7062"/>
      <c r="I206" s="7062"/>
      <c r="J206" s="7062"/>
      <c r="K206" s="7062"/>
      <c r="L206" s="7062"/>
      <c r="M206" s="7062"/>
      <c r="N206" s="7062"/>
      <c r="O206" s="7062"/>
      <c r="P206" s="7062"/>
      <c r="Q206" s="7062"/>
      <c r="R206" s="7062"/>
      <c r="S206" s="7062"/>
      <c r="T206" s="7062"/>
      <c r="U206" s="7062"/>
      <c r="V206" s="7062"/>
      <c r="W206" s="7063"/>
      <c r="X206" s="6221">
        <f>X204+X205</f>
        <v>1290150789.4473028</v>
      </c>
      <c r="Y206" s="6222">
        <f>Y204+Y205</f>
        <v>120436470.83987077</v>
      </c>
      <c r="Z206" s="6222">
        <f>X206/(게시판!BF12*12)</f>
        <v>3625.8753872739103</v>
      </c>
      <c r="AA206" s="6222">
        <f>AA204+AA205</f>
        <v>132781352.59937643</v>
      </c>
      <c r="AB206" s="6222">
        <f t="shared" ref="AB206:AI206" si="386">AB204+AB205</f>
        <v>114708003.61644351</v>
      </c>
      <c r="AC206" s="6222">
        <f t="shared" si="386"/>
        <v>75578165.376045763</v>
      </c>
      <c r="AD206" s="6222">
        <f t="shared" si="386"/>
        <v>142107081.98282605</v>
      </c>
      <c r="AE206" s="6222">
        <f t="shared" si="386"/>
        <v>107249239.26378401</v>
      </c>
      <c r="AF206" s="6222">
        <f t="shared" si="386"/>
        <v>103855954.08413115</v>
      </c>
      <c r="AG206" s="6222">
        <f t="shared" si="386"/>
        <v>146536323.0404653</v>
      </c>
      <c r="AH206" s="6222">
        <f t="shared" si="386"/>
        <v>37742505.687381089</v>
      </c>
      <c r="AI206" s="6348">
        <f t="shared" si="386"/>
        <v>68976494.104700297</v>
      </c>
      <c r="AJ206" s="6348">
        <f>AJ204+AJ205</f>
        <v>93346581.661422491</v>
      </c>
      <c r="AK206" s="6348">
        <f t="shared" ref="AK206:AL206" si="387">AK204+AK205</f>
        <v>23751899.370452404</v>
      </c>
      <c r="AL206" s="6348">
        <f t="shared" si="387"/>
        <v>45722621.27156651</v>
      </c>
      <c r="AM206" s="6353">
        <f t="shared" si="330"/>
        <v>1092356222.0585952</v>
      </c>
      <c r="AN206" s="6221">
        <f>Y206/게시판!BF12</f>
        <v>4061.7357808430615</v>
      </c>
      <c r="AO206" s="6222">
        <f>AA206/E228</f>
        <v>4474.0301034456934</v>
      </c>
      <c r="AP206" s="6222">
        <f t="shared" ref="AP206:AZ206" si="388">AB206/F228</f>
        <v>4010.7089161154081</v>
      </c>
      <c r="AQ206" s="6222">
        <f t="shared" si="388"/>
        <v>2550.4478333371048</v>
      </c>
      <c r="AR206" s="6222">
        <f t="shared" si="388"/>
        <v>4320.5461063155899</v>
      </c>
      <c r="AS206" s="6222">
        <f t="shared" si="388"/>
        <v>4082.1336157765063</v>
      </c>
      <c r="AT206" s="6222">
        <f t="shared" si="388"/>
        <v>3231.2689653998737</v>
      </c>
      <c r="AU206" s="6348">
        <f t="shared" si="388"/>
        <v>3914.8283344631063</v>
      </c>
      <c r="AV206" s="6222">
        <f t="shared" si="388"/>
        <v>1065.3265054798178</v>
      </c>
      <c r="AW206" s="6607">
        <f>AI206/M228</f>
        <v>1883.7441414627835</v>
      </c>
      <c r="AX206" s="6222">
        <f>AJ206/N228</f>
        <v>2739.366661688256</v>
      </c>
      <c r="AY206" s="6206" t="e">
        <f t="shared" si="388"/>
        <v>#DIV/0!</v>
      </c>
      <c r="AZ206" s="6458" t="e">
        <f t="shared" si="388"/>
        <v>#DIV/0!</v>
      </c>
      <c r="BA206" s="6467">
        <f>AM206/Q228</f>
        <v>3384.3323208544252</v>
      </c>
      <c r="BE206" s="7043" t="s">
        <v>1409</v>
      </c>
      <c r="BF206" s="7044"/>
      <c r="BG206" s="7044"/>
      <c r="BH206" s="7044"/>
      <c r="BI206" s="7044"/>
      <c r="BJ206" s="7044"/>
      <c r="BK206" s="7044"/>
      <c r="BL206" s="7044"/>
      <c r="BM206" s="7044"/>
      <c r="BN206" s="7044"/>
      <c r="BO206" s="7045"/>
      <c r="BP206" s="6229">
        <v>120436470.83987077</v>
      </c>
      <c r="BQ206" s="6225">
        <v>4061.7357808430615</v>
      </c>
      <c r="BR206" s="6229">
        <v>93346581.661422491</v>
      </c>
      <c r="BS206" s="6476">
        <v>2739.366661688256</v>
      </c>
      <c r="BT206" s="6227">
        <v>3198.8548251255156</v>
      </c>
    </row>
    <row r="207" spans="1:76" s="299" customFormat="1" ht="17.399999999999999">
      <c r="A207" s="7058" t="s">
        <v>1956</v>
      </c>
      <c r="B207" s="7059"/>
      <c r="C207" s="7059"/>
      <c r="D207" s="7059"/>
      <c r="E207" s="7059"/>
      <c r="F207" s="7059"/>
      <c r="G207" s="7059"/>
      <c r="H207" s="7059"/>
      <c r="I207" s="7059"/>
      <c r="J207" s="7059"/>
      <c r="K207" s="7059"/>
      <c r="L207" s="7059"/>
      <c r="M207" s="7059"/>
      <c r="N207" s="7059"/>
      <c r="O207" s="7059"/>
      <c r="P207" s="7059"/>
      <c r="Q207" s="7059"/>
      <c r="R207" s="7059"/>
      <c r="S207" s="7059"/>
      <c r="T207" s="7059"/>
      <c r="U207" s="7059"/>
      <c r="V207" s="7059"/>
      <c r="W207" s="7060"/>
      <c r="X207" s="6223">
        <f>X129+X147+X165</f>
        <v>1889471674.9733806</v>
      </c>
      <c r="Y207" s="6224">
        <f>Y129+Y147+Y165</f>
        <v>187147797.07977816</v>
      </c>
      <c r="Z207" s="6224">
        <f>X207/년간!E10</f>
        <v>6907.7310531692337</v>
      </c>
      <c r="AA207" s="6224">
        <f t="shared" ref="AA207:AI207" si="389">AA129+AA147+AA165</f>
        <v>166003889.88883922</v>
      </c>
      <c r="AB207" s="6224">
        <f t="shared" si="389"/>
        <v>103607704.22561771</v>
      </c>
      <c r="AC207" s="6224">
        <f t="shared" si="389"/>
        <v>-32288498.62767183</v>
      </c>
      <c r="AD207" s="6224">
        <f t="shared" si="389"/>
        <v>381058643.70259011</v>
      </c>
      <c r="AE207" s="6224">
        <f t="shared" si="389"/>
        <v>55423010.259590477</v>
      </c>
      <c r="AF207" s="6224">
        <f t="shared" si="389"/>
        <v>219219694.61966163</v>
      </c>
      <c r="AG207" s="6224">
        <f t="shared" si="389"/>
        <v>460344530.62441802</v>
      </c>
      <c r="AH207" s="6224">
        <f t="shared" si="389"/>
        <v>147737053.90994519</v>
      </c>
      <c r="AI207" s="6349">
        <f t="shared" si="389"/>
        <v>525447982.29660112</v>
      </c>
      <c r="AJ207" s="6349">
        <f>AJ129+AJ147+AJ165</f>
        <v>69957372.121603906</v>
      </c>
      <c r="AK207" s="6349">
        <f t="shared" ref="AK207:AL207" si="390">AK129+AK147+AK165</f>
        <v>83880858.22658731</v>
      </c>
      <c r="AL207" s="6349">
        <f t="shared" si="390"/>
        <v>54641304.048053175</v>
      </c>
      <c r="AM207" s="6352">
        <f t="shared" si="330"/>
        <v>2235033545.2958364</v>
      </c>
      <c r="AN207" s="6223">
        <f>Y207/(년간!E10/10)</f>
        <v>6841.9477600182126</v>
      </c>
      <c r="AO207" s="6224">
        <f>AA207/년간!F10</f>
        <v>6710.4434645789543</v>
      </c>
      <c r="AP207" s="6224">
        <f>AB207/년간!G10</f>
        <v>4208.1286481018205</v>
      </c>
      <c r="AQ207" s="6224">
        <f>AC207/년간!H10</f>
        <v>-1199.0776301526464</v>
      </c>
      <c r="AR207" s="6224">
        <f>AD207/년간!I10</f>
        <v>15431.198933126783</v>
      </c>
      <c r="AS207" s="6224">
        <f>AE207/년간!J10</f>
        <v>2429.6093880579688</v>
      </c>
      <c r="AT207" s="6224">
        <f>AF207/년간!K10</f>
        <v>8772.2370283860255</v>
      </c>
      <c r="AU207" s="6349">
        <f>AG207/년간!L10</f>
        <v>14922.549334771462</v>
      </c>
      <c r="AV207" s="6224">
        <f>AH207/년간!M10</f>
        <v>5327.5458041384754</v>
      </c>
      <c r="AW207" s="6608">
        <f>AI207/년간!N10</f>
        <v>17953.979354351344</v>
      </c>
      <c r="AX207" s="6224">
        <f>AJ207/년간!O10</f>
        <v>2571.1766780665139</v>
      </c>
      <c r="AY207" s="3915"/>
      <c r="AZ207" s="6134"/>
      <c r="BA207" s="6468">
        <f>AM207/년간!V10</f>
        <v>8428.6708369463686</v>
      </c>
      <c r="BE207" s="7046" t="s">
        <v>1955</v>
      </c>
      <c r="BF207" s="7047"/>
      <c r="BG207" s="7047"/>
      <c r="BH207" s="7047"/>
      <c r="BI207" s="7047"/>
      <c r="BJ207" s="7047"/>
      <c r="BK207" s="7047"/>
      <c r="BL207" s="7047"/>
      <c r="BM207" s="7047"/>
      <c r="BN207" s="7047"/>
      <c r="BO207" s="7048"/>
      <c r="BP207" s="6324">
        <v>187147797.07977816</v>
      </c>
      <c r="BQ207" s="6217">
        <v>6841.9477600182126</v>
      </c>
      <c r="BR207" s="6324">
        <v>69957372.121603906</v>
      </c>
      <c r="BS207" s="6350">
        <v>2571.1766780665139</v>
      </c>
      <c r="BT207" s="6352">
        <v>7959.8750113497281</v>
      </c>
    </row>
    <row r="208" spans="1:76" s="299" customFormat="1" ht="17.399999999999999">
      <c r="A208" s="7055" t="s">
        <v>1958</v>
      </c>
      <c r="B208" s="7056"/>
      <c r="C208" s="7056"/>
      <c r="D208" s="7056"/>
      <c r="E208" s="7056"/>
      <c r="F208" s="7056"/>
      <c r="G208" s="7056"/>
      <c r="H208" s="7056"/>
      <c r="I208" s="7056"/>
      <c r="J208" s="7056"/>
      <c r="K208" s="7056"/>
      <c r="L208" s="7056"/>
      <c r="M208" s="7056"/>
      <c r="N208" s="7056"/>
      <c r="O208" s="7056"/>
      <c r="P208" s="7056"/>
      <c r="Q208" s="7056"/>
      <c r="R208" s="7056"/>
      <c r="S208" s="7056"/>
      <c r="T208" s="7056"/>
      <c r="U208" s="7056"/>
      <c r="V208" s="7056"/>
      <c r="W208" s="7057"/>
      <c r="X208" s="6216">
        <f>X184+X203</f>
        <v>1935767766.3970103</v>
      </c>
      <c r="Y208" s="6207">
        <f>Y184+Y203</f>
        <v>161313980.53308415</v>
      </c>
      <c r="Z208" s="6207">
        <f>X208/(년간!E11+년간!D12)</f>
        <v>8771.6724655933831</v>
      </c>
      <c r="AA208" s="6207">
        <f t="shared" ref="AA208:AI208" si="391">AA184+AA203</f>
        <v>204174907.0840663</v>
      </c>
      <c r="AB208" s="6207">
        <f t="shared" si="391"/>
        <v>188026286.32576448</v>
      </c>
      <c r="AC208" s="6207">
        <f t="shared" si="391"/>
        <v>205616787.37159556</v>
      </c>
      <c r="AD208" s="6207">
        <f t="shared" si="391"/>
        <v>133365431.12362108</v>
      </c>
      <c r="AE208" s="6207">
        <f t="shared" si="391"/>
        <v>27385508.198192939</v>
      </c>
      <c r="AF208" s="6207">
        <f t="shared" si="391"/>
        <v>131726273.07103205</v>
      </c>
      <c r="AG208" s="6207">
        <f t="shared" si="391"/>
        <v>232898859.27911866</v>
      </c>
      <c r="AH208" s="6207">
        <f t="shared" si="391"/>
        <v>308610948.7404986</v>
      </c>
      <c r="AI208" s="6350">
        <f t="shared" si="391"/>
        <v>-202471888.45892456</v>
      </c>
      <c r="AJ208" s="6350">
        <f>AJ184+AJ203</f>
        <v>-126986664.46353345</v>
      </c>
      <c r="AK208" s="6350">
        <f t="shared" ref="AK208:AL208" si="392">AK184+AK203</f>
        <v>-127410919.1479874</v>
      </c>
      <c r="AL208" s="6350">
        <f t="shared" si="392"/>
        <v>-286310082.62140274</v>
      </c>
      <c r="AM208" s="6352">
        <f t="shared" si="330"/>
        <v>688625446.50204158</v>
      </c>
      <c r="AN208" s="6216">
        <f>Y208/((년간!E11+년간!E12)/12)</f>
        <v>8771.6724655933831</v>
      </c>
      <c r="AO208" s="6207">
        <f>AA208/(년간!F11+년간!F12)</f>
        <v>10825.17406623076</v>
      </c>
      <c r="AP208" s="6207">
        <f>AB208/(년간!G11+년간!G12)</f>
        <v>11272.917324457219</v>
      </c>
      <c r="AQ208" s="6207">
        <f>AC208/(년간!H11+년간!H12)</f>
        <v>11741.557183201738</v>
      </c>
      <c r="AR208" s="6207">
        <f>AD208/(년간!I11+년간!I12)</f>
        <v>7638.8080968309559</v>
      </c>
      <c r="AS208" s="6207">
        <f>AE208/(년간!J11+년간!J12)</f>
        <v>1642.8316936631329</v>
      </c>
      <c r="AT208" s="6207">
        <f>AF208/(년간!K11+년간!K12)</f>
        <v>6989.2027515641412</v>
      </c>
      <c r="AU208" s="6350">
        <f>AG208/(년간!L11+년간!L12)</f>
        <v>11626.195723352028</v>
      </c>
      <c r="AV208" s="6207">
        <f>AH208/(년간!M11+년간!M12)</f>
        <v>18119.041799751099</v>
      </c>
      <c r="AW208" s="6324">
        <f>AI208/(년간!N11+년간!N12)</f>
        <v>-11830.156624327788</v>
      </c>
      <c r="AX208" s="6207">
        <f>AJ208/(년간!O11+년간!O12)</f>
        <v>-7028.1273311361265</v>
      </c>
      <c r="AY208" s="3915"/>
      <c r="AZ208" s="6134"/>
      <c r="BA208" s="6352">
        <f>AM208/(년간!V11+년간!V12)</f>
        <v>3221.7325277823188</v>
      </c>
      <c r="BE208" s="7046" t="s">
        <v>1957</v>
      </c>
      <c r="BF208" s="7047"/>
      <c r="BG208" s="7047"/>
      <c r="BH208" s="7047"/>
      <c r="BI208" s="7047"/>
      <c r="BJ208" s="7047"/>
      <c r="BK208" s="7047"/>
      <c r="BL208" s="7047"/>
      <c r="BM208" s="7047"/>
      <c r="BN208" s="7047"/>
      <c r="BO208" s="7048"/>
      <c r="BP208" s="6324">
        <v>161313980.53308415</v>
      </c>
      <c r="BQ208" s="6217">
        <v>8771.6724655933831</v>
      </c>
      <c r="BR208" s="6324">
        <v>-126986664.46353345</v>
      </c>
      <c r="BS208" s="6350">
        <v>-7028.1273311361265</v>
      </c>
      <c r="BT208" s="6352">
        <v>6217.0835724419485</v>
      </c>
    </row>
    <row r="209" spans="1:72" ht="18" thickBot="1">
      <c r="A209" s="7049" t="s">
        <v>1953</v>
      </c>
      <c r="B209" s="7050"/>
      <c r="C209" s="7050"/>
      <c r="D209" s="7050"/>
      <c r="E209" s="7050"/>
      <c r="F209" s="7050"/>
      <c r="G209" s="7050"/>
      <c r="H209" s="7050"/>
      <c r="I209" s="7050"/>
      <c r="J209" s="7050"/>
      <c r="K209" s="7050"/>
      <c r="L209" s="7050"/>
      <c r="M209" s="7050"/>
      <c r="N209" s="7050"/>
      <c r="O209" s="7050"/>
      <c r="P209" s="7050"/>
      <c r="Q209" s="7050"/>
      <c r="R209" s="7050"/>
      <c r="S209" s="7050"/>
      <c r="T209" s="7050"/>
      <c r="U209" s="7050"/>
      <c r="V209" s="7050"/>
      <c r="W209" s="7051"/>
      <c r="X209" s="6218">
        <f>X207+X208</f>
        <v>3825239441.3703909</v>
      </c>
      <c r="Y209" s="6219">
        <f>Y207+Y208</f>
        <v>348461777.61286235</v>
      </c>
      <c r="Z209" s="6220">
        <f>X209/C228</f>
        <v>10625.665114917752</v>
      </c>
      <c r="AA209" s="6219">
        <f>AA207+AA208</f>
        <v>370178796.97290552</v>
      </c>
      <c r="AB209" s="6219">
        <f t="shared" ref="AB209:AI209" si="393">AB207+AB208</f>
        <v>291633990.55138218</v>
      </c>
      <c r="AC209" s="6219">
        <f t="shared" si="393"/>
        <v>173328288.74392372</v>
      </c>
      <c r="AD209" s="6219">
        <f t="shared" si="393"/>
        <v>514424074.82621121</v>
      </c>
      <c r="AE209" s="6219">
        <f t="shared" si="393"/>
        <v>82808518.457783416</v>
      </c>
      <c r="AF209" s="6219">
        <f t="shared" si="393"/>
        <v>350945967.69069368</v>
      </c>
      <c r="AG209" s="6219">
        <f t="shared" si="393"/>
        <v>693243389.90353668</v>
      </c>
      <c r="AH209" s="6219">
        <f t="shared" si="393"/>
        <v>456348002.65044379</v>
      </c>
      <c r="AI209" s="6219">
        <f t="shared" si="393"/>
        <v>322976093.83767653</v>
      </c>
      <c r="AJ209" s="6219">
        <f>AJ207+AJ208</f>
        <v>-57029292.34192954</v>
      </c>
      <c r="AK209" s="6219">
        <f t="shared" ref="AK209:AL209" si="394">AK207+AK208</f>
        <v>-43530060.921400085</v>
      </c>
      <c r="AL209" s="6219">
        <f t="shared" si="394"/>
        <v>-231668778.57334957</v>
      </c>
      <c r="AM209" s="6354">
        <f t="shared" si="330"/>
        <v>2923658991.7978773</v>
      </c>
      <c r="AN209" s="6218">
        <f>Y209/(C228/12)</f>
        <v>11615.392587095412</v>
      </c>
      <c r="AO209" s="6219">
        <f>AA209/E228</f>
        <v>12473.069816596135</v>
      </c>
      <c r="AP209" s="6219">
        <f t="shared" ref="AP209:AX209" si="395">AB209/F228</f>
        <v>10196.839010970925</v>
      </c>
      <c r="AQ209" s="6219">
        <f t="shared" si="395"/>
        <v>5849.1067662655814</v>
      </c>
      <c r="AR209" s="6219">
        <f t="shared" si="395"/>
        <v>15640.26860923083</v>
      </c>
      <c r="AS209" s="6219">
        <f t="shared" si="395"/>
        <v>3151.8679217645044</v>
      </c>
      <c r="AT209" s="6219">
        <f t="shared" si="395"/>
        <v>10918.977384893495</v>
      </c>
      <c r="AU209" s="6425">
        <f t="shared" si="395"/>
        <v>18520.519753482429</v>
      </c>
      <c r="AV209" s="6219">
        <f t="shared" si="395"/>
        <v>12880.957797903586</v>
      </c>
      <c r="AW209" s="6609">
        <f t="shared" si="395"/>
        <v>8820.4588026140136</v>
      </c>
      <c r="AX209" s="6219">
        <f t="shared" si="395"/>
        <v>-1673.5925344089828</v>
      </c>
      <c r="AY209" s="6109"/>
      <c r="AZ209" s="6137"/>
      <c r="BA209" s="6354">
        <f>AM209/Q228</f>
        <v>9058.0649620426302</v>
      </c>
      <c r="BE209" s="7049" t="s">
        <v>1411</v>
      </c>
      <c r="BF209" s="7050"/>
      <c r="BG209" s="7050"/>
      <c r="BH209" s="7050"/>
      <c r="BI209" s="7050"/>
      <c r="BJ209" s="7050"/>
      <c r="BK209" s="7050"/>
      <c r="BL209" s="7050"/>
      <c r="BM209" s="7050"/>
      <c r="BN209" s="7050"/>
      <c r="BO209" s="7051"/>
      <c r="BP209" s="6230">
        <v>348461777.61286235</v>
      </c>
      <c r="BQ209" s="6226">
        <v>11615.392587095412</v>
      </c>
      <c r="BR209" s="6230">
        <v>-57029292.34192954</v>
      </c>
      <c r="BS209" s="6477">
        <v>-1673.5925344089828</v>
      </c>
      <c r="BT209" s="6228">
        <v>9940.4526638497973</v>
      </c>
    </row>
    <row r="210" spans="1:72">
      <c r="BE210" s="299"/>
      <c r="BF210" s="299"/>
      <c r="BG210" s="299"/>
      <c r="BH210" s="299"/>
      <c r="BI210" s="299"/>
      <c r="BJ210" s="299"/>
      <c r="BK210" s="299"/>
      <c r="BL210" s="299"/>
      <c r="BM210" s="299"/>
      <c r="BP210" s="299" t="s">
        <v>1964</v>
      </c>
      <c r="BQ210" s="299" t="s">
        <v>1965</v>
      </c>
      <c r="BR210" t="s">
        <v>1966</v>
      </c>
      <c r="BS210" t="s">
        <v>1967</v>
      </c>
      <c r="BT210" s="299" t="s">
        <v>1968</v>
      </c>
    </row>
    <row r="211" spans="1:72" ht="15" thickBot="1">
      <c r="BE211" s="299"/>
      <c r="BF211" s="299"/>
      <c r="BG211" s="299"/>
      <c r="BH211" s="299"/>
      <c r="BI211" s="299"/>
      <c r="BJ211" s="299"/>
      <c r="BK211" s="299"/>
      <c r="BL211" s="299"/>
      <c r="BM211" s="299"/>
      <c r="BP211" s="299"/>
      <c r="BQ211" s="299"/>
    </row>
    <row r="212" spans="1:72">
      <c r="A212" s="6194" t="s">
        <v>1942</v>
      </c>
      <c r="B212" s="6195" t="s">
        <v>1943</v>
      </c>
      <c r="E212" s="3887" t="s">
        <v>1105</v>
      </c>
      <c r="F212" s="299">
        <f>게시판!BF13</f>
        <v>29678.242999999999</v>
      </c>
      <c r="AN212"/>
      <c r="AO212" s="6201" t="s">
        <v>1952</v>
      </c>
      <c r="AP212" s="6201" t="s">
        <v>5</v>
      </c>
      <c r="AQ212" s="6201" t="s">
        <v>6</v>
      </c>
      <c r="AR212" s="6201" t="s">
        <v>7</v>
      </c>
      <c r="AS212" s="6201" t="s">
        <v>8</v>
      </c>
      <c r="AT212" s="6201" t="s">
        <v>9</v>
      </c>
      <c r="AU212" s="6201" t="s">
        <v>10</v>
      </c>
      <c r="AV212" s="6201" t="s">
        <v>11</v>
      </c>
      <c r="AW212" s="6201" t="s">
        <v>12</v>
      </c>
      <c r="AX212" s="6201" t="s">
        <v>13</v>
      </c>
      <c r="AY212" s="6201" t="s">
        <v>14</v>
      </c>
      <c r="AZ212" s="6201" t="s">
        <v>15</v>
      </c>
      <c r="BA212" s="6201"/>
      <c r="BE212" s="299"/>
      <c r="BF212" s="299"/>
      <c r="BG212" s="299"/>
      <c r="BH212" s="299"/>
      <c r="BI212" s="299"/>
      <c r="BJ212" s="299"/>
      <c r="BK212" s="299"/>
      <c r="BL212" s="299"/>
      <c r="BM212" s="299"/>
      <c r="BP212" s="299"/>
      <c r="BQ212" s="299"/>
    </row>
    <row r="213" spans="1:72">
      <c r="A213" s="6194" t="s">
        <v>1944</v>
      </c>
      <c r="B213" s="6195" t="s">
        <v>1945</v>
      </c>
      <c r="E213" s="3884" t="s">
        <v>1106</v>
      </c>
      <c r="F213" s="299">
        <f>게시판!BF14</f>
        <v>28600.431</v>
      </c>
      <c r="AN213"/>
      <c r="AO213" s="6200">
        <f>(AO214/(AO214+AO215))</f>
        <v>0.40124116041060481</v>
      </c>
      <c r="AP213" s="6200">
        <f t="shared" ref="AP213:AW213" si="396">(AP214/(AP214+AP215))</f>
        <v>0.39288814155482038</v>
      </c>
      <c r="AQ213" s="6200">
        <f t="shared" si="396"/>
        <v>0.4334018623146802</v>
      </c>
      <c r="AR213" s="6200">
        <f t="shared" si="396"/>
        <v>0.54434146862967747</v>
      </c>
      <c r="AS213" s="6200">
        <f t="shared" si="396"/>
        <v>0.36528082996770483</v>
      </c>
      <c r="AT213" s="6200">
        <f t="shared" si="396"/>
        <v>0.47309282009686204</v>
      </c>
      <c r="AU213" s="6200">
        <f t="shared" si="396"/>
        <v>0.51438915851835332</v>
      </c>
      <c r="AV213" s="6200">
        <f t="shared" si="396"/>
        <v>0.60704256892789565</v>
      </c>
      <c r="AW213" s="6200">
        <f t="shared" si="396"/>
        <v>0.61158230023665372</v>
      </c>
      <c r="AX213" s="380"/>
      <c r="AY213" s="380"/>
      <c r="AZ213" s="380"/>
      <c r="BA213" s="380"/>
      <c r="BE213" s="299"/>
      <c r="BF213" s="299"/>
      <c r="BG213" s="299"/>
      <c r="BH213" s="299"/>
      <c r="BI213" s="299"/>
      <c r="BJ213" s="299"/>
      <c r="BK213" s="299"/>
      <c r="BL213" s="299"/>
      <c r="BM213" s="299"/>
      <c r="BP213" s="299"/>
      <c r="BQ213" s="299"/>
    </row>
    <row r="214" spans="1:72" ht="18" thickBot="1">
      <c r="A214" s="6194" t="s">
        <v>1946</v>
      </c>
      <c r="B214" s="6195" t="s">
        <v>1947</v>
      </c>
      <c r="E214" s="3884" t="s">
        <v>6</v>
      </c>
      <c r="F214" s="299">
        <f>게시판!BF15</f>
        <v>29633.292000000001</v>
      </c>
      <c r="AK214" s="380" t="s">
        <v>1948</v>
      </c>
      <c r="AL214" s="6197" t="s">
        <v>1950</v>
      </c>
      <c r="AM214" s="6197"/>
      <c r="AN214" s="6197"/>
      <c r="AO214" s="6197">
        <v>9925.9599999999991</v>
      </c>
      <c r="AP214" s="6198">
        <v>9673.24</v>
      </c>
      <c r="AQ214" s="6198">
        <v>11670.55</v>
      </c>
      <c r="AR214" s="6198">
        <v>13441.99</v>
      </c>
      <c r="AS214" s="6198">
        <v>8332.6</v>
      </c>
      <c r="AT214" s="6198">
        <v>11822.67</v>
      </c>
      <c r="AU214" s="6198">
        <v>15868.35</v>
      </c>
      <c r="AV214" s="6198">
        <v>16833.77</v>
      </c>
      <c r="AW214" s="6198">
        <v>17898.8</v>
      </c>
      <c r="AX214" s="380"/>
      <c r="AY214" s="380"/>
      <c r="AZ214" s="380"/>
      <c r="BA214" s="380"/>
      <c r="BE214" s="299"/>
      <c r="BF214" s="299"/>
      <c r="BG214" s="299"/>
      <c r="BH214" s="299"/>
      <c r="BI214" s="299"/>
      <c r="BJ214" s="299"/>
      <c r="BK214" s="299"/>
      <c r="BL214" s="299"/>
      <c r="BM214" s="299"/>
      <c r="BP214" s="299" t="s">
        <v>1971</v>
      </c>
      <c r="BQ214" s="299"/>
    </row>
    <row r="215" spans="1:72" ht="35.4" thickBot="1">
      <c r="A215" s="3980"/>
      <c r="B215" s="6138"/>
      <c r="C215" s="6192"/>
      <c r="D215" s="6138"/>
      <c r="E215" s="3884" t="s">
        <v>7</v>
      </c>
      <c r="F215" s="299">
        <f>게시판!BF16</f>
        <v>32891</v>
      </c>
      <c r="G215" s="6138"/>
      <c r="H215" s="6138"/>
      <c r="I215" s="6138"/>
      <c r="J215" s="6138"/>
      <c r="K215" s="6138"/>
      <c r="L215" s="6138"/>
      <c r="M215" s="6138"/>
      <c r="N215" s="6138"/>
      <c r="O215" s="6138"/>
      <c r="P215" s="6138"/>
      <c r="Q215" s="6138"/>
      <c r="R215" s="6138"/>
      <c r="AL215" s="6197" t="s">
        <v>1951</v>
      </c>
      <c r="AM215" s="6197"/>
      <c r="AN215" s="6197"/>
      <c r="AO215" s="6199">
        <f>CGL!N57</f>
        <v>14812.18</v>
      </c>
      <c r="AP215" s="6199">
        <f>CGL!O57</f>
        <v>14947.610000000002</v>
      </c>
      <c r="AQ215" s="6199">
        <f>CGL!P57</f>
        <v>15257.23</v>
      </c>
      <c r="AR215" s="6199">
        <f>CGL!Q57</f>
        <v>11252.050000000001</v>
      </c>
      <c r="AS215" s="6199">
        <f>CGL!R57</f>
        <v>14478.890000000001</v>
      </c>
      <c r="AT215" s="6199">
        <f>CGL!S57</f>
        <v>13167.500000000002</v>
      </c>
      <c r="AU215" s="6199">
        <f>CGL!T57</f>
        <v>14980.569999999998</v>
      </c>
      <c r="AV215" s="6199">
        <f>CGL!U57</f>
        <v>10897.02</v>
      </c>
      <c r="AW215" s="6199">
        <f>CGL!V57</f>
        <v>11367.580000000002</v>
      </c>
      <c r="AX215" s="380"/>
      <c r="AY215" s="380"/>
      <c r="AZ215" s="380"/>
      <c r="BA215" s="380"/>
      <c r="BE215" s="7052" t="s">
        <v>1786</v>
      </c>
      <c r="BF215" s="7053"/>
      <c r="BG215" s="7053"/>
      <c r="BH215" s="7053"/>
      <c r="BI215" s="7053"/>
      <c r="BJ215" s="7053"/>
      <c r="BK215" s="7053"/>
      <c r="BL215" s="7053"/>
      <c r="BM215" s="7053"/>
      <c r="BN215" s="7053"/>
      <c r="BO215" s="7054"/>
      <c r="BP215" s="6182" t="s">
        <v>1682</v>
      </c>
      <c r="BQ215" s="2808" t="s">
        <v>1683</v>
      </c>
      <c r="BR215" s="6469" t="s">
        <v>1987</v>
      </c>
      <c r="BS215" s="4796" t="s">
        <v>1988</v>
      </c>
      <c r="BT215" s="6596" t="s">
        <v>1969</v>
      </c>
    </row>
    <row r="216" spans="1:72" ht="17.399999999999999">
      <c r="A216" s="3980"/>
      <c r="B216" s="6193"/>
      <c r="C216" s="6193"/>
      <c r="D216" s="6193"/>
      <c r="E216" s="3884" t="s">
        <v>8</v>
      </c>
      <c r="F216" s="299">
        <f>게시판!BF17</f>
        <v>26272.839</v>
      </c>
      <c r="G216" s="6193"/>
      <c r="H216" s="6193"/>
      <c r="I216" s="6193"/>
      <c r="J216" s="6193"/>
      <c r="K216" s="6193"/>
      <c r="L216" s="6193"/>
      <c r="M216" s="6193"/>
      <c r="N216" s="6193"/>
      <c r="O216" s="6193"/>
      <c r="P216" s="6193"/>
      <c r="Q216" s="6193"/>
      <c r="R216" s="6193"/>
      <c r="AN216"/>
      <c r="AO216" s="6200">
        <f>AO215/(AO215+AO214)</f>
        <v>0.59875883958939524</v>
      </c>
      <c r="AP216" s="6200">
        <f t="shared" ref="AP216:AW216" si="397">AP215/(AP215+AP214)</f>
        <v>0.60711185844517968</v>
      </c>
      <c r="AQ216" s="6200">
        <f t="shared" si="397"/>
        <v>0.56659813768531975</v>
      </c>
      <c r="AR216" s="6200">
        <f t="shared" si="397"/>
        <v>0.45565853137032258</v>
      </c>
      <c r="AS216" s="6200">
        <f t="shared" si="397"/>
        <v>0.63471917003229517</v>
      </c>
      <c r="AT216" s="6200">
        <f t="shared" si="397"/>
        <v>0.52690717990313796</v>
      </c>
      <c r="AU216" s="6200">
        <f t="shared" si="397"/>
        <v>0.48561084148164663</v>
      </c>
      <c r="AV216" s="6200">
        <f t="shared" si="397"/>
        <v>0.39295743107210435</v>
      </c>
      <c r="AW216" s="6200">
        <f t="shared" si="397"/>
        <v>0.38841769976334622</v>
      </c>
      <c r="AX216" s="380"/>
      <c r="AY216" s="380"/>
      <c r="AZ216" s="380"/>
      <c r="BA216" s="380"/>
      <c r="BE216" s="7040" t="s">
        <v>1940</v>
      </c>
      <c r="BF216" s="7041"/>
      <c r="BG216" s="7041"/>
      <c r="BH216" s="7041"/>
      <c r="BI216" s="7041"/>
      <c r="BJ216" s="7041"/>
      <c r="BK216" s="7041"/>
      <c r="BL216" s="7041"/>
      <c r="BM216" s="7041"/>
      <c r="BN216" s="7041"/>
      <c r="BO216" s="7042"/>
      <c r="BP216" s="6329">
        <v>81481278.236705825</v>
      </c>
      <c r="BQ216" s="6423">
        <v>2978.8790347203535</v>
      </c>
      <c r="BR216" s="6462">
        <v>43683921.814914502</v>
      </c>
      <c r="BS216" s="6328">
        <v>1605.5360224473518</v>
      </c>
      <c r="BT216" s="6597">
        <v>2616.47441495776</v>
      </c>
    </row>
    <row r="217" spans="1:72" ht="17.399999999999999">
      <c r="E217" s="3884" t="s">
        <v>9</v>
      </c>
      <c r="F217" s="299">
        <f>게시판!BF18</f>
        <v>32140.919000000002</v>
      </c>
      <c r="AN217"/>
      <c r="AO217" s="380"/>
      <c r="AP217" s="380"/>
      <c r="AQ217" s="380"/>
      <c r="AR217" s="380"/>
      <c r="AS217" s="380"/>
      <c r="AT217" s="380"/>
      <c r="AU217" s="380"/>
      <c r="AV217" s="380"/>
      <c r="AW217" s="380"/>
      <c r="AX217" s="380"/>
      <c r="AY217" s="380"/>
      <c r="AZ217" s="380"/>
      <c r="BA217" s="380"/>
      <c r="BE217" s="7043" t="s">
        <v>1941</v>
      </c>
      <c r="BF217" s="7044"/>
      <c r="BG217" s="7044"/>
      <c r="BH217" s="7044"/>
      <c r="BI217" s="7044"/>
      <c r="BJ217" s="7044"/>
      <c r="BK217" s="7044"/>
      <c r="BL217" s="7044"/>
      <c r="BM217" s="7044"/>
      <c r="BN217" s="7044"/>
      <c r="BO217" s="7045"/>
      <c r="BP217" s="6330">
        <v>38955192.603164941</v>
      </c>
      <c r="BQ217" s="6424">
        <v>2118.2428777708369</v>
      </c>
      <c r="BR217" s="6462">
        <v>49662659.846507989</v>
      </c>
      <c r="BS217" s="6328">
        <v>2748.5996146027715</v>
      </c>
      <c r="BT217" s="6597">
        <v>1919.3119714802913</v>
      </c>
    </row>
    <row r="218" spans="1:72" ht="18" thickBot="1">
      <c r="B218" s="299"/>
      <c r="E218" s="5580" t="s">
        <v>1179</v>
      </c>
      <c r="F218" s="299">
        <f>게시판!BF19</f>
        <v>29869.453999999998</v>
      </c>
      <c r="BE218" s="7043" t="s">
        <v>1409</v>
      </c>
      <c r="BF218" s="7044"/>
      <c r="BG218" s="7044"/>
      <c r="BH218" s="7044"/>
      <c r="BI218" s="7044"/>
      <c r="BJ218" s="7044"/>
      <c r="BK218" s="7044"/>
      <c r="BL218" s="7044"/>
      <c r="BM218" s="7044"/>
      <c r="BN218" s="7044"/>
      <c r="BO218" s="7045"/>
      <c r="BP218" s="6229">
        <v>120436470.83987077</v>
      </c>
      <c r="BQ218" s="6476">
        <v>4061.7357808430615</v>
      </c>
      <c r="BR218" s="6594">
        <v>93346581.661422491</v>
      </c>
      <c r="BS218" s="6225">
        <v>2739.366661688256</v>
      </c>
      <c r="BT218" s="6598">
        <v>3198.8548251255156</v>
      </c>
    </row>
    <row r="219" spans="1:72" ht="17.399999999999999">
      <c r="B219" s="299"/>
      <c r="E219" s="3889" t="s">
        <v>10</v>
      </c>
      <c r="F219" s="299">
        <f>게시판!BF20</f>
        <v>37431.097999999998</v>
      </c>
      <c r="BE219" s="7046" t="s">
        <v>1955</v>
      </c>
      <c r="BF219" s="7047"/>
      <c r="BG219" s="7047"/>
      <c r="BH219" s="7047"/>
      <c r="BI219" s="7047"/>
      <c r="BJ219" s="7047"/>
      <c r="BK219" s="7047"/>
      <c r="BL219" s="7047"/>
      <c r="BM219" s="7047"/>
      <c r="BN219" s="7047"/>
      <c r="BO219" s="7048"/>
      <c r="BP219" s="6324">
        <v>187147797.07977816</v>
      </c>
      <c r="BQ219" s="6350">
        <v>6841.9477600182126</v>
      </c>
      <c r="BR219" s="6216">
        <v>69957372.121603906</v>
      </c>
      <c r="BS219" s="6217">
        <v>2571.1766780665139</v>
      </c>
      <c r="BT219" s="6599">
        <v>7959.8750113497281</v>
      </c>
    </row>
    <row r="220" spans="1:72" ht="17.399999999999999">
      <c r="B220" s="299"/>
      <c r="E220" s="3884" t="s">
        <v>11</v>
      </c>
      <c r="F220" s="299">
        <f>게시판!BF21</f>
        <v>35428.110999999997</v>
      </c>
      <c r="BE220" s="7046" t="s">
        <v>1957</v>
      </c>
      <c r="BF220" s="7047"/>
      <c r="BG220" s="7047"/>
      <c r="BH220" s="7047"/>
      <c r="BI220" s="7047"/>
      <c r="BJ220" s="7047"/>
      <c r="BK220" s="7047"/>
      <c r="BL220" s="7047"/>
      <c r="BM220" s="7047"/>
      <c r="BN220" s="7047"/>
      <c r="BO220" s="7048"/>
      <c r="BP220" s="6324">
        <v>161313980.53308415</v>
      </c>
      <c r="BQ220" s="6350">
        <v>8771.6724655933831</v>
      </c>
      <c r="BR220" s="6216">
        <v>-126986664.46353345</v>
      </c>
      <c r="BS220" s="6217">
        <v>-7028.1273311361265</v>
      </c>
      <c r="BT220" s="6599">
        <v>6217.0835724419485</v>
      </c>
    </row>
    <row r="221" spans="1:72" ht="18" thickBot="1">
      <c r="B221" s="299"/>
      <c r="E221" s="3884" t="s">
        <v>12</v>
      </c>
      <c r="F221" s="299">
        <f>게시판!BF22</f>
        <v>36616.699999999997</v>
      </c>
      <c r="BE221" s="7049" t="s">
        <v>1411</v>
      </c>
      <c r="BF221" s="7050"/>
      <c r="BG221" s="7050"/>
      <c r="BH221" s="7050"/>
      <c r="BI221" s="7050"/>
      <c r="BJ221" s="7050"/>
      <c r="BK221" s="7050"/>
      <c r="BL221" s="7050"/>
      <c r="BM221" s="7050"/>
      <c r="BN221" s="7050"/>
      <c r="BO221" s="7051"/>
      <c r="BP221" s="6230">
        <v>348461777.61286235</v>
      </c>
      <c r="BQ221" s="6477">
        <v>11615.392587095412</v>
      </c>
      <c r="BR221" s="6595">
        <v>-57029292.34192954</v>
      </c>
      <c r="BS221" s="6226">
        <v>-1673.5925344089828</v>
      </c>
      <c r="BT221" s="6600">
        <v>9940.4526638497973</v>
      </c>
    </row>
    <row r="222" spans="1:72">
      <c r="B222" s="299"/>
      <c r="E222" s="3884" t="s">
        <v>13</v>
      </c>
      <c r="F222" s="299">
        <f>게시판!BF23</f>
        <v>34075.972000000002</v>
      </c>
    </row>
    <row r="223" spans="1:72">
      <c r="B223" s="299"/>
      <c r="E223" s="3884" t="s">
        <v>14</v>
      </c>
      <c r="F223" s="299">
        <f>게시판!BF24</f>
        <v>21018.455999999998</v>
      </c>
    </row>
    <row r="224" spans="1:72">
      <c r="B224" s="299"/>
      <c r="E224" s="3896" t="s">
        <v>15</v>
      </c>
      <c r="F224" s="299">
        <f>게시판!BF25</f>
        <v>18300</v>
      </c>
    </row>
    <row r="225" spans="2:17">
      <c r="B225" s="299"/>
    </row>
    <row r="226" spans="2:17">
      <c r="B226" s="299"/>
    </row>
    <row r="227" spans="2:17">
      <c r="B227" s="299"/>
      <c r="C227" t="s">
        <v>1970</v>
      </c>
      <c r="D227" s="6187">
        <v>2019</v>
      </c>
      <c r="E227" s="5949" t="s">
        <v>1105</v>
      </c>
      <c r="F227" s="5949" t="s">
        <v>1106</v>
      </c>
      <c r="G227" s="5949" t="s">
        <v>6</v>
      </c>
      <c r="H227" s="5949" t="s">
        <v>7</v>
      </c>
      <c r="I227" s="5949" t="s">
        <v>8</v>
      </c>
      <c r="J227" s="5949" t="s">
        <v>9</v>
      </c>
      <c r="K227" s="5949" t="s">
        <v>10</v>
      </c>
      <c r="L227" s="5949" t="s">
        <v>11</v>
      </c>
      <c r="M227" s="5949" t="s">
        <v>12</v>
      </c>
      <c r="N227" s="5949" t="s">
        <v>13</v>
      </c>
      <c r="O227" s="5949" t="s">
        <v>14</v>
      </c>
      <c r="P227" s="5949" t="s">
        <v>15</v>
      </c>
      <c r="Q227" s="6472" t="s">
        <v>1960</v>
      </c>
    </row>
    <row r="228" spans="2:17">
      <c r="B228" s="299"/>
      <c r="C228" s="779">
        <v>360000</v>
      </c>
      <c r="D228" s="6214">
        <f>게시판!BF12</f>
        <v>29651.478416666665</v>
      </c>
      <c r="E228" s="6214">
        <v>29678.242999999999</v>
      </c>
      <c r="F228" s="6214">
        <v>28600.431</v>
      </c>
      <c r="G228" s="6214">
        <v>29633.292000000001</v>
      </c>
      <c r="H228" s="6214">
        <v>32891</v>
      </c>
      <c r="I228" s="6214">
        <v>26272.839</v>
      </c>
      <c r="J228" s="6214">
        <v>32140.919000000002</v>
      </c>
      <c r="K228" s="6214">
        <v>37431.097999999998</v>
      </c>
      <c r="L228" s="6214">
        <v>35428.110999999997</v>
      </c>
      <c r="M228" s="6214">
        <v>36616.699999999997</v>
      </c>
      <c r="N228" s="6214">
        <v>34075.972000000002</v>
      </c>
      <c r="O228" s="6214">
        <v>0</v>
      </c>
      <c r="P228" s="6214">
        <v>0</v>
      </c>
      <c r="Q228" s="6214">
        <f>SUM(E228:P228)</f>
        <v>322768.60499999998</v>
      </c>
    </row>
    <row r="229" spans="2:17">
      <c r="B229" s="299"/>
    </row>
    <row r="230" spans="2:17">
      <c r="B230" s="299"/>
    </row>
  </sheetData>
  <mergeCells count="251">
    <mergeCell ref="AL54:AL55"/>
    <mergeCell ref="BE206:BO206"/>
    <mergeCell ref="BF176:BG176"/>
    <mergeCell ref="BF202:BG202"/>
    <mergeCell ref="BF183:BG183"/>
    <mergeCell ref="BU199:BU201"/>
    <mergeCell ref="BU180:BU182"/>
    <mergeCell ref="BU161:BU163"/>
    <mergeCell ref="BU143:BU145"/>
    <mergeCell ref="BU125:BU127"/>
    <mergeCell ref="BE204:BO204"/>
    <mergeCell ref="BE205:BO205"/>
    <mergeCell ref="BF203:BO203"/>
    <mergeCell ref="BF196:BO196"/>
    <mergeCell ref="BF184:BO184"/>
    <mergeCell ref="BF177:BO177"/>
    <mergeCell ref="BF165:BO165"/>
    <mergeCell ref="BF158:BO158"/>
    <mergeCell ref="BF164:BG164"/>
    <mergeCell ref="BF124:BF125"/>
    <mergeCell ref="BF162:BF163"/>
    <mergeCell ref="BF149:BF153"/>
    <mergeCell ref="BF148:BG148"/>
    <mergeCell ref="BF154:BF155"/>
    <mergeCell ref="BF157:BG157"/>
    <mergeCell ref="BX199:BX201"/>
    <mergeCell ref="BX125:BX127"/>
    <mergeCell ref="BW125:BW127"/>
    <mergeCell ref="BV125:BV127"/>
    <mergeCell ref="BV143:BV145"/>
    <mergeCell ref="BW143:BW145"/>
    <mergeCell ref="BX143:BX145"/>
    <mergeCell ref="BV161:BV163"/>
    <mergeCell ref="BW161:BW163"/>
    <mergeCell ref="BX161:BX163"/>
    <mergeCell ref="BV180:BV182"/>
    <mergeCell ref="BW180:BW182"/>
    <mergeCell ref="BX180:BX182"/>
    <mergeCell ref="BV199:BV201"/>
    <mergeCell ref="BW199:BW201"/>
    <mergeCell ref="BF111:BF116"/>
    <mergeCell ref="AE56:AE57"/>
    <mergeCell ref="AF54:AF55"/>
    <mergeCell ref="AF56:AF57"/>
    <mergeCell ref="BF85:BO85"/>
    <mergeCell ref="AG54:AG55"/>
    <mergeCell ref="AG56:AG57"/>
    <mergeCell ref="AH54:AH55"/>
    <mergeCell ref="AH56:AH57"/>
    <mergeCell ref="BF86:BO86"/>
    <mergeCell ref="BE110:BE129"/>
    <mergeCell ref="BF127:BG127"/>
    <mergeCell ref="BE103:BE104"/>
    <mergeCell ref="BE105:BE106"/>
    <mergeCell ref="BE92:BE94"/>
    <mergeCell ref="BE95:BE97"/>
    <mergeCell ref="BB100:BB102"/>
    <mergeCell ref="AJ54:AJ55"/>
    <mergeCell ref="AJ56:AJ57"/>
    <mergeCell ref="BF94:BG94"/>
    <mergeCell ref="BF89:BO89"/>
    <mergeCell ref="BF90:BO90"/>
    <mergeCell ref="BE52:BE68"/>
    <mergeCell ref="AK54:AK55"/>
    <mergeCell ref="B178:C178"/>
    <mergeCell ref="BF179:BF180"/>
    <mergeCell ref="BF191:BG191"/>
    <mergeCell ref="BF182:BG182"/>
    <mergeCell ref="BF192:BF193"/>
    <mergeCell ref="BF186:BF190"/>
    <mergeCell ref="BF96:BO96"/>
    <mergeCell ref="BF98:BO98"/>
    <mergeCell ref="BF91:BG91"/>
    <mergeCell ref="B176:C176"/>
    <mergeCell ref="B173:B174"/>
    <mergeCell ref="BF147:BO147"/>
    <mergeCell ref="BF141:BO141"/>
    <mergeCell ref="BF122:BO122"/>
    <mergeCell ref="BF129:BO129"/>
    <mergeCell ref="BF130:BG130"/>
    <mergeCell ref="B166:C166"/>
    <mergeCell ref="BE166:BE184"/>
    <mergeCell ref="B175:C175"/>
    <mergeCell ref="BF92:BO92"/>
    <mergeCell ref="BF93:BO93"/>
    <mergeCell ref="BF95:BO95"/>
    <mergeCell ref="BF139:BG139"/>
    <mergeCell ref="BF137:BF138"/>
    <mergeCell ref="BW78:BX78"/>
    <mergeCell ref="BF110:BG110"/>
    <mergeCell ref="BF185:BG185"/>
    <mergeCell ref="BF166:BG166"/>
    <mergeCell ref="BF167:BF171"/>
    <mergeCell ref="BF173:BF174"/>
    <mergeCell ref="BF175:BG175"/>
    <mergeCell ref="BF178:BG178"/>
    <mergeCell ref="BF172:BG172"/>
    <mergeCell ref="BF136:BG136"/>
    <mergeCell ref="BF118:BF119"/>
    <mergeCell ref="BF105:BP105"/>
    <mergeCell ref="BF106:BP106"/>
    <mergeCell ref="BF103:BP103"/>
    <mergeCell ref="BF104:BP104"/>
    <mergeCell ref="BF120:BG120"/>
    <mergeCell ref="BF117:BG117"/>
    <mergeCell ref="BF123:BG123"/>
    <mergeCell ref="BF156:BG156"/>
    <mergeCell ref="BF160:BF161"/>
    <mergeCell ref="BF146:BG146"/>
    <mergeCell ref="BF159:BG159"/>
    <mergeCell ref="BF88:BG88"/>
    <mergeCell ref="BF87:BO87"/>
    <mergeCell ref="AC54:AC55"/>
    <mergeCell ref="BF131:BF135"/>
    <mergeCell ref="BE148:BE165"/>
    <mergeCell ref="B159:C159"/>
    <mergeCell ref="B145:C145"/>
    <mergeCell ref="B162:B163"/>
    <mergeCell ref="B160:B161"/>
    <mergeCell ref="B154:B155"/>
    <mergeCell ref="BF140:BG140"/>
    <mergeCell ref="BF142:BG142"/>
    <mergeCell ref="BF145:BG145"/>
    <mergeCell ref="B149:B153"/>
    <mergeCell ref="B148:C148"/>
    <mergeCell ref="B156:C156"/>
    <mergeCell ref="B157:C157"/>
    <mergeCell ref="B139:C139"/>
    <mergeCell ref="B136:C136"/>
    <mergeCell ref="B142:C142"/>
    <mergeCell ref="B146:C146"/>
    <mergeCell ref="BE130:BE147"/>
    <mergeCell ref="B140:C140"/>
    <mergeCell ref="BF128:BG128"/>
    <mergeCell ref="BF121:BG121"/>
    <mergeCell ref="BE86:BE88"/>
    <mergeCell ref="B2:B8"/>
    <mergeCell ref="C46:C47"/>
    <mergeCell ref="C44:C45"/>
    <mergeCell ref="B44:B57"/>
    <mergeCell ref="B24:B28"/>
    <mergeCell ref="B29:B35"/>
    <mergeCell ref="C56:C57"/>
    <mergeCell ref="C54:C55"/>
    <mergeCell ref="B36:D36"/>
    <mergeCell ref="B37:D37"/>
    <mergeCell ref="B38:B43"/>
    <mergeCell ref="B17:B23"/>
    <mergeCell ref="C50:C51"/>
    <mergeCell ref="C48:C49"/>
    <mergeCell ref="B10:B16"/>
    <mergeCell ref="C52:C53"/>
    <mergeCell ref="AB56:AB57"/>
    <mergeCell ref="AC56:AC57"/>
    <mergeCell ref="AD54:AD55"/>
    <mergeCell ref="AD56:AD57"/>
    <mergeCell ref="AE54:AE55"/>
    <mergeCell ref="A110:A129"/>
    <mergeCell ref="A130:A147"/>
    <mergeCell ref="B147:I147"/>
    <mergeCell ref="X54:X55"/>
    <mergeCell ref="B122:I122"/>
    <mergeCell ref="Y54:Y55"/>
    <mergeCell ref="AA54:AA55"/>
    <mergeCell ref="Y56:Y57"/>
    <mergeCell ref="AA56:AA57"/>
    <mergeCell ref="X56:X57"/>
    <mergeCell ref="AB54:AB55"/>
    <mergeCell ref="B70:B75"/>
    <mergeCell ref="B94:B99"/>
    <mergeCell ref="B76:B80"/>
    <mergeCell ref="B81:B86"/>
    <mergeCell ref="B124:B125"/>
    <mergeCell ref="B111:B116"/>
    <mergeCell ref="B117:C117"/>
    <mergeCell ref="B87:B93"/>
    <mergeCell ref="B100:B105"/>
    <mergeCell ref="A148:A165"/>
    <mergeCell ref="B165:I165"/>
    <mergeCell ref="A166:A184"/>
    <mergeCell ref="B184:I184"/>
    <mergeCell ref="B58:B63"/>
    <mergeCell ref="B64:B69"/>
    <mergeCell ref="G67:G68"/>
    <mergeCell ref="F67:F68"/>
    <mergeCell ref="E67:E68"/>
    <mergeCell ref="B164:C164"/>
    <mergeCell ref="B110:C110"/>
    <mergeCell ref="B121:C121"/>
    <mergeCell ref="B120:C120"/>
    <mergeCell ref="B118:B119"/>
    <mergeCell ref="B123:C123"/>
    <mergeCell ref="B141:I141"/>
    <mergeCell ref="B127:C127"/>
    <mergeCell ref="B128:C128"/>
    <mergeCell ref="B129:I129"/>
    <mergeCell ref="B172:C172"/>
    <mergeCell ref="B167:B171"/>
    <mergeCell ref="B177:I177"/>
    <mergeCell ref="B179:B180"/>
    <mergeCell ref="B182:C182"/>
    <mergeCell ref="B198:B199"/>
    <mergeCell ref="BF198:BF199"/>
    <mergeCell ref="B191:C191"/>
    <mergeCell ref="B194:C194"/>
    <mergeCell ref="B195:C195"/>
    <mergeCell ref="B197:C197"/>
    <mergeCell ref="B183:C183"/>
    <mergeCell ref="B202:C202"/>
    <mergeCell ref="B185:C185"/>
    <mergeCell ref="B186:B190"/>
    <mergeCell ref="B201:C201"/>
    <mergeCell ref="BF197:BG197"/>
    <mergeCell ref="BF201:BG201"/>
    <mergeCell ref="BF194:BG194"/>
    <mergeCell ref="BF195:BG195"/>
    <mergeCell ref="B192:B193"/>
    <mergeCell ref="A207:W207"/>
    <mergeCell ref="A206:W206"/>
    <mergeCell ref="A205:W205"/>
    <mergeCell ref="A204:W204"/>
    <mergeCell ref="BE208:BO208"/>
    <mergeCell ref="BE207:BO207"/>
    <mergeCell ref="AI54:AI55"/>
    <mergeCell ref="AI56:AI57"/>
    <mergeCell ref="BF97:BG97"/>
    <mergeCell ref="BE98:BE100"/>
    <mergeCell ref="BF100:BG100"/>
    <mergeCell ref="BE89:BE91"/>
    <mergeCell ref="BF99:BO99"/>
    <mergeCell ref="BF102:BP102"/>
    <mergeCell ref="BF101:BP101"/>
    <mergeCell ref="BE101:BE102"/>
    <mergeCell ref="A185:A203"/>
    <mergeCell ref="B203:I203"/>
    <mergeCell ref="B158:I158"/>
    <mergeCell ref="B131:B135"/>
    <mergeCell ref="B137:B138"/>
    <mergeCell ref="B130:C130"/>
    <mergeCell ref="BE185:BE203"/>
    <mergeCell ref="B196:I196"/>
    <mergeCell ref="BE216:BO216"/>
    <mergeCell ref="BE217:BO217"/>
    <mergeCell ref="BE218:BO218"/>
    <mergeCell ref="BE219:BO219"/>
    <mergeCell ref="BE220:BO220"/>
    <mergeCell ref="BE221:BO221"/>
    <mergeCell ref="BE215:BO215"/>
    <mergeCell ref="A209:W209"/>
    <mergeCell ref="A208:W208"/>
    <mergeCell ref="BE209:BO209"/>
  </mergeCells>
  <phoneticPr fontId="22" type="noConversion"/>
  <pageMargins left="0.7" right="0.7" top="0.75" bottom="0.75" header="0.3" footer="0.3"/>
  <pageSetup paperSize="9" scale="5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7"/>
  <sheetViews>
    <sheetView topLeftCell="A10" workbookViewId="0">
      <selection activeCell="C8" sqref="C8"/>
    </sheetView>
  </sheetViews>
  <sheetFormatPr defaultRowHeight="14.4"/>
  <cols>
    <col min="1" max="1" width="4.796875" style="706" customWidth="1"/>
    <col min="2" max="2" width="5.296875" customWidth="1"/>
    <col min="3" max="3" width="59.3984375" customWidth="1"/>
    <col min="4" max="4" width="6.59765625" customWidth="1"/>
    <col min="6" max="6" width="14.19921875" bestFit="1" customWidth="1"/>
    <col min="7" max="8" width="9.69921875" style="299" customWidth="1"/>
    <col min="9" max="11" width="9.69921875" customWidth="1"/>
    <col min="12" max="12" width="12.5" customWidth="1"/>
    <col min="13" max="13" width="9.5" customWidth="1"/>
    <col min="14" max="14" width="8.796875" customWidth="1"/>
    <col min="17" max="21" width="8.796875" customWidth="1"/>
    <col min="22" max="22" width="12.296875" customWidth="1"/>
  </cols>
  <sheetData>
    <row r="1" spans="1:22">
      <c r="A1" s="7227" t="s">
        <v>1972</v>
      </c>
      <c r="B1" s="7227"/>
      <c r="C1" s="7227"/>
      <c r="D1" s="7227"/>
    </row>
    <row r="2" spans="1:22">
      <c r="A2" s="7227"/>
      <c r="B2" s="7227"/>
      <c r="C2" s="7227"/>
      <c r="D2" s="7227"/>
    </row>
    <row r="3" spans="1:22">
      <c r="A3" s="7227"/>
      <c r="B3" s="7227"/>
      <c r="C3" s="7227"/>
      <c r="D3" s="7227"/>
    </row>
    <row r="4" spans="1:22">
      <c r="D4" s="875" t="s">
        <v>1973</v>
      </c>
    </row>
    <row r="6" spans="1:22" ht="30" customHeight="1" thickBot="1">
      <c r="A6" s="876" t="s">
        <v>840</v>
      </c>
    </row>
    <row r="7" spans="1:22" ht="30" customHeight="1" thickBot="1">
      <c r="A7" s="885" t="s">
        <v>841</v>
      </c>
      <c r="B7" s="886" t="s">
        <v>848</v>
      </c>
      <c r="C7" s="886" t="s">
        <v>851</v>
      </c>
      <c r="D7" s="887" t="s">
        <v>850</v>
      </c>
    </row>
    <row r="8" spans="1:22" ht="86.4" customHeight="1" thickTop="1">
      <c r="A8" s="888">
        <v>1</v>
      </c>
      <c r="B8" s="889" t="s">
        <v>849</v>
      </c>
      <c r="C8" s="1876" t="s">
        <v>1974</v>
      </c>
      <c r="D8" s="877"/>
    </row>
    <row r="9" spans="1:22" ht="50.4" customHeight="1">
      <c r="A9" s="890">
        <v>2</v>
      </c>
      <c r="B9" s="891" t="s">
        <v>842</v>
      </c>
      <c r="C9" s="880" t="s">
        <v>1975</v>
      </c>
      <c r="D9" s="2035"/>
    </row>
    <row r="10" spans="1:22" ht="67.2" customHeight="1">
      <c r="A10" s="890">
        <v>3</v>
      </c>
      <c r="B10" s="891" t="s">
        <v>843</v>
      </c>
      <c r="C10" s="879" t="s">
        <v>1976</v>
      </c>
      <c r="D10" s="878"/>
    </row>
    <row r="11" spans="1:22" ht="45" customHeight="1">
      <c r="A11" s="890">
        <v>4</v>
      </c>
      <c r="B11" s="891" t="s">
        <v>844</v>
      </c>
      <c r="C11" s="880" t="s">
        <v>1977</v>
      </c>
      <c r="D11" s="878"/>
    </row>
    <row r="12" spans="1:22" ht="51" customHeight="1">
      <c r="A12" s="890">
        <v>5</v>
      </c>
      <c r="B12" s="891" t="s">
        <v>845</v>
      </c>
      <c r="C12" s="879" t="s">
        <v>1978</v>
      </c>
      <c r="D12" s="878"/>
    </row>
    <row r="13" spans="1:22" ht="60" customHeight="1">
      <c r="A13" s="890">
        <v>6</v>
      </c>
      <c r="B13" s="891" t="s">
        <v>846</v>
      </c>
      <c r="C13" s="880" t="s">
        <v>1979</v>
      </c>
      <c r="D13" s="2034"/>
    </row>
    <row r="14" spans="1:22" ht="45" customHeight="1" thickBot="1">
      <c r="A14" s="892">
        <v>7</v>
      </c>
      <c r="B14" s="893" t="s">
        <v>847</v>
      </c>
      <c r="C14" s="881" t="s">
        <v>1980</v>
      </c>
      <c r="D14" s="882"/>
    </row>
    <row r="15" spans="1:22" ht="15" thickBot="1">
      <c r="P15" t="s">
        <v>1182</v>
      </c>
    </row>
    <row r="16" spans="1:22" ht="14.4" customHeight="1">
      <c r="F16" s="7132" t="s">
        <v>252</v>
      </c>
      <c r="G16" s="2613"/>
      <c r="H16" s="2613"/>
      <c r="I16" s="7220" t="s">
        <v>254</v>
      </c>
      <c r="J16" s="7229" t="s">
        <v>555</v>
      </c>
      <c r="K16" s="7229" t="s">
        <v>733</v>
      </c>
      <c r="L16" s="7229" t="s">
        <v>1000</v>
      </c>
      <c r="M16" s="7230" t="s">
        <v>1181</v>
      </c>
      <c r="P16" s="7218" t="s">
        <v>252</v>
      </c>
      <c r="Q16" s="7218" t="s">
        <v>253</v>
      </c>
      <c r="R16" s="7220" t="s">
        <v>254</v>
      </c>
      <c r="S16" s="7217" t="s">
        <v>1198</v>
      </c>
      <c r="T16" s="7217" t="s">
        <v>1199</v>
      </c>
      <c r="U16" s="7217" t="s">
        <v>718</v>
      </c>
      <c r="V16" s="7217" t="s">
        <v>1032</v>
      </c>
    </row>
    <row r="17" spans="3:22" ht="14.4" customHeight="1">
      <c r="F17" s="7228"/>
      <c r="G17" s="2614"/>
      <c r="H17" s="2614"/>
      <c r="I17" s="7218"/>
      <c r="J17" s="7217"/>
      <c r="K17" s="7217"/>
      <c r="L17" s="7217"/>
      <c r="M17" s="7231"/>
      <c r="P17" s="7218"/>
      <c r="Q17" s="7218"/>
      <c r="R17" s="7221"/>
      <c r="S17" s="7217"/>
      <c r="T17" s="7217"/>
      <c r="U17" s="7217"/>
      <c r="V17" s="7217"/>
    </row>
    <row r="18" spans="3:22" ht="16.8" customHeight="1">
      <c r="C18" s="884"/>
      <c r="F18" s="2511" t="s">
        <v>1185</v>
      </c>
      <c r="G18" s="2617"/>
      <c r="H18" s="2617"/>
      <c r="I18" s="2376" t="s">
        <v>452</v>
      </c>
      <c r="J18" s="2535">
        <v>96.083333333333329</v>
      </c>
      <c r="K18" s="2535">
        <v>50.416666666666664</v>
      </c>
      <c r="L18" s="2535">
        <v>41</v>
      </c>
      <c r="M18" s="2537">
        <v>52.262000000000015</v>
      </c>
      <c r="P18" s="7219" t="s">
        <v>269</v>
      </c>
      <c r="Q18" s="2320" t="s">
        <v>441</v>
      </c>
      <c r="R18" s="1223" t="s">
        <v>452</v>
      </c>
      <c r="S18" s="2542">
        <f>종합!F17/12</f>
        <v>4.9383333333333335</v>
      </c>
      <c r="T18" s="2542">
        <f>종합!G17/12</f>
        <v>2.6666666666666665</v>
      </c>
      <c r="U18" s="2542">
        <f>종합!I17/12</f>
        <v>2.0741666666666663</v>
      </c>
      <c r="V18" s="2543">
        <f>종합!X17/10</f>
        <v>0.85899999999999999</v>
      </c>
    </row>
    <row r="19" spans="3:22" ht="16.8" customHeight="1">
      <c r="C19" s="884"/>
      <c r="F19" s="7205" t="s">
        <v>1184</v>
      </c>
      <c r="G19" s="2617"/>
      <c r="H19" s="2617"/>
      <c r="I19" s="2376" t="s">
        <v>1186</v>
      </c>
      <c r="J19" s="2536">
        <v>84.25</v>
      </c>
      <c r="K19" s="2536">
        <v>58.499999999999993</v>
      </c>
      <c r="L19" s="2536">
        <v>42.666666666666671</v>
      </c>
      <c r="M19" s="2538">
        <v>25.833333333333332</v>
      </c>
      <c r="P19" s="7219"/>
      <c r="Q19" s="2320" t="s">
        <v>241</v>
      </c>
      <c r="R19" s="1981" t="s">
        <v>452</v>
      </c>
      <c r="S19" s="2542">
        <f>종합!F18/12</f>
        <v>6.6741666666666672</v>
      </c>
      <c r="T19" s="2542">
        <f>종합!G18/12</f>
        <v>2.6666666666666665</v>
      </c>
      <c r="U19" s="2542">
        <f>종합!I18/12</f>
        <v>2.6125000000000003</v>
      </c>
      <c r="V19" s="2543">
        <f>종합!X18/10</f>
        <v>0</v>
      </c>
    </row>
    <row r="20" spans="3:22" ht="16.8" customHeight="1">
      <c r="C20" s="884"/>
      <c r="F20" s="7205"/>
      <c r="G20" s="2617"/>
      <c r="H20" s="2617"/>
      <c r="I20" s="2376" t="s">
        <v>1187</v>
      </c>
      <c r="J20" s="2535">
        <v>80.005555555555546</v>
      </c>
      <c r="K20" s="2535">
        <v>53.348611111111111</v>
      </c>
      <c r="L20" s="2535">
        <v>32.478888888888889</v>
      </c>
      <c r="M20" s="2537">
        <v>26.715277777777779</v>
      </c>
      <c r="P20" s="7219"/>
      <c r="Q20" s="2320" t="s">
        <v>29</v>
      </c>
      <c r="R20" s="1981" t="s">
        <v>452</v>
      </c>
      <c r="S20" s="2542">
        <f>종합!F19/12</f>
        <v>68.384999999999977</v>
      </c>
      <c r="T20" s="2542">
        <f>종합!G19/12</f>
        <v>26.666666666666668</v>
      </c>
      <c r="U20" s="2542">
        <f>종합!I19/12</f>
        <v>30.270000000000007</v>
      </c>
      <c r="V20" s="2543">
        <f>종합!X19/10</f>
        <v>20.553000000000001</v>
      </c>
    </row>
    <row r="21" spans="3:22" ht="16.8" customHeight="1">
      <c r="C21" s="884"/>
      <c r="F21" s="7205" t="s">
        <v>1188</v>
      </c>
      <c r="G21" s="2617"/>
      <c r="H21" s="2617"/>
      <c r="I21" s="2376" t="s">
        <v>1189</v>
      </c>
      <c r="J21" s="2535">
        <v>305.99308333333335</v>
      </c>
      <c r="K21" s="2535">
        <v>127.07583333333332</v>
      </c>
      <c r="L21" s="2535">
        <v>106.90774999999998</v>
      </c>
      <c r="M21" s="2537">
        <v>77.938458333333315</v>
      </c>
      <c r="P21" s="7219"/>
      <c r="Q21" s="2320" t="s">
        <v>442</v>
      </c>
      <c r="R21" s="1981" t="s">
        <v>452</v>
      </c>
      <c r="S21" s="2542">
        <f>종합!F20/12</f>
        <v>11.648333333333333</v>
      </c>
      <c r="T21" s="2542">
        <f>종합!G20/12</f>
        <v>10.4925</v>
      </c>
      <c r="U21" s="2542">
        <f>종합!I20/12</f>
        <v>6.9916666666666671</v>
      </c>
      <c r="V21" s="2543">
        <f>종합!X20/10</f>
        <v>5.0170000000000003</v>
      </c>
    </row>
    <row r="22" spans="3:22" ht="16.8" customHeight="1">
      <c r="F22" s="7205"/>
      <c r="G22" s="2617"/>
      <c r="H22" s="2617"/>
      <c r="I22" s="2376" t="s">
        <v>1190</v>
      </c>
      <c r="J22" s="2535">
        <v>774.85125000000005</v>
      </c>
      <c r="K22" s="2535">
        <v>668.22625033333338</v>
      </c>
      <c r="L22" s="2535">
        <v>593.6341666666666</v>
      </c>
      <c r="M22" s="2537">
        <v>468.85791666666677</v>
      </c>
      <c r="P22" s="7219"/>
      <c r="Q22" s="2320" t="s">
        <v>443</v>
      </c>
      <c r="R22" s="1981" t="s">
        <v>452</v>
      </c>
      <c r="S22" s="2542">
        <f>종합!F21/12</f>
        <v>4.4183333333333339</v>
      </c>
      <c r="T22" s="2542">
        <f>종합!G21/12</f>
        <v>7.916666666666667</v>
      </c>
      <c r="U22" s="2542">
        <f>종합!I21/12</f>
        <v>6.125</v>
      </c>
      <c r="V22" s="2543">
        <f>종합!X21/10</f>
        <v>3.717000000000001</v>
      </c>
    </row>
    <row r="23" spans="3:22" ht="16.8" customHeight="1">
      <c r="F23" s="7205" t="s">
        <v>1193</v>
      </c>
      <c r="G23" s="2617"/>
      <c r="H23" s="2617"/>
      <c r="I23" s="2376" t="s">
        <v>1196</v>
      </c>
      <c r="J23" s="2533">
        <v>4.75</v>
      </c>
      <c r="K23" s="2533">
        <v>2.9166666666666665</v>
      </c>
      <c r="L23" s="2533">
        <v>2.5</v>
      </c>
      <c r="M23" s="2539">
        <v>4.5</v>
      </c>
      <c r="P23" s="7219"/>
      <c r="Q23" s="2375" t="s">
        <v>112</v>
      </c>
      <c r="R23" s="2003" t="s">
        <v>452</v>
      </c>
      <c r="S23" s="2514">
        <v>1153</v>
      </c>
      <c r="T23" s="2514">
        <v>605</v>
      </c>
      <c r="U23" s="2514">
        <v>492</v>
      </c>
      <c r="V23" s="2204">
        <v>522.62000000000012</v>
      </c>
    </row>
    <row r="24" spans="3:22" ht="16.8" customHeight="1" thickBot="1">
      <c r="F24" s="7206"/>
      <c r="G24" s="2618"/>
      <c r="H24" s="2618"/>
      <c r="I24" s="2355" t="s">
        <v>1197</v>
      </c>
      <c r="J24" s="2540">
        <v>80.583333333333329</v>
      </c>
      <c r="K24" s="2540">
        <v>29.583333333333332</v>
      </c>
      <c r="L24" s="2540">
        <v>18.583333333333332</v>
      </c>
      <c r="M24" s="2541">
        <v>43.516000000000005</v>
      </c>
      <c r="P24" s="7219"/>
      <c r="Q24" s="2375" t="s">
        <v>1182</v>
      </c>
      <c r="R24" s="2003" t="s">
        <v>452</v>
      </c>
      <c r="S24" s="2520">
        <f>S23/12</f>
        <v>96.083333333333329</v>
      </c>
      <c r="T24" s="2520">
        <f>T23/12</f>
        <v>50.416666666666664</v>
      </c>
      <c r="U24" s="2520">
        <f>U23/12</f>
        <v>41</v>
      </c>
      <c r="V24" s="2519">
        <f>(V23/10)</f>
        <v>52.262000000000015</v>
      </c>
    </row>
    <row r="25" spans="3:22" ht="18" thickBot="1">
      <c r="M25" s="2380"/>
      <c r="N25" s="2380"/>
      <c r="O25" s="2380"/>
      <c r="P25" s="7132" t="s">
        <v>953</v>
      </c>
      <c r="Q25" s="7223" t="s">
        <v>340</v>
      </c>
      <c r="R25" s="7225" t="s">
        <v>254</v>
      </c>
      <c r="S25" s="7214" t="s">
        <v>255</v>
      </c>
      <c r="T25" s="7215"/>
      <c r="U25" s="7215"/>
      <c r="V25" s="7216"/>
    </row>
    <row r="26" spans="3:22" ht="18" thickBot="1">
      <c r="P26" s="7222"/>
      <c r="Q26" s="7224"/>
      <c r="R26" s="7226"/>
      <c r="S26" s="2509" t="s">
        <v>955</v>
      </c>
      <c r="T26" s="2508" t="s">
        <v>716</v>
      </c>
      <c r="U26" s="2508" t="s">
        <v>720</v>
      </c>
      <c r="V26" s="2505" t="s">
        <v>1183</v>
      </c>
    </row>
    <row r="27" spans="3:22" ht="17.399999999999999">
      <c r="P27" s="7179" t="s">
        <v>958</v>
      </c>
      <c r="Q27" s="7208" t="s">
        <v>959</v>
      </c>
      <c r="R27" s="1792" t="s">
        <v>740</v>
      </c>
      <c r="S27" s="2544">
        <f>비가동!H4/12</f>
        <v>2.9166666666666665</v>
      </c>
      <c r="T27" s="2545">
        <f>비가동!I4/12</f>
        <v>1.4166666666666667</v>
      </c>
      <c r="U27" s="2545">
        <f>비가동!J4/12</f>
        <v>1.1666666666666667</v>
      </c>
      <c r="V27" s="2471">
        <f>비가동!Z4/12</f>
        <v>0.83333333333333337</v>
      </c>
    </row>
    <row r="28" spans="3:22" ht="17.399999999999999">
      <c r="P28" s="7180"/>
      <c r="Q28" s="7209"/>
      <c r="R28" s="1555" t="s">
        <v>791</v>
      </c>
      <c r="S28" s="2546">
        <f>비가동!H5/12</f>
        <v>4.645833333333333</v>
      </c>
      <c r="T28" s="2542">
        <f>비가동!I5/12</f>
        <v>1.6958333333333335</v>
      </c>
      <c r="U28" s="2542">
        <f>비가동!J5/12</f>
        <v>1.5986111111111112</v>
      </c>
      <c r="V28" s="2547">
        <f>비가동!Z5/12</f>
        <v>0.86805555555555547</v>
      </c>
    </row>
    <row r="29" spans="3:22" ht="17.399999999999999">
      <c r="P29" s="7180"/>
      <c r="Q29" s="7210" t="s">
        <v>960</v>
      </c>
      <c r="R29" s="1555" t="s">
        <v>740</v>
      </c>
      <c r="S29" s="2546">
        <f>비가동!H6/12</f>
        <v>4.25</v>
      </c>
      <c r="T29" s="2542">
        <f>비가동!I6/12</f>
        <v>1.9166666666666667</v>
      </c>
      <c r="U29" s="2542">
        <f>비가동!J6/12</f>
        <v>0.83333333333333337</v>
      </c>
      <c r="V29" s="2548">
        <f>비가동!Z6/12</f>
        <v>0.58333333333333337</v>
      </c>
    </row>
    <row r="30" spans="3:22" ht="17.399999999999999">
      <c r="P30" s="7180"/>
      <c r="Q30" s="7209"/>
      <c r="R30" s="1555" t="s">
        <v>791</v>
      </c>
      <c r="S30" s="2546">
        <f>비가동!H7/12</f>
        <v>7.75</v>
      </c>
      <c r="T30" s="2542">
        <f>비가동!I7/12</f>
        <v>2.3333333333333335</v>
      </c>
      <c r="U30" s="2542">
        <f>비가동!J7/12</f>
        <v>1.4791666666666667</v>
      </c>
      <c r="V30" s="2548">
        <f>비가동!Z7/12</f>
        <v>1.0249999999999999</v>
      </c>
    </row>
    <row r="31" spans="3:22" ht="17.399999999999999">
      <c r="P31" s="7180"/>
      <c r="Q31" s="7210" t="s">
        <v>961</v>
      </c>
      <c r="R31" s="1555" t="s">
        <v>740</v>
      </c>
      <c r="S31" s="2546">
        <f>비가동!H8/12</f>
        <v>1.5833333333333333</v>
      </c>
      <c r="T31" s="2542">
        <f>비가동!I8/12</f>
        <v>0.5</v>
      </c>
      <c r="U31" s="2542">
        <f>비가동!J8/12</f>
        <v>0.33333333333333331</v>
      </c>
      <c r="V31" s="2109">
        <f>비가동!Z8/12</f>
        <v>0.25</v>
      </c>
    </row>
    <row r="32" spans="3:22" ht="18" thickBot="1">
      <c r="P32" s="7207"/>
      <c r="Q32" s="7211"/>
      <c r="R32" s="2515" t="s">
        <v>791</v>
      </c>
      <c r="S32" s="2549">
        <f>비가동!H9/12</f>
        <v>1.5</v>
      </c>
      <c r="T32" s="2550">
        <f>비가동!I9/12</f>
        <v>0.83333333333333337</v>
      </c>
      <c r="U32" s="2550">
        <f>비가동!J9/12</f>
        <v>0.19444444444444442</v>
      </c>
      <c r="V32" s="2551">
        <f>비가동!Z9/12</f>
        <v>0.72222222222222221</v>
      </c>
    </row>
    <row r="33" spans="16:22" ht="17.399999999999999">
      <c r="P33" s="7180" t="s">
        <v>962</v>
      </c>
      <c r="Q33" s="7213" t="s">
        <v>784</v>
      </c>
      <c r="R33" s="2516" t="s">
        <v>740</v>
      </c>
      <c r="S33" s="2552">
        <f>비가동!H10/12</f>
        <v>20.833333333333332</v>
      </c>
      <c r="T33" s="2553">
        <f>비가동!I10/12</f>
        <v>16.083333333333332</v>
      </c>
      <c r="U33" s="2553">
        <f>비가동!J10/12</f>
        <v>10.666666666666666</v>
      </c>
      <c r="V33" s="2471">
        <f>비가동!Z10/12</f>
        <v>2.8333333333333335</v>
      </c>
    </row>
    <row r="34" spans="16:22" ht="17.399999999999999">
      <c r="P34" s="7180"/>
      <c r="Q34" s="7209"/>
      <c r="R34" s="1555" t="s">
        <v>791</v>
      </c>
      <c r="S34" s="2546">
        <f>비가동!H11/12</f>
        <v>13.272222222222224</v>
      </c>
      <c r="T34" s="2542">
        <f>비가동!I11/12</f>
        <v>8.0069444444444446</v>
      </c>
      <c r="U34" s="2542">
        <f>비가동!J11/12</f>
        <v>5.8944444444444448</v>
      </c>
      <c r="V34" s="2547">
        <f>비가동!Z11/12</f>
        <v>1.9861111111111109</v>
      </c>
    </row>
    <row r="35" spans="16:22" ht="17.399999999999999">
      <c r="P35" s="7180"/>
      <c r="Q35" s="7210" t="s">
        <v>64</v>
      </c>
      <c r="R35" s="1555" t="s">
        <v>740</v>
      </c>
      <c r="S35" s="2546">
        <f>비가동!H12/12</f>
        <v>6.083333333333333</v>
      </c>
      <c r="T35" s="2542">
        <f>비가동!I12/12</f>
        <v>2.5</v>
      </c>
      <c r="U35" s="2542">
        <f>비가동!J12/12</f>
        <v>1.8333333333333333</v>
      </c>
      <c r="V35" s="2548">
        <f>비가동!Z12/12</f>
        <v>0.58333333333333337</v>
      </c>
    </row>
    <row r="36" spans="16:22" ht="17.399999999999999">
      <c r="P36" s="7180"/>
      <c r="Q36" s="7209"/>
      <c r="R36" s="1555" t="s">
        <v>791</v>
      </c>
      <c r="S36" s="2546">
        <f>비가동!H13/12</f>
        <v>13.416666666666666</v>
      </c>
      <c r="T36" s="2542">
        <f>비가동!I13/12</f>
        <v>4.916666666666667</v>
      </c>
      <c r="U36" s="2542">
        <f>비가동!J13/12</f>
        <v>3.4375</v>
      </c>
      <c r="V36" s="2548">
        <f>비가동!Z13/12</f>
        <v>1.520833333333333</v>
      </c>
    </row>
    <row r="37" spans="16:22" ht="17.399999999999999">
      <c r="P37" s="7180"/>
      <c r="Q37" s="7210" t="s">
        <v>961</v>
      </c>
      <c r="R37" s="1555" t="s">
        <v>740</v>
      </c>
      <c r="S37" s="2546">
        <f>비가동!H14/12</f>
        <v>2</v>
      </c>
      <c r="T37" s="2542">
        <f>비가동!I14/12</f>
        <v>1.5833333333333333</v>
      </c>
      <c r="U37" s="2542">
        <f>비가동!J14/12</f>
        <v>2.0833333333333335</v>
      </c>
      <c r="V37" s="2109">
        <f>비가동!Z14/12</f>
        <v>2.0833333333333335</v>
      </c>
    </row>
    <row r="38" spans="16:22" ht="18" thickBot="1">
      <c r="P38" s="7180"/>
      <c r="Q38" s="7213"/>
      <c r="R38" s="1555" t="s">
        <v>791</v>
      </c>
      <c r="S38" s="2554">
        <f>비가동!H15/12</f>
        <v>3.75</v>
      </c>
      <c r="T38" s="2555">
        <f>비가동!I15/12</f>
        <v>4.666666666666667</v>
      </c>
      <c r="U38" s="2555">
        <f>비가동!J15/12</f>
        <v>3.5555555555555554</v>
      </c>
      <c r="V38" s="2551">
        <f>비가동!Z15/12</f>
        <v>4.7569444444444455</v>
      </c>
    </row>
    <row r="39" spans="16:22" ht="17.399999999999999">
      <c r="P39" s="7179" t="s">
        <v>963</v>
      </c>
      <c r="Q39" s="7208" t="s">
        <v>784</v>
      </c>
      <c r="R39" s="1792" t="s">
        <v>740</v>
      </c>
      <c r="S39" s="2544">
        <f>비가동!H16/12</f>
        <v>4.416666666666667</v>
      </c>
      <c r="T39" s="2545">
        <f>비가동!I16/12</f>
        <v>1.8333333333333333</v>
      </c>
      <c r="U39" s="2545">
        <f>비가동!J16/12</f>
        <v>1.25</v>
      </c>
      <c r="V39" s="2471">
        <f>비가동!Z16/12</f>
        <v>0.33333333333333331</v>
      </c>
    </row>
    <row r="40" spans="16:22" ht="17.399999999999999">
      <c r="P40" s="7180"/>
      <c r="Q40" s="7209"/>
      <c r="R40" s="1555" t="s">
        <v>791</v>
      </c>
      <c r="S40" s="2546">
        <f>비가동!H17/12</f>
        <v>6.4874999999999998</v>
      </c>
      <c r="T40" s="2542">
        <f>비가동!I17/12</f>
        <v>2.3736111111111113</v>
      </c>
      <c r="U40" s="2542">
        <f>비가동!J17/12</f>
        <v>1.7791666666666666</v>
      </c>
      <c r="V40" s="2547">
        <f>비가동!Z17/12</f>
        <v>1.0111111111111111</v>
      </c>
    </row>
    <row r="41" spans="16:22" ht="17.399999999999999">
      <c r="P41" s="7180"/>
      <c r="Q41" s="7210" t="s">
        <v>64</v>
      </c>
      <c r="R41" s="1555" t="s">
        <v>740</v>
      </c>
      <c r="S41" s="2546">
        <f>비가동!H18/12</f>
        <v>2.25</v>
      </c>
      <c r="T41" s="2542">
        <f>비가동!I18/12</f>
        <v>1.5</v>
      </c>
      <c r="U41" s="2542">
        <f>비가동!J18/12</f>
        <v>1.0833333333333333</v>
      </c>
      <c r="V41" s="2548">
        <f>비가동!Z18/12</f>
        <v>0.25</v>
      </c>
    </row>
    <row r="42" spans="16:22" ht="17.399999999999999">
      <c r="P42" s="7180"/>
      <c r="Q42" s="7209"/>
      <c r="R42" s="1555" t="s">
        <v>791</v>
      </c>
      <c r="S42" s="2546">
        <f>비가동!H19/12</f>
        <v>3.75</v>
      </c>
      <c r="T42" s="2542">
        <f>비가동!I19/12</f>
        <v>2.6666666666666665</v>
      </c>
      <c r="U42" s="2542">
        <f>비가동!J19/12</f>
        <v>3.3486111111111114</v>
      </c>
      <c r="V42" s="2548">
        <f>비가동!Z19/12</f>
        <v>0.75</v>
      </c>
    </row>
    <row r="43" spans="16:22" ht="17.399999999999999">
      <c r="P43" s="7180"/>
      <c r="Q43" s="7210" t="s">
        <v>961</v>
      </c>
      <c r="R43" s="1555" t="s">
        <v>740</v>
      </c>
      <c r="S43" s="2546">
        <f>비가동!H20/12</f>
        <v>1.75</v>
      </c>
      <c r="T43" s="2542">
        <f>비가동!I20/12</f>
        <v>1.3333333333333333</v>
      </c>
      <c r="U43" s="2542">
        <f>비가동!J20/12</f>
        <v>1.75</v>
      </c>
      <c r="V43" s="2109">
        <f>비가동!Z20/12</f>
        <v>0.58333333333333337</v>
      </c>
    </row>
    <row r="44" spans="16:22" ht="18" thickBot="1">
      <c r="P44" s="7207"/>
      <c r="Q44" s="7211"/>
      <c r="R44" s="2515" t="s">
        <v>791</v>
      </c>
      <c r="S44" s="2549">
        <f>비가동!H21/12</f>
        <v>1.5833333333333333</v>
      </c>
      <c r="T44" s="2550">
        <f>비가동!I21/12</f>
        <v>2.9166666666666665</v>
      </c>
      <c r="U44" s="2550">
        <f>비가동!J21/12</f>
        <v>1.6263888888888889</v>
      </c>
      <c r="V44" s="2551">
        <f>비가동!Z21/12</f>
        <v>0.25416666666666665</v>
      </c>
    </row>
    <row r="45" spans="16:22" ht="17.399999999999999">
      <c r="P45" s="7180" t="s">
        <v>964</v>
      </c>
      <c r="Q45" s="7213" t="s">
        <v>784</v>
      </c>
      <c r="R45" s="2516" t="s">
        <v>740</v>
      </c>
      <c r="S45" s="2552">
        <f>비가동!H22/12</f>
        <v>11.583333333333334</v>
      </c>
      <c r="T45" s="2553">
        <f>비가동!I22/12</f>
        <v>9.3333333333333339</v>
      </c>
      <c r="U45" s="2553">
        <f>비가동!J22/12</f>
        <v>3.8333333333333335</v>
      </c>
      <c r="V45" s="2471">
        <f>비가동!Z22/12</f>
        <v>3.4166666666666665</v>
      </c>
    </row>
    <row r="46" spans="16:22" ht="17.399999999999999">
      <c r="P46" s="7180"/>
      <c r="Q46" s="7209"/>
      <c r="R46" s="1555" t="s">
        <v>791</v>
      </c>
      <c r="S46" s="2546">
        <f>비가동!H23/12</f>
        <v>6.9847222222222216</v>
      </c>
      <c r="T46" s="2542">
        <f>비가동!I23/12</f>
        <v>5.7555555555555555</v>
      </c>
      <c r="U46" s="2542">
        <f>비가동!J23/12</f>
        <v>1.8277777777777775</v>
      </c>
      <c r="V46" s="2547">
        <f>비가동!Z23/12</f>
        <v>2.4847222222222221</v>
      </c>
    </row>
    <row r="47" spans="16:22" ht="17.399999999999999">
      <c r="P47" s="7180"/>
      <c r="Q47" s="7210" t="s">
        <v>64</v>
      </c>
      <c r="R47" s="1555" t="s">
        <v>740</v>
      </c>
      <c r="S47" s="2546">
        <f>비가동!H24/12</f>
        <v>2.5</v>
      </c>
      <c r="T47" s="2542">
        <f>비가동!I24/12</f>
        <v>1.25</v>
      </c>
      <c r="U47" s="2542">
        <f>비가동!J24/12</f>
        <v>0.33333333333333331</v>
      </c>
      <c r="V47" s="2548">
        <f>비가동!Z24/12</f>
        <v>0.75</v>
      </c>
    </row>
    <row r="48" spans="16:22" ht="17.399999999999999">
      <c r="P48" s="7180"/>
      <c r="Q48" s="7209"/>
      <c r="R48" s="1555" t="s">
        <v>791</v>
      </c>
      <c r="S48" s="2546">
        <f>비가동!H25/12</f>
        <v>4.166666666666667</v>
      </c>
      <c r="T48" s="2542">
        <f>비가동!I25/12</f>
        <v>2.6666666666666665</v>
      </c>
      <c r="U48" s="2542">
        <f>비가동!J25/12</f>
        <v>0.32777777777777778</v>
      </c>
      <c r="V48" s="2548">
        <f>비가동!Z25/12</f>
        <v>1.1944444444444444</v>
      </c>
    </row>
    <row r="49" spans="16:22" ht="17.399999999999999">
      <c r="P49" s="7180"/>
      <c r="Q49" s="7210" t="s">
        <v>961</v>
      </c>
      <c r="R49" s="1555" t="s">
        <v>740</v>
      </c>
      <c r="S49" s="2546">
        <f>비가동!H26/12</f>
        <v>1.1666666666666667</v>
      </c>
      <c r="T49" s="2542">
        <f>비가동!I26/12</f>
        <v>1.5</v>
      </c>
      <c r="U49" s="2542">
        <f>비가동!J26/12</f>
        <v>0.5</v>
      </c>
      <c r="V49" s="2109">
        <f>비가동!Z26/12</f>
        <v>0.16666666666666666</v>
      </c>
    </row>
    <row r="50" spans="16:22" ht="18" thickBot="1">
      <c r="P50" s="7180"/>
      <c r="Q50" s="7213"/>
      <c r="R50" s="1555" t="s">
        <v>791</v>
      </c>
      <c r="S50" s="2554">
        <f>비가동!H27/12</f>
        <v>1.3333333333333333</v>
      </c>
      <c r="T50" s="2555">
        <f>비가동!I27/12</f>
        <v>3.0833333333333335</v>
      </c>
      <c r="U50" s="2555">
        <f>비가동!J27/12</f>
        <v>0.41111111111111115</v>
      </c>
      <c r="V50" s="2551">
        <f>비가동!Z27/12</f>
        <v>0.77083333333333337</v>
      </c>
    </row>
    <row r="51" spans="16:22" ht="17.399999999999999">
      <c r="P51" s="7179" t="s">
        <v>965</v>
      </c>
      <c r="Q51" s="7208" t="s">
        <v>784</v>
      </c>
      <c r="R51" s="1792" t="s">
        <v>740</v>
      </c>
      <c r="S51" s="2544">
        <f>비가동!H28/12</f>
        <v>21.583333333333332</v>
      </c>
      <c r="T51" s="2545">
        <f>비가동!I28/12</f>
        <v>15.25</v>
      </c>
      <c r="U51" s="2545">
        <f>비가동!J28/12</f>
        <v>16.583333333333332</v>
      </c>
      <c r="V51" s="2471">
        <f>비가동!Z28/12</f>
        <v>5.083333333333333</v>
      </c>
    </row>
    <row r="52" spans="16:22" ht="17.399999999999999">
      <c r="P52" s="7180"/>
      <c r="Q52" s="7209"/>
      <c r="R52" s="1555" t="s">
        <v>791</v>
      </c>
      <c r="S52" s="2546">
        <f>비가동!H29/12</f>
        <v>10.004166666666666</v>
      </c>
      <c r="T52" s="2542">
        <f>비가동!I29/12</f>
        <v>8.9333333333333336</v>
      </c>
      <c r="U52" s="2542">
        <f>비가동!J29/12</f>
        <v>6.5719444444444441</v>
      </c>
      <c r="V52" s="2547">
        <f>비가동!Z29/12</f>
        <v>3.1416666666666662</v>
      </c>
    </row>
    <row r="53" spans="16:22" ht="17.399999999999999">
      <c r="P53" s="7180"/>
      <c r="Q53" s="7210" t="s">
        <v>64</v>
      </c>
      <c r="R53" s="1555" t="s">
        <v>740</v>
      </c>
      <c r="S53" s="2546">
        <f>비가동!H30/12</f>
        <v>0.41666666666666669</v>
      </c>
      <c r="T53" s="2542">
        <f>비가동!I30/12</f>
        <v>1.25</v>
      </c>
      <c r="U53" s="2542">
        <f>비가동!J30/12</f>
        <v>0.25</v>
      </c>
      <c r="V53" s="2548">
        <f>비가동!Z30/12</f>
        <v>0.33333333333333331</v>
      </c>
    </row>
    <row r="54" spans="16:22" ht="17.399999999999999">
      <c r="P54" s="7180"/>
      <c r="Q54" s="7209"/>
      <c r="R54" s="1555" t="s">
        <v>791</v>
      </c>
      <c r="S54" s="2546">
        <f>비가동!H31/12</f>
        <v>0.3125</v>
      </c>
      <c r="T54" s="2542">
        <f>비가동!I31/12</f>
        <v>1.1666666666666667</v>
      </c>
      <c r="U54" s="2542">
        <f>비가동!J31/12</f>
        <v>0.37361111111111117</v>
      </c>
      <c r="V54" s="2548">
        <f>비가동!Z31/12</f>
        <v>0.34027777777777773</v>
      </c>
    </row>
    <row r="55" spans="16:22" ht="17.399999999999999">
      <c r="P55" s="7180"/>
      <c r="Q55" s="7210" t="s">
        <v>961</v>
      </c>
      <c r="R55" s="1555" t="s">
        <v>740</v>
      </c>
      <c r="S55" s="2546">
        <f>비가동!H32/12</f>
        <v>0.91666666666666663</v>
      </c>
      <c r="T55" s="2542">
        <f>비가동!I32/12</f>
        <v>1.25</v>
      </c>
      <c r="U55" s="2542">
        <f>비가동!J32/12</f>
        <v>0.16666666666666666</v>
      </c>
      <c r="V55" s="2109">
        <f>비가동!Z32/12</f>
        <v>0.41666666666666669</v>
      </c>
    </row>
    <row r="56" spans="16:22" ht="18" thickBot="1">
      <c r="P56" s="7207"/>
      <c r="Q56" s="7211"/>
      <c r="R56" s="2515" t="s">
        <v>791</v>
      </c>
      <c r="S56" s="2549">
        <f>비가동!H33/12</f>
        <v>1.0486111111111112</v>
      </c>
      <c r="T56" s="2550">
        <f>비가동!I33/12</f>
        <v>1.3333333333333333</v>
      </c>
      <c r="U56" s="2550">
        <f>비가동!J33/12</f>
        <v>5.2777777777777778E-2</v>
      </c>
      <c r="V56" s="2551">
        <f>비가동!Z33/12</f>
        <v>0.77500000000000002</v>
      </c>
    </row>
    <row r="57" spans="16:22" ht="17.399999999999999">
      <c r="P57" s="7068" t="s">
        <v>966</v>
      </c>
      <c r="Q57" s="7208" t="s">
        <v>784</v>
      </c>
      <c r="R57" s="1387" t="s">
        <v>740</v>
      </c>
      <c r="S57" s="2556">
        <f t="shared" ref="S57:V62" si="0">S27+S33+S39+S45+S51</f>
        <v>61.333333333333329</v>
      </c>
      <c r="T57" s="2556">
        <f t="shared" si="0"/>
        <v>43.916666666666664</v>
      </c>
      <c r="U57" s="2556">
        <f t="shared" si="0"/>
        <v>33.5</v>
      </c>
      <c r="V57" s="2557">
        <f t="shared" si="0"/>
        <v>12.5</v>
      </c>
    </row>
    <row r="58" spans="16:22" ht="17.399999999999999">
      <c r="P58" s="7069"/>
      <c r="Q58" s="7209"/>
      <c r="R58" s="2454" t="s">
        <v>791</v>
      </c>
      <c r="S58" s="2558">
        <f t="shared" si="0"/>
        <v>41.394444444444446</v>
      </c>
      <c r="T58" s="2558">
        <f t="shared" si="0"/>
        <v>26.765277777777779</v>
      </c>
      <c r="U58" s="2558">
        <f t="shared" si="0"/>
        <v>17.671944444444442</v>
      </c>
      <c r="V58" s="2559">
        <f t="shared" si="0"/>
        <v>9.4916666666666654</v>
      </c>
    </row>
    <row r="59" spans="16:22" ht="17.399999999999999">
      <c r="P59" s="7069"/>
      <c r="Q59" s="7210" t="s">
        <v>64</v>
      </c>
      <c r="R59" s="2454" t="s">
        <v>740</v>
      </c>
      <c r="S59" s="2558">
        <f t="shared" si="0"/>
        <v>15.499999999999998</v>
      </c>
      <c r="T59" s="2558">
        <f t="shared" si="0"/>
        <v>8.4166666666666679</v>
      </c>
      <c r="U59" s="2558">
        <f t="shared" si="0"/>
        <v>4.333333333333333</v>
      </c>
      <c r="V59" s="2559">
        <f t="shared" si="0"/>
        <v>2.5000000000000004</v>
      </c>
    </row>
    <row r="60" spans="16:22" ht="17.399999999999999">
      <c r="P60" s="7069"/>
      <c r="Q60" s="7209"/>
      <c r="R60" s="2454" t="s">
        <v>791</v>
      </c>
      <c r="S60" s="2558">
        <f t="shared" si="0"/>
        <v>29.395833333333332</v>
      </c>
      <c r="T60" s="2558">
        <f t="shared" si="0"/>
        <v>13.749999999999998</v>
      </c>
      <c r="U60" s="2558">
        <f t="shared" si="0"/>
        <v>8.9666666666666686</v>
      </c>
      <c r="V60" s="2559">
        <f t="shared" si="0"/>
        <v>4.8305555555555548</v>
      </c>
    </row>
    <row r="61" spans="16:22" ht="17.399999999999999">
      <c r="P61" s="7069"/>
      <c r="Q61" s="7210" t="s">
        <v>961</v>
      </c>
      <c r="R61" s="2454" t="s">
        <v>740</v>
      </c>
      <c r="S61" s="2558">
        <f t="shared" si="0"/>
        <v>7.416666666666667</v>
      </c>
      <c r="T61" s="2558">
        <f t="shared" si="0"/>
        <v>6.1666666666666661</v>
      </c>
      <c r="U61" s="2558">
        <f t="shared" si="0"/>
        <v>4.8333333333333339</v>
      </c>
      <c r="V61" s="2559">
        <f t="shared" si="0"/>
        <v>3.5</v>
      </c>
    </row>
    <row r="62" spans="16:22" ht="18" thickBot="1">
      <c r="P62" s="7069"/>
      <c r="Q62" s="7211"/>
      <c r="R62" s="2517" t="s">
        <v>791</v>
      </c>
      <c r="S62" s="2560">
        <f t="shared" si="0"/>
        <v>9.2152777777777768</v>
      </c>
      <c r="T62" s="2560">
        <f t="shared" si="0"/>
        <v>12.833333333333334</v>
      </c>
      <c r="U62" s="2560">
        <f t="shared" si="0"/>
        <v>5.8402777777777786</v>
      </c>
      <c r="V62" s="2561">
        <f t="shared" si="0"/>
        <v>7.2791666666666677</v>
      </c>
    </row>
    <row r="63" spans="16:22" ht="17.399999999999999">
      <c r="P63" s="7069"/>
      <c r="Q63" s="7183" t="s">
        <v>967</v>
      </c>
      <c r="R63" s="1387" t="s">
        <v>740</v>
      </c>
      <c r="S63" s="2562">
        <f t="shared" ref="S63:V64" si="1">S57+S59+S61</f>
        <v>84.25</v>
      </c>
      <c r="T63" s="2562">
        <f t="shared" si="1"/>
        <v>58.499999999999993</v>
      </c>
      <c r="U63" s="2562">
        <f t="shared" si="1"/>
        <v>42.666666666666671</v>
      </c>
      <c r="V63" s="2563">
        <f t="shared" si="1"/>
        <v>18.5</v>
      </c>
    </row>
    <row r="64" spans="16:22" ht="18" thickBot="1">
      <c r="P64" s="7182"/>
      <c r="Q64" s="7212"/>
      <c r="R64" s="2518" t="s">
        <v>791</v>
      </c>
      <c r="S64" s="2564">
        <f t="shared" si="1"/>
        <v>80.005555555555546</v>
      </c>
      <c r="T64" s="2564">
        <f t="shared" si="1"/>
        <v>53.348611111111111</v>
      </c>
      <c r="U64" s="2564">
        <f t="shared" si="1"/>
        <v>32.478888888888889</v>
      </c>
      <c r="V64" s="2565">
        <f t="shared" si="1"/>
        <v>21.601388888888888</v>
      </c>
    </row>
    <row r="65" spans="4:22" ht="17.399999999999999">
      <c r="P65" s="7179" t="s">
        <v>1118</v>
      </c>
      <c r="Q65" s="2451" t="s">
        <v>1035</v>
      </c>
      <c r="R65" s="1225" t="s">
        <v>452</v>
      </c>
      <c r="S65" s="1236">
        <v>233</v>
      </c>
      <c r="T65" s="1762">
        <v>140.74000000000004</v>
      </c>
      <c r="U65" s="1762">
        <v>96.16</v>
      </c>
      <c r="V65" s="2521">
        <v>40.129999999999995</v>
      </c>
    </row>
    <row r="66" spans="4:22" ht="17.399999999999999">
      <c r="P66" s="7180"/>
      <c r="Q66" s="2320" t="s">
        <v>453</v>
      </c>
      <c r="R66" s="2321" t="s">
        <v>452</v>
      </c>
      <c r="S66" s="2203">
        <v>233</v>
      </c>
      <c r="T66" s="2236">
        <v>133.02000000000001</v>
      </c>
      <c r="U66" s="2236">
        <v>158</v>
      </c>
      <c r="V66" s="2522">
        <v>43.739999999999995</v>
      </c>
    </row>
    <row r="67" spans="4:22" ht="17.399999999999999">
      <c r="P67" s="7180"/>
      <c r="Q67" s="2320" t="s">
        <v>498</v>
      </c>
      <c r="R67" s="2321" t="s">
        <v>452</v>
      </c>
      <c r="S67" s="2203">
        <v>521</v>
      </c>
      <c r="T67" s="2236">
        <v>152.91</v>
      </c>
      <c r="U67" s="2236">
        <v>141.9</v>
      </c>
      <c r="V67" s="2466">
        <v>54.575000000000003</v>
      </c>
    </row>
    <row r="68" spans="4:22" ht="17.399999999999999">
      <c r="P68" s="7180"/>
      <c r="Q68" s="2320" t="s">
        <v>839</v>
      </c>
      <c r="R68" s="2321" t="s">
        <v>452</v>
      </c>
      <c r="S68" s="2128">
        <v>527</v>
      </c>
      <c r="T68" s="2128">
        <v>145</v>
      </c>
      <c r="U68" s="2128">
        <v>52.56</v>
      </c>
      <c r="V68" s="2523">
        <v>150.18700000000001</v>
      </c>
    </row>
    <row r="69" spans="4:22" ht="17.399999999999999">
      <c r="P69" s="7180"/>
      <c r="Q69" s="2320" t="s">
        <v>559</v>
      </c>
      <c r="R69" s="2321" t="s">
        <v>452</v>
      </c>
      <c r="S69" s="2128">
        <v>413.64699999999999</v>
      </c>
      <c r="T69" s="2128">
        <v>77.400000000000006</v>
      </c>
      <c r="U69" s="2128">
        <v>128.14100000000002</v>
      </c>
      <c r="V69" s="2523">
        <v>90.207999999999984</v>
      </c>
    </row>
    <row r="70" spans="4:22" ht="18" thickBot="1">
      <c r="P70" s="7207"/>
      <c r="Q70" s="2375" t="s">
        <v>112</v>
      </c>
      <c r="R70" s="2376" t="s">
        <v>452</v>
      </c>
      <c r="S70" s="2323">
        <v>1927.6469999999999</v>
      </c>
      <c r="T70" s="2323">
        <v>649.07000000000005</v>
      </c>
      <c r="U70" s="2323">
        <v>576.76099999999997</v>
      </c>
      <c r="V70" s="2359">
        <v>378.84</v>
      </c>
    </row>
    <row r="71" spans="4:22" ht="17.399999999999999" customHeight="1">
      <c r="F71" s="7179" t="s">
        <v>1200</v>
      </c>
      <c r="G71" s="2619"/>
      <c r="H71" s="2619"/>
      <c r="I71" s="2507" t="s">
        <v>27</v>
      </c>
      <c r="J71" s="2567" t="s">
        <v>452</v>
      </c>
      <c r="K71" s="2571">
        <f t="shared" ref="K71:M75" si="2">(S65+S71)/12</f>
        <v>37.181666666666665</v>
      </c>
      <c r="L71" s="2571">
        <f t="shared" si="2"/>
        <v>13.728333333333337</v>
      </c>
      <c r="M71" s="2571">
        <f t="shared" si="2"/>
        <v>8.0133333333333336</v>
      </c>
      <c r="N71" s="2571">
        <f>(V65+V71)/10</f>
        <v>6.9239999999999995</v>
      </c>
      <c r="P71" s="7179" t="s">
        <v>1117</v>
      </c>
      <c r="Q71" s="2507" t="s">
        <v>27</v>
      </c>
      <c r="R71" s="1225" t="s">
        <v>452</v>
      </c>
      <c r="S71" s="2077">
        <v>213.18</v>
      </c>
      <c r="T71" s="1854">
        <v>24</v>
      </c>
      <c r="U71" s="1854">
        <v>0</v>
      </c>
      <c r="V71" s="2524">
        <v>29.11</v>
      </c>
    </row>
    <row r="72" spans="4:22" ht="17.399999999999999">
      <c r="F72" s="7180"/>
      <c r="G72" s="2620"/>
      <c r="H72" s="2620"/>
      <c r="I72" s="2506" t="s">
        <v>28</v>
      </c>
      <c r="J72" s="2568" t="s">
        <v>452</v>
      </c>
      <c r="K72" s="2572">
        <f t="shared" si="2"/>
        <v>26.090833333333336</v>
      </c>
      <c r="L72" s="2572">
        <f t="shared" si="2"/>
        <v>13.745833333333335</v>
      </c>
      <c r="M72" s="2572">
        <f t="shared" si="2"/>
        <v>14.199166666666665</v>
      </c>
      <c r="N72" s="2572">
        <f>(V66+V72)/10</f>
        <v>4.716499999999999</v>
      </c>
      <c r="P72" s="7180"/>
      <c r="Q72" s="2506" t="s">
        <v>28</v>
      </c>
      <c r="R72" s="2321" t="s">
        <v>452</v>
      </c>
      <c r="S72" s="2301">
        <v>80.09</v>
      </c>
      <c r="T72" s="2301">
        <v>31.93</v>
      </c>
      <c r="U72" s="2235">
        <v>12.39</v>
      </c>
      <c r="V72" s="2525">
        <v>3.4250000000000003</v>
      </c>
    </row>
    <row r="73" spans="4:22" ht="17.399999999999999">
      <c r="F73" s="7180"/>
      <c r="G73" s="2620"/>
      <c r="H73" s="2620"/>
      <c r="I73" s="2320" t="s">
        <v>29</v>
      </c>
      <c r="J73" s="2568" t="s">
        <v>452</v>
      </c>
      <c r="K73" s="2572">
        <f t="shared" si="2"/>
        <v>154.16666666666666</v>
      </c>
      <c r="L73" s="2572">
        <f t="shared" si="2"/>
        <v>66.992499999999993</v>
      </c>
      <c r="M73" s="2572">
        <f t="shared" si="2"/>
        <v>68.932666666666663</v>
      </c>
      <c r="N73" s="2572">
        <f>(V67+V73)/10</f>
        <v>54.066299999999998</v>
      </c>
      <c r="P73" s="7180"/>
      <c r="Q73" s="2320" t="s">
        <v>29</v>
      </c>
      <c r="R73" s="2321" t="s">
        <v>452</v>
      </c>
      <c r="S73" s="2301">
        <v>1329</v>
      </c>
      <c r="T73" s="2301">
        <v>651</v>
      </c>
      <c r="U73" s="2235">
        <v>685.29199999999992</v>
      </c>
      <c r="V73" s="2525">
        <v>486.08799999999997</v>
      </c>
    </row>
    <row r="74" spans="4:22" ht="17.399999999999999">
      <c r="F74" s="7180"/>
      <c r="G74" s="2620"/>
      <c r="H74" s="2620"/>
      <c r="I74" s="2320" t="s">
        <v>839</v>
      </c>
      <c r="J74" s="2568" t="s">
        <v>452</v>
      </c>
      <c r="K74" s="2572">
        <f t="shared" si="2"/>
        <v>48.916666666666664</v>
      </c>
      <c r="L74" s="2572">
        <f t="shared" si="2"/>
        <v>16.965833333333332</v>
      </c>
      <c r="M74" s="2572">
        <f t="shared" si="2"/>
        <v>4.8433333333333337</v>
      </c>
      <c r="N74" s="2572">
        <f>(V68+V74)/10</f>
        <v>16.299700000000001</v>
      </c>
      <c r="P74" s="7180"/>
      <c r="Q74" s="2320" t="s">
        <v>839</v>
      </c>
      <c r="R74" s="2321" t="s">
        <v>452</v>
      </c>
      <c r="S74" s="2301">
        <v>60</v>
      </c>
      <c r="T74" s="2301">
        <v>58.59</v>
      </c>
      <c r="U74" s="2235">
        <v>5.56</v>
      </c>
      <c r="V74" s="2525">
        <v>12.81</v>
      </c>
    </row>
    <row r="75" spans="4:22" ht="18" thickBot="1">
      <c r="F75" s="7180"/>
      <c r="G75" s="2620"/>
      <c r="H75" s="2620"/>
      <c r="I75" s="2506" t="s">
        <v>1113</v>
      </c>
      <c r="J75" s="2569" t="s">
        <v>452</v>
      </c>
      <c r="K75" s="2573">
        <f t="shared" si="2"/>
        <v>39.637250000000002</v>
      </c>
      <c r="L75" s="2573">
        <f t="shared" si="2"/>
        <v>15.643333333333333</v>
      </c>
      <c r="M75" s="2573">
        <f t="shared" si="2"/>
        <v>10.91925</v>
      </c>
      <c r="N75" s="2573">
        <f>(V69+V75)/10</f>
        <v>10.705499999999997</v>
      </c>
      <c r="P75" s="7180"/>
      <c r="Q75" s="2320" t="s">
        <v>1113</v>
      </c>
      <c r="R75" s="2321" t="s">
        <v>452</v>
      </c>
      <c r="S75" s="2301">
        <v>62</v>
      </c>
      <c r="T75" s="2301">
        <v>110.32</v>
      </c>
      <c r="U75" s="2235">
        <v>2.89</v>
      </c>
      <c r="V75" s="2525">
        <v>16.847000000000001</v>
      </c>
    </row>
    <row r="76" spans="4:22" ht="18" thickBot="1">
      <c r="F76" s="7181"/>
      <c r="G76" s="2607"/>
      <c r="H76" s="2607"/>
      <c r="I76" s="2462" t="s">
        <v>16</v>
      </c>
      <c r="J76" s="1972" t="s">
        <v>452</v>
      </c>
      <c r="K76" s="2570">
        <f>SUM(K71:K75)</f>
        <v>305.99308333333335</v>
      </c>
      <c r="L76" s="2570">
        <f>SUM(L71:L75)</f>
        <v>127.07583333333334</v>
      </c>
      <c r="M76" s="2570">
        <f>SUM(M71:M75)</f>
        <v>106.90774999999999</v>
      </c>
      <c r="N76" s="2570">
        <f>SUM(N71:N75)</f>
        <v>92.712000000000003</v>
      </c>
      <c r="P76" s="7180"/>
      <c r="Q76" s="2506" t="s">
        <v>1116</v>
      </c>
      <c r="R76" s="1769"/>
      <c r="S76" s="2074"/>
      <c r="T76" s="2074"/>
      <c r="U76" s="1828"/>
      <c r="V76" s="2526">
        <v>8.1415000000000006</v>
      </c>
    </row>
    <row r="77" spans="4:22" ht="18" thickBot="1">
      <c r="F77" s="2566"/>
      <c r="G77" s="2566"/>
      <c r="H77" s="2566"/>
      <c r="P77" s="7180"/>
      <c r="Q77" s="2510" t="s">
        <v>16</v>
      </c>
      <c r="R77" s="2003" t="s">
        <v>452</v>
      </c>
      <c r="S77" s="2045">
        <v>1744.27</v>
      </c>
      <c r="T77" s="2045">
        <v>875.83999999999992</v>
      </c>
      <c r="U77" s="2045">
        <v>706.13199999999983</v>
      </c>
      <c r="V77" s="2113">
        <v>556.42149999999981</v>
      </c>
    </row>
    <row r="78" spans="4:22" ht="18" thickBot="1">
      <c r="P78" s="7185" t="s">
        <v>1194</v>
      </c>
      <c r="Q78" s="7186"/>
      <c r="R78" s="2527" t="s">
        <v>1195</v>
      </c>
      <c r="S78" s="2528">
        <f>S70+S77</f>
        <v>3671.9169999999999</v>
      </c>
      <c r="T78" s="2528">
        <f>T70+T77</f>
        <v>1524.9099999999999</v>
      </c>
      <c r="U78" s="2528">
        <f>U70+U77</f>
        <v>1282.8929999999998</v>
      </c>
      <c r="V78" s="2529">
        <f>V70+V77</f>
        <v>935.26149999999984</v>
      </c>
    </row>
    <row r="79" spans="4:22" ht="39.6" thickTop="1" thickBot="1">
      <c r="D79" s="7189" t="s">
        <v>739</v>
      </c>
      <c r="E79" s="7190"/>
      <c r="F79" s="7190"/>
      <c r="G79" s="2661" t="s">
        <v>1231</v>
      </c>
      <c r="H79" s="2662" t="s">
        <v>1232</v>
      </c>
      <c r="I79" s="2662" t="s">
        <v>1223</v>
      </c>
      <c r="J79" s="2663" t="s">
        <v>1224</v>
      </c>
      <c r="K79" s="2622" t="s">
        <v>1225</v>
      </c>
      <c r="L79" s="2631" t="s">
        <v>1226</v>
      </c>
      <c r="M79" s="2642" t="s">
        <v>1267</v>
      </c>
      <c r="P79" s="7187" t="s">
        <v>1182</v>
      </c>
      <c r="Q79" s="7188"/>
      <c r="R79" s="2530" t="s">
        <v>1195</v>
      </c>
      <c r="S79" s="2531">
        <f>S78/12</f>
        <v>305.99308333333335</v>
      </c>
      <c r="T79" s="2531">
        <f>T78/12</f>
        <v>127.07583333333332</v>
      </c>
      <c r="U79" s="2531">
        <f>U78/12</f>
        <v>106.90774999999998</v>
      </c>
      <c r="V79" s="2532">
        <f>V78/12</f>
        <v>77.938458333333315</v>
      </c>
    </row>
    <row r="80" spans="4:22" ht="29.4" customHeight="1" thickBot="1">
      <c r="D80" s="2625" t="s">
        <v>1237</v>
      </c>
      <c r="E80" s="7194" t="s">
        <v>740</v>
      </c>
      <c r="F80" s="7195"/>
      <c r="G80" s="2664">
        <v>130</v>
      </c>
      <c r="H80" s="2665">
        <v>115</v>
      </c>
      <c r="I80" s="2666">
        <v>191</v>
      </c>
      <c r="J80" s="2667">
        <f>'성과개선 실적'!G21</f>
        <v>128.1</v>
      </c>
      <c r="K80" s="2626">
        <f>I80/12</f>
        <v>15.916666666666666</v>
      </c>
      <c r="L80" s="2657">
        <f>J80/10</f>
        <v>12.809999999999999</v>
      </c>
      <c r="M80" s="2643">
        <f>'성과개선 실적'!Y21</f>
        <v>0</v>
      </c>
      <c r="P80" s="7179" t="s">
        <v>1049</v>
      </c>
      <c r="Q80" s="2451" t="s">
        <v>1050</v>
      </c>
      <c r="R80" s="1225" t="s">
        <v>452</v>
      </c>
      <c r="S80" s="1236">
        <f>종합!F70/12</f>
        <v>67.384999999999991</v>
      </c>
      <c r="T80" s="1236">
        <f>종합!G70/12</f>
        <v>67.700833333333335</v>
      </c>
      <c r="U80" s="1236">
        <f>종합!H70/12</f>
        <v>74.561666666666667</v>
      </c>
      <c r="V80" s="2404">
        <f>종합!J70/110</f>
        <v>6.9</v>
      </c>
    </row>
    <row r="81" spans="4:22" ht="18" thickBot="1">
      <c r="D81" s="2623" t="s">
        <v>1207</v>
      </c>
      <c r="E81" s="7194"/>
      <c r="F81" s="7195"/>
      <c r="G81" s="2664">
        <v>615</v>
      </c>
      <c r="H81" s="2665">
        <v>362</v>
      </c>
      <c r="I81" s="2666">
        <v>1116</v>
      </c>
      <c r="J81" s="2668">
        <f>925+98</f>
        <v>1023</v>
      </c>
      <c r="K81" s="2600">
        <f>I81/12</f>
        <v>93</v>
      </c>
      <c r="L81" s="2632">
        <f>J81/10</f>
        <v>102.3</v>
      </c>
      <c r="M81" s="2644">
        <v>98</v>
      </c>
      <c r="P81" s="7180"/>
      <c r="Q81" s="2062" t="s">
        <v>1051</v>
      </c>
      <c r="R81" s="1224" t="s">
        <v>452</v>
      </c>
      <c r="S81" s="2203">
        <f>종합!F71/12</f>
        <v>561.19416666666666</v>
      </c>
      <c r="T81" s="2203">
        <f>종합!G71/12</f>
        <v>484.48</v>
      </c>
      <c r="U81" s="2203">
        <f>종합!H71/12</f>
        <v>425.62416666666667</v>
      </c>
      <c r="V81" s="2405">
        <f>종합!J71/10</f>
        <v>431.5</v>
      </c>
    </row>
    <row r="82" spans="4:22" ht="18" customHeight="1" thickBot="1">
      <c r="D82" s="7198" t="s">
        <v>1221</v>
      </c>
      <c r="E82" s="7196" t="s">
        <v>1208</v>
      </c>
      <c r="F82" s="7197"/>
      <c r="G82" s="2669">
        <v>1153</v>
      </c>
      <c r="H82" s="2670">
        <v>605</v>
      </c>
      <c r="I82" s="2666">
        <v>492</v>
      </c>
      <c r="J82" s="2667">
        <f>종합!X22</f>
        <v>301.46000000000004</v>
      </c>
      <c r="K82" s="2616">
        <f>I82/12</f>
        <v>41</v>
      </c>
      <c r="L82" s="2658">
        <f>J82/10</f>
        <v>30.146000000000004</v>
      </c>
      <c r="M82" s="2645">
        <f>종합!V22</f>
        <v>6.62</v>
      </c>
      <c r="P82" s="7180"/>
      <c r="Q82" s="2062" t="s">
        <v>29</v>
      </c>
      <c r="R82" s="1224" t="s">
        <v>452</v>
      </c>
      <c r="S82" s="2203">
        <f>종합!F72/12</f>
        <v>49.522500000000001</v>
      </c>
      <c r="T82" s="2203">
        <f>종합!G72/12</f>
        <v>42.234999999999999</v>
      </c>
      <c r="U82" s="2203">
        <f>종합!H72/12</f>
        <v>32.302500000000002</v>
      </c>
      <c r="V82" s="2405">
        <f>종합!J72/10</f>
        <v>30</v>
      </c>
    </row>
    <row r="83" spans="4:22" ht="18" customHeight="1" thickBot="1">
      <c r="D83" s="7199"/>
      <c r="E83" s="7173" t="s">
        <v>1222</v>
      </c>
      <c r="F83" s="2606" t="s">
        <v>1216</v>
      </c>
      <c r="G83" s="2671">
        <f>종합!F51+종합!F58</f>
        <v>5160.7070000000003</v>
      </c>
      <c r="H83" s="2672">
        <f>종합!G51+종합!G58</f>
        <v>2464.98</v>
      </c>
      <c r="I83" s="2672">
        <f>종합!H51+종합!H58</f>
        <v>1608.693</v>
      </c>
      <c r="J83" s="2673">
        <f>종합!X51+종합!X58</f>
        <v>942.88099999999997</v>
      </c>
      <c r="K83" s="2603">
        <f>I83/12</f>
        <v>134.05775</v>
      </c>
      <c r="L83" s="2633">
        <f>J83/10</f>
        <v>94.2881</v>
      </c>
      <c r="M83" s="2646">
        <f>종합!V51+종합!V58</f>
        <v>47.2</v>
      </c>
      <c r="P83" s="7180"/>
      <c r="Q83" s="2062" t="s">
        <v>505</v>
      </c>
      <c r="R83" s="1224" t="s">
        <v>452</v>
      </c>
      <c r="S83" s="2203">
        <f>종합!F73/12</f>
        <v>69.333333333333329</v>
      </c>
      <c r="T83" s="2203">
        <f>종합!G73/12</f>
        <v>35.170833333333334</v>
      </c>
      <c r="U83" s="2203">
        <f>종합!H73/12</f>
        <v>41.044166666666662</v>
      </c>
      <c r="V83" s="2405">
        <f>종합!J73/10</f>
        <v>53.216705454545455</v>
      </c>
    </row>
    <row r="84" spans="4:22" ht="17.399999999999999" customHeight="1" thickBot="1">
      <c r="D84" s="7199"/>
      <c r="E84" s="7174"/>
      <c r="F84" s="2606" t="s">
        <v>1217</v>
      </c>
      <c r="G84" s="2671">
        <f>종합!F75</f>
        <v>9459.2199999999993</v>
      </c>
      <c r="H84" s="2672">
        <f>종합!G75</f>
        <v>7859.04</v>
      </c>
      <c r="I84" s="2672">
        <f>종합!H75</f>
        <v>7188.19</v>
      </c>
      <c r="J84" s="2674">
        <f>종합!X75</f>
        <v>6107.69</v>
      </c>
      <c r="K84" s="2603">
        <f>I84/12</f>
        <v>599.01583333333326</v>
      </c>
      <c r="L84" s="2633">
        <f>J84/10</f>
        <v>610.76900000000001</v>
      </c>
      <c r="M84" s="2647">
        <f>종합!V75</f>
        <v>109.02000000000001</v>
      </c>
      <c r="P84" s="7180"/>
      <c r="Q84" s="2062" t="s">
        <v>443</v>
      </c>
      <c r="R84" s="1224" t="s">
        <v>452</v>
      </c>
      <c r="S84" s="2203">
        <f>종합!F74/12</f>
        <v>40.833333333333336</v>
      </c>
      <c r="T84" s="2203">
        <f>종합!G74/12</f>
        <v>25.333333333333332</v>
      </c>
      <c r="U84" s="2203">
        <f>종합!H74/12</f>
        <v>25.483333333333338</v>
      </c>
      <c r="V84" s="2405">
        <f>종합!J74/10</f>
        <v>25.1</v>
      </c>
    </row>
    <row r="85" spans="4:22" ht="18" customHeight="1" thickBot="1">
      <c r="D85" s="7199"/>
      <c r="E85" s="7174"/>
      <c r="F85" s="2615" t="s">
        <v>1228</v>
      </c>
      <c r="G85" s="2675">
        <f t="shared" ref="G85:M85" si="3">G83+G84</f>
        <v>14619.927</v>
      </c>
      <c r="H85" s="2676">
        <f t="shared" si="3"/>
        <v>10324.02</v>
      </c>
      <c r="I85" s="2677">
        <f t="shared" si="3"/>
        <v>8796.8829999999998</v>
      </c>
      <c r="J85" s="2678">
        <f t="shared" si="3"/>
        <v>7050.5709999999999</v>
      </c>
      <c r="K85" s="2621">
        <f t="shared" si="3"/>
        <v>733.07358333333332</v>
      </c>
      <c r="L85" s="2634">
        <f t="shared" si="3"/>
        <v>705.05709999999999</v>
      </c>
      <c r="M85" s="2648">
        <f t="shared" si="3"/>
        <v>156.22000000000003</v>
      </c>
      <c r="P85" s="7180"/>
      <c r="Q85" s="2513" t="s">
        <v>16</v>
      </c>
      <c r="R85" s="1231" t="s">
        <v>452</v>
      </c>
      <c r="S85" s="1764">
        <f>SUM(S80:S84)</f>
        <v>788.26833333333343</v>
      </c>
      <c r="T85" s="1764">
        <f>SUM(T80:T84)</f>
        <v>654.92000000000007</v>
      </c>
      <c r="U85" s="1764">
        <f>SUM(U80:U84)</f>
        <v>599.01583333333338</v>
      </c>
      <c r="V85" s="1764">
        <f>SUM(V80:V84)</f>
        <v>546.71670545454549</v>
      </c>
    </row>
    <row r="86" spans="4:22" ht="18" thickBot="1">
      <c r="D86" s="7199"/>
      <c r="E86" s="7177" t="s">
        <v>1233</v>
      </c>
      <c r="F86" s="2700" t="s">
        <v>1229</v>
      </c>
      <c r="G86" s="2679"/>
      <c r="H86" s="2680"/>
      <c r="I86" s="2681"/>
      <c r="J86" s="2682">
        <f>종합!X63</f>
        <v>663.4140000000001</v>
      </c>
      <c r="K86" s="2628"/>
      <c r="L86" s="2635">
        <f>J86/10</f>
        <v>66.341400000000007</v>
      </c>
      <c r="M86" s="2649">
        <f>종합!V63</f>
        <v>98.00500000000001</v>
      </c>
      <c r="P86" s="7180"/>
      <c r="Q86" s="2510" t="s">
        <v>493</v>
      </c>
      <c r="R86" s="2003" t="s">
        <v>494</v>
      </c>
      <c r="S86" s="2046">
        <f>S85/12</f>
        <v>65.689027777777781</v>
      </c>
      <c r="T86" s="2046">
        <f>T85/12</f>
        <v>54.576666666666675</v>
      </c>
      <c r="U86" s="2046">
        <f>U85/12</f>
        <v>49.917986111111112</v>
      </c>
      <c r="V86" s="2046">
        <f>V85/12</f>
        <v>45.559725454545458</v>
      </c>
    </row>
    <row r="87" spans="4:22" ht="18" thickBot="1">
      <c r="D87" s="7199"/>
      <c r="E87" s="7178"/>
      <c r="F87" s="2700" t="s">
        <v>1230</v>
      </c>
      <c r="G87" s="2679"/>
      <c r="H87" s="2680"/>
      <c r="I87" s="2681"/>
      <c r="J87" s="2682">
        <f>종합!X69</f>
        <v>277.05500000000006</v>
      </c>
      <c r="K87" s="2629"/>
      <c r="L87" s="2636">
        <f>J87/10</f>
        <v>27.705500000000008</v>
      </c>
      <c r="M87" s="2650">
        <f>종합!V69</f>
        <v>0</v>
      </c>
      <c r="P87" s="7068" t="s">
        <v>1193</v>
      </c>
      <c r="Q87" s="2451" t="s">
        <v>1201</v>
      </c>
      <c r="R87" s="1225" t="s">
        <v>1186</v>
      </c>
      <c r="S87" s="2584">
        <f>5/12</f>
        <v>0.41666666666666669</v>
      </c>
      <c r="T87" s="2584">
        <f>3/12</f>
        <v>0.25</v>
      </c>
      <c r="U87" s="2584">
        <v>0</v>
      </c>
      <c r="V87" s="2585">
        <f>2/10</f>
        <v>0.2</v>
      </c>
    </row>
    <row r="88" spans="4:22" ht="18" thickBot="1">
      <c r="D88" s="7199"/>
      <c r="E88" s="7178"/>
      <c r="F88" s="2700" t="s">
        <v>1228</v>
      </c>
      <c r="G88" s="2683"/>
      <c r="H88" s="2684"/>
      <c r="I88" s="2684"/>
      <c r="J88" s="2682">
        <f>SUM(J86:J87)</f>
        <v>940.46900000000016</v>
      </c>
      <c r="K88" s="2660"/>
      <c r="L88" s="2659">
        <f>SUM(L86:L87)</f>
        <v>94.046900000000022</v>
      </c>
      <c r="M88" s="2651">
        <f>SUM(M86:M87)</f>
        <v>98.00500000000001</v>
      </c>
      <c r="P88" s="7069"/>
      <c r="Q88" s="2320" t="s">
        <v>1202</v>
      </c>
      <c r="R88" s="2321" t="s">
        <v>1186</v>
      </c>
      <c r="S88" s="2586">
        <f>16/12</f>
        <v>1.3333333333333333</v>
      </c>
      <c r="T88" s="2586">
        <f>8/12</f>
        <v>0.66666666666666663</v>
      </c>
      <c r="U88" s="2586">
        <f>5/12</f>
        <v>0.41666666666666669</v>
      </c>
      <c r="V88" s="2587">
        <f>6/10</f>
        <v>0.6</v>
      </c>
    </row>
    <row r="89" spans="4:22" ht="18" thickBot="1">
      <c r="D89" s="7199"/>
      <c r="E89" s="7175" t="s">
        <v>1227</v>
      </c>
      <c r="F89" s="7176"/>
      <c r="G89" s="2685">
        <f t="shared" ref="G89:M89" si="4">G82+G85+G88</f>
        <v>15772.927</v>
      </c>
      <c r="H89" s="2686">
        <f t="shared" si="4"/>
        <v>10929.02</v>
      </c>
      <c r="I89" s="2686">
        <f t="shared" si="4"/>
        <v>9288.8829999999998</v>
      </c>
      <c r="J89" s="2687">
        <f t="shared" si="4"/>
        <v>8292.5</v>
      </c>
      <c r="K89" s="2630">
        <f t="shared" si="4"/>
        <v>774.07358333333332</v>
      </c>
      <c r="L89" s="2627">
        <f t="shared" si="4"/>
        <v>829.25</v>
      </c>
      <c r="M89" s="2652">
        <f t="shared" si="4"/>
        <v>260.84500000000003</v>
      </c>
      <c r="P89" s="7069"/>
      <c r="Q89" s="2320" t="s">
        <v>1203</v>
      </c>
      <c r="R89" s="2321" t="s">
        <v>1186</v>
      </c>
      <c r="S89" s="2586">
        <f>44/12</f>
        <v>3.6666666666666665</v>
      </c>
      <c r="T89" s="2586">
        <f>21/12</f>
        <v>1.75</v>
      </c>
      <c r="U89" s="2586">
        <f>18/12</f>
        <v>1.5</v>
      </c>
      <c r="V89" s="2587">
        <f>26/10</f>
        <v>2.6</v>
      </c>
    </row>
    <row r="90" spans="4:22" ht="18" thickBot="1">
      <c r="D90" s="7199"/>
      <c r="E90" s="7171" t="s">
        <v>1209</v>
      </c>
      <c r="F90" s="7172"/>
      <c r="G90" s="2688">
        <f>비가동!H40</f>
        <v>1011</v>
      </c>
      <c r="H90" s="2689">
        <f>비가동!I40</f>
        <v>702</v>
      </c>
      <c r="I90" s="2666">
        <v>512</v>
      </c>
      <c r="J90" s="2690">
        <f>비가동!Z40</f>
        <v>222</v>
      </c>
      <c r="K90" s="2601">
        <f>I90/12</f>
        <v>42.666666666666664</v>
      </c>
      <c r="L90" s="2637">
        <f>J90/10</f>
        <v>22.2</v>
      </c>
      <c r="M90" s="2653">
        <f>비가동!X40</f>
        <v>8</v>
      </c>
      <c r="P90" s="7069"/>
      <c r="Q90" s="2506" t="s">
        <v>1204</v>
      </c>
      <c r="R90" s="1769" t="s">
        <v>1186</v>
      </c>
      <c r="S90" s="2588">
        <f>20/12</f>
        <v>1.6666666666666667</v>
      </c>
      <c r="T90" s="2588">
        <f>3/12</f>
        <v>0.25</v>
      </c>
      <c r="U90" s="2588">
        <f>7/12</f>
        <v>0.58333333333333337</v>
      </c>
      <c r="V90" s="2589">
        <f>15/10</f>
        <v>1.5</v>
      </c>
    </row>
    <row r="91" spans="4:22" ht="18" customHeight="1" thickBot="1">
      <c r="D91" s="7199"/>
      <c r="E91" s="7171" t="s">
        <v>1210</v>
      </c>
      <c r="F91" s="7172"/>
      <c r="G91" s="2671">
        <f>비가동!H41</f>
        <v>960.06666666666672</v>
      </c>
      <c r="H91" s="2672">
        <f>비가동!I41</f>
        <v>640.18333333333339</v>
      </c>
      <c r="I91" s="2691">
        <v>389.7</v>
      </c>
      <c r="J91" s="2673">
        <f>비가동!Z41</f>
        <v>259.2166666666667</v>
      </c>
      <c r="K91" s="2602">
        <f>I91/12</f>
        <v>32.475000000000001</v>
      </c>
      <c r="L91" s="2638">
        <f>J91/10</f>
        <v>25.92166666666667</v>
      </c>
      <c r="M91" s="2654">
        <f>비가동!X41</f>
        <v>10.8</v>
      </c>
      <c r="P91" s="7182"/>
      <c r="Q91" s="2512" t="s">
        <v>1205</v>
      </c>
      <c r="R91" s="2581" t="s">
        <v>1206</v>
      </c>
      <c r="S91" s="2590">
        <f>SUM(S87:S90)</f>
        <v>7.083333333333333</v>
      </c>
      <c r="T91" s="2590">
        <f>SUM(T87:T90)</f>
        <v>2.9166666666666665</v>
      </c>
      <c r="U91" s="2590">
        <f>SUM(U87:U90)</f>
        <v>2.5</v>
      </c>
      <c r="V91" s="2591">
        <f>SUM(V87:V90)</f>
        <v>4.9000000000000004</v>
      </c>
    </row>
    <row r="92" spans="4:22" ht="18" thickBot="1">
      <c r="D92" s="7199"/>
      <c r="E92" s="7171" t="s">
        <v>1218</v>
      </c>
      <c r="F92" s="7172"/>
      <c r="G92" s="2664">
        <f>종합!AO201</f>
        <v>57</v>
      </c>
      <c r="H92" s="2665">
        <f>종합!AP201</f>
        <v>35</v>
      </c>
      <c r="I92" s="2666">
        <v>30</v>
      </c>
      <c r="J92" s="2667">
        <f>종합!BF204</f>
        <v>27</v>
      </c>
      <c r="K92" s="2605">
        <f>I92/12</f>
        <v>2.5</v>
      </c>
      <c r="L92" s="2639">
        <f>J92/10</f>
        <v>2.7</v>
      </c>
      <c r="M92" s="2655">
        <f>종합!BD204</f>
        <v>3</v>
      </c>
      <c r="P92" s="7183" t="s">
        <v>1192</v>
      </c>
      <c r="Q92" s="2451" t="s">
        <v>1201</v>
      </c>
      <c r="R92" s="1225" t="s">
        <v>452</v>
      </c>
      <c r="S92" s="2592">
        <f>204/12</f>
        <v>17</v>
      </c>
      <c r="T92" s="2592">
        <f>52/12</f>
        <v>4.333333333333333</v>
      </c>
      <c r="U92" s="2592">
        <v>0</v>
      </c>
      <c r="V92" s="2593">
        <v>0</v>
      </c>
    </row>
    <row r="93" spans="4:22" ht="18" customHeight="1" thickBot="1">
      <c r="D93" s="7200"/>
      <c r="E93" s="7171" t="s">
        <v>1219</v>
      </c>
      <c r="F93" s="7172"/>
      <c r="G93" s="2664">
        <f>종합!AO202</f>
        <v>967</v>
      </c>
      <c r="H93" s="2665">
        <f>종합!AP202</f>
        <v>242</v>
      </c>
      <c r="I93" s="2692">
        <f>종합!AQ202</f>
        <v>222.89699999999999</v>
      </c>
      <c r="J93" s="2693">
        <f>종합!BF205</f>
        <v>247.55099999999999</v>
      </c>
      <c r="K93" s="2604">
        <f>I93/12</f>
        <v>18.574749999999998</v>
      </c>
      <c r="L93" s="2640">
        <f>J93/10</f>
        <v>24.755099999999999</v>
      </c>
      <c r="M93" s="2654">
        <f>종합!BD205</f>
        <v>19.873000000000001</v>
      </c>
      <c r="P93" s="7184"/>
      <c r="Q93" s="2320" t="s">
        <v>1202</v>
      </c>
      <c r="R93" s="2321" t="s">
        <v>452</v>
      </c>
      <c r="S93" s="2594">
        <f>431/12</f>
        <v>35.916666666666664</v>
      </c>
      <c r="T93" s="2594">
        <f>104/12</f>
        <v>8.6666666666666661</v>
      </c>
      <c r="U93" s="2594">
        <f>122/12</f>
        <v>10.166666666666666</v>
      </c>
      <c r="V93" s="2595">
        <f>45/10</f>
        <v>4.5</v>
      </c>
    </row>
    <row r="94" spans="4:22" ht="18" thickBot="1">
      <c r="D94" s="7191" t="s">
        <v>1220</v>
      </c>
      <c r="E94" s="7171" t="s">
        <v>1211</v>
      </c>
      <c r="F94" s="7172"/>
      <c r="G94" s="2696"/>
      <c r="H94" s="2697"/>
      <c r="I94" s="2666">
        <v>675706</v>
      </c>
      <c r="J94" s="2667">
        <v>677048</v>
      </c>
      <c r="K94" s="2601">
        <v>675706</v>
      </c>
      <c r="L94" s="2639">
        <v>677048</v>
      </c>
      <c r="M94" s="2655">
        <v>676194</v>
      </c>
      <c r="P94" s="7184"/>
      <c r="Q94" s="2506" t="s">
        <v>1203</v>
      </c>
      <c r="R94" s="1769" t="s">
        <v>452</v>
      </c>
      <c r="S94" s="2596">
        <f>332/12</f>
        <v>27.666666666666668</v>
      </c>
      <c r="T94" s="2596">
        <f>52/12</f>
        <v>4.333333333333333</v>
      </c>
      <c r="U94" s="2596">
        <f>78/12</f>
        <v>6.5</v>
      </c>
      <c r="V94" s="2597">
        <f>298/10</f>
        <v>29.8</v>
      </c>
    </row>
    <row r="95" spans="4:22" ht="18" thickBot="1">
      <c r="D95" s="7192"/>
      <c r="E95" s="7171" t="s">
        <v>1212</v>
      </c>
      <c r="F95" s="7172"/>
      <c r="G95" s="2696"/>
      <c r="H95" s="2697"/>
      <c r="I95" s="2666">
        <v>700689</v>
      </c>
      <c r="J95" s="2690">
        <v>695670</v>
      </c>
      <c r="K95" s="2601">
        <v>700689</v>
      </c>
      <c r="L95" s="2637">
        <v>695670</v>
      </c>
      <c r="M95" s="2653">
        <v>698418</v>
      </c>
      <c r="P95" s="7184"/>
      <c r="Q95" s="2506" t="s">
        <v>1204</v>
      </c>
      <c r="R95" s="1769" t="s">
        <v>452</v>
      </c>
      <c r="S95" s="2596">
        <v>0</v>
      </c>
      <c r="T95" s="2596">
        <f>34/12</f>
        <v>2.8333333333333335</v>
      </c>
      <c r="U95" s="2596">
        <f>23/12</f>
        <v>1.9166666666666667</v>
      </c>
      <c r="V95" s="2597">
        <f>76.4/10</f>
        <v>7.6400000000000006</v>
      </c>
    </row>
    <row r="96" spans="4:22" ht="18" thickBot="1">
      <c r="D96" s="7192"/>
      <c r="E96" s="7171" t="s">
        <v>1213</v>
      </c>
      <c r="F96" s="7172"/>
      <c r="G96" s="2696"/>
      <c r="H96" s="2697"/>
      <c r="I96" s="2666">
        <v>857251</v>
      </c>
      <c r="J96" s="2690">
        <v>846028</v>
      </c>
      <c r="K96" s="2601">
        <v>857251</v>
      </c>
      <c r="L96" s="2637">
        <v>846028</v>
      </c>
      <c r="M96" s="2653">
        <v>849661</v>
      </c>
      <c r="P96" s="7182"/>
      <c r="Q96" s="2512" t="s">
        <v>1205</v>
      </c>
      <c r="R96" s="2581" t="s">
        <v>452</v>
      </c>
      <c r="S96" s="2598">
        <f>SUM(S92:S95)</f>
        <v>80.583333333333329</v>
      </c>
      <c r="T96" s="2598">
        <f>SUM(T92:T95)</f>
        <v>20.166666666666664</v>
      </c>
      <c r="U96" s="2598">
        <f>SUM(U92:U95)</f>
        <v>18.583333333333332</v>
      </c>
      <c r="V96" s="2598">
        <f>SUM(V92:V95)</f>
        <v>41.94</v>
      </c>
    </row>
    <row r="97" spans="1:22" ht="18" thickBot="1">
      <c r="D97" s="7192"/>
      <c r="E97" s="7171" t="s">
        <v>1214</v>
      </c>
      <c r="F97" s="7172"/>
      <c r="G97" s="2696"/>
      <c r="H97" s="2697"/>
      <c r="I97" s="2666">
        <v>1038769</v>
      </c>
      <c r="J97" s="2690">
        <v>1033149</v>
      </c>
      <c r="K97" s="2601">
        <v>1038769</v>
      </c>
      <c r="L97" s="2637">
        <v>1033149</v>
      </c>
      <c r="M97" s="2653">
        <v>1026553</v>
      </c>
    </row>
    <row r="98" spans="1:22" ht="18" thickBot="1">
      <c r="D98" s="7193"/>
      <c r="E98" s="7201" t="s">
        <v>1215</v>
      </c>
      <c r="F98" s="7202"/>
      <c r="G98" s="2698"/>
      <c r="H98" s="2699"/>
      <c r="I98" s="2694">
        <v>1547397</v>
      </c>
      <c r="J98" s="2695">
        <v>1569959</v>
      </c>
      <c r="K98" s="2624">
        <v>1547397</v>
      </c>
      <c r="L98" s="2641">
        <v>1569959</v>
      </c>
      <c r="M98" s="2656">
        <v>1582352</v>
      </c>
      <c r="Q98" s="2534" t="s">
        <v>1191</v>
      </c>
      <c r="R98" s="2534" t="s">
        <v>1186</v>
      </c>
      <c r="S98" s="2574">
        <v>57</v>
      </c>
      <c r="T98" s="2574">
        <v>35</v>
      </c>
      <c r="U98" s="2574">
        <v>30</v>
      </c>
      <c r="V98" s="2575">
        <v>45</v>
      </c>
    </row>
    <row r="99" spans="1:22" ht="18.600000000000001" thickTop="1" thickBot="1">
      <c r="Q99" s="2003" t="s">
        <v>1192</v>
      </c>
      <c r="R99" s="2003" t="s">
        <v>1195</v>
      </c>
      <c r="S99" s="2576">
        <v>967</v>
      </c>
      <c r="T99" s="2576">
        <v>355</v>
      </c>
      <c r="U99" s="2576">
        <v>223</v>
      </c>
      <c r="V99" s="2577">
        <v>435.16</v>
      </c>
    </row>
    <row r="100" spans="1:22" ht="17.399999999999999">
      <c r="Q100" s="7203" t="s">
        <v>1182</v>
      </c>
      <c r="R100" s="2534" t="s">
        <v>1191</v>
      </c>
      <c r="S100" s="2578">
        <f t="shared" ref="S100:U101" si="5">S98/12</f>
        <v>4.75</v>
      </c>
      <c r="T100" s="2578">
        <f t="shared" si="5"/>
        <v>2.9166666666666665</v>
      </c>
      <c r="U100" s="2578">
        <f t="shared" si="5"/>
        <v>2.5</v>
      </c>
      <c r="V100" s="2579">
        <f>V98/10</f>
        <v>4.5</v>
      </c>
    </row>
    <row r="101" spans="1:22" ht="18" thickBot="1">
      <c r="Q101" s="7204"/>
      <c r="R101" s="2003" t="s">
        <v>1192</v>
      </c>
      <c r="S101" s="2720">
        <f t="shared" si="5"/>
        <v>80.583333333333329</v>
      </c>
      <c r="T101" s="2580">
        <f t="shared" si="5"/>
        <v>29.583333333333332</v>
      </c>
      <c r="U101" s="2720">
        <f t="shared" si="5"/>
        <v>18.583333333333332</v>
      </c>
      <c r="V101" s="2847">
        <f>V99/10</f>
        <v>43.516000000000005</v>
      </c>
    </row>
    <row r="102" spans="1:22" ht="40.200000000000003" customHeight="1"/>
    <row r="109" spans="1:22" s="299" customFormat="1">
      <c r="A109" s="706"/>
    </row>
    <row r="110" spans="1:22" ht="17.399999999999999" customHeight="1"/>
    <row r="116" spans="1:1" s="299" customFormat="1">
      <c r="A116" s="706"/>
    </row>
    <row r="117" spans="1:1" ht="17.399999999999999" customHeight="1"/>
    <row r="124" spans="1:1" ht="17.399999999999999" customHeight="1"/>
    <row r="128" spans="1:1" s="299" customFormat="1">
      <c r="A128" s="706"/>
    </row>
    <row r="129" spans="1:1" ht="17.399999999999999" customHeight="1"/>
    <row r="135" spans="1:1" s="299" customFormat="1">
      <c r="A135" s="706"/>
    </row>
    <row r="136" spans="1:1" s="299" customFormat="1">
      <c r="A136" s="706"/>
    </row>
    <row r="137" spans="1:1" s="299" customFormat="1">
      <c r="A137" s="706"/>
    </row>
    <row r="139" spans="1:1" s="299" customFormat="1">
      <c r="A139" s="706"/>
    </row>
    <row r="141" spans="1:1" s="299" customFormat="1">
      <c r="A141" s="706"/>
    </row>
    <row r="143" spans="1:1" s="299" customFormat="1">
      <c r="A143" s="706"/>
    </row>
    <row r="145" spans="1:1" s="299" customFormat="1">
      <c r="A145" s="706"/>
    </row>
    <row r="147" spans="1:1" s="299" customFormat="1">
      <c r="A147" s="706"/>
    </row>
    <row r="149" spans="1:1" s="299" customFormat="1">
      <c r="A149" s="706"/>
    </row>
    <row r="150" spans="1:1" s="299" customFormat="1">
      <c r="A150" s="706"/>
    </row>
    <row r="151" spans="1:1" s="299" customFormat="1">
      <c r="A151" s="706"/>
    </row>
    <row r="183" ht="33" customHeight="1"/>
    <row r="194" spans="1:1" s="299" customFormat="1">
      <c r="A194" s="706"/>
    </row>
    <row r="205" spans="1:1" s="299" customFormat="1">
      <c r="A205" s="706"/>
    </row>
    <row r="216" spans="1:1" s="299" customFormat="1">
      <c r="A216" s="706"/>
    </row>
    <row r="227" spans="1:1" s="299" customFormat="1">
      <c r="A227" s="706"/>
    </row>
  </sheetData>
  <mergeCells count="73">
    <mergeCell ref="A1:D3"/>
    <mergeCell ref="S16:S17"/>
    <mergeCell ref="T16:T17"/>
    <mergeCell ref="U16:U17"/>
    <mergeCell ref="F16:F17"/>
    <mergeCell ref="I16:I17"/>
    <mergeCell ref="J16:J17"/>
    <mergeCell ref="K16:K17"/>
    <mergeCell ref="L16:L17"/>
    <mergeCell ref="M16:M17"/>
    <mergeCell ref="S25:V25"/>
    <mergeCell ref="V16:V17"/>
    <mergeCell ref="P16:P17"/>
    <mergeCell ref="Q16:Q17"/>
    <mergeCell ref="P18:P24"/>
    <mergeCell ref="R16:R17"/>
    <mergeCell ref="P25:P26"/>
    <mergeCell ref="Q25:Q26"/>
    <mergeCell ref="R25:R26"/>
    <mergeCell ref="P27:P32"/>
    <mergeCell ref="Q27:Q28"/>
    <mergeCell ref="Q29:Q30"/>
    <mergeCell ref="Q31:Q32"/>
    <mergeCell ref="Q53:Q54"/>
    <mergeCell ref="Q55:Q56"/>
    <mergeCell ref="P33:P38"/>
    <mergeCell ref="Q33:Q34"/>
    <mergeCell ref="Q35:Q36"/>
    <mergeCell ref="Q37:Q38"/>
    <mergeCell ref="P39:P44"/>
    <mergeCell ref="Q39:Q40"/>
    <mergeCell ref="Q41:Q42"/>
    <mergeCell ref="Q43:Q44"/>
    <mergeCell ref="Q100:Q101"/>
    <mergeCell ref="F19:F20"/>
    <mergeCell ref="F21:F22"/>
    <mergeCell ref="F23:F24"/>
    <mergeCell ref="P65:P70"/>
    <mergeCell ref="P57:P64"/>
    <mergeCell ref="Q57:Q58"/>
    <mergeCell ref="Q59:Q60"/>
    <mergeCell ref="Q61:Q62"/>
    <mergeCell ref="Q63:Q64"/>
    <mergeCell ref="P45:P50"/>
    <mergeCell ref="Q45:Q46"/>
    <mergeCell ref="Q47:Q48"/>
    <mergeCell ref="Q49:Q50"/>
    <mergeCell ref="P51:P56"/>
    <mergeCell ref="Q51:Q52"/>
    <mergeCell ref="F71:F76"/>
    <mergeCell ref="P87:P91"/>
    <mergeCell ref="P92:P96"/>
    <mergeCell ref="P71:P77"/>
    <mergeCell ref="P78:Q78"/>
    <mergeCell ref="P79:Q79"/>
    <mergeCell ref="P80:P86"/>
    <mergeCell ref="D79:F79"/>
    <mergeCell ref="D94:D98"/>
    <mergeCell ref="E95:F95"/>
    <mergeCell ref="E94:F94"/>
    <mergeCell ref="E80:F81"/>
    <mergeCell ref="E92:F92"/>
    <mergeCell ref="E82:F82"/>
    <mergeCell ref="D82:D93"/>
    <mergeCell ref="E98:F98"/>
    <mergeCell ref="E93:F93"/>
    <mergeCell ref="E96:F96"/>
    <mergeCell ref="E97:F97"/>
    <mergeCell ref="E83:E85"/>
    <mergeCell ref="E89:F89"/>
    <mergeCell ref="E86:E88"/>
    <mergeCell ref="E90:F90"/>
    <mergeCell ref="E91:F91"/>
  </mergeCells>
  <phoneticPr fontId="22" type="noConversion"/>
  <pageMargins left="0.7" right="0.7" top="0.75" bottom="0.75" header="0.3" footer="0.3"/>
  <pageSetup paperSize="9" scale="9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44"/>
  <sheetViews>
    <sheetView topLeftCell="A4" zoomScale="70" zoomScaleNormal="70" workbookViewId="0">
      <selection activeCell="AE20" sqref="AE20"/>
    </sheetView>
  </sheetViews>
  <sheetFormatPr defaultColWidth="8.8984375" defaultRowHeight="14.4"/>
  <cols>
    <col min="1" max="1" width="9.796875" style="65" bestFit="1" customWidth="1"/>
    <col min="2" max="2" width="9.19921875" style="145" customWidth="1"/>
    <col min="3" max="5" width="6.69921875" style="145" customWidth="1"/>
    <col min="6" max="6" width="10.296875" style="151" customWidth="1"/>
    <col min="7" max="7" width="8.59765625" style="66" bestFit="1" customWidth="1"/>
    <col min="8" max="8" width="10" style="152" customWidth="1"/>
    <col min="9" max="9" width="8.8984375" style="145" customWidth="1"/>
    <col min="10" max="10" width="10.296875" style="153" customWidth="1"/>
    <col min="11" max="11" width="10.3984375" style="66" bestFit="1" customWidth="1"/>
    <col min="12" max="12" width="7.59765625" style="145" customWidth="1"/>
    <col min="13" max="13" width="8.5" style="145" customWidth="1"/>
    <col min="14" max="14" width="10.59765625" style="151" customWidth="1"/>
    <col min="15" max="15" width="7.8984375" style="66" bestFit="1" customWidth="1"/>
    <col min="16" max="17" width="9" style="152" customWidth="1"/>
    <col min="18" max="18" width="8.19921875" style="152" bestFit="1" customWidth="1"/>
    <col min="19" max="19" width="7.3984375" style="152" bestFit="1" customWidth="1"/>
    <col min="20" max="20" width="10.296875" style="66" customWidth="1"/>
    <col min="21" max="21" width="8.09765625" style="66" bestFit="1" customWidth="1"/>
    <col min="22" max="22" width="8.19921875" style="152" bestFit="1" customWidth="1"/>
    <col min="23" max="23" width="8.19921875" style="152" customWidth="1"/>
    <col min="24" max="24" width="7.19921875" style="145" customWidth="1"/>
    <col min="25" max="25" width="7.3984375" style="145" customWidth="1"/>
    <col min="26" max="26" width="9" style="151" customWidth="1"/>
    <col min="27" max="27" width="8.296875" style="66" customWidth="1"/>
    <col min="28" max="29" width="9.09765625" style="66" customWidth="1"/>
    <col min="30" max="30" width="12" style="154" customWidth="1"/>
    <col min="31" max="31" width="11.8984375" style="65" customWidth="1"/>
    <col min="32" max="32" width="8.19921875" style="65" customWidth="1"/>
    <col min="33" max="33" width="14.69921875" style="65" customWidth="1"/>
    <col min="34" max="34" width="11.69921875" style="65" bestFit="1" customWidth="1"/>
    <col min="35" max="35" width="7.19921875" style="65" bestFit="1" customWidth="1"/>
    <col min="36" max="37" width="4.8984375" style="65" bestFit="1" customWidth="1"/>
    <col min="38" max="39" width="5" style="65" bestFit="1" customWidth="1"/>
    <col min="40" max="16384" width="8.8984375" style="65"/>
  </cols>
  <sheetData>
    <row r="1" spans="1:35" ht="36.6">
      <c r="A1" s="7247" t="s">
        <v>1011</v>
      </c>
      <c r="B1" s="7247"/>
      <c r="C1" s="7247"/>
      <c r="D1" s="7247"/>
      <c r="E1" s="7247"/>
      <c r="F1" s="7247"/>
      <c r="G1" s="7247"/>
      <c r="H1" s="7247"/>
      <c r="I1" s="7247"/>
      <c r="J1" s="7247"/>
      <c r="K1" s="7247"/>
      <c r="L1" s="7247"/>
      <c r="M1" s="7247"/>
      <c r="N1" s="7247"/>
      <c r="O1" s="7247"/>
      <c r="P1" s="7247"/>
      <c r="Q1" s="7247"/>
      <c r="R1" s="7247"/>
      <c r="S1" s="7247"/>
      <c r="T1" s="7247"/>
      <c r="U1" s="7247"/>
      <c r="V1" s="7247"/>
      <c r="W1" s="7247"/>
      <c r="X1" s="7247"/>
      <c r="Y1" s="7247"/>
      <c r="Z1" s="7247"/>
      <c r="AA1" s="7248"/>
      <c r="AB1" s="147"/>
      <c r="AC1" s="5053"/>
      <c r="AD1" s="148" t="s">
        <v>187</v>
      </c>
      <c r="AE1" s="149" t="s">
        <v>188</v>
      </c>
      <c r="AF1" s="150" t="s">
        <v>566</v>
      </c>
    </row>
    <row r="2" spans="1:35" ht="37.200000000000003" thickBot="1">
      <c r="A2" s="7247"/>
      <c r="B2" s="7247"/>
      <c r="C2" s="7247"/>
      <c r="D2" s="7247"/>
      <c r="E2" s="7247"/>
      <c r="F2" s="7247"/>
      <c r="G2" s="7247"/>
      <c r="H2" s="7247"/>
      <c r="I2" s="7247"/>
      <c r="J2" s="7247"/>
      <c r="K2" s="7247"/>
      <c r="L2" s="7247"/>
      <c r="M2" s="7247"/>
      <c r="N2" s="7247"/>
      <c r="O2" s="7247"/>
      <c r="P2" s="7247"/>
      <c r="Q2" s="7247"/>
      <c r="R2" s="7247"/>
      <c r="S2" s="7247"/>
      <c r="T2" s="7247"/>
      <c r="U2" s="7247"/>
      <c r="V2" s="7247"/>
      <c r="W2" s="7247"/>
      <c r="X2" s="7247"/>
      <c r="Y2" s="7247"/>
      <c r="Z2" s="7247"/>
      <c r="AA2" s="7248"/>
      <c r="AB2" s="147"/>
      <c r="AC2" s="5053"/>
      <c r="AD2" s="544" t="s">
        <v>567</v>
      </c>
      <c r="AE2" s="545"/>
      <c r="AF2" s="546"/>
    </row>
    <row r="3" spans="1:35" ht="15" thickBot="1">
      <c r="C3" s="1312" t="s">
        <v>919</v>
      </c>
      <c r="D3" s="1312"/>
      <c r="E3" s="1312"/>
      <c r="S3" s="1312" t="s">
        <v>924</v>
      </c>
      <c r="Y3" s="1312" t="s">
        <v>924</v>
      </c>
    </row>
    <row r="4" spans="1:35" s="67" customFormat="1">
      <c r="A4" s="7249" t="s">
        <v>568</v>
      </c>
      <c r="B4" s="7234" t="s">
        <v>569</v>
      </c>
      <c r="C4" s="7234"/>
      <c r="D4" s="7234"/>
      <c r="E4" s="7234"/>
      <c r="F4" s="7235"/>
      <c r="G4" s="7236"/>
      <c r="H4" s="7237" t="s">
        <v>570</v>
      </c>
      <c r="I4" s="7238"/>
      <c r="J4" s="7238"/>
      <c r="K4" s="7239"/>
      <c r="L4" s="7238" t="s">
        <v>571</v>
      </c>
      <c r="M4" s="7238"/>
      <c r="N4" s="7238"/>
      <c r="O4" s="7238"/>
      <c r="P4" s="7244" t="s">
        <v>572</v>
      </c>
      <c r="Q4" s="7246"/>
      <c r="R4" s="7246"/>
      <c r="S4" s="7246"/>
      <c r="T4" s="7246"/>
      <c r="U4" s="7245"/>
      <c r="V4" s="7246" t="s">
        <v>189</v>
      </c>
      <c r="W4" s="7246"/>
      <c r="X4" s="7246"/>
      <c r="Y4" s="7246"/>
      <c r="Z4" s="7246"/>
      <c r="AA4" s="7245"/>
      <c r="AB4" s="7244" t="s">
        <v>573</v>
      </c>
      <c r="AC4" s="7245"/>
      <c r="AD4" s="7240" t="s">
        <v>574</v>
      </c>
      <c r="AE4" s="7242" t="s">
        <v>575</v>
      </c>
      <c r="AF4" s="7243"/>
    </row>
    <row r="5" spans="1:35" s="67" customFormat="1" ht="40.200000000000003" thickBot="1">
      <c r="A5" s="7250"/>
      <c r="B5" s="547" t="s">
        <v>576</v>
      </c>
      <c r="C5" s="548" t="s">
        <v>577</v>
      </c>
      <c r="D5" s="548" t="s">
        <v>1752</v>
      </c>
      <c r="E5" s="548" t="s">
        <v>1753</v>
      </c>
      <c r="F5" s="549" t="s">
        <v>578</v>
      </c>
      <c r="G5" s="550" t="s">
        <v>579</v>
      </c>
      <c r="H5" s="547" t="s">
        <v>580</v>
      </c>
      <c r="I5" s="551" t="s">
        <v>190</v>
      </c>
      <c r="J5" s="552" t="s">
        <v>581</v>
      </c>
      <c r="K5" s="553" t="s">
        <v>582</v>
      </c>
      <c r="L5" s="548" t="s">
        <v>1754</v>
      </c>
      <c r="M5" s="551" t="s">
        <v>584</v>
      </c>
      <c r="N5" s="554" t="s">
        <v>585</v>
      </c>
      <c r="O5" s="555" t="s">
        <v>586</v>
      </c>
      <c r="P5" s="547" t="s">
        <v>1755</v>
      </c>
      <c r="Q5" s="548" t="s">
        <v>1756</v>
      </c>
      <c r="R5" s="551" t="s">
        <v>587</v>
      </c>
      <c r="S5" s="551" t="s">
        <v>588</v>
      </c>
      <c r="T5" s="554" t="s">
        <v>589</v>
      </c>
      <c r="U5" s="556" t="s">
        <v>590</v>
      </c>
      <c r="V5" s="548" t="s">
        <v>1757</v>
      </c>
      <c r="W5" s="548" t="s">
        <v>1758</v>
      </c>
      <c r="X5" s="551" t="s">
        <v>591</v>
      </c>
      <c r="Y5" s="551" t="s">
        <v>592</v>
      </c>
      <c r="Z5" s="554" t="s">
        <v>593</v>
      </c>
      <c r="AA5" s="556" t="s">
        <v>590</v>
      </c>
      <c r="AB5" s="156" t="s">
        <v>1759</v>
      </c>
      <c r="AC5" s="156" t="s">
        <v>1760</v>
      </c>
      <c r="AD5" s="7241"/>
      <c r="AE5" s="557" t="s">
        <v>594</v>
      </c>
      <c r="AF5" s="558" t="s">
        <v>595</v>
      </c>
    </row>
    <row r="6" spans="1:35" s="67" customFormat="1" ht="15.6" thickTop="1" thickBot="1">
      <c r="A6" s="157" t="s">
        <v>596</v>
      </c>
      <c r="B6" s="158">
        <v>3730.48</v>
      </c>
      <c r="C6" s="159"/>
      <c r="D6" s="159"/>
      <c r="E6" s="159"/>
      <c r="F6" s="160">
        <v>283444.41000000003</v>
      </c>
      <c r="G6" s="161">
        <f>B6/F6*1000</f>
        <v>13.161240329276557</v>
      </c>
      <c r="H6" s="162">
        <v>7755.34</v>
      </c>
      <c r="I6" s="163">
        <v>1190.6300000000001</v>
      </c>
      <c r="J6" s="164">
        <v>282629.57299999997</v>
      </c>
      <c r="K6" s="165">
        <f t="shared" ref="K6:K12" si="0">(H6+I6)/J6*1000</f>
        <v>31.652632472398778</v>
      </c>
      <c r="L6" s="159">
        <v>371.93</v>
      </c>
      <c r="M6" s="163">
        <v>680.45</v>
      </c>
      <c r="N6" s="160">
        <v>285133.90000000002</v>
      </c>
      <c r="O6" s="161">
        <f t="shared" ref="O6:O13" si="1">(L6+M6)/N6*1000</f>
        <v>3.6908273621621284</v>
      </c>
      <c r="P6" s="162">
        <v>1843.71</v>
      </c>
      <c r="Q6" s="166"/>
      <c r="R6" s="163">
        <v>446.17</v>
      </c>
      <c r="S6" s="163">
        <v>49.55</v>
      </c>
      <c r="T6" s="160">
        <v>154983.42000000001</v>
      </c>
      <c r="U6" s="165">
        <f t="shared" ref="U6:U13" si="2">(P6+R6+S6)/T6*1000</f>
        <v>15.094711421389464</v>
      </c>
      <c r="V6" s="166"/>
      <c r="W6" s="166"/>
      <c r="X6" s="163"/>
      <c r="Y6" s="163"/>
      <c r="Z6" s="160"/>
      <c r="AA6" s="165"/>
      <c r="AB6" s="167"/>
      <c r="AC6" s="167"/>
      <c r="AD6" s="168">
        <v>16068.26</v>
      </c>
      <c r="AE6" s="169">
        <f>N6+T6</f>
        <v>440117.32000000007</v>
      </c>
      <c r="AF6" s="170">
        <f t="shared" ref="AF6:AF13" si="3">AD6/AE6*1000</f>
        <v>36.509038090116512</v>
      </c>
    </row>
    <row r="7" spans="1:35" s="67" customFormat="1" ht="15.6" thickTop="1" thickBot="1">
      <c r="A7" s="157" t="s">
        <v>99</v>
      </c>
      <c r="B7" s="171">
        <v>3402.36</v>
      </c>
      <c r="C7" s="172"/>
      <c r="D7" s="172"/>
      <c r="E7" s="172"/>
      <c r="F7" s="177">
        <v>263316.38800000004</v>
      </c>
      <c r="G7" s="161">
        <f>B7/F7*1000</f>
        <v>12.921185900514477</v>
      </c>
      <c r="H7" s="174">
        <v>7694.93</v>
      </c>
      <c r="I7" s="175">
        <v>1488.58</v>
      </c>
      <c r="J7" s="173">
        <v>264618.27</v>
      </c>
      <c r="K7" s="165">
        <f t="shared" si="0"/>
        <v>34.704746577022064</v>
      </c>
      <c r="L7" s="172">
        <v>225.07</v>
      </c>
      <c r="M7" s="175">
        <v>787</v>
      </c>
      <c r="N7" s="177">
        <v>264618.27</v>
      </c>
      <c r="O7" s="161">
        <f t="shared" si="1"/>
        <v>3.8246414353778362</v>
      </c>
      <c r="P7" s="174">
        <v>1469.165</v>
      </c>
      <c r="Q7" s="176"/>
      <c r="R7" s="175">
        <v>418.98</v>
      </c>
      <c r="S7" s="175">
        <v>27.68</v>
      </c>
      <c r="T7" s="177">
        <v>143899.03100000002</v>
      </c>
      <c r="U7" s="165">
        <f t="shared" si="2"/>
        <v>13.313675475688225</v>
      </c>
      <c r="V7" s="176"/>
      <c r="W7" s="176"/>
      <c r="X7" s="175"/>
      <c r="Y7" s="175"/>
      <c r="Z7" s="177"/>
      <c r="AA7" s="178"/>
      <c r="AB7" s="179"/>
      <c r="AC7" s="179"/>
      <c r="AD7" s="180">
        <v>15513.765000000001</v>
      </c>
      <c r="AE7" s="169">
        <f>N7+T7</f>
        <v>408517.30100000004</v>
      </c>
      <c r="AF7" s="170">
        <f t="shared" si="3"/>
        <v>37.975784531093829</v>
      </c>
    </row>
    <row r="8" spans="1:35" s="67" customFormat="1" ht="15.6" thickTop="1" thickBot="1">
      <c r="A8" s="181" t="s">
        <v>100</v>
      </c>
      <c r="B8" s="171">
        <v>4011.54</v>
      </c>
      <c r="C8" s="172"/>
      <c r="D8" s="172"/>
      <c r="E8" s="172"/>
      <c r="F8" s="177">
        <v>264775.22100000002</v>
      </c>
      <c r="G8" s="161">
        <f>B8/F8*1000</f>
        <v>15.150737991452756</v>
      </c>
      <c r="H8" s="174">
        <v>6753.38</v>
      </c>
      <c r="I8" s="175">
        <v>1486.3899999999999</v>
      </c>
      <c r="J8" s="173">
        <v>262165.29800000001</v>
      </c>
      <c r="K8" s="165">
        <f t="shared" si="0"/>
        <v>31.429674571193633</v>
      </c>
      <c r="L8" s="172">
        <v>376.04499999999996</v>
      </c>
      <c r="M8" s="175">
        <v>717.57</v>
      </c>
      <c r="N8" s="177">
        <v>262165.29800000001</v>
      </c>
      <c r="O8" s="161">
        <f t="shared" si="1"/>
        <v>4.1714712372039422</v>
      </c>
      <c r="P8" s="174">
        <v>1086.365</v>
      </c>
      <c r="Q8" s="176"/>
      <c r="R8" s="175">
        <v>265.98</v>
      </c>
      <c r="S8" s="175">
        <v>130.11000000000001</v>
      </c>
      <c r="T8" s="177">
        <v>117636.505</v>
      </c>
      <c r="U8" s="165">
        <f t="shared" si="2"/>
        <v>12.601997993735022</v>
      </c>
      <c r="V8" s="176">
        <v>402.77499999999998</v>
      </c>
      <c r="W8" s="176"/>
      <c r="X8" s="175">
        <v>86.745000000000005</v>
      </c>
      <c r="Y8" s="175">
        <v>141.12</v>
      </c>
      <c r="Z8" s="177">
        <v>37699.095000000001</v>
      </c>
      <c r="AA8" s="178">
        <f t="shared" ref="AA8:AA13" si="4">(V8+X8+Y8)/Z8*1000</f>
        <v>16.728253025702607</v>
      </c>
      <c r="AB8" s="182"/>
      <c r="AC8" s="182"/>
      <c r="AD8" s="180">
        <f t="shared" ref="AD8:AD13" si="5">B8+C8+H8+I8+L8+M8+P8+R8+S8+V8+X8+Y8+AB8</f>
        <v>15458.02</v>
      </c>
      <c r="AE8" s="169">
        <f t="shared" ref="AE8:AE13" si="6">F8+J8+N8+T8+Z8</f>
        <v>944441.41700000002</v>
      </c>
      <c r="AF8" s="170">
        <f t="shared" si="3"/>
        <v>16.367367760196394</v>
      </c>
    </row>
    <row r="9" spans="1:35" s="67" customFormat="1" ht="15.6" thickTop="1" thickBot="1">
      <c r="A9" s="157" t="s">
        <v>140</v>
      </c>
      <c r="B9" s="158">
        <v>5185.3799999999992</v>
      </c>
      <c r="C9" s="159"/>
      <c r="D9" s="159"/>
      <c r="E9" s="159"/>
      <c r="F9" s="160">
        <v>291296.00399999996</v>
      </c>
      <c r="G9" s="161">
        <f>B9/F9*1000</f>
        <v>17.801068084682683</v>
      </c>
      <c r="H9" s="162">
        <v>6563.99</v>
      </c>
      <c r="I9" s="163">
        <v>1014.0899999999999</v>
      </c>
      <c r="J9" s="164">
        <v>278275.59400000004</v>
      </c>
      <c r="K9" s="165">
        <f t="shared" si="0"/>
        <v>27.232283978163025</v>
      </c>
      <c r="L9" s="159">
        <v>529.1099999999999</v>
      </c>
      <c r="M9" s="163">
        <v>875.15999999999985</v>
      </c>
      <c r="N9" s="160">
        <v>278275.59400000004</v>
      </c>
      <c r="O9" s="161">
        <f t="shared" si="1"/>
        <v>5.0463282813080603</v>
      </c>
      <c r="P9" s="162">
        <v>348.49</v>
      </c>
      <c r="Q9" s="166"/>
      <c r="R9" s="163">
        <v>951.52499999999986</v>
      </c>
      <c r="S9" s="163">
        <v>197.26000000000002</v>
      </c>
      <c r="T9" s="160">
        <v>131504.57</v>
      </c>
      <c r="U9" s="165">
        <f t="shared" si="2"/>
        <v>11.385725986556967</v>
      </c>
      <c r="V9" s="166">
        <v>121.24</v>
      </c>
      <c r="W9" s="166"/>
      <c r="X9" s="163">
        <v>281.85000000000002</v>
      </c>
      <c r="Y9" s="163">
        <v>5.51</v>
      </c>
      <c r="Z9" s="160">
        <v>49281.697</v>
      </c>
      <c r="AA9" s="165">
        <f>(V9+X9+Y9)/Z9*1000</f>
        <v>8.2911105922346788</v>
      </c>
      <c r="AB9" s="183">
        <v>226.33</v>
      </c>
      <c r="AC9" s="182"/>
      <c r="AD9" s="180">
        <f t="shared" si="5"/>
        <v>16299.934999999999</v>
      </c>
      <c r="AE9" s="169">
        <f t="shared" si="6"/>
        <v>1028633.4590000001</v>
      </c>
      <c r="AF9" s="170">
        <f t="shared" si="3"/>
        <v>15.846203385067991</v>
      </c>
    </row>
    <row r="10" spans="1:35" s="67" customFormat="1" ht="15.6" thickTop="1" thickBot="1">
      <c r="A10" s="157" t="s">
        <v>183</v>
      </c>
      <c r="B10" s="158">
        <v>5089.32</v>
      </c>
      <c r="C10" s="159">
        <v>462.48999999999995</v>
      </c>
      <c r="D10" s="159"/>
      <c r="E10" s="159"/>
      <c r="F10" s="160">
        <v>329777.28700000001</v>
      </c>
      <c r="G10" s="165">
        <f>(B10+C10)/F10*1000</f>
        <v>16.835028423288591</v>
      </c>
      <c r="H10" s="162">
        <v>7149.01</v>
      </c>
      <c r="I10" s="163">
        <v>1024.17</v>
      </c>
      <c r="J10" s="164">
        <v>311141.46999999997</v>
      </c>
      <c r="K10" s="165">
        <f t="shared" si="0"/>
        <v>26.268372390218513</v>
      </c>
      <c r="L10" s="159">
        <v>608.03</v>
      </c>
      <c r="M10" s="163">
        <v>1332.3</v>
      </c>
      <c r="N10" s="160">
        <v>311141.46999999997</v>
      </c>
      <c r="O10" s="161">
        <f t="shared" si="1"/>
        <v>6.2361664615134718</v>
      </c>
      <c r="P10" s="162">
        <v>460.74</v>
      </c>
      <c r="Q10" s="166"/>
      <c r="R10" s="163">
        <v>912.08999999999992</v>
      </c>
      <c r="S10" s="163">
        <v>293.15999999999997</v>
      </c>
      <c r="T10" s="160">
        <v>124764.443</v>
      </c>
      <c r="U10" s="165">
        <f t="shared" si="2"/>
        <v>13.3530832979393</v>
      </c>
      <c r="V10" s="166">
        <v>271.91000000000003</v>
      </c>
      <c r="W10" s="166"/>
      <c r="X10" s="163">
        <v>453.49</v>
      </c>
      <c r="Y10" s="163">
        <v>47.72</v>
      </c>
      <c r="Z10" s="160">
        <v>66333.27</v>
      </c>
      <c r="AA10" s="165">
        <f t="shared" si="4"/>
        <v>11.655086504856463</v>
      </c>
      <c r="AB10" s="183">
        <v>162.07999999999998</v>
      </c>
      <c r="AC10" s="182"/>
      <c r="AD10" s="180">
        <f t="shared" si="5"/>
        <v>18266.510000000002</v>
      </c>
      <c r="AE10" s="169">
        <f t="shared" si="6"/>
        <v>1143157.94</v>
      </c>
      <c r="AF10" s="170">
        <f t="shared" si="3"/>
        <v>15.978990619616395</v>
      </c>
    </row>
    <row r="11" spans="1:35" s="679" customFormat="1" ht="15.6" thickTop="1" thickBot="1">
      <c r="A11" s="665" t="s">
        <v>184</v>
      </c>
      <c r="B11" s="666">
        <v>5094.3599999999997</v>
      </c>
      <c r="C11" s="667">
        <v>875.56999999999994</v>
      </c>
      <c r="D11" s="667"/>
      <c r="E11" s="667"/>
      <c r="F11" s="668">
        <v>309869.57399999996</v>
      </c>
      <c r="G11" s="669">
        <f>(B11+C11)/F11*1000</f>
        <v>19.265944451842181</v>
      </c>
      <c r="H11" s="670">
        <v>6887.4699999999993</v>
      </c>
      <c r="I11" s="671">
        <v>1113.9100000000001</v>
      </c>
      <c r="J11" s="672">
        <v>288508.78000000003</v>
      </c>
      <c r="K11" s="669">
        <f t="shared" si="0"/>
        <v>27.733575387203118</v>
      </c>
      <c r="L11" s="667">
        <v>561.42999999999995</v>
      </c>
      <c r="M11" s="671">
        <v>2437.92</v>
      </c>
      <c r="N11" s="668">
        <v>288508.78000000003</v>
      </c>
      <c r="O11" s="673">
        <f t="shared" si="1"/>
        <v>10.39604409959378</v>
      </c>
      <c r="P11" s="670">
        <v>614.95000000000005</v>
      </c>
      <c r="Q11" s="674"/>
      <c r="R11" s="671">
        <v>798.57500000000005</v>
      </c>
      <c r="S11" s="671">
        <v>371.06</v>
      </c>
      <c r="T11" s="668">
        <v>115364.89</v>
      </c>
      <c r="U11" s="669">
        <f t="shared" si="2"/>
        <v>15.469047818621421</v>
      </c>
      <c r="V11" s="674">
        <v>144.81</v>
      </c>
      <c r="W11" s="674"/>
      <c r="X11" s="671">
        <v>593.92000000000007</v>
      </c>
      <c r="Y11" s="671">
        <v>51.81</v>
      </c>
      <c r="Z11" s="668">
        <v>52441.53</v>
      </c>
      <c r="AA11" s="669">
        <f t="shared" si="4"/>
        <v>15.074693663590669</v>
      </c>
      <c r="AB11" s="675">
        <v>316.51</v>
      </c>
      <c r="AC11" s="675"/>
      <c r="AD11" s="676">
        <f t="shared" si="5"/>
        <v>19862.294999999998</v>
      </c>
      <c r="AE11" s="677">
        <f t="shared" si="6"/>
        <v>1054693.554</v>
      </c>
      <c r="AF11" s="678">
        <f t="shared" si="3"/>
        <v>18.832290123202931</v>
      </c>
      <c r="AG11" s="679" t="s">
        <v>1155</v>
      </c>
      <c r="AH11" s="2410">
        <f>AVERAGE(AE18:AE20,AE22:AE23)</f>
        <v>93023.976799999989</v>
      </c>
    </row>
    <row r="12" spans="1:35" s="679" customFormat="1" ht="15.6" thickTop="1" thickBot="1">
      <c r="A12" s="665" t="s">
        <v>500</v>
      </c>
      <c r="B12" s="666">
        <v>5445.77</v>
      </c>
      <c r="C12" s="667">
        <v>974.07999999999993</v>
      </c>
      <c r="D12" s="667"/>
      <c r="E12" s="667"/>
      <c r="F12" s="668">
        <v>316522.94099999999</v>
      </c>
      <c r="G12" s="669">
        <f>(B12+C12)/F12*1000</f>
        <v>20.282416117193858</v>
      </c>
      <c r="H12" s="670">
        <v>6714.86</v>
      </c>
      <c r="I12" s="671">
        <v>1240.22</v>
      </c>
      <c r="J12" s="672">
        <v>284581.30999999994</v>
      </c>
      <c r="K12" s="669">
        <f t="shared" si="0"/>
        <v>27.953627734723693</v>
      </c>
      <c r="L12" s="667">
        <v>505.16999999999996</v>
      </c>
      <c r="M12" s="671">
        <v>2648.24</v>
      </c>
      <c r="N12" s="668">
        <v>284581.30999999994</v>
      </c>
      <c r="O12" s="673">
        <f t="shared" si="1"/>
        <v>11.080875269004844</v>
      </c>
      <c r="P12" s="670">
        <v>487.34</v>
      </c>
      <c r="Q12" s="674"/>
      <c r="R12" s="671">
        <v>720.04</v>
      </c>
      <c r="S12" s="671">
        <v>405.65</v>
      </c>
      <c r="T12" s="668">
        <v>102394.12299999999</v>
      </c>
      <c r="U12" s="669">
        <f t="shared" si="2"/>
        <v>15.753150207654006</v>
      </c>
      <c r="V12" s="674">
        <v>389.86</v>
      </c>
      <c r="W12" s="674"/>
      <c r="X12" s="671">
        <v>458.70499999999998</v>
      </c>
      <c r="Y12" s="671">
        <v>101.25</v>
      </c>
      <c r="Z12" s="668">
        <v>49101.455000000002</v>
      </c>
      <c r="AA12" s="669">
        <f t="shared" si="4"/>
        <v>19.343927791956471</v>
      </c>
      <c r="AB12" s="675">
        <v>447.39000000000004</v>
      </c>
      <c r="AC12" s="675"/>
      <c r="AD12" s="676">
        <f t="shared" si="5"/>
        <v>20538.575000000001</v>
      </c>
      <c r="AE12" s="677">
        <f t="shared" si="6"/>
        <v>1037181.1389999999</v>
      </c>
      <c r="AF12" s="678">
        <f t="shared" si="3"/>
        <v>19.80230282610259</v>
      </c>
      <c r="AG12" s="679" t="s">
        <v>1156</v>
      </c>
      <c r="AH12" s="2411">
        <f>AVERAGE(AD18:AD20,AD22:AD23)</f>
        <v>1172.922</v>
      </c>
    </row>
    <row r="13" spans="1:35" s="679" customFormat="1" ht="15" thickTop="1">
      <c r="A13" s="680" t="s">
        <v>597</v>
      </c>
      <c r="B13" s="681">
        <v>5375.46</v>
      </c>
      <c r="C13" s="682">
        <v>808.61999999999989</v>
      </c>
      <c r="D13" s="682"/>
      <c r="E13" s="682"/>
      <c r="F13" s="683">
        <v>334908.255</v>
      </c>
      <c r="G13" s="684">
        <f>(B13+C13)/F13*1000</f>
        <v>18.464997227375001</v>
      </c>
      <c r="H13" s="685">
        <v>6734.33</v>
      </c>
      <c r="I13" s="686">
        <v>1568.88</v>
      </c>
      <c r="J13" s="687">
        <v>310956.38</v>
      </c>
      <c r="K13" s="688">
        <f>(H13+I13)/J13*1000</f>
        <v>26.702169609769701</v>
      </c>
      <c r="L13" s="682">
        <v>594.27</v>
      </c>
      <c r="M13" s="686">
        <v>3284.27</v>
      </c>
      <c r="N13" s="683">
        <v>310956.38</v>
      </c>
      <c r="O13" s="684">
        <f t="shared" si="1"/>
        <v>12.472939130562299</v>
      </c>
      <c r="P13" s="685">
        <v>163.20999999999998</v>
      </c>
      <c r="Q13" s="689"/>
      <c r="R13" s="686">
        <v>742.44</v>
      </c>
      <c r="S13" s="686">
        <v>409.89</v>
      </c>
      <c r="T13" s="683">
        <v>119595.45999999999</v>
      </c>
      <c r="U13" s="688">
        <f t="shared" si="2"/>
        <v>10.999915883094561</v>
      </c>
      <c r="V13" s="689">
        <v>892.31999999999994</v>
      </c>
      <c r="W13" s="689"/>
      <c r="X13" s="686">
        <v>418.88499999999999</v>
      </c>
      <c r="Y13" s="686">
        <v>0</v>
      </c>
      <c r="Z13" s="683">
        <v>62751.048999999999</v>
      </c>
      <c r="AA13" s="688">
        <f t="shared" si="4"/>
        <v>20.895347900877322</v>
      </c>
      <c r="AB13" s="690">
        <v>441.82</v>
      </c>
      <c r="AC13" s="690"/>
      <c r="AD13" s="691">
        <f t="shared" si="5"/>
        <v>21434.394999999997</v>
      </c>
      <c r="AE13" s="692">
        <f t="shared" si="6"/>
        <v>1139167.5240000002</v>
      </c>
      <c r="AF13" s="693">
        <f t="shared" si="3"/>
        <v>18.815840996534583</v>
      </c>
      <c r="AG13" s="2410">
        <f>AH11-AE24</f>
        <v>-5297.1732000000193</v>
      </c>
      <c r="AH13" s="2412">
        <f>AH12/AH11</f>
        <v>1.2608813774127963E-2</v>
      </c>
    </row>
    <row r="14" spans="1:35" s="679" customFormat="1">
      <c r="A14" s="680" t="s">
        <v>732</v>
      </c>
      <c r="B14" s="681">
        <v>5472.17</v>
      </c>
      <c r="C14" s="682">
        <v>812.41000000000008</v>
      </c>
      <c r="D14" s="682"/>
      <c r="E14" s="682"/>
      <c r="F14" s="683">
        <v>328722.44300000003</v>
      </c>
      <c r="G14" s="684">
        <v>19.118195711389259</v>
      </c>
      <c r="H14" s="685">
        <v>5813.76</v>
      </c>
      <c r="I14" s="686">
        <v>972</v>
      </c>
      <c r="J14" s="687">
        <v>313187.71999999997</v>
      </c>
      <c r="K14" s="688">
        <v>21.666749896835039</v>
      </c>
      <c r="L14" s="682">
        <v>506.82</v>
      </c>
      <c r="M14" s="686">
        <v>987.83</v>
      </c>
      <c r="N14" s="683">
        <v>313187.71999999997</v>
      </c>
      <c r="O14" s="684">
        <v>4.7723774099444256</v>
      </c>
      <c r="P14" s="685">
        <v>608.48</v>
      </c>
      <c r="Q14" s="689"/>
      <c r="R14" s="686">
        <v>542.54</v>
      </c>
      <c r="S14" s="686">
        <v>123</v>
      </c>
      <c r="T14" s="683">
        <v>125824.109</v>
      </c>
      <c r="U14" s="688">
        <v>10.125404504155878</v>
      </c>
      <c r="V14" s="689">
        <v>479.76</v>
      </c>
      <c r="W14" s="689"/>
      <c r="X14" s="686">
        <v>235.17499999999998</v>
      </c>
      <c r="Y14" s="686">
        <v>0</v>
      </c>
      <c r="Z14" s="683">
        <v>45086.7</v>
      </c>
      <c r="AA14" s="688">
        <v>15.856893496308224</v>
      </c>
      <c r="AB14" s="690">
        <v>446.32000000000005</v>
      </c>
      <c r="AC14" s="690"/>
      <c r="AD14" s="691">
        <v>17000.264999999999</v>
      </c>
      <c r="AE14" s="692">
        <v>1126008.6919999998</v>
      </c>
      <c r="AF14" s="693">
        <v>15.097809742307035</v>
      </c>
      <c r="AH14" s="679">
        <f>AG13*AH13</f>
        <v>-66.791070408101746</v>
      </c>
    </row>
    <row r="15" spans="1:35" s="679" customFormat="1">
      <c r="A15" s="680" t="s">
        <v>998</v>
      </c>
      <c r="B15" s="681">
        <v>4956.8500000000004</v>
      </c>
      <c r="C15" s="682">
        <v>894.74</v>
      </c>
      <c r="D15" s="682"/>
      <c r="E15" s="682"/>
      <c r="F15" s="683">
        <v>331022.27099999995</v>
      </c>
      <c r="G15" s="1513">
        <v>17.677330236188251</v>
      </c>
      <c r="H15" s="685">
        <v>5107.49</v>
      </c>
      <c r="I15" s="686">
        <v>338.19</v>
      </c>
      <c r="J15" s="687">
        <v>309398.19</v>
      </c>
      <c r="K15" s="1514">
        <v>17.60086045663245</v>
      </c>
      <c r="L15" s="682">
        <v>387.63</v>
      </c>
      <c r="M15" s="686">
        <v>1108.83</v>
      </c>
      <c r="N15" s="683">
        <v>309398.51</v>
      </c>
      <c r="O15" s="1513">
        <v>4.8366748760360867</v>
      </c>
      <c r="P15" s="685">
        <v>595.42000000000007</v>
      </c>
      <c r="Q15" s="689"/>
      <c r="R15" s="686">
        <v>423.25</v>
      </c>
      <c r="S15" s="686">
        <v>55.730000000000004</v>
      </c>
      <c r="T15" s="683">
        <v>143690.88199999998</v>
      </c>
      <c r="U15" s="1514">
        <v>7.4771619816489139</v>
      </c>
      <c r="V15" s="689">
        <v>550.02</v>
      </c>
      <c r="W15" s="689"/>
      <c r="X15" s="686">
        <v>310.24</v>
      </c>
      <c r="Y15" s="686">
        <v>3.55</v>
      </c>
      <c r="Z15" s="683">
        <v>54644.93</v>
      </c>
      <c r="AA15" s="1514">
        <v>15.807687922740499</v>
      </c>
      <c r="AB15" s="690">
        <v>464.5</v>
      </c>
      <c r="AC15" s="690"/>
      <c r="AD15" s="691">
        <v>15196.439999999999</v>
      </c>
      <c r="AE15" s="692">
        <v>1148154.7829999998</v>
      </c>
      <c r="AF15" s="693">
        <v>13.235532547531095</v>
      </c>
      <c r="AG15" s="679" t="s">
        <v>1157</v>
      </c>
      <c r="AH15" s="2412">
        <f>AD24+AH14</f>
        <v>1201.0889295918982</v>
      </c>
      <c r="AI15" s="2413">
        <f>(AH15/AH11)*1000</f>
        <v>12.911605920420062</v>
      </c>
    </row>
    <row r="16" spans="1:35" s="679" customFormat="1" ht="14.4" customHeight="1" thickBot="1">
      <c r="A16" s="680" t="s">
        <v>1275</v>
      </c>
      <c r="B16" s="681">
        <v>4739.51</v>
      </c>
      <c r="C16" s="682">
        <v>919.1</v>
      </c>
      <c r="D16" s="682"/>
      <c r="E16" s="682"/>
      <c r="F16" s="683">
        <v>302401.179</v>
      </c>
      <c r="G16" s="1513">
        <v>18.71226170054053</v>
      </c>
      <c r="H16" s="685">
        <v>4902.4000000000005</v>
      </c>
      <c r="I16" s="686">
        <v>427.08600000000001</v>
      </c>
      <c r="J16" s="687">
        <v>291928.59999999998</v>
      </c>
      <c r="K16" s="1514">
        <v>18.256128382076991</v>
      </c>
      <c r="L16" s="682">
        <v>349.57</v>
      </c>
      <c r="M16" s="686">
        <v>948.28499999999997</v>
      </c>
      <c r="N16" s="683">
        <v>291928.59999999998</v>
      </c>
      <c r="O16" s="1513">
        <v>4.4457959925817487</v>
      </c>
      <c r="P16" s="685">
        <v>568.35</v>
      </c>
      <c r="Q16" s="689"/>
      <c r="R16" s="686">
        <v>437.47500000000002</v>
      </c>
      <c r="S16" s="686">
        <v>43.53</v>
      </c>
      <c r="T16" s="683">
        <v>151508.71799999999</v>
      </c>
      <c r="U16" s="1514">
        <v>6.9260370878459945</v>
      </c>
      <c r="V16" s="689">
        <v>404.41999999999996</v>
      </c>
      <c r="W16" s="689"/>
      <c r="X16" s="686">
        <v>272.17999999999995</v>
      </c>
      <c r="Y16" s="686">
        <v>0</v>
      </c>
      <c r="Z16" s="683">
        <v>52692.494999999995</v>
      </c>
      <c r="AA16" s="1514">
        <v>12.840538296772625</v>
      </c>
      <c r="AB16" s="690">
        <v>483.46000000000004</v>
      </c>
      <c r="AC16" s="690"/>
      <c r="AD16" s="691">
        <v>14495.366000000002</v>
      </c>
      <c r="AE16" s="692">
        <v>1090459.5919999999</v>
      </c>
      <c r="AF16" s="693">
        <v>13.292896047082506</v>
      </c>
      <c r="AH16" s="2412"/>
      <c r="AI16" s="2413"/>
    </row>
    <row r="17" spans="1:39" ht="15.6" thickTop="1" thickBot="1">
      <c r="A17" s="184" t="s">
        <v>598</v>
      </c>
      <c r="B17" s="185">
        <f>B16/12</f>
        <v>394.9591666666667</v>
      </c>
      <c r="C17" s="186">
        <f>C16/12</f>
        <v>76.591666666666669</v>
      </c>
      <c r="D17" s="186"/>
      <c r="E17" s="186"/>
      <c r="F17" s="559">
        <f>F16/12</f>
        <v>25200.098249999999</v>
      </c>
      <c r="G17" s="187">
        <f>(B17+C17)/F17*1000</f>
        <v>18.712261700540527</v>
      </c>
      <c r="H17" s="185">
        <f>H16/12</f>
        <v>408.53333333333336</v>
      </c>
      <c r="I17" s="188">
        <f>I16/12</f>
        <v>35.590499999999999</v>
      </c>
      <c r="J17" s="559">
        <f>J16/12</f>
        <v>24327.383333333331</v>
      </c>
      <c r="K17" s="189">
        <f>(H17+I17)/J17*1000</f>
        <v>18.256128382076991</v>
      </c>
      <c r="L17" s="186">
        <f>L16/12</f>
        <v>29.130833333333332</v>
      </c>
      <c r="M17" s="188">
        <f>M16/12</f>
        <v>79.023749999999993</v>
      </c>
      <c r="N17" s="559">
        <f>N16/12</f>
        <v>24327.383333333331</v>
      </c>
      <c r="O17" s="187">
        <f>(L17+M17)/N17*1000</f>
        <v>4.4457959925817478</v>
      </c>
      <c r="P17" s="185">
        <f>P16/12</f>
        <v>47.362500000000004</v>
      </c>
      <c r="Q17" s="186"/>
      <c r="R17" s="188">
        <f>R16/12</f>
        <v>36.456250000000004</v>
      </c>
      <c r="S17" s="188">
        <f>S16/12</f>
        <v>3.6274999999999999</v>
      </c>
      <c r="T17" s="559">
        <f>T16/12</f>
        <v>12625.726499999999</v>
      </c>
      <c r="U17" s="189">
        <f>(P17+R17+S17)/T17*1000</f>
        <v>6.9260370878459954</v>
      </c>
      <c r="V17" s="186">
        <f>V16/12</f>
        <v>33.701666666666661</v>
      </c>
      <c r="W17" s="186"/>
      <c r="X17" s="188">
        <f>X16/12</f>
        <v>22.681666666666661</v>
      </c>
      <c r="Y17" s="188">
        <f>Y16/12</f>
        <v>0</v>
      </c>
      <c r="Z17" s="559">
        <f>Z16/12</f>
        <v>4391.0412499999993</v>
      </c>
      <c r="AA17" s="189">
        <f>(V17+X17+Y17)/Z17*1000</f>
        <v>12.840538296772625</v>
      </c>
      <c r="AB17" s="190">
        <f>AB16/12</f>
        <v>40.288333333333334</v>
      </c>
      <c r="AC17" s="190"/>
      <c r="AD17" s="191">
        <f>AD16/12</f>
        <v>1207.9471666666668</v>
      </c>
      <c r="AE17" s="560">
        <f t="shared" ref="AE17:AE36" si="7">F17+J17+N17+T17+Z17</f>
        <v>90871.632666666657</v>
      </c>
      <c r="AF17" s="192">
        <f>AD17/AE17*1000</f>
        <v>13.292896047082506</v>
      </c>
    </row>
    <row r="18" spans="1:39">
      <c r="A18" s="338" t="s">
        <v>599</v>
      </c>
      <c r="B18" s="202">
        <v>359.82</v>
      </c>
      <c r="C18" s="203">
        <v>60.41</v>
      </c>
      <c r="D18" s="203"/>
      <c r="E18" s="203"/>
      <c r="F18" s="204">
        <f>CPL!N5</f>
        <v>26245.87</v>
      </c>
      <c r="G18" s="1132">
        <f>(B18+C18)/F18*1000</f>
        <v>16.011281012974614</v>
      </c>
      <c r="H18" s="561">
        <v>404.42</v>
      </c>
      <c r="I18" s="205">
        <v>21.4</v>
      </c>
      <c r="J18" s="204">
        <f>CGL!N5</f>
        <v>24738.14</v>
      </c>
      <c r="K18" s="538">
        <f>(H18+I18)/N18*1000</f>
        <v>17.213096861768914</v>
      </c>
      <c r="L18" s="203">
        <v>25.2</v>
      </c>
      <c r="M18" s="205">
        <v>89.94</v>
      </c>
      <c r="N18" s="204">
        <f>CGL!N5</f>
        <v>24738.14</v>
      </c>
      <c r="O18" s="1132">
        <f t="shared" ref="O18:O36" si="8">(L18+M18)/N18*1000</f>
        <v>4.6543515397681476</v>
      </c>
      <c r="P18" s="561">
        <v>47.81</v>
      </c>
      <c r="Q18" s="562"/>
      <c r="R18" s="205">
        <v>50.5</v>
      </c>
      <c r="S18" s="205">
        <v>29.63</v>
      </c>
      <c r="T18" s="204">
        <f>'#1CCL'!N5</f>
        <v>13714.31</v>
      </c>
      <c r="U18" s="538">
        <f>(P18+R18+S18)/T18*1000</f>
        <v>9.3289418133322055</v>
      </c>
      <c r="V18" s="562">
        <v>36.74</v>
      </c>
      <c r="W18" s="562"/>
      <c r="X18" s="205">
        <v>28.58</v>
      </c>
      <c r="Y18" s="205">
        <v>0</v>
      </c>
      <c r="Z18" s="204">
        <f>'#2CCL'!N5</f>
        <v>5146.8100000000004</v>
      </c>
      <c r="AA18" s="538">
        <f>(V18+X18+Y18)/Z18*1000</f>
        <v>12.691356393571938</v>
      </c>
      <c r="AB18" s="563">
        <v>45.18</v>
      </c>
      <c r="AC18" s="5056"/>
      <c r="AD18" s="1133">
        <f>B18+C18+H18+I18+L18+M18+P18+R18+S18+V18+X18+Y18+AB18</f>
        <v>1199.6300000000001</v>
      </c>
      <c r="AE18" s="1134">
        <f>F18+J18+N18+T18+Z18</f>
        <v>94583.26999999999</v>
      </c>
      <c r="AF18" s="1135">
        <f t="shared" ref="AF18:AF36" si="9">AD18/AE18*1000</f>
        <v>12.68332126812702</v>
      </c>
      <c r="AH18" s="537">
        <v>17.307468207251407</v>
      </c>
      <c r="AI18" s="538">
        <v>24.331635716602126</v>
      </c>
      <c r="AJ18" s="537">
        <v>8.5735429287303244</v>
      </c>
      <c r="AK18" s="539">
        <v>9.4037571894505394</v>
      </c>
      <c r="AL18" s="206">
        <v>16.13725639072069</v>
      </c>
      <c r="AM18" s="206">
        <v>64.782333346109766</v>
      </c>
    </row>
    <row r="19" spans="1:39">
      <c r="A19" s="339" t="s">
        <v>5</v>
      </c>
      <c r="B19" s="256">
        <v>382.75</v>
      </c>
      <c r="C19" s="257">
        <v>68.34</v>
      </c>
      <c r="D19" s="257"/>
      <c r="E19" s="257"/>
      <c r="F19" s="258">
        <v>28930.16</v>
      </c>
      <c r="G19" s="1140">
        <f>(B19+C19)/F19*1000</f>
        <v>15.592378334582319</v>
      </c>
      <c r="H19" s="564">
        <v>427.17</v>
      </c>
      <c r="I19" s="259">
        <v>25.56</v>
      </c>
      <c r="J19" s="258">
        <v>24620.85</v>
      </c>
      <c r="K19" s="1140">
        <f>(H19+I19)/N19*1000</f>
        <v>18.388073523050586</v>
      </c>
      <c r="L19" s="257">
        <v>33.04</v>
      </c>
      <c r="M19" s="259">
        <v>48.129999999999995</v>
      </c>
      <c r="N19" s="258">
        <v>24620.85</v>
      </c>
      <c r="O19" s="1140">
        <f t="shared" si="8"/>
        <v>3.296799257539849</v>
      </c>
      <c r="P19" s="564">
        <v>47.12</v>
      </c>
      <c r="Q19" s="566"/>
      <c r="R19" s="259">
        <v>29.68</v>
      </c>
      <c r="S19" s="259">
        <v>10.07</v>
      </c>
      <c r="T19" s="258">
        <v>11408.93</v>
      </c>
      <c r="U19" s="1140">
        <f>(P19+R19+S19)/T19*1000</f>
        <v>7.6142109733340471</v>
      </c>
      <c r="V19" s="566">
        <v>28.27</v>
      </c>
      <c r="W19" s="566"/>
      <c r="X19" s="259">
        <v>17.829999999999998</v>
      </c>
      <c r="Y19" s="259">
        <v>0</v>
      </c>
      <c r="Z19" s="258">
        <v>5270.54</v>
      </c>
      <c r="AA19" s="1140">
        <f>(V19+X19+Y19)/Z19*1000</f>
        <v>8.7467318339297293</v>
      </c>
      <c r="AB19" s="567">
        <v>41.29</v>
      </c>
      <c r="AC19" s="5057"/>
      <c r="AD19" s="1141">
        <f>B19+C19+H19+I19+L19+M19+P19+R19+S19+V19+X19+Y19+AB19</f>
        <v>1159.2499999999998</v>
      </c>
      <c r="AE19" s="1142">
        <f>F19+J19+N19+T19+Z19</f>
        <v>94851.329999999973</v>
      </c>
      <c r="AF19" s="1143">
        <f>AD19/AE19*1000</f>
        <v>12.221757986946521</v>
      </c>
    </row>
    <row r="20" spans="1:39" s="68" customFormat="1" ht="15" thickBot="1">
      <c r="A20" s="340" t="s">
        <v>600</v>
      </c>
      <c r="B20" s="193">
        <v>344.45</v>
      </c>
      <c r="C20" s="194">
        <v>48.74</v>
      </c>
      <c r="D20" s="194">
        <v>10.86</v>
      </c>
      <c r="E20" s="194">
        <v>41.46</v>
      </c>
      <c r="F20" s="568">
        <v>23803.14</v>
      </c>
      <c r="G20" s="1136">
        <f t="shared" ref="G20:G36" si="10">(B20+C20+D20)/F20*1000</f>
        <v>16.974651243491405</v>
      </c>
      <c r="H20" s="195">
        <v>468.8</v>
      </c>
      <c r="I20" s="196">
        <v>31.24</v>
      </c>
      <c r="J20" s="568">
        <v>26927.78</v>
      </c>
      <c r="K20" s="585">
        <f>(H20+I20)/N20*1000</f>
        <v>18.569670429571246</v>
      </c>
      <c r="L20" s="194">
        <v>33.69</v>
      </c>
      <c r="M20" s="196">
        <v>61.120000000000005</v>
      </c>
      <c r="N20" s="568">
        <v>26927.78</v>
      </c>
      <c r="O20" s="1136">
        <f t="shared" si="8"/>
        <v>3.5208992349165062</v>
      </c>
      <c r="P20" s="195">
        <v>26.68</v>
      </c>
      <c r="Q20" s="569">
        <v>26.9</v>
      </c>
      <c r="R20" s="196">
        <v>34.93</v>
      </c>
      <c r="S20" s="196">
        <v>0</v>
      </c>
      <c r="T20" s="568">
        <v>13299.08</v>
      </c>
      <c r="U20" s="1137">
        <f t="shared" ref="U20:U36" si="11">(P20+Q20+R20+S20)/T20*1000</f>
        <v>6.6553475879534512</v>
      </c>
      <c r="V20" s="569">
        <v>24.44</v>
      </c>
      <c r="W20" s="569">
        <v>26.94</v>
      </c>
      <c r="X20" s="196">
        <v>7.32</v>
      </c>
      <c r="Y20" s="196">
        <v>0</v>
      </c>
      <c r="Z20" s="568">
        <v>4212.8039999999992</v>
      </c>
      <c r="AA20" s="1137">
        <f t="shared" ref="AA20:AA36" si="12">(V20+W20+X20+Y20)/Z20*1000</f>
        <v>13.933712558191649</v>
      </c>
      <c r="AB20" s="570">
        <v>24.45</v>
      </c>
      <c r="AC20" s="5058">
        <v>4.66</v>
      </c>
      <c r="AD20" s="1288">
        <f>B20+C20+D20+E20+H20+I20+L20+M20+P20+Q20+R20+S20+V20+W20+X20+Y20+AB20+AC20</f>
        <v>1216.6800000000005</v>
      </c>
      <c r="AE20" s="1138">
        <f>F20+J20+N20+T20+Z20</f>
        <v>95170.584000000003</v>
      </c>
      <c r="AF20" s="1139">
        <f t="shared" si="9"/>
        <v>12.784202311924455</v>
      </c>
      <c r="AH20" s="68" t="s">
        <v>613</v>
      </c>
      <c r="AI20" s="656">
        <v>15.978990619616395</v>
      </c>
    </row>
    <row r="21" spans="1:39" s="69" customFormat="1" ht="15.6" thickTop="1" thickBot="1">
      <c r="A21" s="571" t="s">
        <v>601</v>
      </c>
      <c r="B21" s="572">
        <f>B18+B19+B20</f>
        <v>1087.02</v>
      </c>
      <c r="C21" s="573">
        <f>C18+C19+C20</f>
        <v>177.49</v>
      </c>
      <c r="D21" s="573">
        <f>D18+D19+D20</f>
        <v>10.86</v>
      </c>
      <c r="E21" s="573">
        <f>E18+E19+E20</f>
        <v>41.46</v>
      </c>
      <c r="F21" s="574">
        <f>F18+F19+F20</f>
        <v>78979.17</v>
      </c>
      <c r="G21" s="575">
        <f t="shared" si="10"/>
        <v>16.148181856051412</v>
      </c>
      <c r="H21" s="572">
        <f>H18+H19+H20</f>
        <v>1300.3900000000001</v>
      </c>
      <c r="I21" s="576">
        <f>I18+I19+I20</f>
        <v>78.199999999999989</v>
      </c>
      <c r="J21" s="574">
        <f>J18+J19+J20</f>
        <v>76286.76999999999</v>
      </c>
      <c r="K21" s="577">
        <f>(H21+I21)/J21*1000</f>
        <v>18.071154408556037</v>
      </c>
      <c r="L21" s="573">
        <f>L18+L19+L20</f>
        <v>91.929999999999993</v>
      </c>
      <c r="M21" s="576">
        <f>M18+M19+M20</f>
        <v>199.19</v>
      </c>
      <c r="N21" s="578">
        <f>N18+N19+N20</f>
        <v>76286.76999999999</v>
      </c>
      <c r="O21" s="575">
        <f>(L21+M21)/N21*1000</f>
        <v>3.8161269640856474</v>
      </c>
      <c r="P21" s="572">
        <f>P18+P19+P20</f>
        <v>121.61000000000001</v>
      </c>
      <c r="Q21" s="572">
        <f>Q18+Q19+Q20</f>
        <v>26.9</v>
      </c>
      <c r="R21" s="576">
        <f>R18+R19+R20</f>
        <v>115.11000000000001</v>
      </c>
      <c r="S21" s="576">
        <f>S18+S19+S20</f>
        <v>39.700000000000003</v>
      </c>
      <c r="T21" s="578">
        <f>T18+T19+T20</f>
        <v>38422.32</v>
      </c>
      <c r="U21" s="577">
        <f t="shared" si="11"/>
        <v>7.8943697309272318</v>
      </c>
      <c r="V21" s="573">
        <f>V18+V19+V20</f>
        <v>89.45</v>
      </c>
      <c r="W21" s="573">
        <f>W18+W19+W20</f>
        <v>26.94</v>
      </c>
      <c r="X21" s="576">
        <f>X18+X19+X20</f>
        <v>53.73</v>
      </c>
      <c r="Y21" s="576">
        <f>Y18+Y19+Y20</f>
        <v>0</v>
      </c>
      <c r="Z21" s="578">
        <f>SUM(Z18:Z20)</f>
        <v>14630.153999999999</v>
      </c>
      <c r="AA21" s="577">
        <f t="shared" si="12"/>
        <v>11.628038911962241</v>
      </c>
      <c r="AB21" s="579">
        <f>AB18+AB19+AB20</f>
        <v>110.92</v>
      </c>
      <c r="AC21" s="579">
        <f>AC18+AC19+AC20</f>
        <v>4.66</v>
      </c>
      <c r="AD21" s="610">
        <f>B21+C21+D21+E21+Q21+W21+AC21+H21+I21+L21+M21+P21+R21+S21+V21+X21+Y21+AB21</f>
        <v>3575.56</v>
      </c>
      <c r="AE21" s="580">
        <f t="shared" si="7"/>
        <v>284605.18399999995</v>
      </c>
      <c r="AF21" s="581">
        <f t="shared" si="9"/>
        <v>12.563228644493</v>
      </c>
      <c r="AH21" s="68" t="s">
        <v>489</v>
      </c>
      <c r="AI21" s="657">
        <v>18.832290123202931</v>
      </c>
    </row>
    <row r="22" spans="1:39" s="69" customFormat="1" ht="15" thickTop="1">
      <c r="A22" s="341" t="s">
        <v>7</v>
      </c>
      <c r="B22" s="197">
        <v>351.94</v>
      </c>
      <c r="C22" s="198">
        <v>52</v>
      </c>
      <c r="D22" s="198">
        <v>7.1</v>
      </c>
      <c r="E22" s="198">
        <v>41.68</v>
      </c>
      <c r="F22" s="582">
        <v>25935.35</v>
      </c>
      <c r="G22" s="1136">
        <f t="shared" si="10"/>
        <v>15.848639019716334</v>
      </c>
      <c r="H22" s="199">
        <v>395.4</v>
      </c>
      <c r="I22" s="583">
        <v>36.76</v>
      </c>
      <c r="J22" s="582">
        <v>24694.04</v>
      </c>
      <c r="K22" s="585">
        <f>(H22+I22)/N22*1000</f>
        <v>17.50057908709956</v>
      </c>
      <c r="L22" s="198">
        <v>40.299999999999997</v>
      </c>
      <c r="M22" s="200">
        <v>59.48</v>
      </c>
      <c r="N22" s="582">
        <v>24694.04</v>
      </c>
      <c r="O22" s="618">
        <f>(L22+M22)/N22*1000</f>
        <v>4.040651104477031</v>
      </c>
      <c r="P22" s="584">
        <v>23.16</v>
      </c>
      <c r="Q22" s="586">
        <v>24.04</v>
      </c>
      <c r="R22" s="200">
        <v>39.979999999999997</v>
      </c>
      <c r="S22" s="200">
        <v>14.36</v>
      </c>
      <c r="T22" s="582">
        <v>12905.32</v>
      </c>
      <c r="U22" s="621">
        <f t="shared" si="11"/>
        <v>7.8680730117501945</v>
      </c>
      <c r="V22" s="586">
        <v>22.97</v>
      </c>
      <c r="W22" s="586">
        <v>18.59</v>
      </c>
      <c r="X22" s="200">
        <v>27.1</v>
      </c>
      <c r="Y22" s="200">
        <v>0</v>
      </c>
      <c r="Z22" s="582">
        <v>4553.6120000000001</v>
      </c>
      <c r="AA22" s="1137">
        <f t="shared" si="12"/>
        <v>15.078140166531535</v>
      </c>
      <c r="AB22" s="587">
        <v>42.44</v>
      </c>
      <c r="AC22" s="587">
        <v>6.5</v>
      </c>
      <c r="AD22" s="1288">
        <f>B22+C22+D22+E22+H22+I22+L22+M22+P22+Q22+R22+S22+V22+W22+X22+Y22+AB22+AC22</f>
        <v>1203.7999999999997</v>
      </c>
      <c r="AE22" s="635">
        <f t="shared" si="7"/>
        <v>92782.361999999994</v>
      </c>
      <c r="AF22" s="5568">
        <f t="shared" si="9"/>
        <v>12.974448742747031</v>
      </c>
      <c r="AH22" s="68" t="s">
        <v>490</v>
      </c>
      <c r="AI22" s="657">
        <v>19.80230282610259</v>
      </c>
    </row>
    <row r="23" spans="1:39" s="69" customFormat="1">
      <c r="A23" s="343" t="s">
        <v>8</v>
      </c>
      <c r="B23" s="589">
        <v>394.88</v>
      </c>
      <c r="C23" s="590">
        <v>49.17</v>
      </c>
      <c r="D23" s="590">
        <v>0</v>
      </c>
      <c r="E23" s="590">
        <v>66.319999999999993</v>
      </c>
      <c r="F23" s="591">
        <v>25439.66</v>
      </c>
      <c r="G23" s="1136">
        <f t="shared" si="10"/>
        <v>17.455028880102958</v>
      </c>
      <c r="H23" s="589">
        <v>352.3</v>
      </c>
      <c r="I23" s="200">
        <v>31.42</v>
      </c>
      <c r="J23" s="591">
        <v>22811.49</v>
      </c>
      <c r="K23" s="594">
        <f>(H23+I23)/N23*1000</f>
        <v>16.821347487603838</v>
      </c>
      <c r="L23" s="590">
        <v>26.92</v>
      </c>
      <c r="M23" s="201">
        <v>19.25</v>
      </c>
      <c r="N23" s="591">
        <v>22811.49</v>
      </c>
      <c r="O23" s="594">
        <f>(L23+M23)/N23*1000</f>
        <v>2.0239800205948844</v>
      </c>
      <c r="P23" s="593">
        <v>28.99</v>
      </c>
      <c r="Q23" s="595">
        <v>7.64</v>
      </c>
      <c r="R23" s="201">
        <v>32.44</v>
      </c>
      <c r="S23" s="201">
        <v>0</v>
      </c>
      <c r="T23" s="591">
        <v>12638.958000000001</v>
      </c>
      <c r="U23" s="621">
        <f t="shared" si="11"/>
        <v>5.4648492383628451</v>
      </c>
      <c r="V23" s="595">
        <v>18.46</v>
      </c>
      <c r="W23" s="595">
        <v>2.4</v>
      </c>
      <c r="X23" s="201">
        <v>27.73</v>
      </c>
      <c r="Y23" s="201">
        <v>0</v>
      </c>
      <c r="Z23" s="591">
        <v>4030.7400000000002</v>
      </c>
      <c r="AA23" s="1137">
        <f t="shared" si="12"/>
        <v>12.054858413095362</v>
      </c>
      <c r="AB23" s="596">
        <v>21.49</v>
      </c>
      <c r="AC23" s="596">
        <v>5.84</v>
      </c>
      <c r="AD23" s="597">
        <f>B23+C23+D23+E23+H23+I23+L23+M23+P23+Q23+R23+S23+V23+W23+X23+Y23+AB23+AC23</f>
        <v>1085.25</v>
      </c>
      <c r="AE23" s="1343">
        <f t="shared" si="7"/>
        <v>87732.338000000003</v>
      </c>
      <c r="AF23" s="344">
        <f>AD23/AE23*1000</f>
        <v>12.37001115825729</v>
      </c>
      <c r="AG23" s="69">
        <f>AD23*1000/26554.18</f>
        <v>40.869271805794796</v>
      </c>
      <c r="AH23" s="68" t="s">
        <v>614</v>
      </c>
      <c r="AI23" s="657">
        <v>18.815840996534583</v>
      </c>
    </row>
    <row r="24" spans="1:39" s="67" customFormat="1" ht="15" thickBot="1">
      <c r="A24" s="598" t="s">
        <v>640</v>
      </c>
      <c r="B24" s="599">
        <v>454.33</v>
      </c>
      <c r="C24" s="600">
        <v>80.95</v>
      </c>
      <c r="D24" s="600">
        <v>10.3</v>
      </c>
      <c r="E24" s="600">
        <v>70.11</v>
      </c>
      <c r="F24" s="601">
        <v>29493.7</v>
      </c>
      <c r="G24" s="1136">
        <f t="shared" si="10"/>
        <v>18.498187748570032</v>
      </c>
      <c r="H24" s="603">
        <v>415.27</v>
      </c>
      <c r="I24" s="604">
        <v>29.89</v>
      </c>
      <c r="J24" s="601">
        <v>24990.170000000002</v>
      </c>
      <c r="K24" s="585">
        <f>(H24+I24)/N24*1000</f>
        <v>17.813404230543448</v>
      </c>
      <c r="L24" s="600">
        <v>38.840000000000003</v>
      </c>
      <c r="M24" s="604">
        <v>43.3</v>
      </c>
      <c r="N24" s="601">
        <v>24990.170000000002</v>
      </c>
      <c r="O24" s="602">
        <f>(L24+M24)/N24*1000</f>
        <v>3.2868924060940761</v>
      </c>
      <c r="P24" s="603">
        <v>20.52</v>
      </c>
      <c r="Q24" s="605">
        <v>2.41</v>
      </c>
      <c r="R24" s="604">
        <v>37.299999999999997</v>
      </c>
      <c r="S24" s="604">
        <v>1.46</v>
      </c>
      <c r="T24" s="601">
        <v>13592.15</v>
      </c>
      <c r="U24" s="621">
        <f t="shared" si="11"/>
        <v>4.5386491467501466</v>
      </c>
      <c r="V24" s="5717">
        <v>9.5399999999999991</v>
      </c>
      <c r="W24" s="605">
        <v>0</v>
      </c>
      <c r="X24" s="604">
        <v>22.67</v>
      </c>
      <c r="Y24" s="604">
        <v>0</v>
      </c>
      <c r="Z24" s="601">
        <v>5254.96</v>
      </c>
      <c r="AA24" s="1137">
        <f t="shared" si="12"/>
        <v>6.1294472270007763</v>
      </c>
      <c r="AB24" s="606">
        <v>30.99</v>
      </c>
      <c r="AC24" s="606">
        <v>0</v>
      </c>
      <c r="AD24" s="1288">
        <f>B24+C24+D24+E24+H24+I24+L24+M24+P24+Q24+R24+S24+V24+W24+X24+Y24+AB24+AC24</f>
        <v>1267.8800000000001</v>
      </c>
      <c r="AE24" s="607">
        <f t="shared" si="7"/>
        <v>98321.150000000009</v>
      </c>
      <c r="AF24" s="608">
        <f t="shared" si="9"/>
        <v>12.895292620153446</v>
      </c>
      <c r="AH24" s="67" t="s">
        <v>111</v>
      </c>
      <c r="AI24" s="320">
        <v>16.13725639072069</v>
      </c>
    </row>
    <row r="25" spans="1:39" s="67" customFormat="1" ht="15.6" thickTop="1" thickBot="1">
      <c r="A25" s="571" t="s">
        <v>602</v>
      </c>
      <c r="B25" s="609">
        <f t="shared" ref="B25:Z25" si="13">SUM(B22:B24)</f>
        <v>1201.1499999999999</v>
      </c>
      <c r="C25" s="573">
        <f t="shared" si="13"/>
        <v>182.12</v>
      </c>
      <c r="D25" s="573">
        <f t="shared" si="13"/>
        <v>17.399999999999999</v>
      </c>
      <c r="E25" s="573">
        <f t="shared" si="13"/>
        <v>178.11</v>
      </c>
      <c r="F25" s="574">
        <f t="shared" si="13"/>
        <v>80868.709999999992</v>
      </c>
      <c r="G25" s="575">
        <f t="shared" si="10"/>
        <v>17.320296070012745</v>
      </c>
      <c r="H25" s="572">
        <f t="shared" si="13"/>
        <v>1162.97</v>
      </c>
      <c r="I25" s="576">
        <f t="shared" si="13"/>
        <v>98.070000000000007</v>
      </c>
      <c r="J25" s="574">
        <f t="shared" si="13"/>
        <v>72495.7</v>
      </c>
      <c r="K25" s="577">
        <f>(H25+I25)/J25*1000</f>
        <v>17.394686857289468</v>
      </c>
      <c r="L25" s="573">
        <f t="shared" si="13"/>
        <v>106.06</v>
      </c>
      <c r="M25" s="576">
        <f t="shared" si="13"/>
        <v>122.02999999999999</v>
      </c>
      <c r="N25" s="578">
        <f t="shared" si="13"/>
        <v>72495.7</v>
      </c>
      <c r="O25" s="575">
        <f t="shared" si="8"/>
        <v>3.1462555710200744</v>
      </c>
      <c r="P25" s="572">
        <f>SUM(P22:P24)</f>
        <v>72.67</v>
      </c>
      <c r="Q25" s="576">
        <f>SUM(Q22:Q24)</f>
        <v>34.090000000000003</v>
      </c>
      <c r="R25" s="576">
        <f>SUM(R22:R24)</f>
        <v>109.71999999999998</v>
      </c>
      <c r="S25" s="576">
        <f>SUM(S22:S24)</f>
        <v>15.82</v>
      </c>
      <c r="T25" s="578">
        <f>SUM(T22:T24)</f>
        <v>39136.428</v>
      </c>
      <c r="U25" s="577">
        <f t="shared" si="11"/>
        <v>5.9356464519449759</v>
      </c>
      <c r="V25" s="573">
        <f t="shared" si="13"/>
        <v>50.97</v>
      </c>
      <c r="W25" s="576">
        <f>SUM(W22:W24)</f>
        <v>20.99</v>
      </c>
      <c r="X25" s="576">
        <f t="shared" si="13"/>
        <v>77.5</v>
      </c>
      <c r="Y25" s="576">
        <f t="shared" si="13"/>
        <v>0</v>
      </c>
      <c r="Z25" s="578">
        <f t="shared" si="13"/>
        <v>13839.312000000002</v>
      </c>
      <c r="AA25" s="577">
        <f t="shared" si="12"/>
        <v>10.799669810175532</v>
      </c>
      <c r="AB25" s="5570">
        <f>AB22+AB23+AB24</f>
        <v>94.919999999999987</v>
      </c>
      <c r="AC25" s="5570">
        <f>AC22+AC23+AC24</f>
        <v>12.34</v>
      </c>
      <c r="AD25" s="610">
        <f>B25+C25+D25+E25+Q25+W25+AC25+H25+I25+L25+M25+P25+R25+S25+V25+X25+Y25+AB25</f>
        <v>3556.9300000000003</v>
      </c>
      <c r="AE25" s="580">
        <f t="shared" si="7"/>
        <v>278835.84999999998</v>
      </c>
      <c r="AF25" s="581">
        <f t="shared" si="9"/>
        <v>12.756358265983375</v>
      </c>
    </row>
    <row r="26" spans="1:39" s="69" customFormat="1" ht="15.6" thickTop="1" thickBot="1">
      <c r="A26" s="571" t="s">
        <v>603</v>
      </c>
      <c r="B26" s="572">
        <f t="shared" ref="B26:Z26" si="14">B25+B21</f>
        <v>2288.17</v>
      </c>
      <c r="C26" s="573">
        <f t="shared" si="14"/>
        <v>359.61</v>
      </c>
      <c r="D26" s="573">
        <f t="shared" si="14"/>
        <v>28.259999999999998</v>
      </c>
      <c r="E26" s="573">
        <f t="shared" si="14"/>
        <v>219.57000000000002</v>
      </c>
      <c r="F26" s="574">
        <f t="shared" si="14"/>
        <v>159847.88</v>
      </c>
      <c r="G26" s="575">
        <f t="shared" si="10"/>
        <v>16.741166664205998</v>
      </c>
      <c r="H26" s="572">
        <f t="shared" si="14"/>
        <v>2463.36</v>
      </c>
      <c r="I26" s="576">
        <f t="shared" si="14"/>
        <v>176.26999999999998</v>
      </c>
      <c r="J26" s="574">
        <f t="shared" si="14"/>
        <v>148782.46999999997</v>
      </c>
      <c r="K26" s="577">
        <f>(H26+I26)/J26*1000</f>
        <v>17.741539040183973</v>
      </c>
      <c r="L26" s="573">
        <f t="shared" si="14"/>
        <v>197.99</v>
      </c>
      <c r="M26" s="576">
        <f t="shared" si="14"/>
        <v>321.21999999999997</v>
      </c>
      <c r="N26" s="578">
        <f t="shared" si="14"/>
        <v>148782.46999999997</v>
      </c>
      <c r="O26" s="575">
        <f t="shared" si="8"/>
        <v>3.4897256377044967</v>
      </c>
      <c r="P26" s="572">
        <f>P25+P21</f>
        <v>194.28000000000003</v>
      </c>
      <c r="Q26" s="576">
        <f>Q25+Q21</f>
        <v>60.99</v>
      </c>
      <c r="R26" s="576">
        <f>R25+R21</f>
        <v>224.82999999999998</v>
      </c>
      <c r="S26" s="576">
        <f>S25+S21</f>
        <v>55.52</v>
      </c>
      <c r="T26" s="578">
        <f>T25+T21</f>
        <v>77558.747999999992</v>
      </c>
      <c r="U26" s="577">
        <f t="shared" si="11"/>
        <v>6.9059907980979789</v>
      </c>
      <c r="V26" s="573">
        <f t="shared" si="14"/>
        <v>140.42000000000002</v>
      </c>
      <c r="W26" s="576">
        <f>W25+W21</f>
        <v>47.93</v>
      </c>
      <c r="X26" s="576">
        <f t="shared" si="14"/>
        <v>131.22999999999999</v>
      </c>
      <c r="Y26" s="576">
        <f t="shared" si="14"/>
        <v>0</v>
      </c>
      <c r="Z26" s="578">
        <f t="shared" si="14"/>
        <v>28469.466</v>
      </c>
      <c r="AA26" s="577">
        <f t="shared" si="12"/>
        <v>11.225359829369474</v>
      </c>
      <c r="AB26" s="5570">
        <f>AB21+AB25</f>
        <v>205.83999999999997</v>
      </c>
      <c r="AC26" s="5570">
        <f>AC21+AC25</f>
        <v>17</v>
      </c>
      <c r="AD26" s="610">
        <f>B26+C26+D26+E26+Q26+W26+AC26+H26+I26+L26+M26+P26+R26+S26+V26+X26+Y26+AB26</f>
        <v>7132.49</v>
      </c>
      <c r="AE26" s="580">
        <f t="shared" si="7"/>
        <v>563441.03399999999</v>
      </c>
      <c r="AF26" s="581">
        <f t="shared" si="9"/>
        <v>12.658804683366387</v>
      </c>
      <c r="AG26" s="612"/>
    </row>
    <row r="27" spans="1:39" s="69" customFormat="1" ht="15" thickTop="1">
      <c r="A27" s="341" t="s">
        <v>10</v>
      </c>
      <c r="B27" s="197">
        <v>441.21</v>
      </c>
      <c r="C27" s="198">
        <v>60.96</v>
      </c>
      <c r="D27" s="198">
        <v>11.82</v>
      </c>
      <c r="E27" s="198">
        <v>58.01</v>
      </c>
      <c r="F27" s="582">
        <v>32433.26</v>
      </c>
      <c r="G27" s="1136">
        <f t="shared" si="10"/>
        <v>15.84762062154714</v>
      </c>
      <c r="H27" s="199">
        <v>506.89</v>
      </c>
      <c r="I27" s="200">
        <v>15.86</v>
      </c>
      <c r="J27" s="582">
        <v>30848.92</v>
      </c>
      <c r="K27" s="565">
        <f>(H27+I27)/N27*1000</f>
        <v>16.945487880937161</v>
      </c>
      <c r="L27" s="198">
        <v>42.98</v>
      </c>
      <c r="M27" s="200">
        <v>18.39</v>
      </c>
      <c r="N27" s="582">
        <v>30848.92</v>
      </c>
      <c r="O27" s="592">
        <f>(L27+M27)/N27*1000</f>
        <v>1.9893727235831917</v>
      </c>
      <c r="P27" s="199">
        <v>30.56</v>
      </c>
      <c r="Q27" s="611">
        <v>11.29</v>
      </c>
      <c r="R27" s="200">
        <v>50.38</v>
      </c>
      <c r="S27" s="200">
        <v>0</v>
      </c>
      <c r="T27" s="582">
        <v>15058.49</v>
      </c>
      <c r="U27" s="5716">
        <f t="shared" si="11"/>
        <v>6.1247840918976602</v>
      </c>
      <c r="V27" s="5718">
        <v>31.19</v>
      </c>
      <c r="W27" s="611">
        <v>7.52</v>
      </c>
      <c r="X27" s="200">
        <v>24.31</v>
      </c>
      <c r="Y27" s="200">
        <v>0</v>
      </c>
      <c r="Z27" s="582">
        <v>4973.76</v>
      </c>
      <c r="AA27" s="1137">
        <f t="shared" si="12"/>
        <v>12.670494756482016</v>
      </c>
      <c r="AB27" s="587">
        <v>28.6</v>
      </c>
      <c r="AC27" s="587">
        <v>0</v>
      </c>
      <c r="AD27" s="1288">
        <f>B27+C27+D27+E27+H27+I27+L27+M27+P27+Q27+R27+S27+V27+W27+X27+Y27+AB27+AC27</f>
        <v>1339.9699999999998</v>
      </c>
      <c r="AE27" s="588">
        <f>F27+J27+N27+T27+Z27</f>
        <v>114163.34999999999</v>
      </c>
      <c r="AF27" s="344">
        <f>AD27/AE27*1000</f>
        <v>11.737304485195994</v>
      </c>
      <c r="AG27" s="5917">
        <f>AD27-E27</f>
        <v>1281.9599999999998</v>
      </c>
      <c r="AH27" s="612"/>
      <c r="AI27" s="613"/>
    </row>
    <row r="28" spans="1:39">
      <c r="A28" s="343" t="s">
        <v>952</v>
      </c>
      <c r="B28" s="589">
        <v>463.24</v>
      </c>
      <c r="C28" s="590">
        <v>82.16</v>
      </c>
      <c r="D28" s="590">
        <v>7.52</v>
      </c>
      <c r="E28" s="590">
        <v>45.98</v>
      </c>
      <c r="F28" s="591">
        <v>28571.633000000002</v>
      </c>
      <c r="G28" s="1136">
        <f t="shared" si="10"/>
        <v>19.352061535999706</v>
      </c>
      <c r="H28" s="593">
        <v>446.85</v>
      </c>
      <c r="I28" s="201">
        <v>44.16</v>
      </c>
      <c r="J28" s="591">
        <v>27730.79</v>
      </c>
      <c r="K28" s="565">
        <f>(H28+I28)/N28*1000</f>
        <v>17.706311287922194</v>
      </c>
      <c r="L28" s="590">
        <v>35.6</v>
      </c>
      <c r="M28" s="201">
        <v>50.17</v>
      </c>
      <c r="N28" s="591">
        <v>27730.79</v>
      </c>
      <c r="O28" s="592">
        <f>(L28+M28)/N28*1000</f>
        <v>3.092951913739205</v>
      </c>
      <c r="P28" s="593">
        <v>22.74</v>
      </c>
      <c r="Q28" s="595">
        <v>9.8000000000000007</v>
      </c>
      <c r="R28" s="201">
        <v>25.17</v>
      </c>
      <c r="S28" s="201">
        <v>0</v>
      </c>
      <c r="T28" s="591">
        <v>12414.97</v>
      </c>
      <c r="U28" s="5716">
        <f t="shared" si="11"/>
        <v>4.6484204150312083</v>
      </c>
      <c r="V28" s="595">
        <v>18.45</v>
      </c>
      <c r="W28" s="595">
        <v>10.47</v>
      </c>
      <c r="X28" s="201">
        <v>20.59</v>
      </c>
      <c r="Y28" s="201">
        <v>0</v>
      </c>
      <c r="Z28" s="591">
        <v>4617.4400000000005</v>
      </c>
      <c r="AA28" s="1137">
        <f t="shared" si="12"/>
        <v>10.722391628261548</v>
      </c>
      <c r="AB28" s="596">
        <v>31.29</v>
      </c>
      <c r="AC28" s="596">
        <v>0</v>
      </c>
      <c r="AD28" s="597">
        <f>B28+C28+D28+E28+H28+I28+L28+M28+P28+Q28+R28+S28+V28+W28+X28+Y28+AB28+AC28</f>
        <v>1314.19</v>
      </c>
      <c r="AE28" s="588">
        <f>F28+J28+N28+T28+Z28</f>
        <v>101065.62300000001</v>
      </c>
      <c r="AF28" s="344">
        <f>AD28/AE28*1000</f>
        <v>13.003333487589543</v>
      </c>
      <c r="AG28" s="5917">
        <f>AD28-E28</f>
        <v>1268.21</v>
      </c>
    </row>
    <row r="29" spans="1:39" s="67" customFormat="1" ht="15" thickBot="1">
      <c r="A29" s="614" t="s">
        <v>691</v>
      </c>
      <c r="B29" s="615">
        <v>403.85</v>
      </c>
      <c r="C29" s="616">
        <v>63.1</v>
      </c>
      <c r="D29" s="616">
        <v>11.81</v>
      </c>
      <c r="E29" s="616">
        <v>56.68</v>
      </c>
      <c r="F29" s="617">
        <v>29580.91</v>
      </c>
      <c r="G29" s="1136">
        <f t="shared" si="10"/>
        <v>16.184762402508916</v>
      </c>
      <c r="H29" s="619">
        <v>432.72</v>
      </c>
      <c r="I29" s="620">
        <v>32.99</v>
      </c>
      <c r="J29" s="617">
        <v>29266.38</v>
      </c>
      <c r="K29" s="565">
        <f>(H29+I29)/N29*1000</f>
        <v>15.912798234697972</v>
      </c>
      <c r="L29" s="616">
        <v>43.22</v>
      </c>
      <c r="M29" s="620">
        <v>42.65</v>
      </c>
      <c r="N29" s="617">
        <v>29266.38</v>
      </c>
      <c r="O29" s="618">
        <f>(L29+M29)/N29*1000</f>
        <v>2.9340834090174459</v>
      </c>
      <c r="P29" s="619">
        <v>22.23</v>
      </c>
      <c r="Q29" s="622">
        <v>24.75</v>
      </c>
      <c r="R29" s="620">
        <v>40.65</v>
      </c>
      <c r="S29" s="620">
        <v>3.13</v>
      </c>
      <c r="T29" s="617">
        <v>13015.86</v>
      </c>
      <c r="U29" s="5716">
        <f t="shared" si="11"/>
        <v>6.9730313632752647</v>
      </c>
      <c r="V29" s="622">
        <v>27.6</v>
      </c>
      <c r="W29" s="622">
        <v>22.48</v>
      </c>
      <c r="X29" s="620">
        <v>10.119999999999999</v>
      </c>
      <c r="Y29" s="620">
        <v>0</v>
      </c>
      <c r="Z29" s="617">
        <v>4099.0349999999999</v>
      </c>
      <c r="AA29" s="1137">
        <f t="shared" si="12"/>
        <v>14.686383502458504</v>
      </c>
      <c r="AB29" s="623">
        <v>30.57</v>
      </c>
      <c r="AC29" s="623">
        <v>0</v>
      </c>
      <c r="AD29" s="1288">
        <f>B29+C29+D29+E29+H29+I29+L29+M29+P29+Q29+R29+S29+V29+W29+X29+Y29+AB29+AC29</f>
        <v>1268.5500000000002</v>
      </c>
      <c r="AE29" s="588">
        <f>F29+J29+N29+T29+Z29</f>
        <v>105228.565</v>
      </c>
      <c r="AF29" s="624">
        <f>AD29/AE29*1000</f>
        <v>12.055186726151783</v>
      </c>
      <c r="AG29" s="5917">
        <f>AD29-E29</f>
        <v>1211.8700000000001</v>
      </c>
    </row>
    <row r="30" spans="1:39" s="69" customFormat="1" ht="15.6" thickTop="1" thickBot="1">
      <c r="A30" s="571" t="s">
        <v>604</v>
      </c>
      <c r="B30" s="572">
        <f>SUM(B27:B29)</f>
        <v>1308.3000000000002</v>
      </c>
      <c r="C30" s="573">
        <f>SUM(C27:C29)</f>
        <v>206.22</v>
      </c>
      <c r="D30" s="573">
        <f>SUM(D27:D29)</f>
        <v>31.15</v>
      </c>
      <c r="E30" s="573">
        <f>SUM(E27:E29)</f>
        <v>160.66999999999999</v>
      </c>
      <c r="F30" s="578">
        <f>SUM(F27:F29)</f>
        <v>90585.803</v>
      </c>
      <c r="G30" s="6871">
        <f t="shared" si="10"/>
        <v>17.063049051957957</v>
      </c>
      <c r="H30" s="572">
        <f>SUM(H27:H29)</f>
        <v>1386.46</v>
      </c>
      <c r="I30" s="576">
        <f>SUM(I27:I29)</f>
        <v>93.009999999999991</v>
      </c>
      <c r="J30" s="574">
        <f>SUM(J27:J29)</f>
        <v>87846.09</v>
      </c>
      <c r="K30" s="577">
        <f>(H30+I30)/J30*1000</f>
        <v>16.841614692241851</v>
      </c>
      <c r="L30" s="573">
        <f>SUM(L27:L29)</f>
        <v>121.8</v>
      </c>
      <c r="M30" s="576">
        <f>SUM(M27:M29)</f>
        <v>111.21000000000001</v>
      </c>
      <c r="N30" s="578">
        <f>SUM(N27:N29)</f>
        <v>87846.09</v>
      </c>
      <c r="O30" s="575">
        <f t="shared" si="8"/>
        <v>2.6524800363909198</v>
      </c>
      <c r="P30" s="572">
        <f>SUM(P27:P29)</f>
        <v>75.53</v>
      </c>
      <c r="Q30" s="576">
        <f>SUM(Q27:Q29)</f>
        <v>45.84</v>
      </c>
      <c r="R30" s="576">
        <f>SUM(R27:R29)</f>
        <v>116.20000000000002</v>
      </c>
      <c r="S30" s="576">
        <f>SUM(S27:S29)</f>
        <v>3.13</v>
      </c>
      <c r="T30" s="578">
        <f>SUM(T27:T29)</f>
        <v>40489.32</v>
      </c>
      <c r="U30" s="6869">
        <f t="shared" si="11"/>
        <v>5.944777536397253</v>
      </c>
      <c r="V30" s="573">
        <f>SUM(V27:V29)</f>
        <v>77.240000000000009</v>
      </c>
      <c r="W30" s="576">
        <f>SUM(W27:W29)</f>
        <v>40.47</v>
      </c>
      <c r="X30" s="576">
        <f>SUM(X27:X29)</f>
        <v>55.019999999999996</v>
      </c>
      <c r="Y30" s="576">
        <f>SUM(Y27:Y29)</f>
        <v>0</v>
      </c>
      <c r="Z30" s="578">
        <f>SUM(Z27:Z29)</f>
        <v>13690.235000000001</v>
      </c>
      <c r="AA30" s="5569">
        <f t="shared" si="12"/>
        <v>12.617022279018586</v>
      </c>
      <c r="AB30" s="579">
        <f>AB27+AB28+AB29</f>
        <v>90.460000000000008</v>
      </c>
      <c r="AC30" s="579">
        <f>AC27+AC28+AC29</f>
        <v>0</v>
      </c>
      <c r="AD30" s="610">
        <f>B30+C30+D30+E30+Q30+W30+AC30+H30+I30+L30+M30+P30+R30+S30+V30+X30+Y30+AB30</f>
        <v>3922.7100000000014</v>
      </c>
      <c r="AE30" s="625">
        <f t="shared" si="7"/>
        <v>320457.538</v>
      </c>
      <c r="AF30" s="626">
        <f t="shared" si="9"/>
        <v>12.240966539535734</v>
      </c>
    </row>
    <row r="31" spans="1:39" ht="15" thickTop="1">
      <c r="A31" s="627" t="s">
        <v>694</v>
      </c>
      <c r="B31" s="628">
        <v>463.82</v>
      </c>
      <c r="C31" s="629">
        <v>66.069999999999993</v>
      </c>
      <c r="D31" s="629">
        <v>12.99</v>
      </c>
      <c r="E31" s="629">
        <v>84.24</v>
      </c>
      <c r="F31" s="630">
        <v>30626.621999999999</v>
      </c>
      <c r="G31" s="1136">
        <f t="shared" si="10"/>
        <v>17.725755063682833</v>
      </c>
      <c r="H31" s="632">
        <v>446.98</v>
      </c>
      <c r="I31" s="633">
        <v>52.4</v>
      </c>
      <c r="J31" s="630">
        <v>27208.309999999998</v>
      </c>
      <c r="K31" s="538">
        <f t="shared" ref="K31:K36" si="15">(H31+I31)/N31*1000</f>
        <v>18.353951421459108</v>
      </c>
      <c r="L31" s="629">
        <v>48.33</v>
      </c>
      <c r="M31" s="633">
        <v>33.19</v>
      </c>
      <c r="N31" s="630">
        <v>27208.309999999998</v>
      </c>
      <c r="O31" s="631">
        <f t="shared" si="8"/>
        <v>2.9961434576421691</v>
      </c>
      <c r="P31" s="632">
        <v>32.619999999999997</v>
      </c>
      <c r="Q31" s="634">
        <v>0</v>
      </c>
      <c r="R31" s="633">
        <v>23.59</v>
      </c>
      <c r="S31" s="633">
        <v>12.5</v>
      </c>
      <c r="T31" s="630">
        <v>13640.470000000001</v>
      </c>
      <c r="U31" s="6870">
        <f t="shared" si="11"/>
        <v>5.0372164595501472</v>
      </c>
      <c r="V31" s="634">
        <v>23.18</v>
      </c>
      <c r="W31" s="634">
        <v>12.37</v>
      </c>
      <c r="X31" s="633">
        <v>44.02</v>
      </c>
      <c r="Y31" s="633">
        <v>0</v>
      </c>
      <c r="Z31" s="630">
        <v>4427.88</v>
      </c>
      <c r="AA31" s="1137">
        <f t="shared" si="12"/>
        <v>17.970225028681895</v>
      </c>
      <c r="AB31" s="587">
        <v>35.94</v>
      </c>
      <c r="AC31" s="587">
        <v>0</v>
      </c>
      <c r="AD31" s="1288">
        <f>B31+C31+D31+E31+H31+I31+L31+M31+P31+Q31+R31+S31+V31+W31+X31+Y31+AB31+AC31</f>
        <v>1392.2399999999998</v>
      </c>
      <c r="AE31" s="588">
        <f t="shared" si="7"/>
        <v>103111.592</v>
      </c>
      <c r="AF31" s="342">
        <f t="shared" si="9"/>
        <v>13.502264614438303</v>
      </c>
      <c r="AG31" s="5917">
        <f>AD31-E31</f>
        <v>1307.9999999999998</v>
      </c>
    </row>
    <row r="32" spans="1:39" s="69" customFormat="1">
      <c r="A32" s="343" t="s">
        <v>717</v>
      </c>
      <c r="B32" s="589">
        <v>0</v>
      </c>
      <c r="C32" s="590">
        <v>10.5</v>
      </c>
      <c r="D32" s="590">
        <v>0</v>
      </c>
      <c r="E32" s="590">
        <v>68.97</v>
      </c>
      <c r="F32" s="591">
        <v>652.48</v>
      </c>
      <c r="G32" s="1136">
        <f t="shared" si="10"/>
        <v>16.092447278077486</v>
      </c>
      <c r="H32" s="593">
        <v>38.33</v>
      </c>
      <c r="I32" s="201">
        <v>7.75</v>
      </c>
      <c r="J32" s="591">
        <v>1333.4739999999999</v>
      </c>
      <c r="K32" s="565">
        <f t="shared" si="15"/>
        <v>34.556354304620861</v>
      </c>
      <c r="L32" s="590">
        <v>2.85</v>
      </c>
      <c r="M32" s="201">
        <v>18.45</v>
      </c>
      <c r="N32" s="591">
        <v>1333.4739999999999</v>
      </c>
      <c r="O32" s="592">
        <f t="shared" si="8"/>
        <v>15.97331481528699</v>
      </c>
      <c r="P32" s="593">
        <v>8.48</v>
      </c>
      <c r="Q32" s="595">
        <v>3.85</v>
      </c>
      <c r="R32" s="201">
        <v>36.479999999999997</v>
      </c>
      <c r="S32" s="201">
        <v>0</v>
      </c>
      <c r="T32" s="591">
        <v>13281.05</v>
      </c>
      <c r="U32" s="6870">
        <f t="shared" si="11"/>
        <v>3.6751612259572846</v>
      </c>
      <c r="V32" s="595">
        <v>3.84</v>
      </c>
      <c r="W32" s="595">
        <v>0</v>
      </c>
      <c r="X32" s="201">
        <v>38.43</v>
      </c>
      <c r="Y32" s="201">
        <v>0</v>
      </c>
      <c r="Z32" s="591">
        <v>4859.99</v>
      </c>
      <c r="AA32" s="1137">
        <f t="shared" si="12"/>
        <v>8.6975487603883952</v>
      </c>
      <c r="AB32" s="596">
        <v>45.9</v>
      </c>
      <c r="AC32" s="596">
        <v>5.13</v>
      </c>
      <c r="AD32" s="597">
        <f>B32+C32+D32+E32+H32+I32+L32+M32+P32+Q32+R32+S32+V32+W32+X32+Y32+AB32+AC32</f>
        <v>288.95999999999998</v>
      </c>
      <c r="AE32" s="588">
        <f t="shared" si="7"/>
        <v>21460.468000000001</v>
      </c>
      <c r="AF32" s="344">
        <f t="shared" si="9"/>
        <v>13.464757618519782</v>
      </c>
      <c r="AG32" s="5917">
        <f>AD32-E32</f>
        <v>219.98999999999998</v>
      </c>
    </row>
    <row r="33" spans="1:32" s="67" customFormat="1" ht="15" thickBot="1">
      <c r="A33" s="614" t="s">
        <v>605</v>
      </c>
      <c r="B33" s="615">
        <v>0</v>
      </c>
      <c r="C33" s="616">
        <v>0</v>
      </c>
      <c r="D33" s="616">
        <v>0</v>
      </c>
      <c r="E33" s="616">
        <v>52.53</v>
      </c>
      <c r="F33" s="617">
        <v>0</v>
      </c>
      <c r="G33" s="1136" t="e">
        <f t="shared" si="10"/>
        <v>#DIV/0!</v>
      </c>
      <c r="H33" s="619">
        <v>0</v>
      </c>
      <c r="I33" s="620">
        <v>24.91</v>
      </c>
      <c r="J33" s="617">
        <v>0</v>
      </c>
      <c r="K33" s="585" t="e">
        <f t="shared" si="15"/>
        <v>#DIV/0!</v>
      </c>
      <c r="L33" s="616">
        <v>0</v>
      </c>
      <c r="M33" s="620">
        <v>6.84</v>
      </c>
      <c r="N33" s="617">
        <v>0</v>
      </c>
      <c r="O33" s="618" t="e">
        <f t="shared" si="8"/>
        <v>#DIV/0!</v>
      </c>
      <c r="P33" s="619">
        <v>25.89</v>
      </c>
      <c r="Q33" s="622">
        <v>0</v>
      </c>
      <c r="R33" s="620">
        <v>64.010000000000005</v>
      </c>
      <c r="S33" s="620">
        <v>0</v>
      </c>
      <c r="T33" s="617">
        <v>12661.900000000001</v>
      </c>
      <c r="U33" s="6870">
        <f t="shared" si="11"/>
        <v>7.1000402783152605</v>
      </c>
      <c r="V33" s="622">
        <v>42.86</v>
      </c>
      <c r="W33" s="622">
        <v>0</v>
      </c>
      <c r="X33" s="620">
        <v>38.369999999999997</v>
      </c>
      <c r="Y33" s="620">
        <v>0</v>
      </c>
      <c r="Z33" s="617">
        <v>4664.7700000000004</v>
      </c>
      <c r="AA33" s="1137">
        <f t="shared" si="12"/>
        <v>17.413505917762286</v>
      </c>
      <c r="AB33" s="623">
        <v>44.74</v>
      </c>
      <c r="AC33" s="623">
        <v>4.28</v>
      </c>
      <c r="AD33" s="1288">
        <f>B33+C33+D33+E33+H33+I33+L33+M33+P33+Q33+R33+S33+V33+W33+X33+Y33+AB33+AC33</f>
        <v>304.43</v>
      </c>
      <c r="AE33" s="635">
        <f t="shared" si="7"/>
        <v>17326.670000000002</v>
      </c>
      <c r="AF33" s="624">
        <f t="shared" si="9"/>
        <v>17.570023553285193</v>
      </c>
    </row>
    <row r="34" spans="1:32" s="67" customFormat="1" ht="15.6" thickTop="1" thickBot="1">
      <c r="A34" s="571" t="s">
        <v>606</v>
      </c>
      <c r="B34" s="572">
        <f>SUM(B31:B33)</f>
        <v>463.82</v>
      </c>
      <c r="C34" s="573">
        <f>SUM(C31:C33)</f>
        <v>76.569999999999993</v>
      </c>
      <c r="D34" s="573">
        <f>SUM(D31:D33)</f>
        <v>12.99</v>
      </c>
      <c r="E34" s="573">
        <f>SUM(E31:E33)</f>
        <v>205.73999999999998</v>
      </c>
      <c r="F34" s="574">
        <f>SUM(F31:F33)</f>
        <v>31279.101999999999</v>
      </c>
      <c r="G34" s="6871">
        <f t="shared" si="10"/>
        <v>17.691684371245696</v>
      </c>
      <c r="H34" s="572">
        <f>SUM(H31:H33)</f>
        <v>485.31</v>
      </c>
      <c r="I34" s="576">
        <f>SUM(I31:I33)</f>
        <v>85.06</v>
      </c>
      <c r="J34" s="574">
        <f>SUM(J31:J33)</f>
        <v>28541.783999999996</v>
      </c>
      <c r="K34" s="636">
        <f t="shared" si="15"/>
        <v>19.983684271452692</v>
      </c>
      <c r="L34" s="573">
        <f>SUM(L31:L33)</f>
        <v>51.18</v>
      </c>
      <c r="M34" s="576">
        <f>SUM(M31:M33)</f>
        <v>58.480000000000004</v>
      </c>
      <c r="N34" s="574">
        <f>SUM(N31:N33)</f>
        <v>28541.783999999996</v>
      </c>
      <c r="O34" s="575">
        <f t="shared" si="8"/>
        <v>3.8420863951601625</v>
      </c>
      <c r="P34" s="572">
        <f>SUM(P31:P33)</f>
        <v>66.989999999999995</v>
      </c>
      <c r="Q34" s="576">
        <f>SUM(Q31:Q33)</f>
        <v>3.85</v>
      </c>
      <c r="R34" s="576">
        <f>SUM(R31:R33)</f>
        <v>124.08</v>
      </c>
      <c r="S34" s="576">
        <f>SUM(S31:S33)</f>
        <v>12.5</v>
      </c>
      <c r="T34" s="574">
        <f>SUM(T31:T33)</f>
        <v>39583.42</v>
      </c>
      <c r="U34" s="6869">
        <f t="shared" si="11"/>
        <v>5.2400727375249536</v>
      </c>
      <c r="V34" s="573">
        <f>SUM(V31:V33)</f>
        <v>69.88</v>
      </c>
      <c r="W34" s="576">
        <f>SUM(W31:W33)</f>
        <v>12.37</v>
      </c>
      <c r="X34" s="576">
        <f>SUM(X31:X33)</f>
        <v>120.82</v>
      </c>
      <c r="Y34" s="576">
        <f>SUM(Y31:Y33)</f>
        <v>0</v>
      </c>
      <c r="Z34" s="574">
        <f>SUM(Z31:Z33)</f>
        <v>13952.64</v>
      </c>
      <c r="AA34" s="6869">
        <f t="shared" si="12"/>
        <v>14.554234897481766</v>
      </c>
      <c r="AB34" s="579">
        <f>AB31+AB32+AB33</f>
        <v>126.58000000000001</v>
      </c>
      <c r="AC34" s="579">
        <f>AC31+AC32+AC33</f>
        <v>9.41</v>
      </c>
      <c r="AD34" s="610">
        <f>B34+C34+D34+E34+Q34+W34+AC34+H34+I34+L34+M34+P34+R34+S34+V34+X34+Y34+AB34</f>
        <v>1985.6299999999999</v>
      </c>
      <c r="AE34" s="625">
        <f t="shared" si="7"/>
        <v>141898.72999999998</v>
      </c>
      <c r="AF34" s="581">
        <f t="shared" si="9"/>
        <v>13.993289439588361</v>
      </c>
    </row>
    <row r="35" spans="1:32" s="67" customFormat="1" ht="15.6" thickTop="1" thickBot="1">
      <c r="A35" s="571" t="s">
        <v>607</v>
      </c>
      <c r="B35" s="572">
        <f>B34+B30</f>
        <v>1772.1200000000001</v>
      </c>
      <c r="C35" s="573">
        <f>C34+C30</f>
        <v>282.78999999999996</v>
      </c>
      <c r="D35" s="573">
        <f>D34+D30</f>
        <v>44.14</v>
      </c>
      <c r="E35" s="573">
        <f>E34+E30</f>
        <v>366.40999999999997</v>
      </c>
      <c r="F35" s="574">
        <f>F34+F30</f>
        <v>121864.905</v>
      </c>
      <c r="G35" s="6871">
        <f t="shared" si="10"/>
        <v>17.224401069364472</v>
      </c>
      <c r="H35" s="572">
        <f>H34+H30</f>
        <v>1871.77</v>
      </c>
      <c r="I35" s="576">
        <f>I34+I30</f>
        <v>178.07</v>
      </c>
      <c r="J35" s="574">
        <f>J34+J30</f>
        <v>116387.874</v>
      </c>
      <c r="K35" s="636">
        <f t="shared" si="15"/>
        <v>17.612144027993846</v>
      </c>
      <c r="L35" s="573">
        <f>L34+L30</f>
        <v>172.98</v>
      </c>
      <c r="M35" s="576">
        <f>M34+M30</f>
        <v>169.69</v>
      </c>
      <c r="N35" s="574">
        <f>N34+N30</f>
        <v>116387.874</v>
      </c>
      <c r="O35" s="575">
        <f t="shared" si="8"/>
        <v>2.9442070571716084</v>
      </c>
      <c r="P35" s="572">
        <f>P34+P30</f>
        <v>142.51999999999998</v>
      </c>
      <c r="Q35" s="576">
        <f>Q34+Q30</f>
        <v>49.690000000000005</v>
      </c>
      <c r="R35" s="576">
        <f>R34+R30</f>
        <v>240.28000000000003</v>
      </c>
      <c r="S35" s="576">
        <f>S34+S30</f>
        <v>15.629999999999999</v>
      </c>
      <c r="T35" s="574">
        <f>T34+T30</f>
        <v>80072.739999999991</v>
      </c>
      <c r="U35" s="6869">
        <f t="shared" si="11"/>
        <v>5.5964114628773798</v>
      </c>
      <c r="V35" s="573">
        <f>V34+V30</f>
        <v>147.12</v>
      </c>
      <c r="W35" s="576">
        <f>W34+W30</f>
        <v>52.839999999999996</v>
      </c>
      <c r="X35" s="576">
        <f>X34+X30</f>
        <v>175.83999999999997</v>
      </c>
      <c r="Y35" s="576">
        <f>Y34+Y30</f>
        <v>0</v>
      </c>
      <c r="Z35" s="574">
        <f>Z34+Z30</f>
        <v>27642.875</v>
      </c>
      <c r="AA35" s="6869">
        <f t="shared" si="12"/>
        <v>13.594823259158099</v>
      </c>
      <c r="AB35" s="579">
        <f>AB30+AB34</f>
        <v>217.04000000000002</v>
      </c>
      <c r="AC35" s="579">
        <f>AC30+AC34</f>
        <v>9.41</v>
      </c>
      <c r="AD35" s="610">
        <f>B35+C35+D35+E35+Q35+W35+AC35+H35+I35+L35+M35+P35+R35+S35+V35+X35+Y35+AB35</f>
        <v>5908.3399999999983</v>
      </c>
      <c r="AE35" s="625">
        <f t="shared" si="7"/>
        <v>462356.26799999998</v>
      </c>
      <c r="AF35" s="581">
        <f t="shared" si="9"/>
        <v>12.778760468756095</v>
      </c>
    </row>
    <row r="36" spans="1:32" ht="15.6" thickTop="1" thickBot="1">
      <c r="A36" s="637" t="s">
        <v>1276</v>
      </c>
      <c r="B36" s="638">
        <f t="shared" ref="B36:Z36" si="16">B35+B26</f>
        <v>4060.29</v>
      </c>
      <c r="C36" s="639">
        <f t="shared" si="16"/>
        <v>642.4</v>
      </c>
      <c r="D36" s="639">
        <f t="shared" si="16"/>
        <v>72.400000000000006</v>
      </c>
      <c r="E36" s="639">
        <f t="shared" si="16"/>
        <v>585.98</v>
      </c>
      <c r="F36" s="640">
        <f t="shared" si="16"/>
        <v>281712.78500000003</v>
      </c>
      <c r="G36" s="641">
        <f t="shared" si="10"/>
        <v>16.950206927953232</v>
      </c>
      <c r="H36" s="638">
        <f t="shared" si="16"/>
        <v>4335.13</v>
      </c>
      <c r="I36" s="642">
        <f t="shared" si="16"/>
        <v>354.34</v>
      </c>
      <c r="J36" s="640">
        <f t="shared" si="16"/>
        <v>265170.34399999998</v>
      </c>
      <c r="K36" s="643">
        <f t="shared" si="15"/>
        <v>17.68474531978584</v>
      </c>
      <c r="L36" s="639">
        <f t="shared" si="16"/>
        <v>370.97</v>
      </c>
      <c r="M36" s="642">
        <f t="shared" si="16"/>
        <v>490.90999999999997</v>
      </c>
      <c r="N36" s="640">
        <f t="shared" si="16"/>
        <v>265170.34399999998</v>
      </c>
      <c r="O36" s="641">
        <f t="shared" si="8"/>
        <v>3.2502880488023203</v>
      </c>
      <c r="P36" s="638">
        <f>P35+P26</f>
        <v>336.8</v>
      </c>
      <c r="Q36" s="642">
        <f>Q35+Q26</f>
        <v>110.68</v>
      </c>
      <c r="R36" s="642">
        <f>R35+R26</f>
        <v>465.11</v>
      </c>
      <c r="S36" s="642">
        <f>S35+S26</f>
        <v>71.150000000000006</v>
      </c>
      <c r="T36" s="640">
        <f>T35+T26</f>
        <v>157631.48799999998</v>
      </c>
      <c r="U36" s="643">
        <f t="shared" si="11"/>
        <v>6.2407581916628239</v>
      </c>
      <c r="V36" s="639">
        <f t="shared" si="16"/>
        <v>287.54000000000002</v>
      </c>
      <c r="W36" s="642">
        <f>W35+W26</f>
        <v>100.77</v>
      </c>
      <c r="X36" s="642">
        <f t="shared" si="16"/>
        <v>307.06999999999994</v>
      </c>
      <c r="Y36" s="642">
        <f t="shared" si="16"/>
        <v>0</v>
      </c>
      <c r="Z36" s="640">
        <f t="shared" si="16"/>
        <v>56112.341</v>
      </c>
      <c r="AA36" s="643">
        <f t="shared" si="12"/>
        <v>12.392639259160473</v>
      </c>
      <c r="AB36" s="644">
        <f>AB26+AB35</f>
        <v>422.88</v>
      </c>
      <c r="AC36" s="644">
        <f>AC26+AC35</f>
        <v>26.41</v>
      </c>
      <c r="AD36" s="5441">
        <f>B36+C36+D36+E36+H36+I36+L36+M36+P36+Q36+R36+S36+V36+W36+X36+Y36+AB36+AC36</f>
        <v>13040.83</v>
      </c>
      <c r="AE36" s="645">
        <f t="shared" si="7"/>
        <v>1025797.302</v>
      </c>
      <c r="AF36" s="646">
        <f t="shared" si="9"/>
        <v>12.712872196655475</v>
      </c>
    </row>
    <row r="37" spans="1:32" ht="15" thickBot="1">
      <c r="A37" s="1148"/>
      <c r="B37" s="1149"/>
      <c r="C37" s="1149"/>
      <c r="D37" s="1149"/>
      <c r="E37" s="1149"/>
      <c r="F37" s="1150"/>
      <c r="G37" s="1151"/>
      <c r="H37" s="1149"/>
      <c r="I37" s="1149"/>
      <c r="J37" s="1150"/>
      <c r="K37" s="1151"/>
      <c r="L37" s="1149"/>
      <c r="M37" s="1149"/>
      <c r="N37" s="1150"/>
      <c r="O37" s="1151"/>
      <c r="P37" s="1149"/>
      <c r="Q37" s="1149"/>
      <c r="R37" s="1149"/>
      <c r="S37" s="1149"/>
      <c r="T37" s="1150"/>
      <c r="U37" s="1151"/>
      <c r="V37" s="1149"/>
      <c r="W37" s="1149"/>
      <c r="X37" s="1149"/>
      <c r="Y37" s="1149"/>
      <c r="Z37" s="1150"/>
      <c r="AA37" s="1151"/>
      <c r="AB37" s="1152"/>
      <c r="AC37" s="1152"/>
      <c r="AD37" s="1153"/>
      <c r="AE37" s="1154"/>
      <c r="AF37" s="1155"/>
    </row>
    <row r="38" spans="1:32">
      <c r="A38" s="7232" t="s">
        <v>858</v>
      </c>
      <c r="B38" s="7234" t="s">
        <v>569</v>
      </c>
      <c r="C38" s="7234"/>
      <c r="D38" s="7234"/>
      <c r="E38" s="7234"/>
      <c r="F38" s="7235"/>
      <c r="G38" s="7236"/>
      <c r="H38" s="7237" t="s">
        <v>570</v>
      </c>
      <c r="I38" s="7238"/>
      <c r="J38" s="7238"/>
      <c r="K38" s="7239"/>
      <c r="L38" s="7238" t="s">
        <v>571</v>
      </c>
      <c r="M38" s="7238"/>
      <c r="N38" s="7238"/>
      <c r="O38" s="7238"/>
      <c r="P38" s="7244" t="s">
        <v>572</v>
      </c>
      <c r="Q38" s="7246"/>
      <c r="R38" s="7246"/>
      <c r="S38" s="7246"/>
      <c r="T38" s="7246"/>
      <c r="U38" s="7245"/>
      <c r="V38" s="7246" t="s">
        <v>189</v>
      </c>
      <c r="W38" s="7246"/>
      <c r="X38" s="7246"/>
      <c r="Y38" s="7246"/>
      <c r="Z38" s="7246"/>
      <c r="AA38" s="7245"/>
      <c r="AB38" s="155" t="s">
        <v>573</v>
      </c>
      <c r="AC38" s="5055"/>
      <c r="AD38" s="7240" t="s">
        <v>574</v>
      </c>
      <c r="AE38" s="7242" t="s">
        <v>575</v>
      </c>
      <c r="AF38" s="7243"/>
    </row>
    <row r="39" spans="1:32" ht="27" thickBot="1">
      <c r="A39" s="7233"/>
      <c r="B39" s="548" t="s">
        <v>859</v>
      </c>
      <c r="C39" s="548" t="s">
        <v>860</v>
      </c>
      <c r="D39" s="548"/>
      <c r="E39" s="548"/>
      <c r="F39" s="549" t="s">
        <v>578</v>
      </c>
      <c r="G39" s="550" t="s">
        <v>579</v>
      </c>
      <c r="H39" s="547" t="s">
        <v>861</v>
      </c>
      <c r="I39" s="551" t="s">
        <v>872</v>
      </c>
      <c r="J39" s="552" t="s">
        <v>581</v>
      </c>
      <c r="K39" s="553" t="s">
        <v>582</v>
      </c>
      <c r="L39" s="548" t="s">
        <v>870</v>
      </c>
      <c r="M39" s="551" t="s">
        <v>862</v>
      </c>
      <c r="N39" s="554" t="s">
        <v>585</v>
      </c>
      <c r="O39" s="555" t="s">
        <v>586</v>
      </c>
      <c r="P39" s="547" t="s">
        <v>864</v>
      </c>
      <c r="Q39" s="548"/>
      <c r="R39" s="551" t="s">
        <v>866</v>
      </c>
      <c r="S39" s="551" t="s">
        <v>868</v>
      </c>
      <c r="T39" s="554" t="s">
        <v>589</v>
      </c>
      <c r="U39" s="556" t="s">
        <v>590</v>
      </c>
      <c r="V39" s="548" t="s">
        <v>863</v>
      </c>
      <c r="W39" s="548"/>
      <c r="X39" s="551" t="s">
        <v>865</v>
      </c>
      <c r="Y39" s="551" t="s">
        <v>867</v>
      </c>
      <c r="Z39" s="554" t="s">
        <v>593</v>
      </c>
      <c r="AA39" s="556" t="s">
        <v>590</v>
      </c>
      <c r="AB39" s="156" t="s">
        <v>869</v>
      </c>
      <c r="AC39" s="156"/>
      <c r="AD39" s="7241"/>
      <c r="AE39" s="557" t="s">
        <v>594</v>
      </c>
      <c r="AF39" s="558" t="s">
        <v>595</v>
      </c>
    </row>
    <row r="40" spans="1:32" ht="15" thickTop="1">
      <c r="A40" s="338" t="s">
        <v>599</v>
      </c>
      <c r="B40" s="1156">
        <v>300.14</v>
      </c>
      <c r="C40" s="1157">
        <v>10.19</v>
      </c>
      <c r="D40" s="1157"/>
      <c r="E40" s="1157"/>
      <c r="F40" s="1158">
        <v>30125.35</v>
      </c>
      <c r="G40" s="1159">
        <f>(B40+C40)/F40*1000</f>
        <v>10.301291105331556</v>
      </c>
      <c r="H40" s="1157">
        <v>434.96</v>
      </c>
      <c r="I40" s="1157">
        <v>46.5</v>
      </c>
      <c r="J40" s="1158">
        <v>28989</v>
      </c>
      <c r="K40" s="1159">
        <f>(H40+I40)/N40*1000</f>
        <v>16.608368691572664</v>
      </c>
      <c r="L40" s="1157">
        <v>12.42</v>
      </c>
      <c r="M40" s="1157">
        <v>69.22</v>
      </c>
      <c r="N40" s="1158">
        <v>28989</v>
      </c>
      <c r="O40" s="1159">
        <f>(L40+M40)/N40*1000</f>
        <v>2.8162406430025184</v>
      </c>
      <c r="P40" s="1157">
        <v>6.36</v>
      </c>
      <c r="Q40" s="1157"/>
      <c r="R40" s="1157">
        <v>45.187000000000005</v>
      </c>
      <c r="S40" s="1157">
        <v>5.08</v>
      </c>
      <c r="T40" s="1158">
        <v>10390.94</v>
      </c>
      <c r="U40" s="1159">
        <f>(P40+R40+S40)/T40*1000</f>
        <v>5.4496513308709318</v>
      </c>
      <c r="V40" s="1157">
        <v>0.63</v>
      </c>
      <c r="W40" s="1157"/>
      <c r="X40" s="1157">
        <v>30.61</v>
      </c>
      <c r="Y40" s="1157">
        <v>2.89</v>
      </c>
      <c r="Z40" s="1158">
        <v>4586.4900000000007</v>
      </c>
      <c r="AA40" s="1159">
        <f>(V40+X40+Y40)/Z40*1000</f>
        <v>7.4414203454057439</v>
      </c>
      <c r="AB40" s="1160">
        <v>29.04</v>
      </c>
      <c r="AC40" s="1160"/>
      <c r="AD40" s="1161">
        <f>B40+C40+H40+I40+L40+M40+P40+R40+S40+V40+X40+Y40+AB40</f>
        <v>993.22699999999998</v>
      </c>
      <c r="AE40" s="630">
        <f>F40+J40+N40+T40+Z40</f>
        <v>103080.78000000001</v>
      </c>
      <c r="AF40" s="1162">
        <f>AD40/AE40*1000</f>
        <v>9.6354237909336717</v>
      </c>
    </row>
    <row r="41" spans="1:32">
      <c r="A41" s="339" t="s">
        <v>5</v>
      </c>
      <c r="B41" s="1163">
        <v>406.25</v>
      </c>
      <c r="C41" s="1164">
        <v>11.27</v>
      </c>
      <c r="D41" s="1164"/>
      <c r="E41" s="1164"/>
      <c r="F41" s="1165">
        <v>28699.19</v>
      </c>
      <c r="G41" s="1166">
        <f>(B41+C41)/F41*1000</f>
        <v>14.548145783905399</v>
      </c>
      <c r="H41" s="1164">
        <v>440.64</v>
      </c>
      <c r="I41" s="1164">
        <v>34.549999999999997</v>
      </c>
      <c r="J41" s="1165">
        <v>25102.67</v>
      </c>
      <c r="K41" s="1166">
        <f>(H41+I41)/N41*1000</f>
        <v>18.929858855651613</v>
      </c>
      <c r="L41" s="1164">
        <v>8.234</v>
      </c>
      <c r="M41" s="1164">
        <v>52.480000000000004</v>
      </c>
      <c r="N41" s="1165">
        <v>25102.67</v>
      </c>
      <c r="O41" s="1166">
        <f>(L41+M41)/N41*1000</f>
        <v>2.4186271818894167</v>
      </c>
      <c r="P41" s="1164">
        <v>17.527999999999999</v>
      </c>
      <c r="Q41" s="1164"/>
      <c r="R41" s="1164">
        <v>54.309000220000001</v>
      </c>
      <c r="S41" s="1164">
        <v>0.48</v>
      </c>
      <c r="T41" s="1165">
        <v>11148</v>
      </c>
      <c r="U41" s="1166">
        <f>(P41+R41+S41)/T41*1000</f>
        <v>6.4869932023681374</v>
      </c>
      <c r="V41" s="1164">
        <v>0</v>
      </c>
      <c r="W41" s="1164"/>
      <c r="X41" s="1164">
        <v>26.73</v>
      </c>
      <c r="Y41" s="1164">
        <v>0</v>
      </c>
      <c r="Z41" s="1165">
        <v>4303.53</v>
      </c>
      <c r="AA41" s="1166">
        <f>(V41+X41+Y41)/Z41*1000</f>
        <v>6.2111801242236027</v>
      </c>
      <c r="AB41" s="1167">
        <v>26.52</v>
      </c>
      <c r="AC41" s="1167"/>
      <c r="AD41" s="1168">
        <f>B41+C41+H41+I41+L41+M41+P41+R41+S41+V41+X41+Y41+AB41</f>
        <v>1078.9910002199999</v>
      </c>
      <c r="AE41" s="591">
        <f>F41+J41+N41+T41+Z41</f>
        <v>94356.06</v>
      </c>
      <c r="AF41" s="1169">
        <f>AD41/AE41*1000</f>
        <v>11.435312159282615</v>
      </c>
    </row>
    <row r="42" spans="1:32" ht="15" thickBot="1">
      <c r="A42" s="340" t="s">
        <v>600</v>
      </c>
      <c r="B42" s="1170"/>
      <c r="C42" s="1171"/>
      <c r="D42" s="1171"/>
      <c r="E42" s="1171"/>
      <c r="F42" s="1172"/>
      <c r="G42" s="1173"/>
      <c r="H42" s="1171"/>
      <c r="I42" s="1171"/>
      <c r="J42" s="1172"/>
      <c r="K42" s="1173"/>
      <c r="L42" s="1171"/>
      <c r="M42" s="1171"/>
      <c r="N42" s="1172"/>
      <c r="O42" s="1173"/>
      <c r="P42" s="1171"/>
      <c r="Q42" s="1171"/>
      <c r="R42" s="1171"/>
      <c r="S42" s="1171"/>
      <c r="T42" s="1172"/>
      <c r="U42" s="1173"/>
      <c r="V42" s="1171"/>
      <c r="W42" s="1171"/>
      <c r="X42" s="1171"/>
      <c r="Y42" s="1171"/>
      <c r="Z42" s="1172"/>
      <c r="AA42" s="1173"/>
      <c r="AB42" s="1174"/>
      <c r="AC42" s="1174"/>
      <c r="AD42" s="1175"/>
      <c r="AE42" s="601"/>
      <c r="AF42" s="1176"/>
    </row>
    <row r="43" spans="1:32" ht="15.6" thickTop="1" thickBot="1">
      <c r="A43" s="571" t="s">
        <v>601</v>
      </c>
      <c r="B43" s="1149"/>
      <c r="C43" s="1149"/>
      <c r="D43" s="1149"/>
      <c r="E43" s="1149"/>
      <c r="F43" s="1150"/>
      <c r="G43" s="1151" t="s">
        <v>1171</v>
      </c>
      <c r="H43" s="1149" t="s">
        <v>1172</v>
      </c>
      <c r="I43" s="1149" t="s">
        <v>1173</v>
      </c>
      <c r="J43" s="1150"/>
      <c r="K43" s="1151"/>
      <c r="L43" s="1149"/>
      <c r="M43" s="1149"/>
      <c r="N43" s="1150"/>
      <c r="O43" s="1151"/>
      <c r="P43" s="1149"/>
      <c r="Q43" s="1149"/>
      <c r="R43" s="1149"/>
      <c r="S43" s="1149"/>
      <c r="T43" s="1150"/>
      <c r="U43" s="1151"/>
      <c r="V43" s="1149"/>
      <c r="W43" s="1149"/>
      <c r="X43" s="1149"/>
      <c r="Y43" s="1149"/>
      <c r="Z43" s="1150"/>
      <c r="AA43" s="1151"/>
      <c r="AB43" s="1152"/>
      <c r="AC43" s="1152"/>
      <c r="AD43" s="1153"/>
      <c r="AE43" s="1154"/>
      <c r="AF43" s="1155"/>
    </row>
    <row r="44" spans="1:32" ht="15" thickTop="1">
      <c r="A44" s="341" t="s">
        <v>7</v>
      </c>
      <c r="B44" s="1149"/>
      <c r="C44" s="1149"/>
      <c r="D44" s="1149"/>
      <c r="E44" s="1149"/>
      <c r="F44" s="65" t="s">
        <v>1170</v>
      </c>
      <c r="G44" s="2476">
        <v>100000</v>
      </c>
      <c r="H44" s="2476">
        <v>15000</v>
      </c>
      <c r="I44" s="2476">
        <v>60000</v>
      </c>
      <c r="J44" s="2476"/>
      <c r="K44" s="2476">
        <v>7000</v>
      </c>
      <c r="L44" s="2476">
        <v>8000</v>
      </c>
      <c r="M44" s="2476">
        <v>10000</v>
      </c>
      <c r="N44" s="1150"/>
      <c r="O44" s="1151"/>
      <c r="P44" s="1149"/>
      <c r="Q44" s="1149"/>
      <c r="R44" s="1149"/>
      <c r="S44" s="1149"/>
      <c r="T44" s="1150"/>
      <c r="U44" s="1151"/>
      <c r="V44" s="1149"/>
      <c r="W44" s="1149"/>
      <c r="X44" s="1149"/>
      <c r="Y44" s="1149"/>
      <c r="Z44" s="1150"/>
      <c r="AA44" s="1151"/>
      <c r="AB44" s="1152"/>
      <c r="AC44" s="1152"/>
      <c r="AD44" s="1153"/>
      <c r="AE44" s="1154"/>
      <c r="AF44" s="1155"/>
    </row>
  </sheetData>
  <mergeCells count="18">
    <mergeCell ref="A1:AA2"/>
    <mergeCell ref="A4:A5"/>
    <mergeCell ref="B4:G4"/>
    <mergeCell ref="H4:K4"/>
    <mergeCell ref="L4:O4"/>
    <mergeCell ref="P4:U4"/>
    <mergeCell ref="V4:AA4"/>
    <mergeCell ref="A38:A39"/>
    <mergeCell ref="B38:G38"/>
    <mergeCell ref="H38:K38"/>
    <mergeCell ref="AD4:AD5"/>
    <mergeCell ref="AE4:AF4"/>
    <mergeCell ref="AB4:AC4"/>
    <mergeCell ref="L38:O38"/>
    <mergeCell ref="P38:U38"/>
    <mergeCell ref="V38:AA38"/>
    <mergeCell ref="AD38:AD39"/>
    <mergeCell ref="AE38:AF38"/>
  </mergeCells>
  <phoneticPr fontId="22" type="noConversion"/>
  <pageMargins left="0" right="0" top="0.35433070866141736" bottom="0" header="0.31496062992125984" footer="0.31496062992125984"/>
  <pageSetup paperSize="9" scale="5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G251"/>
  <sheetViews>
    <sheetView zoomScale="80" zoomScaleNormal="80" workbookViewId="0">
      <pane xSplit="1" ySplit="1" topLeftCell="B2" activePane="bottomRight" state="frozen"/>
      <selection activeCell="I54" sqref="I54"/>
      <selection pane="topRight" activeCell="I54" sqref="I54"/>
      <selection pane="bottomLeft" activeCell="I54" sqref="I54"/>
      <selection pane="bottomRight" activeCell="V94" sqref="V94"/>
    </sheetView>
  </sheetViews>
  <sheetFormatPr defaultColWidth="8.8984375" defaultRowHeight="10.8"/>
  <cols>
    <col min="1" max="1" width="7.09765625" style="14" bestFit="1" customWidth="1"/>
    <col min="2" max="2" width="9.296875" style="15" bestFit="1" customWidth="1"/>
    <col min="3" max="3" width="12.3984375" style="15" customWidth="1"/>
    <col min="4" max="4" width="9.8984375" style="15" customWidth="1"/>
    <col min="5" max="5" width="11" style="15" customWidth="1"/>
    <col min="6" max="6" width="8.69921875" style="15" customWidth="1"/>
    <col min="7" max="7" width="9.09765625" style="16" bestFit="1" customWidth="1"/>
    <col min="8" max="8" width="9.3984375" style="16" customWidth="1"/>
    <col min="9" max="9" width="10.69921875" style="15" customWidth="1"/>
    <col min="10" max="10" width="9.69921875" style="15" customWidth="1"/>
    <col min="11" max="12" width="9.09765625" style="15" customWidth="1"/>
    <col min="13" max="13" width="10.69921875" style="15" customWidth="1"/>
    <col min="14" max="15" width="9.09765625" style="15" customWidth="1"/>
    <col min="16" max="16" width="11.5" style="15" customWidth="1"/>
    <col min="17" max="17" width="10.69921875" style="4" customWidth="1"/>
    <col min="18" max="18" width="9.796875" style="4" customWidth="1"/>
    <col min="19" max="19" width="8.8984375" style="4" customWidth="1"/>
    <col min="20" max="20" width="9" style="4" customWidth="1"/>
    <col min="21" max="21" width="7.8984375" style="4" customWidth="1"/>
    <col min="22" max="22" width="11.796875" style="4" customWidth="1"/>
    <col min="23" max="23" width="16.296875" style="4" bestFit="1" customWidth="1"/>
    <col min="24" max="24" width="15.19921875" style="4" bestFit="1" customWidth="1"/>
    <col min="25" max="25" width="9.09765625" style="4" bestFit="1" customWidth="1"/>
    <col min="26" max="27" width="7.69921875" style="4" bestFit="1" customWidth="1"/>
    <col min="28" max="28" width="8.69921875" style="4" bestFit="1" customWidth="1"/>
    <col min="29" max="29" width="5.796875" style="4" bestFit="1" customWidth="1"/>
    <col min="30" max="30" width="8.8984375" style="4"/>
    <col min="31" max="31" width="8.09765625" style="4" bestFit="1" customWidth="1"/>
    <col min="32" max="32" width="11" style="4" bestFit="1" customWidth="1"/>
    <col min="33" max="16384" width="8.8984375" style="4"/>
  </cols>
  <sheetData>
    <row r="1" spans="1:31" s="35" customFormat="1">
      <c r="A1" s="7271" t="s">
        <v>0</v>
      </c>
      <c r="B1" s="7271"/>
      <c r="C1" s="467" t="s">
        <v>1169</v>
      </c>
      <c r="D1" s="467" t="s">
        <v>1269</v>
      </c>
      <c r="E1" s="467" t="s">
        <v>1270</v>
      </c>
      <c r="F1" s="467" t="s">
        <v>18</v>
      </c>
      <c r="G1" s="467" t="s">
        <v>5</v>
      </c>
      <c r="H1" s="467" t="s">
        <v>6</v>
      </c>
      <c r="I1" s="467" t="s">
        <v>7</v>
      </c>
      <c r="J1" s="467" t="s">
        <v>8</v>
      </c>
      <c r="K1" s="467" t="s">
        <v>9</v>
      </c>
      <c r="L1" s="467" t="s">
        <v>10</v>
      </c>
      <c r="M1" s="467" t="s">
        <v>11</v>
      </c>
      <c r="N1" s="467" t="s">
        <v>12</v>
      </c>
      <c r="O1" s="467" t="s">
        <v>13</v>
      </c>
      <c r="P1" s="467" t="s">
        <v>14</v>
      </c>
      <c r="Q1" s="467" t="s">
        <v>15</v>
      </c>
      <c r="R1" s="209" t="s">
        <v>1283</v>
      </c>
      <c r="S1" s="209" t="s">
        <v>20</v>
      </c>
      <c r="T1" s="209" t="s">
        <v>21</v>
      </c>
      <c r="U1" s="209" t="s">
        <v>176</v>
      </c>
      <c r="V1" s="209" t="s">
        <v>22</v>
      </c>
    </row>
    <row r="2" spans="1:31" s="269" customFormat="1">
      <c r="A2" s="7263" t="s">
        <v>26</v>
      </c>
      <c r="B2" s="220" t="s">
        <v>27</v>
      </c>
      <c r="C2" s="221">
        <v>309336.92300000001</v>
      </c>
      <c r="D2" s="221">
        <f>D14/D87</f>
        <v>282217.3469387755</v>
      </c>
      <c r="E2" s="212">
        <f>D2</f>
        <v>282217.3469387755</v>
      </c>
      <c r="F2" s="472">
        <f>'L D'!E3</f>
        <v>26835.18</v>
      </c>
      <c r="G2" s="472">
        <f>'L D'!E13</f>
        <v>29552.457999999999</v>
      </c>
      <c r="H2" s="472">
        <f>'L D'!E23</f>
        <v>24279.361000000001</v>
      </c>
      <c r="I2" s="472">
        <f>'L D'!E33</f>
        <v>26459.075000000001</v>
      </c>
      <c r="J2" s="472">
        <f>'L D'!E43</f>
        <v>26017.21</v>
      </c>
      <c r="K2" s="472">
        <f>'L D'!E53</f>
        <v>30124.382000000001</v>
      </c>
      <c r="L2" s="472">
        <f>'L D'!E63</f>
        <v>33134.620999999999</v>
      </c>
      <c r="M2" s="472">
        <f>'L D'!E73</f>
        <v>29244.234</v>
      </c>
      <c r="N2" s="472">
        <f>'L D'!E83</f>
        <v>30214.471000000001</v>
      </c>
      <c r="O2" s="472">
        <f>'L D'!E93</f>
        <v>31304.052</v>
      </c>
      <c r="P2" s="472">
        <f>'L D'!E103</f>
        <v>663.96</v>
      </c>
      <c r="Q2" s="472">
        <f>'L D'!E113</f>
        <v>0</v>
      </c>
      <c r="R2" s="212">
        <f t="shared" ref="R2:R25" si="0">SUM(F2:H2)</f>
        <v>80666.998999999996</v>
      </c>
      <c r="S2" s="472">
        <f>SUM(F2:K2)</f>
        <v>163267.666</v>
      </c>
      <c r="T2" s="472">
        <f>'L D'!E144</f>
        <v>0</v>
      </c>
      <c r="U2" s="472">
        <f>SUM(L2:Q2)</f>
        <v>124561.338</v>
      </c>
      <c r="V2" s="472">
        <f>SUM(F2:Q2)</f>
        <v>287829.00400000002</v>
      </c>
      <c r="W2" s="269">
        <f>S2/5*12</f>
        <v>391842.39839999995</v>
      </c>
    </row>
    <row r="3" spans="1:31" s="269" customFormat="1">
      <c r="A3" s="7263"/>
      <c r="B3" s="220" t="s">
        <v>28</v>
      </c>
      <c r="C3" s="221">
        <v>290922.37900000002</v>
      </c>
      <c r="D3" s="221">
        <f>D15/D88</f>
        <v>266346.63466346636</v>
      </c>
      <c r="E3" s="212">
        <f>D3</f>
        <v>266346.63466346636</v>
      </c>
      <c r="F3" s="472">
        <f>'L D'!E4</f>
        <v>22654.26</v>
      </c>
      <c r="G3" s="472">
        <f>'L D'!E14</f>
        <v>27041.06</v>
      </c>
      <c r="H3" s="472">
        <f>'L D'!E24</f>
        <v>21718.05</v>
      </c>
      <c r="I3" s="472">
        <f>'L D'!E34</f>
        <v>26467.64</v>
      </c>
      <c r="J3" s="472">
        <f>'L D'!E44</f>
        <v>24559.48</v>
      </c>
      <c r="K3" s="472">
        <f>'L D'!E54</f>
        <v>26321.43</v>
      </c>
      <c r="L3" s="472">
        <f>'L D'!E64</f>
        <v>31026.09</v>
      </c>
      <c r="M3" s="472">
        <f>'L D'!E74</f>
        <v>28360.503000000001</v>
      </c>
      <c r="N3" s="472">
        <f>'L D'!E84</f>
        <v>26501.919999999998</v>
      </c>
      <c r="O3" s="472">
        <f>'L D'!E94</f>
        <v>29941.882000000001</v>
      </c>
      <c r="P3" s="472">
        <f>'L D'!E104</f>
        <v>0</v>
      </c>
      <c r="Q3" s="472">
        <f>'L D'!E114</f>
        <v>0</v>
      </c>
      <c r="R3" s="212">
        <f t="shared" si="0"/>
        <v>71413.37</v>
      </c>
      <c r="S3" s="472">
        <f>SUM(F3:K3)</f>
        <v>148761.91999999998</v>
      </c>
      <c r="T3" s="472">
        <f>'L D'!E145</f>
        <v>0</v>
      </c>
      <c r="U3" s="472">
        <f>SUM(L3:Q3)</f>
        <v>115830.395</v>
      </c>
      <c r="V3" s="472">
        <f>SUM(F3:Q3)</f>
        <v>264592.31499999994</v>
      </c>
      <c r="W3" s="269">
        <f>S3/5*12</f>
        <v>357028.60800000001</v>
      </c>
    </row>
    <row r="4" spans="1:31" s="269" customFormat="1">
      <c r="A4" s="7263"/>
      <c r="B4" s="220" t="s">
        <v>29</v>
      </c>
      <c r="C4" s="221">
        <v>291080.179</v>
      </c>
      <c r="D4" s="221">
        <f>D16/D89</f>
        <v>272396.61185849528</v>
      </c>
      <c r="E4" s="212">
        <f>D4</f>
        <v>272396.61185849528</v>
      </c>
      <c r="F4" s="472">
        <f>'L D'!E5</f>
        <v>24560.09</v>
      </c>
      <c r="G4" s="472">
        <f>'L D'!E15</f>
        <v>24430.25</v>
      </c>
      <c r="H4" s="472">
        <f>'L D'!E25</f>
        <v>26832.44</v>
      </c>
      <c r="I4" s="472">
        <f>'L D'!E35</f>
        <v>24655.56</v>
      </c>
      <c r="J4" s="472">
        <f>'L D'!E45</f>
        <v>22679.119999999999</v>
      </c>
      <c r="K4" s="472">
        <f>'L D'!E55</f>
        <v>24915.05</v>
      </c>
      <c r="L4" s="472">
        <f>'L D'!E65</f>
        <v>30734.1</v>
      </c>
      <c r="M4" s="472">
        <f>'L D'!E75</f>
        <v>27651.102999999999</v>
      </c>
      <c r="N4" s="472">
        <f>'L D'!E85</f>
        <v>29172.3</v>
      </c>
      <c r="O4" s="472">
        <f>'L D'!E95</f>
        <v>27009.223000000002</v>
      </c>
      <c r="P4" s="472">
        <f>'L D'!E105</f>
        <v>1320.86</v>
      </c>
      <c r="Q4" s="472">
        <f>'L D'!E115</f>
        <v>0</v>
      </c>
      <c r="R4" s="212">
        <f t="shared" si="0"/>
        <v>75822.78</v>
      </c>
      <c r="S4" s="472">
        <f>SUM(F4:K4)</f>
        <v>148072.50999999998</v>
      </c>
      <c r="T4" s="472">
        <f>'L D'!E146</f>
        <v>0</v>
      </c>
      <c r="U4" s="472">
        <f>SUM(L4:Q4)</f>
        <v>115887.586</v>
      </c>
      <c r="V4" s="472">
        <f>SUM(F4:Q4)</f>
        <v>263960.09599999996</v>
      </c>
      <c r="W4" s="269">
        <f>S4/5*12</f>
        <v>355374.02399999998</v>
      </c>
      <c r="X4" s="6">
        <f>D19/D7</f>
        <v>0.99638399452019832</v>
      </c>
      <c r="Y4" s="6">
        <f>E19/E7</f>
        <v>0.99638399452019832</v>
      </c>
      <c r="Z4" s="269" t="s">
        <v>1160</v>
      </c>
    </row>
    <row r="5" spans="1:31" s="269" customFormat="1">
      <c r="A5" s="7263"/>
      <c r="B5" s="220" t="s">
        <v>30</v>
      </c>
      <c r="C5" s="221">
        <v>150807.88499999998</v>
      </c>
      <c r="D5" s="221">
        <f>D17/D90</f>
        <v>166603.60450064723</v>
      </c>
      <c r="E5" s="212">
        <f>D5</f>
        <v>166603.60450064723</v>
      </c>
      <c r="F5" s="472">
        <f>'L D'!E6</f>
        <v>13663.083000000001</v>
      </c>
      <c r="G5" s="472">
        <f>'L D'!E16</f>
        <v>11341.162</v>
      </c>
      <c r="H5" s="472">
        <f>'L D'!E26</f>
        <v>13219.956</v>
      </c>
      <c r="I5" s="472">
        <f>'L D'!E36</f>
        <v>12834.837</v>
      </c>
      <c r="J5" s="472">
        <f>'L D'!E46</f>
        <v>12569.166999999999</v>
      </c>
      <c r="K5" s="472">
        <f>'L D'!E56</f>
        <v>13518.127</v>
      </c>
      <c r="L5" s="472">
        <f>'L D'!E66</f>
        <v>15005.281999999999</v>
      </c>
      <c r="M5" s="472">
        <f>'L D'!E76</f>
        <v>12337.478999999999</v>
      </c>
      <c r="N5" s="472">
        <f>'L D'!E86</f>
        <v>12945.152</v>
      </c>
      <c r="O5" s="472">
        <f>'L D'!E96</f>
        <v>13569.337</v>
      </c>
      <c r="P5" s="472">
        <f>'L D'!E106</f>
        <v>13204.578</v>
      </c>
      <c r="Q5" s="472">
        <f>'L D'!E116</f>
        <v>12613.887000000001</v>
      </c>
      <c r="R5" s="212">
        <f t="shared" si="0"/>
        <v>38224.201000000001</v>
      </c>
      <c r="S5" s="472">
        <f>SUM(F5:K5)</f>
        <v>77146.331999999995</v>
      </c>
      <c r="T5" s="472">
        <f>'L D'!E147</f>
        <v>0</v>
      </c>
      <c r="U5" s="472">
        <f>SUM(L5:Q5)</f>
        <v>79675.714999999997</v>
      </c>
      <c r="V5" s="472">
        <f>SUM(F5:Q5)</f>
        <v>156822.04699999999</v>
      </c>
      <c r="W5" s="269">
        <f>S5/5*12</f>
        <v>185151.19679999998</v>
      </c>
      <c r="Z5" s="753" t="s">
        <v>0</v>
      </c>
      <c r="AA5" s="753" t="s">
        <v>726</v>
      </c>
      <c r="AB5" s="753" t="s">
        <v>727</v>
      </c>
      <c r="AC5" s="753" t="s">
        <v>16</v>
      </c>
    </row>
    <row r="6" spans="1:31" s="269" customFormat="1">
      <c r="A6" s="7263"/>
      <c r="B6" s="220" t="s">
        <v>17</v>
      </c>
      <c r="C6" s="221">
        <v>52463.388999999996</v>
      </c>
      <c r="D6" s="221">
        <f>D18/D91</f>
        <v>53001.49328023893</v>
      </c>
      <c r="E6" s="212">
        <f>D6</f>
        <v>53001.49328023893</v>
      </c>
      <c r="F6" s="472">
        <f>'L D'!E9</f>
        <v>5113.915</v>
      </c>
      <c r="G6" s="472">
        <f>'L D'!E19</f>
        <v>5241.3869999999997</v>
      </c>
      <c r="H6" s="472">
        <f>'L D'!E29</f>
        <v>4191.29</v>
      </c>
      <c r="I6" s="472">
        <f>'L D'!E39</f>
        <v>4526.8490000000002</v>
      </c>
      <c r="J6" s="472">
        <f>'L D'!E49</f>
        <v>4004.962</v>
      </c>
      <c r="K6" s="472">
        <f>'L D'!E59</f>
        <v>5219.2190000000001</v>
      </c>
      <c r="L6" s="472">
        <f>'L D'!E69</f>
        <v>4945.8980000000001</v>
      </c>
      <c r="M6" s="472">
        <f>'L D'!E79</f>
        <v>4592.4809999999998</v>
      </c>
      <c r="N6" s="472">
        <f>'L D'!E89</f>
        <v>4065.9810000000002</v>
      </c>
      <c r="O6" s="472">
        <f>'L D'!E99</f>
        <v>4398.4470000000001</v>
      </c>
      <c r="P6" s="472">
        <f>'L D'!E109</f>
        <v>4828.9269999999997</v>
      </c>
      <c r="Q6" s="472">
        <f>'L D'!E119</f>
        <v>4627.4830000000002</v>
      </c>
      <c r="R6" s="212">
        <f t="shared" si="0"/>
        <v>14546.592000000001</v>
      </c>
      <c r="S6" s="472">
        <f>SUM(F6:K6)</f>
        <v>28297.621999999999</v>
      </c>
      <c r="T6" s="472">
        <f>'L D'!E150</f>
        <v>0</v>
      </c>
      <c r="U6" s="472">
        <f>SUM(L6:Q6)</f>
        <v>27459.217000000001</v>
      </c>
      <c r="V6" s="472">
        <f>SUM(F6:Q6)</f>
        <v>55756.839</v>
      </c>
      <c r="W6" s="269">
        <f>S6/3*12</f>
        <v>113190.48799999998</v>
      </c>
      <c r="Z6" s="753" t="s">
        <v>27</v>
      </c>
      <c r="AA6" s="753">
        <v>168936</v>
      </c>
      <c r="AB6" s="753">
        <v>174407</v>
      </c>
      <c r="AC6" s="753">
        <f>SUM(AA6:AB6)</f>
        <v>343343</v>
      </c>
    </row>
    <row r="7" spans="1:31" s="503" customFormat="1">
      <c r="A7" s="501" t="s">
        <v>31</v>
      </c>
      <c r="B7" s="501"/>
      <c r="C7" s="501">
        <v>1094610.7550000001</v>
      </c>
      <c r="D7" s="501">
        <f t="shared" ref="D7:L7" si="1">SUM(D2:D6)</f>
        <v>1040565.6912416234</v>
      </c>
      <c r="E7" s="501">
        <f t="shared" si="1"/>
        <v>1040565.6912416234</v>
      </c>
      <c r="F7" s="501">
        <f t="shared" si="1"/>
        <v>92826.527999999991</v>
      </c>
      <c r="G7" s="501">
        <f t="shared" si="1"/>
        <v>97606.316999999995</v>
      </c>
      <c r="H7" s="501">
        <f t="shared" si="1"/>
        <v>90241.096999999994</v>
      </c>
      <c r="I7" s="501">
        <f t="shared" si="1"/>
        <v>94943.960999999996</v>
      </c>
      <c r="J7" s="501">
        <f t="shared" si="1"/>
        <v>89829.938999999998</v>
      </c>
      <c r="K7" s="501">
        <f t="shared" si="1"/>
        <v>100098.208</v>
      </c>
      <c r="L7" s="501">
        <f t="shared" si="1"/>
        <v>114845.99099999999</v>
      </c>
      <c r="M7" s="501">
        <f>SUM(M2:M6)</f>
        <v>102185.79999999999</v>
      </c>
      <c r="N7" s="502">
        <f>SUM(N2:N6)</f>
        <v>102899.82400000001</v>
      </c>
      <c r="O7" s="502">
        <f>SUM(O2:O6)</f>
        <v>106222.94100000001</v>
      </c>
      <c r="P7" s="502">
        <f>SUM(P2:P6)</f>
        <v>20018.324999999997</v>
      </c>
      <c r="Q7" s="502">
        <f>SUM(Q2:Q6)</f>
        <v>17241.370000000003</v>
      </c>
      <c r="R7" s="1512">
        <f t="shared" si="0"/>
        <v>280673.94199999998</v>
      </c>
      <c r="S7" s="502">
        <f>SUM(S2:S6)</f>
        <v>565546.05000000005</v>
      </c>
      <c r="T7" s="502">
        <f>SUM(T2:T5)</f>
        <v>0</v>
      </c>
      <c r="U7" s="502">
        <f>SUM(U2:U6)</f>
        <v>463414.25099999999</v>
      </c>
      <c r="V7" s="502">
        <f>SUM(V2:V6)</f>
        <v>1028960.3009999999</v>
      </c>
      <c r="W7" s="503">
        <f>SUM(W2:W6)</f>
        <v>1402586.7152</v>
      </c>
      <c r="Z7" s="753" t="s">
        <v>28</v>
      </c>
      <c r="AA7" s="753">
        <v>234562</v>
      </c>
      <c r="AB7" s="753">
        <v>223646</v>
      </c>
      <c r="AC7" s="753">
        <f>SUM(AA7:AB7)</f>
        <v>458208</v>
      </c>
    </row>
    <row r="8" spans="1:31" s="269" customFormat="1">
      <c r="A8" s="7268" t="s">
        <v>222</v>
      </c>
      <c r="B8" s="220" t="s">
        <v>27</v>
      </c>
      <c r="C8" s="221">
        <v>302401.17899999995</v>
      </c>
      <c r="D8" s="212">
        <f>D14+D20</f>
        <v>276588</v>
      </c>
      <c r="E8" s="212">
        <f t="shared" ref="E8:U12" si="2">E14+E20</f>
        <v>276588</v>
      </c>
      <c r="F8" s="212">
        <f t="shared" si="2"/>
        <v>26245.87</v>
      </c>
      <c r="G8" s="212">
        <f t="shared" si="2"/>
        <v>28930.16</v>
      </c>
      <c r="H8" s="212">
        <f t="shared" si="2"/>
        <v>23803.14</v>
      </c>
      <c r="I8" s="212">
        <f t="shared" si="2"/>
        <v>25935.35</v>
      </c>
      <c r="J8" s="212">
        <f t="shared" si="2"/>
        <v>25439.66</v>
      </c>
      <c r="K8" s="212">
        <f t="shared" si="2"/>
        <v>29493.7</v>
      </c>
      <c r="L8" s="212">
        <f t="shared" si="2"/>
        <v>32433.26</v>
      </c>
      <c r="M8" s="212">
        <f>M14+M20</f>
        <v>28571.633000000002</v>
      </c>
      <c r="N8" s="212">
        <f t="shared" si="2"/>
        <v>29580.91</v>
      </c>
      <c r="O8" s="212">
        <f t="shared" si="2"/>
        <v>30626.621999999999</v>
      </c>
      <c r="P8" s="212">
        <f t="shared" si="2"/>
        <v>652.48</v>
      </c>
      <c r="Q8" s="212">
        <f t="shared" si="2"/>
        <v>0</v>
      </c>
      <c r="R8" s="212">
        <f t="shared" si="0"/>
        <v>78979.17</v>
      </c>
      <c r="S8" s="472">
        <f>SUM(F8:K8)</f>
        <v>159847.88</v>
      </c>
      <c r="T8" s="212">
        <f t="shared" si="2"/>
        <v>90585.803</v>
      </c>
      <c r="U8" s="212">
        <f t="shared" si="2"/>
        <v>121864.905</v>
      </c>
      <c r="V8" s="472">
        <f>SUM(F8:Q8)</f>
        <v>281712.78499999997</v>
      </c>
      <c r="W8" s="269">
        <f t="shared" ref="W8:W13" si="3">SUM(I8:K8)</f>
        <v>80868.709999999992</v>
      </c>
      <c r="X8" s="269" t="s">
        <v>2</v>
      </c>
      <c r="Y8" s="269">
        <v>154334.83099999998</v>
      </c>
      <c r="Z8" s="753" t="s">
        <v>29</v>
      </c>
      <c r="AA8" s="753">
        <v>237792</v>
      </c>
      <c r="AB8" s="753">
        <v>246706</v>
      </c>
      <c r="AC8" s="753">
        <f>SUM(AA8:AB8)</f>
        <v>484498</v>
      </c>
    </row>
    <row r="9" spans="1:31" s="269" customFormat="1">
      <c r="A9" s="7269"/>
      <c r="B9" s="220" t="s">
        <v>28</v>
      </c>
      <c r="C9" s="221">
        <v>290914.02899999998</v>
      </c>
      <c r="D9" s="212">
        <f>D15+D21</f>
        <v>266324</v>
      </c>
      <c r="E9" s="212">
        <f t="shared" ref="E9:Q9" si="4">E15+E21</f>
        <v>266324</v>
      </c>
      <c r="F9" s="212">
        <f t="shared" si="4"/>
        <v>22650.43</v>
      </c>
      <c r="G9" s="212">
        <f t="shared" si="4"/>
        <v>27040.54</v>
      </c>
      <c r="H9" s="212">
        <f t="shared" si="4"/>
        <v>21718.05</v>
      </c>
      <c r="I9" s="212">
        <f t="shared" si="4"/>
        <v>26465.74</v>
      </c>
      <c r="J9" s="212">
        <f t="shared" si="4"/>
        <v>24555.22</v>
      </c>
      <c r="K9" s="212">
        <f t="shared" si="4"/>
        <v>26319.439999999999</v>
      </c>
      <c r="L9" s="212">
        <f t="shared" si="4"/>
        <v>31018.73</v>
      </c>
      <c r="M9" s="212">
        <f t="shared" si="4"/>
        <v>28360.402999999998</v>
      </c>
      <c r="N9" s="212">
        <f t="shared" si="4"/>
        <v>26496.3</v>
      </c>
      <c r="O9" s="212">
        <f t="shared" si="4"/>
        <v>29912.322</v>
      </c>
      <c r="P9" s="212">
        <f t="shared" si="4"/>
        <v>0</v>
      </c>
      <c r="Q9" s="212">
        <f t="shared" si="4"/>
        <v>0</v>
      </c>
      <c r="R9" s="212">
        <f t="shared" si="0"/>
        <v>71409.02</v>
      </c>
      <c r="S9" s="472">
        <f>SUM(F9:K9)</f>
        <v>148749.42000000001</v>
      </c>
      <c r="T9" s="212">
        <f t="shared" si="2"/>
        <v>85875.433000000005</v>
      </c>
      <c r="U9" s="212">
        <f t="shared" si="2"/>
        <v>115787.755</v>
      </c>
      <c r="V9" s="472">
        <f>SUM(F9:Q9)</f>
        <v>264537.17499999999</v>
      </c>
      <c r="W9" s="269">
        <f t="shared" si="3"/>
        <v>77340.400000000009</v>
      </c>
      <c r="X9" s="269" t="s">
        <v>3</v>
      </c>
      <c r="Y9" s="269">
        <v>139429.27300000002</v>
      </c>
      <c r="Z9" s="753" t="s">
        <v>30</v>
      </c>
      <c r="AA9" s="754">
        <v>227142</v>
      </c>
      <c r="AB9" s="754">
        <v>180018</v>
      </c>
      <c r="AC9" s="753">
        <f>SUM(AA9:AB9)</f>
        <v>407160</v>
      </c>
    </row>
    <row r="10" spans="1:31" s="269" customFormat="1">
      <c r="A10" s="7269"/>
      <c r="B10" s="220" t="s">
        <v>29</v>
      </c>
      <c r="C10" s="221">
        <v>291974.88</v>
      </c>
      <c r="D10" s="212">
        <f>D16+D22</f>
        <v>273530</v>
      </c>
      <c r="E10" s="212">
        <f t="shared" si="2"/>
        <v>273530</v>
      </c>
      <c r="F10" s="212">
        <f t="shared" si="2"/>
        <v>24738.14</v>
      </c>
      <c r="G10" s="212">
        <f t="shared" si="2"/>
        <v>24620.850000000002</v>
      </c>
      <c r="H10" s="212">
        <f t="shared" si="2"/>
        <v>26927.78</v>
      </c>
      <c r="I10" s="212">
        <f t="shared" si="2"/>
        <v>24694.04</v>
      </c>
      <c r="J10" s="212">
        <f t="shared" si="2"/>
        <v>22811.49</v>
      </c>
      <c r="K10" s="212">
        <f t="shared" si="2"/>
        <v>24990.170000000002</v>
      </c>
      <c r="L10" s="212">
        <f t="shared" si="2"/>
        <v>30848.92</v>
      </c>
      <c r="M10" s="212">
        <f t="shared" si="2"/>
        <v>27730.79</v>
      </c>
      <c r="N10" s="212">
        <f t="shared" si="2"/>
        <v>29266.38</v>
      </c>
      <c r="O10" s="212">
        <f t="shared" si="2"/>
        <v>27208.309999999998</v>
      </c>
      <c r="P10" s="212">
        <f t="shared" si="2"/>
        <v>1333.4739999999999</v>
      </c>
      <c r="Q10" s="212">
        <f t="shared" si="2"/>
        <v>0</v>
      </c>
      <c r="R10" s="212">
        <f t="shared" si="0"/>
        <v>76286.77</v>
      </c>
      <c r="S10" s="472">
        <f>SUM(F10:K10)</f>
        <v>148782.47</v>
      </c>
      <c r="T10" s="212">
        <f t="shared" si="2"/>
        <v>87846.090000000011</v>
      </c>
      <c r="U10" s="212">
        <f t="shared" si="2"/>
        <v>116387.874</v>
      </c>
      <c r="V10" s="472">
        <f>SUM(F10:Q10)</f>
        <v>265170.34399999998</v>
      </c>
      <c r="W10" s="269">
        <f t="shared" si="3"/>
        <v>72495.7</v>
      </c>
      <c r="X10" s="269" t="s">
        <v>4</v>
      </c>
      <c r="Y10" s="269">
        <v>136160.51999999999</v>
      </c>
      <c r="Z10" s="753" t="s">
        <v>17</v>
      </c>
      <c r="AA10" s="755">
        <v>155660</v>
      </c>
      <c r="AB10" s="754">
        <v>216706</v>
      </c>
      <c r="AC10" s="753">
        <f>SUM(AA10:AB10)</f>
        <v>372366</v>
      </c>
    </row>
    <row r="11" spans="1:31" s="269" customFormat="1">
      <c r="A11" s="7269"/>
      <c r="B11" s="220" t="s">
        <v>23</v>
      </c>
      <c r="C11" s="221">
        <v>151508.71799999999</v>
      </c>
      <c r="D11" s="212">
        <f>D17+D23</f>
        <v>167380</v>
      </c>
      <c r="E11" s="212">
        <f t="shared" si="2"/>
        <v>167380</v>
      </c>
      <c r="F11" s="212">
        <f t="shared" si="2"/>
        <v>13714.31</v>
      </c>
      <c r="G11" s="212">
        <f t="shared" si="2"/>
        <v>11408.93</v>
      </c>
      <c r="H11" s="212">
        <f t="shared" si="2"/>
        <v>13299.08</v>
      </c>
      <c r="I11" s="212">
        <f t="shared" si="2"/>
        <v>12905.32</v>
      </c>
      <c r="J11" s="212">
        <f t="shared" si="2"/>
        <v>12638.958000000001</v>
      </c>
      <c r="K11" s="212">
        <f t="shared" si="2"/>
        <v>13592.15</v>
      </c>
      <c r="L11" s="212">
        <f t="shared" si="2"/>
        <v>15058.49</v>
      </c>
      <c r="M11" s="212">
        <f t="shared" si="2"/>
        <v>12414.97</v>
      </c>
      <c r="N11" s="212">
        <f t="shared" si="2"/>
        <v>13015.86</v>
      </c>
      <c r="O11" s="212">
        <f t="shared" si="2"/>
        <v>13640.470000000001</v>
      </c>
      <c r="P11" s="212">
        <f t="shared" si="2"/>
        <v>13281.05</v>
      </c>
      <c r="Q11" s="212">
        <f t="shared" si="2"/>
        <v>12661.900000000001</v>
      </c>
      <c r="R11" s="212">
        <f t="shared" si="0"/>
        <v>38422.32</v>
      </c>
      <c r="S11" s="472">
        <f>SUM(F11:K11)</f>
        <v>77558.747999999992</v>
      </c>
      <c r="T11" s="212">
        <f t="shared" si="2"/>
        <v>40489.32</v>
      </c>
      <c r="U11" s="212">
        <f t="shared" si="2"/>
        <v>80072.740000000005</v>
      </c>
      <c r="V11" s="472">
        <f>SUM(F11:Q11)</f>
        <v>157631.48799999998</v>
      </c>
      <c r="W11" s="269">
        <f t="shared" si="3"/>
        <v>39136.428</v>
      </c>
      <c r="X11" s="269" t="s">
        <v>193</v>
      </c>
      <c r="Y11" s="269">
        <v>54232.192999999999</v>
      </c>
    </row>
    <row r="12" spans="1:31" s="269" customFormat="1">
      <c r="A12" s="7269"/>
      <c r="B12" s="220" t="s">
        <v>17</v>
      </c>
      <c r="C12" s="221">
        <v>52737.824999999997</v>
      </c>
      <c r="D12" s="212">
        <f>D18+D24</f>
        <v>53304</v>
      </c>
      <c r="E12" s="212">
        <f t="shared" si="2"/>
        <v>53304</v>
      </c>
      <c r="F12" s="212">
        <f t="shared" si="2"/>
        <v>5146.8100000000004</v>
      </c>
      <c r="G12" s="212">
        <f t="shared" si="2"/>
        <v>5270.54</v>
      </c>
      <c r="H12" s="212">
        <f t="shared" si="2"/>
        <v>4212.8039999999992</v>
      </c>
      <c r="I12" s="212">
        <f t="shared" si="2"/>
        <v>4553.6120000000001</v>
      </c>
      <c r="J12" s="212">
        <f t="shared" si="2"/>
        <v>4030.7400000000002</v>
      </c>
      <c r="K12" s="212">
        <f t="shared" si="2"/>
        <v>5254.96</v>
      </c>
      <c r="L12" s="212">
        <f t="shared" si="2"/>
        <v>4973.76</v>
      </c>
      <c r="M12" s="212">
        <f t="shared" si="2"/>
        <v>4617.4400000000005</v>
      </c>
      <c r="N12" s="212">
        <f t="shared" si="2"/>
        <v>4099.0349999999999</v>
      </c>
      <c r="O12" s="212">
        <f t="shared" si="2"/>
        <v>4427.88</v>
      </c>
      <c r="P12" s="212">
        <f t="shared" si="2"/>
        <v>4859.99</v>
      </c>
      <c r="Q12" s="212">
        <f t="shared" si="2"/>
        <v>4664.7700000000004</v>
      </c>
      <c r="R12" s="212">
        <f t="shared" si="0"/>
        <v>14630.153999999999</v>
      </c>
      <c r="S12" s="472">
        <f>SUM(F12:K12)</f>
        <v>28469.466</v>
      </c>
      <c r="T12" s="212">
        <f t="shared" si="2"/>
        <v>13690.235000000001</v>
      </c>
      <c r="U12" s="212">
        <f t="shared" si="2"/>
        <v>27642.875</v>
      </c>
      <c r="V12" s="472">
        <f>SUM(F12:Q12)</f>
        <v>56112.341</v>
      </c>
      <c r="W12" s="269">
        <f t="shared" si="3"/>
        <v>13839.312000000002</v>
      </c>
      <c r="X12" s="269" t="s">
        <v>17</v>
      </c>
      <c r="Y12" s="269">
        <v>21998.68</v>
      </c>
    </row>
    <row r="13" spans="1:31" s="503" customFormat="1">
      <c r="A13" s="7270"/>
      <c r="B13" s="501" t="s">
        <v>223</v>
      </c>
      <c r="C13" s="501">
        <v>1089536.6309999998</v>
      </c>
      <c r="D13" s="504">
        <f t="shared" ref="D13:V13" si="5">SUM(D8:D12)</f>
        <v>1037126</v>
      </c>
      <c r="E13" s="504">
        <f t="shared" si="5"/>
        <v>1037126</v>
      </c>
      <c r="F13" s="504">
        <f t="shared" si="5"/>
        <v>92495.56</v>
      </c>
      <c r="G13" s="504">
        <f t="shared" si="5"/>
        <v>97271.02</v>
      </c>
      <c r="H13" s="504">
        <f t="shared" si="5"/>
        <v>89960.854000000007</v>
      </c>
      <c r="I13" s="504">
        <f t="shared" si="5"/>
        <v>94554.062000000005</v>
      </c>
      <c r="J13" s="504">
        <f t="shared" si="5"/>
        <v>89476.068000000014</v>
      </c>
      <c r="K13" s="504">
        <f t="shared" si="5"/>
        <v>99650.42</v>
      </c>
      <c r="L13" s="504">
        <f t="shared" si="5"/>
        <v>114333.16</v>
      </c>
      <c r="M13" s="504">
        <f>SUM(M8:M12)</f>
        <v>101695.236</v>
      </c>
      <c r="N13" s="504">
        <f t="shared" si="5"/>
        <v>102458.485</v>
      </c>
      <c r="O13" s="504">
        <f t="shared" si="5"/>
        <v>105815.60400000001</v>
      </c>
      <c r="P13" s="504">
        <f t="shared" si="5"/>
        <v>20126.993999999999</v>
      </c>
      <c r="Q13" s="504">
        <f t="shared" si="5"/>
        <v>17326.670000000002</v>
      </c>
      <c r="R13" s="1512">
        <f t="shared" si="0"/>
        <v>279727.43400000001</v>
      </c>
      <c r="S13" s="502">
        <f>SUM(S8:S12)</f>
        <v>563407.98400000005</v>
      </c>
      <c r="T13" s="504">
        <f t="shared" si="5"/>
        <v>318486.88099999999</v>
      </c>
      <c r="U13" s="504">
        <f t="shared" si="5"/>
        <v>461756.14899999998</v>
      </c>
      <c r="V13" s="504">
        <f t="shared" si="5"/>
        <v>1025164.133</v>
      </c>
      <c r="W13" s="503">
        <f t="shared" si="3"/>
        <v>283680.55</v>
      </c>
    </row>
    <row r="14" spans="1:31" s="269" customFormat="1" ht="12" customHeight="1">
      <c r="A14" s="7268" t="s">
        <v>32</v>
      </c>
      <c r="B14" s="220" t="s">
        <v>27</v>
      </c>
      <c r="C14" s="221">
        <v>302376.28899999999</v>
      </c>
      <c r="D14" s="221">
        <v>276573</v>
      </c>
      <c r="E14" s="212">
        <f>D14</f>
        <v>276573</v>
      </c>
      <c r="F14" s="221">
        <f>'L D'!F3</f>
        <v>26245.87</v>
      </c>
      <c r="G14" s="221">
        <f>'L D'!F13</f>
        <v>28930.16</v>
      </c>
      <c r="H14" s="221">
        <f>'L D'!F23</f>
        <v>23803.14</v>
      </c>
      <c r="I14" s="221">
        <f>'L D'!F33</f>
        <v>25935.35</v>
      </c>
      <c r="J14" s="221">
        <f>'L D'!F43</f>
        <v>25439.66</v>
      </c>
      <c r="K14" s="221">
        <f>'L D'!F53</f>
        <v>29493.7</v>
      </c>
      <c r="L14" s="221">
        <f>'L D'!F63</f>
        <v>32429.67</v>
      </c>
      <c r="M14" s="221">
        <f>'L D'!F73</f>
        <v>28566.633000000002</v>
      </c>
      <c r="N14" s="221">
        <f>'L D'!F83</f>
        <v>29580.91</v>
      </c>
      <c r="O14" s="221">
        <f>'L D'!F93</f>
        <v>30626.621999999999</v>
      </c>
      <c r="P14" s="221">
        <f>'L D'!F103</f>
        <v>652.48</v>
      </c>
      <c r="Q14" s="221">
        <f>'L D'!F113</f>
        <v>0</v>
      </c>
      <c r="R14" s="212">
        <f t="shared" si="0"/>
        <v>78979.17</v>
      </c>
      <c r="S14" s="472">
        <f>SUM(F14:K14)</f>
        <v>159847.88</v>
      </c>
      <c r="T14" s="221">
        <f>SUM(L14:N14)</f>
        <v>90577.213000000003</v>
      </c>
      <c r="U14" s="4263">
        <f>SUM(L14:Q14)</f>
        <v>121856.315</v>
      </c>
      <c r="V14" s="472">
        <f>SUM(F14:Q14)</f>
        <v>281704.19499999995</v>
      </c>
      <c r="W14" s="488">
        <v>70</v>
      </c>
      <c r="Y14" s="269">
        <f>Y15/S13</f>
        <v>7374.7940976995451</v>
      </c>
      <c r="Z14" s="269" t="s">
        <v>729</v>
      </c>
    </row>
    <row r="15" spans="1:31" s="269" customFormat="1" ht="13.2">
      <c r="A15" s="7269"/>
      <c r="B15" s="220" t="s">
        <v>28</v>
      </c>
      <c r="C15" s="221">
        <v>290884.59899999999</v>
      </c>
      <c r="D15" s="221">
        <v>266320</v>
      </c>
      <c r="E15" s="212">
        <f>D15</f>
        <v>266320</v>
      </c>
      <c r="F15" s="221">
        <f>'L D'!F4</f>
        <v>22650.43</v>
      </c>
      <c r="G15" s="221">
        <f>'L D'!F14</f>
        <v>27040.54</v>
      </c>
      <c r="H15" s="221">
        <f>'L D'!F24</f>
        <v>21718.05</v>
      </c>
      <c r="I15" s="221">
        <f>'L D'!F34</f>
        <v>26465.74</v>
      </c>
      <c r="J15" s="221">
        <f>'L D'!F44</f>
        <v>24555.22</v>
      </c>
      <c r="K15" s="221">
        <f>'L D'!F54</f>
        <v>26319.439999999999</v>
      </c>
      <c r="L15" s="221">
        <f>'L D'!F64</f>
        <v>31018.73</v>
      </c>
      <c r="M15" s="221">
        <f>'L D'!F74</f>
        <v>28360.402999999998</v>
      </c>
      <c r="N15" s="221">
        <f>'L D'!F84</f>
        <v>26496.3</v>
      </c>
      <c r="O15" s="221">
        <f>'L D'!F94</f>
        <v>29912.322</v>
      </c>
      <c r="P15" s="221">
        <f>'L D'!F104</f>
        <v>0</v>
      </c>
      <c r="Q15" s="221">
        <f>'L D'!F114</f>
        <v>0</v>
      </c>
      <c r="R15" s="212">
        <f t="shared" si="0"/>
        <v>71409.02</v>
      </c>
      <c r="S15" s="472">
        <f>SUM(F15:K15)</f>
        <v>148749.42000000001</v>
      </c>
      <c r="T15" s="221">
        <f>SUM(L15:N15)</f>
        <v>85875.433000000005</v>
      </c>
      <c r="U15" s="4263">
        <f>SUM(L15:Q15)</f>
        <v>115787.755</v>
      </c>
      <c r="V15" s="472">
        <f>SUM(F15:Q15)</f>
        <v>264537.17499999999</v>
      </c>
      <c r="W15" s="488">
        <v>70</v>
      </c>
      <c r="Y15" s="269">
        <v>4155017875</v>
      </c>
      <c r="Z15" s="753" t="s">
        <v>725</v>
      </c>
      <c r="AA15" s="753" t="s">
        <v>726</v>
      </c>
      <c r="AB15" s="753" t="s">
        <v>727</v>
      </c>
      <c r="AC15" s="753" t="s">
        <v>728</v>
      </c>
    </row>
    <row r="16" spans="1:31" s="269" customFormat="1" ht="13.2">
      <c r="A16" s="7269"/>
      <c r="B16" s="220" t="s">
        <v>29</v>
      </c>
      <c r="C16" s="221">
        <v>291611.64</v>
      </c>
      <c r="D16" s="221">
        <v>273350</v>
      </c>
      <c r="E16" s="212">
        <f>D16</f>
        <v>273350</v>
      </c>
      <c r="F16" s="221">
        <f>'L D'!F5</f>
        <v>24733.3</v>
      </c>
      <c r="G16" s="221">
        <f>'L D'!F15</f>
        <v>24579.49</v>
      </c>
      <c r="H16" s="221">
        <f>'L D'!F25</f>
        <v>26905.19</v>
      </c>
      <c r="I16" s="221">
        <f>'L D'!F35</f>
        <v>24694.04</v>
      </c>
      <c r="J16" s="221">
        <f>'L D'!F45</f>
        <v>22784.84</v>
      </c>
      <c r="K16" s="221">
        <f>'L D'!F55</f>
        <v>24949.61</v>
      </c>
      <c r="L16" s="221">
        <f>'L D'!F65</f>
        <v>30811.07</v>
      </c>
      <c r="M16" s="221">
        <f>'L D'!F75</f>
        <v>27723.32</v>
      </c>
      <c r="N16" s="221">
        <f>'L D'!F85</f>
        <v>29266.38</v>
      </c>
      <c r="O16" s="221">
        <f>'L D'!F95</f>
        <v>27184.1</v>
      </c>
      <c r="P16" s="221">
        <f>'L D'!F105</f>
        <v>1333.4739999999999</v>
      </c>
      <c r="Q16" s="221">
        <f>'L D'!F115</f>
        <v>0</v>
      </c>
      <c r="R16" s="212">
        <f t="shared" si="0"/>
        <v>76217.98</v>
      </c>
      <c r="S16" s="472">
        <f>SUM(F16:K16)</f>
        <v>148646.46999999997</v>
      </c>
      <c r="T16" s="221">
        <f>SUM(L16:N16)</f>
        <v>87800.77</v>
      </c>
      <c r="U16" s="4263">
        <f>SUM(L16:Q16)</f>
        <v>116318.344</v>
      </c>
      <c r="V16" s="472">
        <f>SUM(F16:Q16)</f>
        <v>264964.81399999995</v>
      </c>
      <c r="W16" s="473">
        <f>V16+24300</f>
        <v>289264.81399999995</v>
      </c>
      <c r="X16" s="269">
        <f>W7*0.21%</f>
        <v>2945.4321019199997</v>
      </c>
      <c r="Y16" s="207">
        <v>240498173</v>
      </c>
      <c r="Z16" s="753" t="s">
        <v>27</v>
      </c>
      <c r="AA16" s="753">
        <v>168936</v>
      </c>
      <c r="AB16" s="753">
        <v>174407</v>
      </c>
      <c r="AC16" s="753">
        <f>SUM(AA16:AB16)</f>
        <v>343343</v>
      </c>
      <c r="AD16" s="6">
        <f>AA24/AA16</f>
        <v>0.99129256049628267</v>
      </c>
      <c r="AE16" s="6">
        <f>AB24/AB16</f>
        <v>0.98838922749660274</v>
      </c>
    </row>
    <row r="17" spans="1:33" s="269" customFormat="1" ht="11.25" customHeight="1">
      <c r="A17" s="7269"/>
      <c r="B17" s="220" t="s">
        <v>30</v>
      </c>
      <c r="C17" s="221">
        <v>151424.818</v>
      </c>
      <c r="D17" s="221">
        <v>167320</v>
      </c>
      <c r="E17" s="212">
        <f>D17</f>
        <v>167320</v>
      </c>
      <c r="F17" s="221">
        <f>'L D'!F6</f>
        <v>13712.49</v>
      </c>
      <c r="G17" s="221">
        <f>'L D'!F16</f>
        <v>11407.24</v>
      </c>
      <c r="H17" s="221">
        <f>'L D'!F26</f>
        <v>13294.42</v>
      </c>
      <c r="I17" s="221">
        <f>'L D'!F36</f>
        <v>12900.39</v>
      </c>
      <c r="J17" s="221">
        <f>'L D'!F46</f>
        <v>12634.428</v>
      </c>
      <c r="K17" s="221">
        <f>'L D'!F56</f>
        <v>13588.68</v>
      </c>
      <c r="L17" s="221">
        <f>'L D'!F66</f>
        <v>15053.89</v>
      </c>
      <c r="M17" s="221">
        <f>'L D'!F76</f>
        <v>12410.14</v>
      </c>
      <c r="N17" s="221">
        <f>'L D'!F86</f>
        <v>13015.86</v>
      </c>
      <c r="O17" s="221">
        <f>'L D'!F96</f>
        <v>13638.19</v>
      </c>
      <c r="P17" s="221">
        <f>'L D'!F106</f>
        <v>13275.89</v>
      </c>
      <c r="Q17" s="221">
        <f>'L D'!F116</f>
        <v>12649.7</v>
      </c>
      <c r="R17" s="212">
        <f t="shared" si="0"/>
        <v>38414.15</v>
      </c>
      <c r="S17" s="472">
        <f>SUM(F17:K17)</f>
        <v>77537.648000000001</v>
      </c>
      <c r="T17" s="221">
        <f>SUM(L17:N17)</f>
        <v>40479.89</v>
      </c>
      <c r="U17" s="4263">
        <f>SUM(L17:Q17)</f>
        <v>80043.67</v>
      </c>
      <c r="V17" s="472">
        <f>SUM(F17:Q17)</f>
        <v>157581.31800000003</v>
      </c>
      <c r="Y17" s="269">
        <f>Y15-Y16</f>
        <v>3914519702</v>
      </c>
      <c r="Z17" s="753" t="s">
        <v>28</v>
      </c>
      <c r="AA17" s="753">
        <v>234562</v>
      </c>
      <c r="AB17" s="753">
        <v>223646</v>
      </c>
      <c r="AC17" s="753">
        <f>SUM(AA17:AB17)</f>
        <v>458208</v>
      </c>
      <c r="AD17" s="6">
        <f t="shared" ref="AD17:AE20" si="6">AA25/AA17</f>
        <v>0.91828173361414045</v>
      </c>
      <c r="AE17" s="6">
        <f t="shared" si="6"/>
        <v>0.93695393613120737</v>
      </c>
    </row>
    <row r="18" spans="1:33" s="269" customFormat="1" ht="11.25" customHeight="1">
      <c r="A18" s="7269"/>
      <c r="B18" s="220" t="s">
        <v>17</v>
      </c>
      <c r="C18" s="221">
        <v>52664.32499999999</v>
      </c>
      <c r="D18" s="221">
        <v>53240</v>
      </c>
      <c r="E18" s="212">
        <f>D18</f>
        <v>53240</v>
      </c>
      <c r="F18" s="221">
        <f>'L D'!F9</f>
        <v>5144.5200000000004</v>
      </c>
      <c r="G18" s="221">
        <f>'L D'!F19</f>
        <v>5270.54</v>
      </c>
      <c r="H18" s="221">
        <f>'L D'!F29</f>
        <v>4206.1139999999996</v>
      </c>
      <c r="I18" s="221">
        <f>'L D'!F39</f>
        <v>4553.6120000000001</v>
      </c>
      <c r="J18" s="221">
        <f>'L D'!F49</f>
        <v>4025.84</v>
      </c>
      <c r="K18" s="221">
        <f>'L D'!F59</f>
        <v>5254.96</v>
      </c>
      <c r="L18" s="221">
        <f>'L D'!F69</f>
        <v>4971.79</v>
      </c>
      <c r="M18" s="221">
        <f>'L D'!F79</f>
        <v>4609.05</v>
      </c>
      <c r="N18" s="221">
        <f>'L D'!F89</f>
        <v>4092.3649999999998</v>
      </c>
      <c r="O18" s="221">
        <f>'L D'!F99</f>
        <v>4425.6400000000003</v>
      </c>
      <c r="P18" s="221">
        <f>'L D'!F109</f>
        <v>4858.53</v>
      </c>
      <c r="Q18" s="221">
        <f>'L D'!F119</f>
        <v>4662.21</v>
      </c>
      <c r="R18" s="212">
        <f t="shared" si="0"/>
        <v>14621.174000000001</v>
      </c>
      <c r="S18" s="472">
        <f>SUM(F18:K18)</f>
        <v>28455.585999999999</v>
      </c>
      <c r="T18" s="221">
        <f>SUM(L18:N18)</f>
        <v>13673.205</v>
      </c>
      <c r="U18" s="4263">
        <f>SUM(L18:Q18)</f>
        <v>27619.584999999999</v>
      </c>
      <c r="V18" s="472">
        <f>SUM(F18:Q18)</f>
        <v>56075.170999999995</v>
      </c>
      <c r="W18" s="269" t="s">
        <v>1001</v>
      </c>
      <c r="X18" s="269">
        <f>W7*2.58/1000</f>
        <v>3618.6737252160001</v>
      </c>
      <c r="Z18" s="753" t="s">
        <v>29</v>
      </c>
      <c r="AA18" s="753">
        <v>237792</v>
      </c>
      <c r="AB18" s="753">
        <v>246706</v>
      </c>
      <c r="AC18" s="753">
        <f>SUM(AA18:AB18)</f>
        <v>484498</v>
      </c>
      <c r="AD18" s="6">
        <f t="shared" si="6"/>
        <v>0.99375504642712964</v>
      </c>
      <c r="AE18" s="6">
        <f t="shared" si="6"/>
        <v>0.98264736163692812</v>
      </c>
    </row>
    <row r="19" spans="1:33" s="507" customFormat="1" ht="12" customHeight="1">
      <c r="A19" s="7270"/>
      <c r="B19" s="248" t="s">
        <v>16</v>
      </c>
      <c r="C19" s="501">
        <v>1088961.6710000001</v>
      </c>
      <c r="D19" s="505">
        <f>SUM(D14:D18)</f>
        <v>1036803</v>
      </c>
      <c r="E19" s="505">
        <f>SUM(E14:E18)</f>
        <v>1036803</v>
      </c>
      <c r="F19" s="506">
        <f>SUM(F14:F18)</f>
        <v>92486.610000000015</v>
      </c>
      <c r="G19" s="506">
        <f>SUM(G14:G18)</f>
        <v>97227.97</v>
      </c>
      <c r="H19" s="506">
        <f t="shared" ref="H19:Q19" si="7">SUM(H14:H18)</f>
        <v>89926.914000000004</v>
      </c>
      <c r="I19" s="506">
        <f t="shared" si="7"/>
        <v>94549.131999999998</v>
      </c>
      <c r="J19" s="506">
        <f t="shared" si="7"/>
        <v>89439.987999999998</v>
      </c>
      <c r="K19" s="506">
        <f t="shared" si="7"/>
        <v>99606.39</v>
      </c>
      <c r="L19" s="506">
        <f t="shared" si="7"/>
        <v>114285.15</v>
      </c>
      <c r="M19" s="506">
        <f>SUM(M14:M18)</f>
        <v>101669.546</v>
      </c>
      <c r="N19" s="506">
        <f t="shared" si="7"/>
        <v>102451.815</v>
      </c>
      <c r="O19" s="506">
        <f t="shared" si="7"/>
        <v>105786.874</v>
      </c>
      <c r="P19" s="506">
        <f t="shared" si="7"/>
        <v>20120.374</v>
      </c>
      <c r="Q19" s="506">
        <f t="shared" si="7"/>
        <v>17311.91</v>
      </c>
      <c r="R19" s="1512">
        <f t="shared" si="0"/>
        <v>279641.49400000001</v>
      </c>
      <c r="S19" s="502">
        <f>SUM(S14:S18)</f>
        <v>563237.00400000007</v>
      </c>
      <c r="T19" s="506">
        <f>SUM(F19:N19)</f>
        <v>881643.5149999999</v>
      </c>
      <c r="U19" s="506">
        <f>SUM(U14:U18)</f>
        <v>461625.66899999999</v>
      </c>
      <c r="V19" s="506">
        <f>SUM(V14:V18)</f>
        <v>1024862.6729999998</v>
      </c>
      <c r="W19" s="707">
        <f>V19/V7</f>
        <v>0.99601770058959738</v>
      </c>
      <c r="Y19" s="507">
        <v>6782</v>
      </c>
      <c r="Z19" s="753" t="s">
        <v>30</v>
      </c>
      <c r="AA19" s="754">
        <v>227142</v>
      </c>
      <c r="AB19" s="754">
        <v>180018</v>
      </c>
      <c r="AC19" s="753">
        <f>SUM(AA19:AB19)</f>
        <v>407160</v>
      </c>
      <c r="AD19" s="6">
        <f t="shared" si="6"/>
        <v>0.82062762500990571</v>
      </c>
      <c r="AE19" s="6">
        <f t="shared" si="6"/>
        <v>0.84699307846993077</v>
      </c>
    </row>
    <row r="20" spans="1:33" ht="11.25" customHeight="1">
      <c r="A20" s="7265" t="s">
        <v>1689</v>
      </c>
      <c r="B20" s="217" t="s">
        <v>27</v>
      </c>
      <c r="C20" s="221">
        <v>24.889999999999997</v>
      </c>
      <c r="D20" s="1507">
        <v>15</v>
      </c>
      <c r="E20" s="1508">
        <f>D20</f>
        <v>15</v>
      </c>
      <c r="F20" s="224">
        <f>('L D'!H3+'L D'!J3)</f>
        <v>0</v>
      </c>
      <c r="G20" s="224">
        <f>'L D'!H13+'L D'!J13+'L D'!L13</f>
        <v>0</v>
      </c>
      <c r="H20" s="224">
        <f>'L D'!H23+'L D'!J23</f>
        <v>0</v>
      </c>
      <c r="I20" s="224">
        <f>'L D'!H33+'L D'!J33</f>
        <v>0</v>
      </c>
      <c r="J20" s="224">
        <f>'L D'!H43+'L D'!J43</f>
        <v>0</v>
      </c>
      <c r="K20" s="224">
        <f>'L D'!H53+'L D'!J53</f>
        <v>0</v>
      </c>
      <c r="L20" s="224">
        <f>'L D'!H63+'L D'!J63</f>
        <v>3.59</v>
      </c>
      <c r="M20" s="224">
        <f>'L D'!H73+'L D'!J73</f>
        <v>5</v>
      </c>
      <c r="N20" s="224">
        <f>'L D'!H83+'L D'!J83</f>
        <v>0</v>
      </c>
      <c r="O20" s="224">
        <f>'L D'!H93+'L D'!J93</f>
        <v>0</v>
      </c>
      <c r="P20" s="224">
        <f>'L D'!H103+'L D'!J103</f>
        <v>0</v>
      </c>
      <c r="Q20" s="224">
        <f>'L D'!H113+'L D'!J113</f>
        <v>0</v>
      </c>
      <c r="R20" s="212">
        <f t="shared" si="0"/>
        <v>0</v>
      </c>
      <c r="S20" s="472">
        <f>SUM(F20:K20)</f>
        <v>0</v>
      </c>
      <c r="T20" s="224">
        <f>SUM(L20:N20)</f>
        <v>8.59</v>
      </c>
      <c r="U20" s="472">
        <f>SUM(L20:Q20)</f>
        <v>8.59</v>
      </c>
      <c r="V20" s="218">
        <f>SUM(F20:Q20)</f>
        <v>8.59</v>
      </c>
      <c r="W20" s="4">
        <f>SUM(I20:K24)</f>
        <v>85.04000000000002</v>
      </c>
      <c r="X20" s="6">
        <f>K22/K4</f>
        <v>1.6279317119572308E-3</v>
      </c>
      <c r="Y20" s="4">
        <v>6567</v>
      </c>
      <c r="Z20" s="753" t="s">
        <v>17</v>
      </c>
      <c r="AA20" s="755">
        <v>155660</v>
      </c>
      <c r="AB20" s="754">
        <v>216706</v>
      </c>
      <c r="AC20" s="753">
        <f>SUM(AA20:AB20)</f>
        <v>372366</v>
      </c>
      <c r="AD20" s="6">
        <f t="shared" si="6"/>
        <v>0.7451946550173455</v>
      </c>
      <c r="AE20" s="6">
        <f t="shared" si="6"/>
        <v>0.74389264718097325</v>
      </c>
    </row>
    <row r="21" spans="1:33" ht="11.25" customHeight="1">
      <c r="A21" s="7266"/>
      <c r="B21" s="217" t="s">
        <v>28</v>
      </c>
      <c r="C21" s="221">
        <v>29.430000000000003</v>
      </c>
      <c r="D21" s="1507">
        <v>4</v>
      </c>
      <c r="E21" s="1508">
        <f>D21</f>
        <v>4</v>
      </c>
      <c r="F21" s="224">
        <f>('L D'!H4+'L D'!J4)</f>
        <v>0</v>
      </c>
      <c r="G21" s="224">
        <f>'L D'!H14+'L D'!J14+'L D'!L14</f>
        <v>0</v>
      </c>
      <c r="H21" s="224">
        <f>'L D'!H24+'L D'!J24</f>
        <v>0</v>
      </c>
      <c r="I21" s="224">
        <f>'L D'!H34+'L D'!J34</f>
        <v>0</v>
      </c>
      <c r="J21" s="224">
        <f>'L D'!H44+'L D'!J44</f>
        <v>0</v>
      </c>
      <c r="K21" s="224">
        <f>'L D'!H54+'L D'!J54</f>
        <v>0</v>
      </c>
      <c r="L21" s="415">
        <f>'L D'!H64+'L D'!J64</f>
        <v>0</v>
      </c>
      <c r="M21" s="224">
        <f>'L D'!H74+'L D'!J74</f>
        <v>0</v>
      </c>
      <c r="N21" s="224">
        <f>'L D'!H84+'L D'!J84</f>
        <v>0</v>
      </c>
      <c r="O21" s="224">
        <f>'L D'!H94+'L D'!J94</f>
        <v>0</v>
      </c>
      <c r="P21" s="224">
        <f>'L D'!H104+'L D'!J104</f>
        <v>0</v>
      </c>
      <c r="Q21" s="224">
        <f>'L D'!H114+'L D'!J114</f>
        <v>0</v>
      </c>
      <c r="R21" s="212">
        <f t="shared" si="0"/>
        <v>0</v>
      </c>
      <c r="S21" s="472">
        <f>SUM(F21:K21)</f>
        <v>0</v>
      </c>
      <c r="T21" s="224">
        <f>SUM(L21:N21)</f>
        <v>0</v>
      </c>
      <c r="U21" s="472">
        <f>SUM(L21:Q21)</f>
        <v>0</v>
      </c>
      <c r="V21" s="218">
        <f>SUM(F21:Q21)</f>
        <v>0</v>
      </c>
      <c r="W21" s="6">
        <f>W20/W13</f>
        <v>2.9977381248027059E-4</v>
      </c>
      <c r="Y21" s="4">
        <f>Y19-Y20</f>
        <v>215</v>
      </c>
    </row>
    <row r="22" spans="1:33" ht="11.25" customHeight="1">
      <c r="A22" s="7266"/>
      <c r="B22" s="217" t="s">
        <v>29</v>
      </c>
      <c r="C22" s="221">
        <v>363.24000000000007</v>
      </c>
      <c r="D22" s="1507">
        <v>180</v>
      </c>
      <c r="E22" s="1508">
        <f>D22</f>
        <v>180</v>
      </c>
      <c r="F22" s="224">
        <f>('L D'!H5+'L D'!J5)</f>
        <v>4.84</v>
      </c>
      <c r="G22" s="224">
        <f>'L D'!H15+'L D'!J15+'L D'!L15</f>
        <v>41.36</v>
      </c>
      <c r="H22" s="224">
        <f>'L D'!H25+'L D'!J25+'L D'!L25</f>
        <v>22.59</v>
      </c>
      <c r="I22" s="224">
        <f>'L D'!H35+'L D'!J35+'L D'!L35</f>
        <v>0</v>
      </c>
      <c r="J22" s="224">
        <f>'L D'!H45+'L D'!J45+'L D'!L45</f>
        <v>26.65</v>
      </c>
      <c r="K22" s="224">
        <f>'L D'!H55+'L D'!J55+'L D'!L55</f>
        <v>40.56</v>
      </c>
      <c r="L22" s="224">
        <f>'L D'!H65+'L D'!J65+'L D'!L65</f>
        <v>37.85</v>
      </c>
      <c r="M22" s="224">
        <f>'L D'!H75+'L D'!J75+'L D'!L75</f>
        <v>7.47</v>
      </c>
      <c r="N22" s="224">
        <f>'L D'!H85+'L D'!J85+'L D'!L85</f>
        <v>0</v>
      </c>
      <c r="O22" s="224">
        <f>'L D'!H95+'L D'!J95+'L D'!L95</f>
        <v>24.21</v>
      </c>
      <c r="P22" s="224">
        <f>'L D'!H105+'L D'!J105+'L D'!L105</f>
        <v>0</v>
      </c>
      <c r="Q22" s="224">
        <f>'L D'!H115+'L D'!J115+'L D'!L115</f>
        <v>0</v>
      </c>
      <c r="R22" s="212">
        <f t="shared" si="0"/>
        <v>68.790000000000006</v>
      </c>
      <c r="S22" s="472">
        <f>SUM(F22:K22)</f>
        <v>136</v>
      </c>
      <c r="T22" s="224">
        <f>SUM(L22:N22)</f>
        <v>45.32</v>
      </c>
      <c r="U22" s="472">
        <f>SUM(L22:Q22)</f>
        <v>69.53</v>
      </c>
      <c r="V22" s="218">
        <f>SUM(F22:Q22)</f>
        <v>205.53</v>
      </c>
      <c r="Y22" s="4">
        <f>Y21*S13/1000000</f>
        <v>121.13271656000002</v>
      </c>
      <c r="Z22" s="269" t="s">
        <v>730</v>
      </c>
      <c r="AA22" s="269"/>
      <c r="AB22" s="269"/>
      <c r="AC22" s="269"/>
    </row>
    <row r="23" spans="1:33" ht="11.25" customHeight="1">
      <c r="A23" s="7266"/>
      <c r="B23" s="217" t="s">
        <v>30</v>
      </c>
      <c r="C23" s="221">
        <v>83.9</v>
      </c>
      <c r="D23" s="1507">
        <v>60</v>
      </c>
      <c r="E23" s="1508">
        <f>D23</f>
        <v>60</v>
      </c>
      <c r="F23" s="224">
        <f>('L D'!H6+'L D'!J6)</f>
        <v>1.82</v>
      </c>
      <c r="G23" s="224">
        <f>'L D'!H16+'L D'!J16+'L D'!L16</f>
        <v>1.69</v>
      </c>
      <c r="H23" s="224">
        <f>'L D'!H26+'L D'!J26</f>
        <v>4.66</v>
      </c>
      <c r="I23" s="224">
        <f>'L D'!H36+'L D'!J36</f>
        <v>4.93</v>
      </c>
      <c r="J23" s="224">
        <f>'L D'!H46+'L D'!J46</f>
        <v>4.53</v>
      </c>
      <c r="K23" s="224">
        <f>'L D'!H56+'L D'!J56</f>
        <v>3.47</v>
      </c>
      <c r="L23" s="224">
        <f>'L D'!H66+'L D'!J66</f>
        <v>4.5999999999999996</v>
      </c>
      <c r="M23" s="224">
        <f>'L D'!H76+'L D'!J76</f>
        <v>4.83</v>
      </c>
      <c r="N23" s="224">
        <f>'L D'!H86+'L D'!J86</f>
        <v>0</v>
      </c>
      <c r="O23" s="224">
        <f>'L D'!H96+'L D'!J96</f>
        <v>2.2799999999999998</v>
      </c>
      <c r="P23" s="224">
        <f>'L D'!H106+'L D'!J106</f>
        <v>5.16</v>
      </c>
      <c r="Q23" s="224">
        <f>'L D'!H116+'L D'!J116</f>
        <v>12.2</v>
      </c>
      <c r="R23" s="212">
        <f t="shared" si="0"/>
        <v>8.17</v>
      </c>
      <c r="S23" s="472">
        <f>SUM(F23:K23)</f>
        <v>21.099999999999998</v>
      </c>
      <c r="T23" s="224">
        <f>SUM(L23:N23)</f>
        <v>9.43</v>
      </c>
      <c r="U23" s="472">
        <f>SUM(L23:Q23)</f>
        <v>29.069999999999997</v>
      </c>
      <c r="V23" s="218">
        <f>SUM(F23:Q23)</f>
        <v>50.17</v>
      </c>
      <c r="W23" s="6">
        <f>C19/C7</f>
        <v>0.99483918463783039</v>
      </c>
      <c r="X23" s="708">
        <f>W19-99.15%</f>
        <v>4.5177005895973288E-3</v>
      </c>
      <c r="Z23" s="753" t="s">
        <v>725</v>
      </c>
      <c r="AA23" s="753" t="s">
        <v>726</v>
      </c>
      <c r="AB23" s="753" t="s">
        <v>727</v>
      </c>
      <c r="AC23" s="753" t="s">
        <v>728</v>
      </c>
    </row>
    <row r="24" spans="1:33" ht="11.25" customHeight="1">
      <c r="A24" s="7266"/>
      <c r="B24" s="217" t="s">
        <v>17</v>
      </c>
      <c r="C24" s="221">
        <v>73.5</v>
      </c>
      <c r="D24" s="1507">
        <v>64</v>
      </c>
      <c r="E24" s="1508">
        <f>D24</f>
        <v>64</v>
      </c>
      <c r="F24" s="224">
        <f>'L D'!H9+'L D'!J9</f>
        <v>2.29</v>
      </c>
      <c r="G24" s="224">
        <f>'L D'!H19+'L D'!J19+'L D'!L19</f>
        <v>0</v>
      </c>
      <c r="H24" s="224">
        <f>('L D'!H29+'L D'!J29)</f>
        <v>6.6899999999999995</v>
      </c>
      <c r="I24" s="224">
        <f>'L D'!H39+'L D'!J39</f>
        <v>0</v>
      </c>
      <c r="J24" s="224">
        <f>'L D'!H49+'L D'!J49</f>
        <v>4.9000000000000004</v>
      </c>
      <c r="K24" s="224">
        <f>'L D'!H59+'L D'!J59</f>
        <v>0</v>
      </c>
      <c r="L24" s="224">
        <f>'L D'!H69+'L D'!J69</f>
        <v>1.97</v>
      </c>
      <c r="M24" s="224">
        <f>'L D'!H79+'L D'!J79</f>
        <v>8.39</v>
      </c>
      <c r="N24" s="224">
        <f>'L D'!H89+'L D'!J89</f>
        <v>6.67</v>
      </c>
      <c r="O24" s="224">
        <f>'L D'!H99+'L D'!J99</f>
        <v>2.2400000000000002</v>
      </c>
      <c r="P24" s="224">
        <f>'L D'!H109+'L D'!J109</f>
        <v>1.46</v>
      </c>
      <c r="Q24" s="224">
        <f>'L D'!H119+'L D'!J119</f>
        <v>2.56</v>
      </c>
      <c r="R24" s="212">
        <f t="shared" si="0"/>
        <v>8.98</v>
      </c>
      <c r="S24" s="472">
        <f>SUM(F24:K24)</f>
        <v>13.88</v>
      </c>
      <c r="T24" s="224">
        <f>SUM(L24:N24)</f>
        <v>17.03</v>
      </c>
      <c r="U24" s="472">
        <f>SUM(L24:Q24)</f>
        <v>23.290000000000003</v>
      </c>
      <c r="V24" s="218">
        <f>SUM(F24:Q24)</f>
        <v>37.170000000000009</v>
      </c>
      <c r="Z24" s="753" t="s">
        <v>27</v>
      </c>
      <c r="AA24" s="753">
        <v>167465</v>
      </c>
      <c r="AB24" s="753">
        <v>172382</v>
      </c>
      <c r="AC24" s="753">
        <f>SUM(AA24:AB24)</f>
        <v>339847</v>
      </c>
    </row>
    <row r="25" spans="1:33" s="5" customFormat="1">
      <c r="A25" s="7267"/>
      <c r="B25" s="248" t="s">
        <v>31</v>
      </c>
      <c r="C25" s="501">
        <v>574.96</v>
      </c>
      <c r="D25" s="1511">
        <f>SUM(D20:D24)</f>
        <v>323</v>
      </c>
      <c r="E25" s="248">
        <f>SUM(E20:E24)</f>
        <v>323</v>
      </c>
      <c r="F25" s="248">
        <f t="shared" ref="F25:V25" si="8">SUM(F20:F24)</f>
        <v>8.9499999999999993</v>
      </c>
      <c r="G25" s="248">
        <f t="shared" si="8"/>
        <v>43.05</v>
      </c>
      <c r="H25" s="248">
        <f t="shared" si="8"/>
        <v>33.94</v>
      </c>
      <c r="I25" s="248">
        <f t="shared" si="8"/>
        <v>4.93</v>
      </c>
      <c r="J25" s="248">
        <f t="shared" si="8"/>
        <v>36.08</v>
      </c>
      <c r="K25" s="248">
        <f t="shared" si="8"/>
        <v>44.03</v>
      </c>
      <c r="L25" s="248">
        <f t="shared" si="8"/>
        <v>48.01</v>
      </c>
      <c r="M25" s="248">
        <f>SUM(M20:M24)</f>
        <v>25.689999999999998</v>
      </c>
      <c r="N25" s="248">
        <f>SUM(N20:N24)</f>
        <v>6.67</v>
      </c>
      <c r="O25" s="248">
        <f t="shared" si="8"/>
        <v>28.730000000000004</v>
      </c>
      <c r="P25" s="248">
        <f t="shared" si="8"/>
        <v>6.62</v>
      </c>
      <c r="Q25" s="248">
        <f t="shared" si="8"/>
        <v>14.76</v>
      </c>
      <c r="R25" s="1512">
        <f t="shared" si="0"/>
        <v>85.94</v>
      </c>
      <c r="S25" s="502">
        <f>SUM(S20:S24)</f>
        <v>170.98</v>
      </c>
      <c r="T25" s="248">
        <f>SUM(T20:T24)</f>
        <v>80.37</v>
      </c>
      <c r="U25" s="501">
        <f>SUM(U20:U24)</f>
        <v>130.47999999999999</v>
      </c>
      <c r="V25" s="248">
        <f t="shared" si="8"/>
        <v>301.46000000000004</v>
      </c>
      <c r="W25" s="660">
        <v>313880.42599999998</v>
      </c>
      <c r="Z25" s="753" t="s">
        <v>28</v>
      </c>
      <c r="AA25" s="753">
        <v>215394</v>
      </c>
      <c r="AB25" s="753">
        <v>209546</v>
      </c>
      <c r="AC25" s="753">
        <f>SUM(AA25:AB25)</f>
        <v>424940</v>
      </c>
    </row>
    <row r="26" spans="1:33" s="269" customFormat="1">
      <c r="A26" s="7263" t="s">
        <v>84</v>
      </c>
      <c r="B26" s="220" t="s">
        <v>27</v>
      </c>
      <c r="C26" s="221">
        <v>311145</v>
      </c>
      <c r="D26" s="221">
        <f>D31/D111</f>
        <v>277962.81407035177</v>
      </c>
      <c r="E26" s="212">
        <f t="shared" ref="E26:E35" si="9">D26</f>
        <v>277962.81407035177</v>
      </c>
      <c r="F26" s="221">
        <v>26529</v>
      </c>
      <c r="G26" s="221">
        <v>28370</v>
      </c>
      <c r="H26" s="221">
        <v>23740</v>
      </c>
      <c r="I26" s="221">
        <v>24940</v>
      </c>
      <c r="J26" s="269">
        <v>26610</v>
      </c>
      <c r="K26" s="221">
        <v>29260</v>
      </c>
      <c r="L26" s="221">
        <v>32395</v>
      </c>
      <c r="M26" s="221">
        <v>28830</v>
      </c>
      <c r="N26" s="221">
        <v>28860</v>
      </c>
      <c r="O26" s="221">
        <v>32720</v>
      </c>
      <c r="P26" s="221">
        <v>570</v>
      </c>
      <c r="Q26" s="221">
        <v>0</v>
      </c>
      <c r="R26" s="212">
        <f t="shared" ref="R26:R35" si="10">SUM(F26:Q26)</f>
        <v>282824</v>
      </c>
      <c r="S26" s="4263">
        <f t="shared" ref="S26:S35" si="11">SUM(F26:Q26)</f>
        <v>282824</v>
      </c>
      <c r="T26" s="4264">
        <f t="shared" ref="T26:T35" si="12">SUM(L26:N26)</f>
        <v>90085</v>
      </c>
      <c r="U26" s="4263">
        <f>SUM(L26:Q26)</f>
        <v>123375</v>
      </c>
      <c r="V26" s="472">
        <f t="shared" ref="V26:V39" si="13">SUM(F26:Q26)</f>
        <v>282824</v>
      </c>
      <c r="W26" s="661">
        <v>311776.17</v>
      </c>
      <c r="X26" s="696"/>
      <c r="Y26" s="696"/>
      <c r="Z26" s="753" t="s">
        <v>29</v>
      </c>
      <c r="AA26" s="753">
        <v>236307</v>
      </c>
      <c r="AB26" s="753">
        <v>242425</v>
      </c>
      <c r="AC26" s="753">
        <f>SUM(AA26:AB26)</f>
        <v>478732</v>
      </c>
      <c r="AD26" s="696"/>
    </row>
    <row r="27" spans="1:33" s="269" customFormat="1">
      <c r="A27" s="7263"/>
      <c r="B27" s="220" t="s">
        <v>28</v>
      </c>
      <c r="C27" s="221">
        <v>391956</v>
      </c>
      <c r="D27" s="221">
        <f>D32/D112</f>
        <v>349978.97392767027</v>
      </c>
      <c r="E27" s="212">
        <f t="shared" si="9"/>
        <v>349978.97392767027</v>
      </c>
      <c r="F27" s="221">
        <v>31821</v>
      </c>
      <c r="G27" s="221">
        <v>37027</v>
      </c>
      <c r="H27" s="221">
        <v>29015</v>
      </c>
      <c r="I27" s="221">
        <v>32351</v>
      </c>
      <c r="J27" s="221">
        <v>33450</v>
      </c>
      <c r="K27" s="221">
        <v>33550</v>
      </c>
      <c r="L27" s="221">
        <v>37601</v>
      </c>
      <c r="M27" s="221">
        <v>34530</v>
      </c>
      <c r="N27" s="221">
        <v>31965</v>
      </c>
      <c r="O27" s="221">
        <v>40049</v>
      </c>
      <c r="P27" s="221">
        <v>0</v>
      </c>
      <c r="Q27" s="221">
        <v>0</v>
      </c>
      <c r="R27" s="212">
        <f t="shared" si="10"/>
        <v>341359</v>
      </c>
      <c r="S27" s="4263">
        <f t="shared" si="11"/>
        <v>341359</v>
      </c>
      <c r="T27" s="4264">
        <f t="shared" si="12"/>
        <v>104096</v>
      </c>
      <c r="U27" s="4263">
        <f>SUM(L27:Q27)</f>
        <v>144145</v>
      </c>
      <c r="V27" s="472">
        <f t="shared" si="13"/>
        <v>341359</v>
      </c>
      <c r="W27" s="269">
        <f>SUM(I27:K27)</f>
        <v>99351</v>
      </c>
      <c r="Z27" s="753" t="s">
        <v>30</v>
      </c>
      <c r="AA27" s="754">
        <v>186399</v>
      </c>
      <c r="AB27" s="754">
        <v>152474</v>
      </c>
      <c r="AC27" s="753">
        <f>SUM(AA27:AB27)</f>
        <v>338873</v>
      </c>
    </row>
    <row r="28" spans="1:33" s="269" customFormat="1">
      <c r="A28" s="7263"/>
      <c r="B28" s="220" t="s">
        <v>29</v>
      </c>
      <c r="C28" s="221">
        <v>455952</v>
      </c>
      <c r="D28" s="221">
        <f>D33/D113</f>
        <v>411985.01872659178</v>
      </c>
      <c r="E28" s="212">
        <f t="shared" si="9"/>
        <v>411985.01872659178</v>
      </c>
      <c r="F28" s="221">
        <v>37400</v>
      </c>
      <c r="G28" s="221">
        <v>38881</v>
      </c>
      <c r="H28" s="221">
        <v>42720</v>
      </c>
      <c r="I28" s="221">
        <v>35393</v>
      </c>
      <c r="J28" s="221">
        <v>36471</v>
      </c>
      <c r="K28" s="221">
        <v>37440</v>
      </c>
      <c r="L28" s="221">
        <v>44640</v>
      </c>
      <c r="M28" s="221">
        <v>42632</v>
      </c>
      <c r="N28" s="221">
        <v>41086</v>
      </c>
      <c r="O28" s="221">
        <v>44640</v>
      </c>
      <c r="P28" s="221">
        <v>3040</v>
      </c>
      <c r="Q28" s="221">
        <v>0</v>
      </c>
      <c r="R28" s="212">
        <f t="shared" si="10"/>
        <v>404343</v>
      </c>
      <c r="S28" s="4263">
        <f t="shared" si="11"/>
        <v>404343</v>
      </c>
      <c r="T28" s="4264">
        <f t="shared" si="12"/>
        <v>128358</v>
      </c>
      <c r="U28" s="4263">
        <f>SUM(L28:Q28)</f>
        <v>176038</v>
      </c>
      <c r="V28" s="472">
        <f t="shared" si="13"/>
        <v>404343</v>
      </c>
      <c r="W28" s="269">
        <f t="shared" ref="W28:W36" si="14">SUM(I28:K28)</f>
        <v>109304</v>
      </c>
      <c r="X28" s="269">
        <v>406190</v>
      </c>
      <c r="Z28" s="753" t="s">
        <v>17</v>
      </c>
      <c r="AA28" s="755">
        <v>115997</v>
      </c>
      <c r="AB28" s="755">
        <v>161206</v>
      </c>
      <c r="AC28" s="753">
        <f>SUM(AA28:AB28)</f>
        <v>277203</v>
      </c>
    </row>
    <row r="29" spans="1:33" s="269" customFormat="1">
      <c r="A29" s="7263"/>
      <c r="B29" s="220" t="s">
        <v>30</v>
      </c>
      <c r="C29" s="221">
        <v>457376</v>
      </c>
      <c r="D29" s="221">
        <f>D34/D114</f>
        <v>460408.1632653061</v>
      </c>
      <c r="E29" s="212">
        <f t="shared" si="9"/>
        <v>460408.1632653061</v>
      </c>
      <c r="F29" s="221">
        <v>39981</v>
      </c>
      <c r="G29" s="221">
        <v>35453</v>
      </c>
      <c r="H29" s="221">
        <v>37664</v>
      </c>
      <c r="I29" s="221">
        <v>38495</v>
      </c>
      <c r="J29" s="221">
        <v>40320</v>
      </c>
      <c r="K29" s="221">
        <v>41569</v>
      </c>
      <c r="L29" s="221">
        <v>44640</v>
      </c>
      <c r="M29" s="221">
        <v>38160</v>
      </c>
      <c r="N29" s="221">
        <v>39964</v>
      </c>
      <c r="O29" s="221">
        <v>42170</v>
      </c>
      <c r="P29" s="221">
        <v>42474</v>
      </c>
      <c r="Q29" s="221">
        <v>42450</v>
      </c>
      <c r="R29" s="212">
        <f t="shared" si="10"/>
        <v>483340</v>
      </c>
      <c r="S29" s="4263">
        <f t="shared" si="11"/>
        <v>483340</v>
      </c>
      <c r="T29" s="4264">
        <f t="shared" si="12"/>
        <v>122764</v>
      </c>
      <c r="U29" s="4263">
        <f>SUM(L29:Q29)</f>
        <v>249858</v>
      </c>
      <c r="V29" s="472">
        <f t="shared" si="13"/>
        <v>483340</v>
      </c>
      <c r="W29" s="269">
        <f t="shared" si="14"/>
        <v>120384</v>
      </c>
      <c r="X29" s="269">
        <v>401971</v>
      </c>
    </row>
    <row r="30" spans="1:33" s="269" customFormat="1">
      <c r="A30" s="7263"/>
      <c r="B30" s="220" t="s">
        <v>17</v>
      </c>
      <c r="C30" s="221">
        <v>455761</v>
      </c>
      <c r="D30" s="221">
        <f>D35/D115</f>
        <v>451345.81419992936</v>
      </c>
      <c r="E30" s="212">
        <f t="shared" si="9"/>
        <v>451345.81419992936</v>
      </c>
      <c r="F30" s="221">
        <v>40541</v>
      </c>
      <c r="G30" s="221">
        <v>38291</v>
      </c>
      <c r="H30" s="221">
        <v>34258</v>
      </c>
      <c r="I30" s="221">
        <v>37226</v>
      </c>
      <c r="J30" s="221">
        <v>35225</v>
      </c>
      <c r="K30" s="221">
        <v>41564</v>
      </c>
      <c r="L30" s="221">
        <v>40057</v>
      </c>
      <c r="M30" s="221">
        <v>35409</v>
      </c>
      <c r="N30" s="221">
        <v>37491</v>
      </c>
      <c r="O30" s="221">
        <v>41140</v>
      </c>
      <c r="P30" s="221">
        <v>41490</v>
      </c>
      <c r="Q30" s="221">
        <v>41836</v>
      </c>
      <c r="R30" s="212">
        <f t="shared" si="10"/>
        <v>464528</v>
      </c>
      <c r="S30" s="4263">
        <f t="shared" si="11"/>
        <v>464528</v>
      </c>
      <c r="T30" s="4264">
        <f t="shared" si="12"/>
        <v>112957</v>
      </c>
      <c r="U30" s="4263">
        <f>SUM(L30:Q30)</f>
        <v>237423</v>
      </c>
      <c r="V30" s="472">
        <f t="shared" si="13"/>
        <v>464528</v>
      </c>
      <c r="W30" s="269">
        <f t="shared" si="14"/>
        <v>114015</v>
      </c>
      <c r="X30" s="6">
        <f>V33/V28</f>
        <v>0.99570661542304428</v>
      </c>
      <c r="Z30" s="269" t="s">
        <v>639</v>
      </c>
    </row>
    <row r="31" spans="1:33" s="269" customFormat="1">
      <c r="A31" s="7263" t="s">
        <v>33</v>
      </c>
      <c r="B31" s="474" t="s">
        <v>27</v>
      </c>
      <c r="C31" s="476">
        <v>309128</v>
      </c>
      <c r="D31" s="476">
        <f>D14/D117*60</f>
        <v>276573</v>
      </c>
      <c r="E31" s="475">
        <f t="shared" si="9"/>
        <v>276573</v>
      </c>
      <c r="F31" s="476">
        <v>25869</v>
      </c>
      <c r="G31" s="476">
        <v>27925</v>
      </c>
      <c r="H31" s="476">
        <v>23740</v>
      </c>
      <c r="I31" s="476">
        <v>24810</v>
      </c>
      <c r="J31" s="476">
        <v>26520</v>
      </c>
      <c r="K31" s="476">
        <v>29172</v>
      </c>
      <c r="L31" s="476">
        <v>32395</v>
      </c>
      <c r="M31" s="476">
        <v>28210</v>
      </c>
      <c r="N31" s="476">
        <v>28540</v>
      </c>
      <c r="O31" s="476">
        <v>32590</v>
      </c>
      <c r="P31" s="476">
        <v>570</v>
      </c>
      <c r="Q31" s="476">
        <v>0</v>
      </c>
      <c r="R31" s="476">
        <f t="shared" si="10"/>
        <v>280341</v>
      </c>
      <c r="S31" s="476">
        <f t="shared" si="11"/>
        <v>280341</v>
      </c>
      <c r="T31" s="476">
        <f t="shared" si="12"/>
        <v>89145</v>
      </c>
      <c r="U31" s="476">
        <f t="shared" ref="U31:U59" si="15">SUM(L31:Q31)</f>
        <v>122305</v>
      </c>
      <c r="V31" s="476">
        <f t="shared" si="13"/>
        <v>280341</v>
      </c>
      <c r="W31" s="269">
        <f t="shared" si="14"/>
        <v>80502</v>
      </c>
      <c r="Z31" s="753" t="s">
        <v>0</v>
      </c>
      <c r="AA31" s="753" t="s">
        <v>726</v>
      </c>
      <c r="AB31" s="753" t="s">
        <v>727</v>
      </c>
      <c r="AC31" s="753" t="s">
        <v>16</v>
      </c>
      <c r="AD31" s="753" t="s">
        <v>0</v>
      </c>
      <c r="AE31" s="753" t="s">
        <v>726</v>
      </c>
      <c r="AF31" s="753" t="s">
        <v>727</v>
      </c>
      <c r="AG31" s="753" t="s">
        <v>16</v>
      </c>
    </row>
    <row r="32" spans="1:33" s="269" customFormat="1">
      <c r="A32" s="7263"/>
      <c r="B32" s="474" t="s">
        <v>28</v>
      </c>
      <c r="C32" s="476">
        <v>372120</v>
      </c>
      <c r="D32" s="476">
        <f>D15/D118*60</f>
        <v>332900</v>
      </c>
      <c r="E32" s="475">
        <f t="shared" si="9"/>
        <v>332900</v>
      </c>
      <c r="F32" s="476">
        <v>29656</v>
      </c>
      <c r="G32" s="476">
        <v>34862</v>
      </c>
      <c r="H32" s="476">
        <v>27759</v>
      </c>
      <c r="I32" s="476">
        <v>31056</v>
      </c>
      <c r="J32" s="476">
        <v>32015</v>
      </c>
      <c r="K32" s="476">
        <v>31340</v>
      </c>
      <c r="L32" s="476">
        <v>35516</v>
      </c>
      <c r="M32" s="476">
        <v>32245</v>
      </c>
      <c r="N32" s="476">
        <v>30095</v>
      </c>
      <c r="O32" s="476">
        <v>37669</v>
      </c>
      <c r="P32" s="476">
        <v>0</v>
      </c>
      <c r="Q32" s="476">
        <v>0</v>
      </c>
      <c r="R32" s="476">
        <f t="shared" si="10"/>
        <v>322213</v>
      </c>
      <c r="S32" s="476">
        <f t="shared" si="11"/>
        <v>322213</v>
      </c>
      <c r="T32" s="476">
        <f t="shared" si="12"/>
        <v>97856</v>
      </c>
      <c r="U32" s="476">
        <f t="shared" si="15"/>
        <v>135525</v>
      </c>
      <c r="V32" s="476">
        <f t="shared" si="13"/>
        <v>322213</v>
      </c>
      <c r="W32" s="269">
        <f t="shared" si="14"/>
        <v>94411</v>
      </c>
      <c r="X32" s="697">
        <v>313507.36</v>
      </c>
      <c r="Z32" s="753" t="s">
        <v>27</v>
      </c>
      <c r="AA32" s="753">
        <v>340</v>
      </c>
      <c r="AB32" s="753">
        <v>881</v>
      </c>
      <c r="AC32" s="753">
        <f>SUM(AA32:AB32)</f>
        <v>1221</v>
      </c>
      <c r="AD32" s="753" t="s">
        <v>27</v>
      </c>
      <c r="AE32" s="753">
        <v>3</v>
      </c>
      <c r="AF32" s="753">
        <v>14</v>
      </c>
      <c r="AG32" s="753">
        <f>SUM(AE32:AF32)</f>
        <v>17</v>
      </c>
    </row>
    <row r="33" spans="1:33" s="269" customFormat="1">
      <c r="A33" s="7263"/>
      <c r="B33" s="474" t="s">
        <v>29</v>
      </c>
      <c r="C33" s="476">
        <v>448293</v>
      </c>
      <c r="D33" s="476">
        <f>D16/D119*60</f>
        <v>409513.10861423222</v>
      </c>
      <c r="E33" s="475">
        <f t="shared" si="9"/>
        <v>409513.10861423222</v>
      </c>
      <c r="F33" s="476">
        <v>37400</v>
      </c>
      <c r="G33" s="476">
        <v>38666</v>
      </c>
      <c r="H33" s="476">
        <v>42660</v>
      </c>
      <c r="I33" s="476">
        <v>35393</v>
      </c>
      <c r="J33" s="476">
        <v>36129</v>
      </c>
      <c r="K33" s="476">
        <v>37225</v>
      </c>
      <c r="L33" s="476">
        <v>44625</v>
      </c>
      <c r="M33" s="476">
        <v>41844</v>
      </c>
      <c r="N33" s="476">
        <v>41075</v>
      </c>
      <c r="O33" s="476">
        <v>44550</v>
      </c>
      <c r="P33" s="476">
        <v>3040</v>
      </c>
      <c r="Q33" s="476">
        <v>0</v>
      </c>
      <c r="R33" s="476">
        <f t="shared" si="10"/>
        <v>402607</v>
      </c>
      <c r="S33" s="476">
        <f t="shared" si="11"/>
        <v>402607</v>
      </c>
      <c r="T33" s="476">
        <f t="shared" si="12"/>
        <v>127544</v>
      </c>
      <c r="U33" s="476">
        <f t="shared" si="15"/>
        <v>175134</v>
      </c>
      <c r="V33" s="476">
        <f t="shared" si="13"/>
        <v>402607</v>
      </c>
      <c r="W33" s="269">
        <f t="shared" si="14"/>
        <v>108747</v>
      </c>
      <c r="X33" s="269">
        <v>319.64000000000004</v>
      </c>
      <c r="Z33" s="753" t="s">
        <v>28</v>
      </c>
      <c r="AA33" s="753">
        <v>4180</v>
      </c>
      <c r="AB33" s="753">
        <v>1585</v>
      </c>
      <c r="AC33" s="753">
        <f>SUM(AA33:AB33)</f>
        <v>5765</v>
      </c>
      <c r="AD33" s="753" t="s">
        <v>28</v>
      </c>
      <c r="AE33" s="753">
        <v>130</v>
      </c>
      <c r="AF33" s="753">
        <v>63</v>
      </c>
      <c r="AG33" s="753">
        <f>SUM(AE33:AF33)</f>
        <v>193</v>
      </c>
    </row>
    <row r="34" spans="1:33" s="269" customFormat="1">
      <c r="A34" s="7263"/>
      <c r="B34" s="474" t="s">
        <v>30</v>
      </c>
      <c r="C34" s="476">
        <v>393076</v>
      </c>
      <c r="D34" s="476">
        <f>D17/D121*60</f>
        <v>409763.26530612243</v>
      </c>
      <c r="E34" s="475">
        <f t="shared" si="9"/>
        <v>409763.26530612243</v>
      </c>
      <c r="F34" s="476">
        <v>35517</v>
      </c>
      <c r="G34" s="476">
        <v>30575</v>
      </c>
      <c r="H34" s="476">
        <v>32853</v>
      </c>
      <c r="I34" s="476">
        <v>33751</v>
      </c>
      <c r="J34" s="476">
        <v>35797</v>
      </c>
      <c r="K34" s="476">
        <v>36656</v>
      </c>
      <c r="L34" s="476">
        <v>38884</v>
      </c>
      <c r="M34" s="476">
        <v>32431</v>
      </c>
      <c r="N34" s="476">
        <v>34046</v>
      </c>
      <c r="O34" s="476">
        <v>37066</v>
      </c>
      <c r="P34" s="476">
        <v>36846</v>
      </c>
      <c r="Q34" s="476">
        <v>35384</v>
      </c>
      <c r="R34" s="476">
        <f t="shared" si="10"/>
        <v>419806</v>
      </c>
      <c r="S34" s="476">
        <f t="shared" si="11"/>
        <v>419806</v>
      </c>
      <c r="T34" s="476">
        <f t="shared" si="12"/>
        <v>105361</v>
      </c>
      <c r="U34" s="476">
        <f t="shared" si="15"/>
        <v>214657</v>
      </c>
      <c r="V34" s="476">
        <f t="shared" si="13"/>
        <v>419806</v>
      </c>
      <c r="W34" s="269">
        <f t="shared" si="14"/>
        <v>106204</v>
      </c>
      <c r="Z34" s="753" t="s">
        <v>29</v>
      </c>
      <c r="AA34" s="753">
        <v>693</v>
      </c>
      <c r="AB34" s="753">
        <v>1016</v>
      </c>
      <c r="AC34" s="753">
        <f>SUM(AA34:AB34)</f>
        <v>1709</v>
      </c>
      <c r="AD34" s="753" t="s">
        <v>29</v>
      </c>
      <c r="AE34" s="753">
        <v>12</v>
      </c>
      <c r="AF34" s="753">
        <v>10</v>
      </c>
      <c r="AG34" s="753">
        <f>SUM(AE34:AF34)</f>
        <v>22</v>
      </c>
    </row>
    <row r="35" spans="1:33" s="269" customFormat="1">
      <c r="A35" s="7263"/>
      <c r="B35" s="474" t="s">
        <v>17</v>
      </c>
      <c r="C35" s="476">
        <v>338384</v>
      </c>
      <c r="D35" s="476">
        <f>D18/D123*60</f>
        <v>336252.63157894736</v>
      </c>
      <c r="E35" s="475">
        <f t="shared" si="9"/>
        <v>336252.63157894736</v>
      </c>
      <c r="F35" s="476">
        <v>31643</v>
      </c>
      <c r="G35" s="476">
        <v>30197</v>
      </c>
      <c r="H35" s="476">
        <v>25372</v>
      </c>
      <c r="I35" s="476">
        <v>28060</v>
      </c>
      <c r="J35" s="476">
        <v>26561</v>
      </c>
      <c r="K35" s="476">
        <v>32334</v>
      </c>
      <c r="L35" s="476">
        <v>30886</v>
      </c>
      <c r="M35" s="476">
        <v>26695</v>
      </c>
      <c r="N35" s="476">
        <v>27625</v>
      </c>
      <c r="O35" s="476">
        <v>30532</v>
      </c>
      <c r="P35" s="476">
        <v>31815</v>
      </c>
      <c r="Q35" s="476">
        <v>31881</v>
      </c>
      <c r="R35" s="476">
        <f t="shared" si="10"/>
        <v>353601</v>
      </c>
      <c r="S35" s="476">
        <f t="shared" si="11"/>
        <v>353601</v>
      </c>
      <c r="T35" s="476">
        <f t="shared" si="12"/>
        <v>85206</v>
      </c>
      <c r="U35" s="476">
        <f t="shared" si="15"/>
        <v>179434</v>
      </c>
      <c r="V35" s="476">
        <f t="shared" si="13"/>
        <v>353601</v>
      </c>
      <c r="W35" s="269">
        <f t="shared" si="14"/>
        <v>86955</v>
      </c>
      <c r="Z35" s="753" t="s">
        <v>23</v>
      </c>
      <c r="AA35" s="754">
        <v>3136</v>
      </c>
      <c r="AB35" s="754">
        <v>1008</v>
      </c>
      <c r="AC35" s="753">
        <f>SUM(AA35:AB35)</f>
        <v>4144</v>
      </c>
      <c r="AD35" s="753" t="s">
        <v>23</v>
      </c>
      <c r="AE35" s="754">
        <v>77</v>
      </c>
      <c r="AF35" s="754">
        <v>35</v>
      </c>
      <c r="AG35" s="753">
        <f>SUM(AE35:AF35)</f>
        <v>112</v>
      </c>
    </row>
    <row r="36" spans="1:33">
      <c r="A36" s="7288" t="s">
        <v>394</v>
      </c>
      <c r="B36" s="295" t="s">
        <v>395</v>
      </c>
      <c r="C36" s="756">
        <v>3057</v>
      </c>
      <c r="D36" s="850">
        <f>12*60</f>
        <v>720</v>
      </c>
      <c r="E36" s="849">
        <f t="shared" ref="E36:E59" si="16">D36</f>
        <v>720</v>
      </c>
      <c r="F36" s="851">
        <v>0</v>
      </c>
      <c r="G36" s="526">
        <f>210</f>
        <v>210</v>
      </c>
      <c r="H36" s="526">
        <v>0</v>
      </c>
      <c r="I36" s="526">
        <v>0</v>
      </c>
      <c r="J36" s="526">
        <v>305</v>
      </c>
      <c r="K36" s="526">
        <v>123</v>
      </c>
      <c r="L36" s="526">
        <v>0</v>
      </c>
      <c r="M36" s="526">
        <v>0</v>
      </c>
      <c r="N36" s="526">
        <v>0</v>
      </c>
      <c r="O36" s="526">
        <v>90</v>
      </c>
      <c r="P36" s="526">
        <v>0</v>
      </c>
      <c r="Q36" s="526">
        <v>0</v>
      </c>
      <c r="R36" s="298">
        <f>SUM(F36:H36)</f>
        <v>210</v>
      </c>
      <c r="S36" s="298">
        <f>SUM(F36:K36)</f>
        <v>638</v>
      </c>
      <c r="T36" s="298">
        <f>SUM(F36:N36)</f>
        <v>638</v>
      </c>
      <c r="U36" s="298">
        <f t="shared" si="15"/>
        <v>90</v>
      </c>
      <c r="V36" s="297">
        <f t="shared" si="13"/>
        <v>728</v>
      </c>
      <c r="W36" s="260">
        <f t="shared" si="14"/>
        <v>428</v>
      </c>
      <c r="X36" s="4576"/>
      <c r="Z36" s="753" t="s">
        <v>17</v>
      </c>
      <c r="AA36" s="755">
        <v>2976</v>
      </c>
      <c r="AB36" s="754">
        <v>3456</v>
      </c>
      <c r="AC36" s="753">
        <f>SUM(AA36:AB36)</f>
        <v>6432</v>
      </c>
      <c r="AD36" s="753" t="s">
        <v>17</v>
      </c>
      <c r="AE36" s="755">
        <v>77</v>
      </c>
      <c r="AF36" s="754">
        <v>106</v>
      </c>
      <c r="AG36" s="753">
        <f>SUM(AE36:AF36)</f>
        <v>183</v>
      </c>
    </row>
    <row r="37" spans="1:33">
      <c r="A37" s="7289"/>
      <c r="B37" s="295" t="s">
        <v>396</v>
      </c>
      <c r="C37" s="756">
        <v>18</v>
      </c>
      <c r="D37" s="658">
        <v>12</v>
      </c>
      <c r="E37" s="296">
        <f t="shared" si="16"/>
        <v>12</v>
      </c>
      <c r="F37" s="526">
        <v>0</v>
      </c>
      <c r="G37" s="526">
        <v>1</v>
      </c>
      <c r="H37" s="526">
        <v>0</v>
      </c>
      <c r="I37" s="526">
        <v>0</v>
      </c>
      <c r="J37" s="526">
        <v>1</v>
      </c>
      <c r="K37" s="526">
        <v>1</v>
      </c>
      <c r="L37" s="526">
        <v>0</v>
      </c>
      <c r="M37" s="526">
        <v>0</v>
      </c>
      <c r="N37" s="526">
        <v>0</v>
      </c>
      <c r="O37" s="526">
        <v>1</v>
      </c>
      <c r="P37" s="526">
        <v>0</v>
      </c>
      <c r="Q37" s="526">
        <v>0</v>
      </c>
      <c r="R37" s="298">
        <f>SUM(F37:Q37)</f>
        <v>4</v>
      </c>
      <c r="S37" s="298">
        <f>SUM(F37:Q37)</f>
        <v>4</v>
      </c>
      <c r="T37" s="298">
        <f>SUM(F37:Q37)</f>
        <v>4</v>
      </c>
      <c r="U37" s="298">
        <f t="shared" si="15"/>
        <v>1</v>
      </c>
      <c r="V37" s="297">
        <f t="shared" si="13"/>
        <v>4</v>
      </c>
      <c r="W37" s="262">
        <f>33.51-32.28</f>
        <v>1.2299999999999969</v>
      </c>
      <c r="X37" s="74"/>
    </row>
    <row r="38" spans="1:33">
      <c r="A38" s="7289"/>
      <c r="B38" s="295" t="s">
        <v>397</v>
      </c>
      <c r="C38" s="756">
        <v>557418155.25</v>
      </c>
      <c r="D38" s="756">
        <f>(C36-D36)*E215</f>
        <v>5122972006.5700769</v>
      </c>
      <c r="E38" s="757">
        <f t="shared" si="16"/>
        <v>5122972006.5700769</v>
      </c>
      <c r="F38" s="756">
        <f>($C$36/12-F36)*($F$215/60)</f>
        <v>12708974.368528411</v>
      </c>
      <c r="G38" s="756">
        <f t="shared" ref="G38:Q38" si="17">($C$36/12-G36)*($F$215/60)</f>
        <v>2232489.1187110748</v>
      </c>
      <c r="H38" s="756">
        <f t="shared" si="17"/>
        <v>12708974.368528411</v>
      </c>
      <c r="I38" s="756">
        <f t="shared" si="17"/>
        <v>12708974.368528411</v>
      </c>
      <c r="J38" s="756">
        <f t="shared" si="17"/>
        <v>-2506873.2562062908</v>
      </c>
      <c r="K38" s="756">
        <f t="shared" si="17"/>
        <v>6572747.2936354</v>
      </c>
      <c r="L38" s="756">
        <f t="shared" si="17"/>
        <v>12708974.368528411</v>
      </c>
      <c r="M38" s="756">
        <f t="shared" si="17"/>
        <v>12708974.368528411</v>
      </c>
      <c r="N38" s="756">
        <f t="shared" si="17"/>
        <v>12708974.368528411</v>
      </c>
      <c r="O38" s="756">
        <f t="shared" si="17"/>
        <v>8219052.118606695</v>
      </c>
      <c r="P38" s="756">
        <f t="shared" si="17"/>
        <v>12708974.368528411</v>
      </c>
      <c r="Q38" s="756">
        <f t="shared" si="17"/>
        <v>12708974.368528411</v>
      </c>
      <c r="R38" s="298">
        <f>SUM(F38:H38)</f>
        <v>27650437.855767898</v>
      </c>
      <c r="S38" s="298">
        <f>SUM(F38:K38)</f>
        <v>44425286.261725418</v>
      </c>
      <c r="T38" s="298">
        <f>SUM(F38:N38)</f>
        <v>82552209.367310658</v>
      </c>
      <c r="U38" s="298">
        <f t="shared" si="15"/>
        <v>71763923.961248755</v>
      </c>
      <c r="V38" s="297">
        <f t="shared" si="13"/>
        <v>116189210.22297418</v>
      </c>
      <c r="W38" s="260"/>
    </row>
    <row r="39" spans="1:33" ht="10.199999999999999" customHeight="1">
      <c r="A39" s="7290"/>
      <c r="B39" s="295" t="s">
        <v>398</v>
      </c>
      <c r="C39" s="3101">
        <v>-8147403</v>
      </c>
      <c r="D39" s="758">
        <f>(C37-D37)*F215</f>
        <v>17959688.99968686</v>
      </c>
      <c r="E39" s="757">
        <f t="shared" si="16"/>
        <v>17959688.99968686</v>
      </c>
      <c r="F39" s="756">
        <f t="shared" ref="F39:Q39" si="18">($C$37/12-F37)*$F$215</f>
        <v>4489922.2499217149</v>
      </c>
      <c r="G39" s="756">
        <f t="shared" si="18"/>
        <v>1496640.749973905</v>
      </c>
      <c r="H39" s="756">
        <f t="shared" si="18"/>
        <v>4489922.2499217149</v>
      </c>
      <c r="I39" s="756">
        <f t="shared" si="18"/>
        <v>4489922.2499217149</v>
      </c>
      <c r="J39" s="756">
        <f t="shared" si="18"/>
        <v>1496640.749973905</v>
      </c>
      <c r="K39" s="756">
        <f t="shared" si="18"/>
        <v>1496640.749973905</v>
      </c>
      <c r="L39" s="756">
        <f t="shared" si="18"/>
        <v>4489922.2499217149</v>
      </c>
      <c r="M39" s="756">
        <f t="shared" si="18"/>
        <v>4489922.2499217149</v>
      </c>
      <c r="N39" s="756">
        <f t="shared" si="18"/>
        <v>4489922.2499217149</v>
      </c>
      <c r="O39" s="756">
        <f t="shared" si="18"/>
        <v>1496640.749973905</v>
      </c>
      <c r="P39" s="756">
        <f t="shared" si="18"/>
        <v>4489922.2499217149</v>
      </c>
      <c r="Q39" s="756">
        <f t="shared" si="18"/>
        <v>4489922.2499217149</v>
      </c>
      <c r="R39" s="298">
        <f>SUM(F39:H39)</f>
        <v>10476485.249817334</v>
      </c>
      <c r="S39" s="298">
        <f>SUM(F39:K39)</f>
        <v>17959688.99968686</v>
      </c>
      <c r="T39" s="298">
        <f>SUM(F39:N39)</f>
        <v>31429455.74945201</v>
      </c>
      <c r="U39" s="298">
        <f t="shared" si="15"/>
        <v>23946251.999582477</v>
      </c>
      <c r="V39" s="297">
        <f t="shared" si="13"/>
        <v>41905940.999269344</v>
      </c>
      <c r="W39" s="736">
        <f>V33/V28</f>
        <v>0.99570661542304428</v>
      </c>
      <c r="X39" s="7297" t="s">
        <v>47</v>
      </c>
      <c r="Y39" s="7298"/>
      <c r="Z39" s="7295" t="s">
        <v>138</v>
      </c>
      <c r="AA39" s="7295"/>
      <c r="AB39" s="7295" t="s">
        <v>526</v>
      </c>
      <c r="AC39" s="7295"/>
    </row>
    <row r="40" spans="1:33" ht="10.199999999999999" customHeight="1">
      <c r="A40" s="7264" t="s">
        <v>34</v>
      </c>
      <c r="B40" s="217" t="s">
        <v>27</v>
      </c>
      <c r="C40" s="221">
        <v>3</v>
      </c>
      <c r="D40" s="3074">
        <v>3</v>
      </c>
      <c r="E40" s="228">
        <f t="shared" si="16"/>
        <v>3</v>
      </c>
      <c r="F40" s="229">
        <v>1</v>
      </c>
      <c r="G40" s="229">
        <v>2</v>
      </c>
      <c r="H40" s="229">
        <v>0</v>
      </c>
      <c r="I40" s="229">
        <v>1</v>
      </c>
      <c r="J40" s="229">
        <v>0</v>
      </c>
      <c r="K40" s="229">
        <v>1</v>
      </c>
      <c r="L40" s="229">
        <v>0</v>
      </c>
      <c r="M40" s="229">
        <v>0</v>
      </c>
      <c r="N40" s="229">
        <v>1</v>
      </c>
      <c r="O40" s="229">
        <v>1</v>
      </c>
      <c r="P40" s="229">
        <v>0</v>
      </c>
      <c r="Q40" s="229">
        <v>0</v>
      </c>
      <c r="R40" s="226">
        <f t="shared" ref="R40:R49" si="19">SUM(F40:Q40)</f>
        <v>7</v>
      </c>
      <c r="S40" s="229">
        <f t="shared" ref="S40:S49" si="20">SUM(F40:Q40)</f>
        <v>7</v>
      </c>
      <c r="T40" s="222">
        <f t="shared" ref="T40:T54" si="21">SUM(L40:N40)</f>
        <v>1</v>
      </c>
      <c r="U40" s="226">
        <f t="shared" si="15"/>
        <v>2</v>
      </c>
      <c r="V40" s="218">
        <f>SUM(F40:Q40)</f>
        <v>7</v>
      </c>
      <c r="X40" s="7299"/>
      <c r="Y40" s="7300"/>
      <c r="Z40" s="489" t="s">
        <v>748</v>
      </c>
      <c r="AA40" s="462" t="s">
        <v>749</v>
      </c>
      <c r="AB40" s="774" t="s">
        <v>748</v>
      </c>
      <c r="AC40" s="462" t="s">
        <v>749</v>
      </c>
    </row>
    <row r="41" spans="1:33" ht="10.199999999999999" customHeight="1">
      <c r="A41" s="7264"/>
      <c r="B41" s="217" t="s">
        <v>28</v>
      </c>
      <c r="C41" s="221">
        <v>7</v>
      </c>
      <c r="D41" s="3074">
        <v>6</v>
      </c>
      <c r="E41" s="228">
        <f t="shared" si="16"/>
        <v>6</v>
      </c>
      <c r="F41" s="229">
        <v>1</v>
      </c>
      <c r="G41" s="229">
        <v>2</v>
      </c>
      <c r="H41" s="229">
        <v>0</v>
      </c>
      <c r="I41" s="229">
        <v>0</v>
      </c>
      <c r="J41" s="229">
        <v>1</v>
      </c>
      <c r="K41" s="229">
        <v>1</v>
      </c>
      <c r="L41" s="229">
        <v>1</v>
      </c>
      <c r="M41" s="229">
        <v>1</v>
      </c>
      <c r="N41" s="229">
        <v>0</v>
      </c>
      <c r="O41" s="229">
        <v>0</v>
      </c>
      <c r="P41" s="229">
        <v>0</v>
      </c>
      <c r="Q41" s="229">
        <v>0</v>
      </c>
      <c r="R41" s="226">
        <f t="shared" si="19"/>
        <v>7</v>
      </c>
      <c r="S41" s="229">
        <f t="shared" si="20"/>
        <v>7</v>
      </c>
      <c r="T41" s="222">
        <f t="shared" si="21"/>
        <v>2</v>
      </c>
      <c r="U41" s="226">
        <f t="shared" si="15"/>
        <v>2</v>
      </c>
      <c r="V41" s="218">
        <f t="shared" ref="V41:V59" si="22">SUM(F41:Q41)</f>
        <v>7</v>
      </c>
      <c r="W41" s="4">
        <f>W31/W26</f>
        <v>0.25820446764741517</v>
      </c>
      <c r="X41" s="7296" t="s">
        <v>27</v>
      </c>
      <c r="Y41" s="463" t="s">
        <v>24</v>
      </c>
      <c r="Z41" s="464">
        <v>11</v>
      </c>
      <c r="AA41" s="464">
        <v>11</v>
      </c>
      <c r="AB41" s="464">
        <v>958</v>
      </c>
      <c r="AC41" s="464">
        <v>638</v>
      </c>
      <c r="AD41" s="776">
        <f>Z41+AA41</f>
        <v>22</v>
      </c>
      <c r="AE41" s="776">
        <f>AA41+AB41</f>
        <v>969</v>
      </c>
      <c r="AF41" s="776">
        <f>AA42+AB42</f>
        <v>178</v>
      </c>
    </row>
    <row r="42" spans="1:33" ht="10.199999999999999" customHeight="1">
      <c r="A42" s="7264"/>
      <c r="B42" s="217" t="s">
        <v>29</v>
      </c>
      <c r="C42" s="221">
        <v>18</v>
      </c>
      <c r="D42" s="3074">
        <v>10</v>
      </c>
      <c r="E42" s="228">
        <f t="shared" si="16"/>
        <v>10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3</v>
      </c>
      <c r="N42" s="229">
        <v>0</v>
      </c>
      <c r="O42" s="229">
        <v>0</v>
      </c>
      <c r="P42" s="229">
        <v>0</v>
      </c>
      <c r="Q42" s="229">
        <v>0</v>
      </c>
      <c r="R42" s="226">
        <f t="shared" si="19"/>
        <v>3</v>
      </c>
      <c r="S42" s="229">
        <f t="shared" si="20"/>
        <v>3</v>
      </c>
      <c r="T42" s="222">
        <f t="shared" si="21"/>
        <v>3</v>
      </c>
      <c r="U42" s="226">
        <f t="shared" si="15"/>
        <v>3</v>
      </c>
      <c r="V42" s="218">
        <f t="shared" si="22"/>
        <v>3</v>
      </c>
      <c r="W42" s="4">
        <f>W32/W27</f>
        <v>0.95027729967489005</v>
      </c>
      <c r="X42" s="7296"/>
      <c r="Y42" s="490" t="s">
        <v>25</v>
      </c>
      <c r="Z42" s="491">
        <v>6</v>
      </c>
      <c r="AA42" s="464">
        <v>5</v>
      </c>
      <c r="AB42" s="491">
        <v>173</v>
      </c>
      <c r="AC42" s="464">
        <v>291</v>
      </c>
      <c r="AD42" s="776">
        <f t="shared" ref="AD42:AD50" si="23">Z42+AA42</f>
        <v>11</v>
      </c>
      <c r="AE42" s="776">
        <f>AA43+AB43</f>
        <v>2905</v>
      </c>
      <c r="AF42" s="776">
        <f>AA44+AB44</f>
        <v>1845</v>
      </c>
    </row>
    <row r="43" spans="1:33" ht="10.199999999999999" customHeight="1">
      <c r="A43" s="7264"/>
      <c r="B43" s="217" t="s">
        <v>30</v>
      </c>
      <c r="C43" s="221">
        <v>6</v>
      </c>
      <c r="D43" s="3074">
        <v>6</v>
      </c>
      <c r="E43" s="228">
        <f t="shared" si="16"/>
        <v>6</v>
      </c>
      <c r="F43" s="229">
        <v>0</v>
      </c>
      <c r="G43" s="229">
        <v>1</v>
      </c>
      <c r="H43" s="229">
        <v>0</v>
      </c>
      <c r="I43" s="229">
        <v>3</v>
      </c>
      <c r="J43" s="229">
        <v>1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1</v>
      </c>
      <c r="Q43" s="229">
        <v>3</v>
      </c>
      <c r="R43" s="226">
        <f t="shared" si="19"/>
        <v>9</v>
      </c>
      <c r="S43" s="229">
        <f t="shared" si="20"/>
        <v>9</v>
      </c>
      <c r="T43" s="222">
        <f t="shared" si="21"/>
        <v>0</v>
      </c>
      <c r="U43" s="226">
        <f t="shared" si="15"/>
        <v>4</v>
      </c>
      <c r="V43" s="218">
        <f t="shared" si="22"/>
        <v>9</v>
      </c>
      <c r="W43" s="4">
        <f>W33/W28</f>
        <v>0.99490412061772671</v>
      </c>
      <c r="X43" s="7296" t="s">
        <v>28</v>
      </c>
      <c r="Y43" s="463" t="s">
        <v>24</v>
      </c>
      <c r="Z43" s="464">
        <v>25</v>
      </c>
      <c r="AA43" s="464">
        <v>5</v>
      </c>
      <c r="AB43" s="464">
        <v>2900</v>
      </c>
      <c r="AC43" s="464">
        <v>660</v>
      </c>
      <c r="AD43" s="776">
        <f t="shared" si="23"/>
        <v>30</v>
      </c>
      <c r="AE43" s="776">
        <f>AA45+AB45</f>
        <v>497</v>
      </c>
      <c r="AF43" s="776">
        <f>AA46+AB46</f>
        <v>320</v>
      </c>
    </row>
    <row r="44" spans="1:33" ht="10.199999999999999" customHeight="1">
      <c r="A44" s="7264"/>
      <c r="B44" s="217" t="s">
        <v>17</v>
      </c>
      <c r="C44" s="221">
        <v>6</v>
      </c>
      <c r="D44" s="3075">
        <v>3</v>
      </c>
      <c r="E44" s="228">
        <f t="shared" si="16"/>
        <v>3</v>
      </c>
      <c r="F44" s="229">
        <v>0</v>
      </c>
      <c r="G44" s="229">
        <v>1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1</v>
      </c>
      <c r="N44" s="229">
        <v>2</v>
      </c>
      <c r="O44" s="229">
        <v>0</v>
      </c>
      <c r="P44" s="229">
        <v>0</v>
      </c>
      <c r="Q44" s="229">
        <v>0</v>
      </c>
      <c r="R44" s="226">
        <f t="shared" si="19"/>
        <v>4</v>
      </c>
      <c r="S44" s="229">
        <f t="shared" si="20"/>
        <v>4</v>
      </c>
      <c r="T44" s="222">
        <f t="shared" si="21"/>
        <v>3</v>
      </c>
      <c r="U44" s="226">
        <f t="shared" si="15"/>
        <v>3</v>
      </c>
      <c r="V44" s="218">
        <f t="shared" si="22"/>
        <v>4</v>
      </c>
      <c r="W44" s="4">
        <f>W34/W29</f>
        <v>0.88221026049973417</v>
      </c>
      <c r="X44" s="7296"/>
      <c r="Y44" s="490" t="s">
        <v>25</v>
      </c>
      <c r="Z44" s="491">
        <v>9</v>
      </c>
      <c r="AA44" s="464">
        <v>10</v>
      </c>
      <c r="AB44" s="491">
        <v>1835</v>
      </c>
      <c r="AC44" s="464">
        <f>1255+255</f>
        <v>1510</v>
      </c>
      <c r="AD44" s="776">
        <f t="shared" si="23"/>
        <v>19</v>
      </c>
      <c r="AE44" s="776">
        <f>AA47+AB47</f>
        <v>1729</v>
      </c>
      <c r="AF44" s="776">
        <f>AA48+AB48</f>
        <v>348</v>
      </c>
    </row>
    <row r="45" spans="1:33" ht="10.199999999999999" customHeight="1">
      <c r="A45" s="7287" t="s">
        <v>35</v>
      </c>
      <c r="B45" s="280" t="s">
        <v>27</v>
      </c>
      <c r="C45" s="476">
        <v>3</v>
      </c>
      <c r="D45" s="3075">
        <v>3</v>
      </c>
      <c r="E45" s="286">
        <f t="shared" si="16"/>
        <v>3</v>
      </c>
      <c r="F45" s="287">
        <v>0</v>
      </c>
      <c r="G45" s="287">
        <v>1</v>
      </c>
      <c r="H45" s="287">
        <v>0</v>
      </c>
      <c r="I45" s="287">
        <v>0</v>
      </c>
      <c r="J45" s="287">
        <v>0</v>
      </c>
      <c r="K45" s="287">
        <v>1</v>
      </c>
      <c r="L45" s="287">
        <v>0</v>
      </c>
      <c r="M45" s="287">
        <v>1</v>
      </c>
      <c r="N45" s="287">
        <v>0</v>
      </c>
      <c r="O45" s="287">
        <v>0</v>
      </c>
      <c r="P45" s="287">
        <v>0</v>
      </c>
      <c r="Q45" s="287">
        <v>0</v>
      </c>
      <c r="R45" s="284">
        <f t="shared" si="19"/>
        <v>3</v>
      </c>
      <c r="S45" s="287">
        <f t="shared" si="20"/>
        <v>3</v>
      </c>
      <c r="T45" s="284">
        <f t="shared" si="21"/>
        <v>1</v>
      </c>
      <c r="U45" s="284">
        <f t="shared" si="15"/>
        <v>1</v>
      </c>
      <c r="V45" s="283">
        <f t="shared" si="22"/>
        <v>3</v>
      </c>
      <c r="W45" s="4">
        <f>W35/W30</f>
        <v>0.76266280752532567</v>
      </c>
      <c r="X45" s="7296" t="s">
        <v>29</v>
      </c>
      <c r="Y45" s="463" t="s">
        <v>24</v>
      </c>
      <c r="Z45" s="464">
        <v>5</v>
      </c>
      <c r="AA45" s="464">
        <v>15</v>
      </c>
      <c r="AB45" s="464">
        <v>482</v>
      </c>
      <c r="AC45" s="464">
        <f>1444+101</f>
        <v>1545</v>
      </c>
      <c r="AD45" s="776">
        <f t="shared" si="23"/>
        <v>20</v>
      </c>
      <c r="AE45" s="776">
        <f>AA49+AB49</f>
        <v>235</v>
      </c>
      <c r="AF45" s="776">
        <f>AA50+AB50</f>
        <v>539</v>
      </c>
    </row>
    <row r="46" spans="1:33" ht="10.199999999999999" customHeight="1">
      <c r="A46" s="7287"/>
      <c r="B46" s="280" t="s">
        <v>28</v>
      </c>
      <c r="C46" s="476">
        <v>6</v>
      </c>
      <c r="D46" s="3074">
        <v>6</v>
      </c>
      <c r="E46" s="286">
        <f t="shared" si="16"/>
        <v>6</v>
      </c>
      <c r="F46" s="287">
        <v>2</v>
      </c>
      <c r="G46" s="287">
        <v>1</v>
      </c>
      <c r="H46" s="287">
        <v>1</v>
      </c>
      <c r="I46" s="287">
        <v>2</v>
      </c>
      <c r="J46" s="287">
        <v>0</v>
      </c>
      <c r="K46" s="287">
        <v>2</v>
      </c>
      <c r="L46" s="287">
        <v>4</v>
      </c>
      <c r="M46" s="287">
        <v>5</v>
      </c>
      <c r="N46" s="287">
        <v>5</v>
      </c>
      <c r="O46" s="287">
        <v>3</v>
      </c>
      <c r="P46" s="287">
        <v>0</v>
      </c>
      <c r="Q46" s="287">
        <v>0</v>
      </c>
      <c r="R46" s="284">
        <f t="shared" si="19"/>
        <v>25</v>
      </c>
      <c r="S46" s="287">
        <f t="shared" si="20"/>
        <v>25</v>
      </c>
      <c r="T46" s="284">
        <f t="shared" si="21"/>
        <v>14</v>
      </c>
      <c r="U46" s="284">
        <f t="shared" si="15"/>
        <v>17</v>
      </c>
      <c r="V46" s="283">
        <f t="shared" si="22"/>
        <v>25</v>
      </c>
      <c r="W46" s="4">
        <f>SUM(W41:W45)</f>
        <v>3.8482589559650915</v>
      </c>
      <c r="X46" s="7296"/>
      <c r="Y46" s="490" t="s">
        <v>25</v>
      </c>
      <c r="Z46" s="491">
        <v>4</v>
      </c>
      <c r="AA46" s="464">
        <v>10</v>
      </c>
      <c r="AB46" s="491">
        <v>310</v>
      </c>
      <c r="AC46" s="464">
        <f>1567+153</f>
        <v>1720</v>
      </c>
      <c r="AD46" s="776">
        <f t="shared" si="23"/>
        <v>14</v>
      </c>
      <c r="AE46" s="776">
        <v>178</v>
      </c>
      <c r="AF46" s="227"/>
    </row>
    <row r="47" spans="1:33" ht="10.199999999999999" customHeight="1">
      <c r="A47" s="7287"/>
      <c r="B47" s="280" t="s">
        <v>29</v>
      </c>
      <c r="C47" s="476">
        <v>14</v>
      </c>
      <c r="D47" s="3074">
        <v>8</v>
      </c>
      <c r="E47" s="286">
        <f t="shared" si="16"/>
        <v>8</v>
      </c>
      <c r="F47" s="287">
        <v>0</v>
      </c>
      <c r="G47" s="287">
        <v>1</v>
      </c>
      <c r="H47" s="287">
        <v>1</v>
      </c>
      <c r="I47" s="287">
        <v>0</v>
      </c>
      <c r="J47" s="287">
        <v>0</v>
      </c>
      <c r="K47" s="287">
        <v>2</v>
      </c>
      <c r="L47" s="287">
        <v>1</v>
      </c>
      <c r="M47" s="287">
        <v>0</v>
      </c>
      <c r="N47" s="287">
        <v>2</v>
      </c>
      <c r="O47" s="287">
        <v>0</v>
      </c>
      <c r="P47" s="287">
        <v>0</v>
      </c>
      <c r="Q47" s="287">
        <v>0</v>
      </c>
      <c r="R47" s="284">
        <f t="shared" si="19"/>
        <v>7</v>
      </c>
      <c r="S47" s="287">
        <f t="shared" si="20"/>
        <v>7</v>
      </c>
      <c r="T47" s="284">
        <f t="shared" si="21"/>
        <v>3</v>
      </c>
      <c r="U47" s="284">
        <f t="shared" si="15"/>
        <v>3</v>
      </c>
      <c r="V47" s="283">
        <f t="shared" si="22"/>
        <v>7</v>
      </c>
      <c r="W47" s="4">
        <f>W46/5</f>
        <v>0.7696517911930183</v>
      </c>
      <c r="X47" s="7296" t="s">
        <v>505</v>
      </c>
      <c r="Y47" s="463" t="s">
        <v>24</v>
      </c>
      <c r="Z47" s="463">
        <v>10</v>
      </c>
      <c r="AA47" s="463">
        <v>5</v>
      </c>
      <c r="AB47" s="463">
        <v>1724</v>
      </c>
      <c r="AC47" s="465">
        <v>196</v>
      </c>
      <c r="AD47" s="776">
        <f t="shared" si="23"/>
        <v>15</v>
      </c>
      <c r="AE47" s="776">
        <v>1845</v>
      </c>
      <c r="AF47" s="227"/>
    </row>
    <row r="48" spans="1:33" ht="10.199999999999999" customHeight="1">
      <c r="A48" s="7287"/>
      <c r="B48" s="280" t="s">
        <v>30</v>
      </c>
      <c r="C48" s="476">
        <v>6</v>
      </c>
      <c r="D48" s="3074">
        <v>6</v>
      </c>
      <c r="E48" s="286">
        <f t="shared" si="16"/>
        <v>6</v>
      </c>
      <c r="F48" s="287">
        <v>0</v>
      </c>
      <c r="G48" s="287">
        <v>0</v>
      </c>
      <c r="H48" s="287">
        <v>0</v>
      </c>
      <c r="I48" s="287">
        <v>0</v>
      </c>
      <c r="J48" s="287">
        <v>1</v>
      </c>
      <c r="K48" s="287">
        <v>0</v>
      </c>
      <c r="L48" s="287">
        <v>0</v>
      </c>
      <c r="M48" s="287">
        <v>0</v>
      </c>
      <c r="N48" s="287">
        <v>0</v>
      </c>
      <c r="O48" s="287">
        <v>0</v>
      </c>
      <c r="P48" s="287">
        <v>0</v>
      </c>
      <c r="Q48" s="287">
        <v>1</v>
      </c>
      <c r="R48" s="284">
        <f t="shared" si="19"/>
        <v>2</v>
      </c>
      <c r="S48" s="287">
        <f t="shared" si="20"/>
        <v>2</v>
      </c>
      <c r="T48" s="284">
        <f t="shared" si="21"/>
        <v>0</v>
      </c>
      <c r="U48" s="284">
        <f t="shared" si="15"/>
        <v>1</v>
      </c>
      <c r="V48" s="283">
        <f t="shared" si="22"/>
        <v>2</v>
      </c>
      <c r="X48" s="7296"/>
      <c r="Y48" s="490" t="s">
        <v>25</v>
      </c>
      <c r="Z48" s="490">
        <v>8</v>
      </c>
      <c r="AA48" s="463">
        <v>10</v>
      </c>
      <c r="AB48" s="490">
        <v>338</v>
      </c>
      <c r="AC48" s="463">
        <f>1675+171+38</f>
        <v>1884</v>
      </c>
      <c r="AD48" s="776">
        <f t="shared" si="23"/>
        <v>18</v>
      </c>
      <c r="AE48" s="776">
        <v>320</v>
      </c>
      <c r="AF48" s="285"/>
    </row>
    <row r="49" spans="1:32" ht="10.199999999999999" customHeight="1">
      <c r="A49" s="7287"/>
      <c r="B49" s="280" t="s">
        <v>17</v>
      </c>
      <c r="C49" s="476">
        <v>2</v>
      </c>
      <c r="D49" s="3075">
        <v>3</v>
      </c>
      <c r="E49" s="286">
        <f t="shared" si="16"/>
        <v>3</v>
      </c>
      <c r="F49" s="287">
        <v>1</v>
      </c>
      <c r="G49" s="287">
        <v>0</v>
      </c>
      <c r="H49" s="287">
        <v>1</v>
      </c>
      <c r="I49" s="287">
        <v>0</v>
      </c>
      <c r="J49" s="287">
        <v>1</v>
      </c>
      <c r="K49" s="287">
        <v>0</v>
      </c>
      <c r="L49" s="287">
        <v>0</v>
      </c>
      <c r="M49" s="287">
        <v>0</v>
      </c>
      <c r="N49" s="287">
        <v>2</v>
      </c>
      <c r="O49" s="287">
        <v>0</v>
      </c>
      <c r="P49" s="287">
        <v>0</v>
      </c>
      <c r="Q49" s="287">
        <v>0</v>
      </c>
      <c r="R49" s="284">
        <f t="shared" si="19"/>
        <v>5</v>
      </c>
      <c r="S49" s="287">
        <f t="shared" si="20"/>
        <v>5</v>
      </c>
      <c r="T49" s="284">
        <f t="shared" si="21"/>
        <v>2</v>
      </c>
      <c r="U49" s="284">
        <f t="shared" si="15"/>
        <v>2</v>
      </c>
      <c r="V49" s="283">
        <f t="shared" si="22"/>
        <v>5</v>
      </c>
      <c r="X49" s="7296" t="s">
        <v>212</v>
      </c>
      <c r="Y49" s="463" t="s">
        <v>24</v>
      </c>
      <c r="Z49" s="463">
        <v>5</v>
      </c>
      <c r="AA49" s="463">
        <v>10</v>
      </c>
      <c r="AB49" s="463">
        <v>225</v>
      </c>
      <c r="AC49" s="465">
        <v>627</v>
      </c>
      <c r="AD49" s="776">
        <f t="shared" si="23"/>
        <v>15</v>
      </c>
      <c r="AE49" s="776">
        <v>348</v>
      </c>
      <c r="AF49" s="285"/>
    </row>
    <row r="50" spans="1:32" ht="10.199999999999999" customHeight="1">
      <c r="A50" s="7272" t="s">
        <v>36</v>
      </c>
      <c r="B50" s="217" t="s">
        <v>27</v>
      </c>
      <c r="C50" s="221">
        <v>490</v>
      </c>
      <c r="D50" s="3074">
        <f>375.272727272727*10/12</f>
        <v>312.72727272727252</v>
      </c>
      <c r="E50" s="228">
        <f t="shared" si="16"/>
        <v>312.72727272727252</v>
      </c>
      <c r="F50" s="843">
        <v>100</v>
      </c>
      <c r="G50" s="222">
        <v>75</v>
      </c>
      <c r="H50" s="222">
        <v>0</v>
      </c>
      <c r="I50" s="222">
        <v>110</v>
      </c>
      <c r="J50" s="222">
        <v>0</v>
      </c>
      <c r="K50" s="222">
        <v>3</v>
      </c>
      <c r="L50" s="222">
        <v>0</v>
      </c>
      <c r="M50" s="222">
        <v>0</v>
      </c>
      <c r="N50" s="222">
        <v>320</v>
      </c>
      <c r="O50" s="222">
        <v>130</v>
      </c>
      <c r="P50" s="222">
        <v>0</v>
      </c>
      <c r="Q50" s="222">
        <v>0</v>
      </c>
      <c r="R50" s="226">
        <f>SUM(F50:H50)</f>
        <v>175</v>
      </c>
      <c r="S50" s="229">
        <f>SUM(F50:K50)</f>
        <v>288</v>
      </c>
      <c r="T50" s="222">
        <f t="shared" si="21"/>
        <v>320</v>
      </c>
      <c r="U50" s="226">
        <f t="shared" si="15"/>
        <v>450</v>
      </c>
      <c r="V50" s="1509">
        <f t="shared" si="22"/>
        <v>738</v>
      </c>
      <c r="X50" s="7296"/>
      <c r="Y50" s="490" t="s">
        <v>25</v>
      </c>
      <c r="Z50" s="490">
        <v>6</v>
      </c>
      <c r="AA50" s="463">
        <v>9</v>
      </c>
      <c r="AB50" s="490">
        <v>530</v>
      </c>
      <c r="AC50" s="463">
        <v>428</v>
      </c>
      <c r="AD50" s="776">
        <f t="shared" si="23"/>
        <v>15</v>
      </c>
      <c r="AE50" s="776">
        <v>539</v>
      </c>
      <c r="AF50" s="285"/>
    </row>
    <row r="51" spans="1:32" ht="10.199999999999999" customHeight="1">
      <c r="A51" s="7273"/>
      <c r="B51" s="217" t="s">
        <v>28</v>
      </c>
      <c r="C51" s="221">
        <v>1040</v>
      </c>
      <c r="D51" s="3074">
        <f>(2376-1380)*10/12</f>
        <v>830</v>
      </c>
      <c r="E51" s="228">
        <f t="shared" si="16"/>
        <v>830</v>
      </c>
      <c r="F51" s="843">
        <v>100</v>
      </c>
      <c r="G51" s="222">
        <v>660</v>
      </c>
      <c r="H51" s="222">
        <v>0</v>
      </c>
      <c r="I51" s="222">
        <v>0</v>
      </c>
      <c r="J51" s="222">
        <v>175</v>
      </c>
      <c r="K51" s="222">
        <v>80</v>
      </c>
      <c r="L51" s="222">
        <v>60</v>
      </c>
      <c r="M51" s="222">
        <v>20</v>
      </c>
      <c r="N51" s="222">
        <v>0</v>
      </c>
      <c r="O51" s="222">
        <v>0</v>
      </c>
      <c r="P51" s="222">
        <v>0</v>
      </c>
      <c r="Q51" s="222">
        <v>0</v>
      </c>
      <c r="R51" s="226">
        <f>SUM(F51:H51)</f>
        <v>760</v>
      </c>
      <c r="S51" s="229">
        <f>SUM(F51:K51)</f>
        <v>1015</v>
      </c>
      <c r="T51" s="222">
        <f t="shared" si="21"/>
        <v>80</v>
      </c>
      <c r="U51" s="226">
        <f t="shared" si="15"/>
        <v>80</v>
      </c>
      <c r="V51" s="1509">
        <f t="shared" si="22"/>
        <v>1095</v>
      </c>
      <c r="W51" s="74">
        <f>W54/W53</f>
        <v>2.7485398382109502E-3</v>
      </c>
      <c r="AE51" s="467" t="s">
        <v>503</v>
      </c>
      <c r="AF51" s="209" t="s">
        <v>504</v>
      </c>
    </row>
    <row r="52" spans="1:32" ht="10.199999999999999" customHeight="1">
      <c r="A52" s="7273"/>
      <c r="B52" s="217" t="s">
        <v>29</v>
      </c>
      <c r="C52" s="221">
        <v>2927</v>
      </c>
      <c r="D52" s="3074">
        <f>2873.78181818182*10/12</f>
        <v>2394.8181818181833</v>
      </c>
      <c r="E52" s="228">
        <f t="shared" si="16"/>
        <v>2394.8181818181833</v>
      </c>
      <c r="F52" s="843">
        <v>0</v>
      </c>
      <c r="G52" s="222">
        <v>0</v>
      </c>
      <c r="H52" s="222">
        <v>0</v>
      </c>
      <c r="I52" s="222">
        <v>0</v>
      </c>
      <c r="J52" s="222">
        <v>0</v>
      </c>
      <c r="K52" s="222">
        <v>0</v>
      </c>
      <c r="L52" s="222">
        <v>0</v>
      </c>
      <c r="M52" s="222">
        <v>540</v>
      </c>
      <c r="N52" s="222">
        <v>0</v>
      </c>
      <c r="O52" s="222">
        <v>0</v>
      </c>
      <c r="P52" s="222">
        <v>0</v>
      </c>
      <c r="Q52" s="222">
        <v>0</v>
      </c>
      <c r="R52" s="226">
        <f>SUM(F52:H52)</f>
        <v>0</v>
      </c>
      <c r="S52" s="229">
        <f>SUM(F52:K52)</f>
        <v>0</v>
      </c>
      <c r="T52" s="222">
        <f t="shared" si="21"/>
        <v>540</v>
      </c>
      <c r="U52" s="226">
        <f t="shared" si="15"/>
        <v>540</v>
      </c>
      <c r="V52" s="1509">
        <f t="shared" si="22"/>
        <v>540</v>
      </c>
      <c r="AE52" s="225">
        <v>0.97599999999999998</v>
      </c>
      <c r="AF52" s="239">
        <v>0.98149332901655406</v>
      </c>
    </row>
    <row r="53" spans="1:32" ht="10.199999999999999" customHeight="1">
      <c r="A53" s="7273"/>
      <c r="B53" s="217" t="s">
        <v>30</v>
      </c>
      <c r="C53" s="221">
        <v>959</v>
      </c>
      <c r="D53" s="3075">
        <v>836.9454545454546</v>
      </c>
      <c r="E53" s="228">
        <f t="shared" si="16"/>
        <v>836.9454545454546</v>
      </c>
      <c r="F53" s="843">
        <v>0</v>
      </c>
      <c r="G53" s="222">
        <v>60</v>
      </c>
      <c r="H53" s="222">
        <v>0</v>
      </c>
      <c r="I53" s="222">
        <v>146</v>
      </c>
      <c r="J53" s="222">
        <v>170</v>
      </c>
      <c r="K53" s="222">
        <v>0</v>
      </c>
      <c r="L53" s="222">
        <v>0</v>
      </c>
      <c r="M53" s="222">
        <v>0</v>
      </c>
      <c r="N53" s="222">
        <v>0</v>
      </c>
      <c r="O53" s="222">
        <v>0</v>
      </c>
      <c r="P53" s="222">
        <v>189</v>
      </c>
      <c r="Q53" s="222">
        <v>295</v>
      </c>
      <c r="R53" s="226">
        <f>SUM(F53:H53)</f>
        <v>60</v>
      </c>
      <c r="S53" s="229">
        <f>SUM(F53:K53)</f>
        <v>376</v>
      </c>
      <c r="T53" s="222">
        <f t="shared" si="21"/>
        <v>0</v>
      </c>
      <c r="U53" s="226">
        <f t="shared" si="15"/>
        <v>484</v>
      </c>
      <c r="V53" s="1509">
        <f t="shared" si="22"/>
        <v>860</v>
      </c>
      <c r="W53" s="269">
        <f>SUM(F31:F35)</f>
        <v>160085</v>
      </c>
      <c r="X53" s="7304" t="s">
        <v>734</v>
      </c>
      <c r="Y53" s="7305"/>
      <c r="Z53" s="768" t="s">
        <v>735</v>
      </c>
      <c r="AA53" s="769">
        <v>45000</v>
      </c>
      <c r="AB53" s="770">
        <v>60000</v>
      </c>
      <c r="AE53" s="240">
        <v>51.237989332096475</v>
      </c>
      <c r="AF53" s="241">
        <v>53.616711212227159</v>
      </c>
    </row>
    <row r="54" spans="1:32">
      <c r="A54" s="7273"/>
      <c r="B54" s="217" t="s">
        <v>17</v>
      </c>
      <c r="C54" s="221">
        <v>574</v>
      </c>
      <c r="D54" s="3075">
        <v>466.0363636363636</v>
      </c>
      <c r="E54" s="228">
        <f t="shared" si="16"/>
        <v>466.0363636363636</v>
      </c>
      <c r="F54" s="843">
        <v>0</v>
      </c>
      <c r="G54" s="222">
        <v>65</v>
      </c>
      <c r="H54" s="222">
        <v>0</v>
      </c>
      <c r="I54" s="222">
        <v>0</v>
      </c>
      <c r="J54" s="222">
        <v>0</v>
      </c>
      <c r="K54" s="222">
        <v>0</v>
      </c>
      <c r="L54" s="222">
        <v>0</v>
      </c>
      <c r="M54" s="222">
        <v>50</v>
      </c>
      <c r="N54" s="222">
        <v>130</v>
      </c>
      <c r="O54" s="222">
        <v>0</v>
      </c>
      <c r="P54" s="222">
        <v>0</v>
      </c>
      <c r="Q54" s="222">
        <v>0</v>
      </c>
      <c r="R54" s="226">
        <f>SUM(F54:H54)</f>
        <v>65</v>
      </c>
      <c r="S54" s="229">
        <f>SUM(F54:K54)</f>
        <v>65</v>
      </c>
      <c r="T54" s="222">
        <f t="shared" si="21"/>
        <v>180</v>
      </c>
      <c r="U54" s="226">
        <f t="shared" si="15"/>
        <v>180</v>
      </c>
      <c r="V54" s="1509">
        <f t="shared" si="22"/>
        <v>245</v>
      </c>
      <c r="W54" s="4576">
        <f>SUM(F50:F59)</f>
        <v>440</v>
      </c>
    </row>
    <row r="55" spans="1:32">
      <c r="A55" s="7281" t="s">
        <v>37</v>
      </c>
      <c r="B55" s="280" t="s">
        <v>27</v>
      </c>
      <c r="C55" s="476">
        <v>55</v>
      </c>
      <c r="D55" s="3075">
        <f>54*10/12</f>
        <v>45</v>
      </c>
      <c r="E55" s="286">
        <f t="shared" si="16"/>
        <v>45</v>
      </c>
      <c r="F55" s="525">
        <v>0</v>
      </c>
      <c r="G55" s="525">
        <v>20</v>
      </c>
      <c r="H55" s="525">
        <v>0</v>
      </c>
      <c r="I55" s="525">
        <v>0</v>
      </c>
      <c r="J55" s="525">
        <v>0</v>
      </c>
      <c r="K55" s="525">
        <v>45</v>
      </c>
      <c r="L55" s="525">
        <v>0</v>
      </c>
      <c r="M55" s="525">
        <v>455</v>
      </c>
      <c r="N55" s="525">
        <v>0</v>
      </c>
      <c r="O55" s="525">
        <v>0</v>
      </c>
      <c r="P55" s="525">
        <v>0</v>
      </c>
      <c r="Q55" s="525">
        <v>0</v>
      </c>
      <c r="R55" s="284">
        <f>SUM(F55:Q55)</f>
        <v>520</v>
      </c>
      <c r="S55" s="287">
        <f>SUM(F55:Q55)</f>
        <v>520</v>
      </c>
      <c r="T55" s="284">
        <f>SUM(F55:Q55)</f>
        <v>520</v>
      </c>
      <c r="U55" s="284">
        <f t="shared" si="15"/>
        <v>455</v>
      </c>
      <c r="V55" s="283">
        <f t="shared" si="22"/>
        <v>520</v>
      </c>
    </row>
    <row r="56" spans="1:32">
      <c r="A56" s="7282"/>
      <c r="B56" s="280" t="s">
        <v>28</v>
      </c>
      <c r="C56" s="476">
        <v>815</v>
      </c>
      <c r="D56" s="3074">
        <f>737.454545454545*10/12</f>
        <v>614.54545454545416</v>
      </c>
      <c r="E56" s="286">
        <f t="shared" si="16"/>
        <v>614.54545454545416</v>
      </c>
      <c r="F56" s="525">
        <v>230</v>
      </c>
      <c r="G56" s="525">
        <v>40</v>
      </c>
      <c r="H56" s="525">
        <v>60</v>
      </c>
      <c r="I56" s="525">
        <v>295</v>
      </c>
      <c r="J56" s="525">
        <v>0</v>
      </c>
      <c r="K56" s="525">
        <v>365</v>
      </c>
      <c r="L56" s="525">
        <v>845</v>
      </c>
      <c r="M56" s="525">
        <v>590</v>
      </c>
      <c r="N56" s="525">
        <v>530</v>
      </c>
      <c r="O56" s="525">
        <v>470</v>
      </c>
      <c r="P56" s="525">
        <v>0</v>
      </c>
      <c r="Q56" s="525">
        <v>0</v>
      </c>
      <c r="R56" s="284">
        <f>SUM(F56:Q56)</f>
        <v>3425</v>
      </c>
      <c r="S56" s="287">
        <f>SUM(F56:Q56)</f>
        <v>3425</v>
      </c>
      <c r="T56" s="284">
        <f>SUM(F56:Q56)</f>
        <v>3425</v>
      </c>
      <c r="U56" s="284">
        <f t="shared" si="15"/>
        <v>2435</v>
      </c>
      <c r="V56" s="283">
        <f t="shared" si="22"/>
        <v>3425</v>
      </c>
    </row>
    <row r="57" spans="1:32">
      <c r="A57" s="7282"/>
      <c r="B57" s="280" t="s">
        <v>29</v>
      </c>
      <c r="C57" s="476">
        <v>1675</v>
      </c>
      <c r="D57" s="3074">
        <f>1644.54545454545*10/12</f>
        <v>1370.4545454545416</v>
      </c>
      <c r="E57" s="286">
        <f t="shared" si="16"/>
        <v>1370.4545454545416</v>
      </c>
      <c r="F57" s="525">
        <v>0</v>
      </c>
      <c r="G57" s="525">
        <v>5</v>
      </c>
      <c r="H57" s="525">
        <v>60</v>
      </c>
      <c r="I57" s="525">
        <v>0</v>
      </c>
      <c r="J57" s="525">
        <v>0</v>
      </c>
      <c r="K57" s="525">
        <v>92</v>
      </c>
      <c r="L57" s="525">
        <v>15</v>
      </c>
      <c r="M57" s="525">
        <v>0</v>
      </c>
      <c r="N57" s="525">
        <v>11</v>
      </c>
      <c r="O57" s="525">
        <v>0</v>
      </c>
      <c r="P57" s="525">
        <v>0</v>
      </c>
      <c r="Q57" s="525">
        <v>0</v>
      </c>
      <c r="R57" s="284">
        <f>SUM(F57:Q57)</f>
        <v>183</v>
      </c>
      <c r="S57" s="287">
        <f>SUM(F57:Q57)</f>
        <v>183</v>
      </c>
      <c r="T57" s="284">
        <f>SUM(F57:Q57)</f>
        <v>183</v>
      </c>
      <c r="U57" s="284">
        <f t="shared" si="15"/>
        <v>26</v>
      </c>
      <c r="V57" s="283">
        <f t="shared" si="22"/>
        <v>183</v>
      </c>
      <c r="W57" s="6"/>
    </row>
    <row r="58" spans="1:32">
      <c r="A58" s="7282"/>
      <c r="B58" s="280" t="s">
        <v>30</v>
      </c>
      <c r="C58" s="476">
        <v>467</v>
      </c>
      <c r="D58" s="3075">
        <v>407.56363636363636</v>
      </c>
      <c r="E58" s="286">
        <f t="shared" si="16"/>
        <v>407.56363636363636</v>
      </c>
      <c r="F58" s="525">
        <v>0</v>
      </c>
      <c r="G58" s="525">
        <v>0</v>
      </c>
      <c r="H58" s="525">
        <v>0</v>
      </c>
      <c r="I58" s="525">
        <v>0</v>
      </c>
      <c r="J58" s="525">
        <v>140</v>
      </c>
      <c r="K58" s="525">
        <v>0</v>
      </c>
      <c r="L58" s="525">
        <v>0</v>
      </c>
      <c r="M58" s="525">
        <v>0</v>
      </c>
      <c r="N58" s="525">
        <v>0</v>
      </c>
      <c r="O58" s="525">
        <v>0</v>
      </c>
      <c r="P58" s="525">
        <v>0</v>
      </c>
      <c r="Q58" s="525">
        <v>415</v>
      </c>
      <c r="R58" s="284">
        <f>SUM(F58:Q58)</f>
        <v>555</v>
      </c>
      <c r="S58" s="287">
        <f>SUM(F58:Q58)</f>
        <v>555</v>
      </c>
      <c r="T58" s="284">
        <f>SUM(F58:Q58)</f>
        <v>555</v>
      </c>
      <c r="U58" s="284">
        <f t="shared" si="15"/>
        <v>415</v>
      </c>
      <c r="V58" s="283">
        <f t="shared" si="22"/>
        <v>555</v>
      </c>
    </row>
    <row r="59" spans="1:32">
      <c r="A59" s="7282"/>
      <c r="B59" s="280" t="s">
        <v>17</v>
      </c>
      <c r="C59" s="476">
        <v>71</v>
      </c>
      <c r="D59" s="3075">
        <f>197.345454545455-130</f>
        <v>67.345454545454999</v>
      </c>
      <c r="E59" s="286">
        <f t="shared" si="16"/>
        <v>67.345454545454999</v>
      </c>
      <c r="F59" s="525">
        <v>10</v>
      </c>
      <c r="G59" s="525">
        <v>0</v>
      </c>
      <c r="H59" s="525">
        <v>5</v>
      </c>
      <c r="I59" s="525">
        <v>0</v>
      </c>
      <c r="J59" s="525">
        <v>133</v>
      </c>
      <c r="K59" s="525">
        <v>0</v>
      </c>
      <c r="L59" s="525">
        <v>0</v>
      </c>
      <c r="M59" s="525">
        <v>0</v>
      </c>
      <c r="N59" s="525">
        <v>410</v>
      </c>
      <c r="O59" s="525">
        <v>0</v>
      </c>
      <c r="P59" s="525">
        <v>0</v>
      </c>
      <c r="Q59" s="525">
        <v>0</v>
      </c>
      <c r="R59" s="284">
        <f>SUM(F59:Q59)</f>
        <v>558</v>
      </c>
      <c r="S59" s="287">
        <f>SUM(F59:Q59)</f>
        <v>558</v>
      </c>
      <c r="T59" s="284">
        <f>SUM(F59:Q59)</f>
        <v>558</v>
      </c>
      <c r="U59" s="284">
        <f t="shared" si="15"/>
        <v>410</v>
      </c>
      <c r="V59" s="283">
        <f t="shared" si="22"/>
        <v>558</v>
      </c>
    </row>
    <row r="60" spans="1:32" s="15" customFormat="1">
      <c r="A60" s="7279" t="s">
        <v>0</v>
      </c>
      <c r="B60" s="7280"/>
      <c r="C60" s="749" t="s">
        <v>1169</v>
      </c>
      <c r="D60" s="749" t="s">
        <v>1269</v>
      </c>
      <c r="E60" s="749" t="s">
        <v>1270</v>
      </c>
      <c r="F60" s="230" t="s">
        <v>38</v>
      </c>
      <c r="G60" s="230" t="s">
        <v>5</v>
      </c>
      <c r="H60" s="230" t="s">
        <v>6</v>
      </c>
      <c r="I60" s="230" t="s">
        <v>7</v>
      </c>
      <c r="J60" s="230" t="s">
        <v>8</v>
      </c>
      <c r="K60" s="230" t="s">
        <v>1781</v>
      </c>
      <c r="L60" s="230" t="s">
        <v>10</v>
      </c>
      <c r="M60" s="230" t="s">
        <v>11</v>
      </c>
      <c r="N60" s="230" t="s">
        <v>12</v>
      </c>
      <c r="O60" s="230" t="s">
        <v>13</v>
      </c>
      <c r="P60" s="230" t="s">
        <v>14</v>
      </c>
      <c r="Q60" s="230" t="s">
        <v>15</v>
      </c>
      <c r="R60" s="209" t="s">
        <v>19</v>
      </c>
      <c r="S60" s="209" t="s">
        <v>20</v>
      </c>
      <c r="T60" s="209" t="s">
        <v>21</v>
      </c>
      <c r="U60" s="209" t="s">
        <v>178</v>
      </c>
      <c r="V60" s="209" t="s">
        <v>22</v>
      </c>
      <c r="W60" s="663">
        <f>SUM(D50:D59)</f>
        <v>7345.4363636363614</v>
      </c>
      <c r="AB60" s="15">
        <v>1709</v>
      </c>
      <c r="AC60" s="15">
        <v>22</v>
      </c>
    </row>
    <row r="61" spans="1:32" s="15" customFormat="1" ht="11.25" customHeight="1">
      <c r="A61" s="7276" t="s">
        <v>39</v>
      </c>
      <c r="B61" s="217" t="s">
        <v>106</v>
      </c>
      <c r="C61" s="2741">
        <v>2.48475</v>
      </c>
      <c r="D61" s="217">
        <f>C61</f>
        <v>2.48475</v>
      </c>
      <c r="E61" s="217"/>
      <c r="F61" s="224">
        <v>2.4740000000000002</v>
      </c>
      <c r="G61" s="1196">
        <v>2.4140000000000001</v>
      </c>
      <c r="H61" s="1309">
        <v>2.4500000000000002</v>
      </c>
      <c r="I61" s="1309">
        <v>2.4950000000000001</v>
      </c>
      <c r="J61" s="1310">
        <v>2.3610000000000002</v>
      </c>
      <c r="K61" s="1310">
        <v>2.419</v>
      </c>
      <c r="L61" s="1310">
        <v>2.5459999999999998</v>
      </c>
      <c r="M61" s="1310">
        <v>2.5790000000000002</v>
      </c>
      <c r="N61" s="1310">
        <v>2.4950000000000001</v>
      </c>
      <c r="O61" s="1310">
        <v>2.444</v>
      </c>
      <c r="P61" s="1310"/>
      <c r="Q61" s="1310"/>
      <c r="R61" s="1310">
        <f>AVERAGE(F61:H61)</f>
        <v>2.4460000000000002</v>
      </c>
      <c r="S61" s="1310">
        <f>AVERAGE(F61:K61)</f>
        <v>2.4355000000000002</v>
      </c>
      <c r="T61" s="1310">
        <f>AVERAGE(L61:N61)</f>
        <v>2.54</v>
      </c>
      <c r="U61" s="1310">
        <f>AVERAGE(L61:Q61)</f>
        <v>2.516</v>
      </c>
      <c r="V61" s="1503">
        <f>AVERAGE(F61:Q61)</f>
        <v>2.4677000000000002</v>
      </c>
      <c r="W61" s="15">
        <f>W60/12/60</f>
        <v>10.201994949494946</v>
      </c>
    </row>
    <row r="62" spans="1:32" s="15" customFormat="1" ht="11.25" customHeight="1">
      <c r="A62" s="7277"/>
      <c r="B62" s="217" t="s">
        <v>107</v>
      </c>
      <c r="C62" s="231">
        <v>1140.1216666666667</v>
      </c>
      <c r="D62" s="217">
        <f>C62</f>
        <v>1140.1216666666667</v>
      </c>
      <c r="E62" s="231"/>
      <c r="F62" s="232">
        <v>1134.624</v>
      </c>
      <c r="G62" s="232">
        <v>1157.4380000000001</v>
      </c>
      <c r="H62" s="232">
        <v>1140.0999999999999</v>
      </c>
      <c r="I62" s="219">
        <v>1157.0650000000001</v>
      </c>
      <c r="J62" s="232">
        <v>1105.7049999999999</v>
      </c>
      <c r="K62" s="232">
        <v>1159.473</v>
      </c>
      <c r="L62" s="232">
        <v>1138.373</v>
      </c>
      <c r="M62" s="232">
        <v>1123.2760000000001</v>
      </c>
      <c r="N62" s="232">
        <v>1159.2</v>
      </c>
      <c r="O62" s="232">
        <v>1114.5029999999999</v>
      </c>
      <c r="P62" s="232"/>
      <c r="Q62" s="232"/>
      <c r="R62" s="2782">
        <f>AVERAGE(F62:O62)</f>
        <v>1138.9757000000002</v>
      </c>
      <c r="S62" s="2782">
        <f>AVERAGE(F62:O62)</f>
        <v>1138.9757000000002</v>
      </c>
      <c r="T62" s="1310">
        <f>AVERAGE(L62:N62)</f>
        <v>1140.2830000000001</v>
      </c>
      <c r="U62" s="2782">
        <f>AVERAGE(L62:Q62)</f>
        <v>1133.838</v>
      </c>
      <c r="V62" s="232">
        <f>AVERAGE(F62:Q62)</f>
        <v>1138.9757000000002</v>
      </c>
    </row>
    <row r="63" spans="1:32" s="15" customFormat="1" ht="11.25" customHeight="1">
      <c r="A63" s="7277"/>
      <c r="B63" s="217" t="s">
        <v>40</v>
      </c>
      <c r="C63" s="233">
        <v>58.694362011852697</v>
      </c>
      <c r="D63" s="234">
        <f>D117</f>
        <v>60</v>
      </c>
      <c r="E63" s="231"/>
      <c r="F63" s="235">
        <f t="shared" ref="F63:S63" si="24">(F14+F20)/F31*60</f>
        <v>60.874104140090452</v>
      </c>
      <c r="G63" s="235">
        <f t="shared" si="24"/>
        <v>62.159699194270374</v>
      </c>
      <c r="H63" s="235">
        <f t="shared" si="24"/>
        <v>60.15957877000843</v>
      </c>
      <c r="I63" s="235">
        <f t="shared" si="24"/>
        <v>62.721523579201929</v>
      </c>
      <c r="J63" s="235">
        <f t="shared" si="24"/>
        <v>57.555791855203616</v>
      </c>
      <c r="K63" s="235">
        <f t="shared" si="24"/>
        <v>60.661661867544225</v>
      </c>
      <c r="L63" s="235">
        <f t="shared" si="24"/>
        <v>60.070862787467199</v>
      </c>
      <c r="M63" s="235">
        <f>(M14+M20)/M31*60</f>
        <v>60.769159163417235</v>
      </c>
      <c r="N63" s="235">
        <f>(N14+N20)/N31*60</f>
        <v>62.188318149964957</v>
      </c>
      <c r="O63" s="235">
        <f t="shared" si="24"/>
        <v>56.385312058913776</v>
      </c>
      <c r="P63" s="235">
        <f t="shared" si="24"/>
        <v>68.682105263157894</v>
      </c>
      <c r="Q63" s="235" t="e">
        <f t="shared" si="24"/>
        <v>#DIV/0!</v>
      </c>
      <c r="R63" s="235">
        <f t="shared" si="24"/>
        <v>16.90352178240072</v>
      </c>
      <c r="S63" s="235">
        <f t="shared" si="24"/>
        <v>34.211452481085537</v>
      </c>
      <c r="T63" s="1310">
        <f>AVERAGE(L63:N63)</f>
        <v>61.009446700283128</v>
      </c>
      <c r="U63" s="2782" t="e">
        <f>AVERAGE(L63:Q63)</f>
        <v>#DIV/0!</v>
      </c>
      <c r="V63" s="235">
        <f>(V14+V20)/V31*60</f>
        <v>60.293596370134942</v>
      </c>
      <c r="W63" s="15" t="s">
        <v>1285</v>
      </c>
    </row>
    <row r="64" spans="1:32" s="15" customFormat="1" ht="11.25" customHeight="1">
      <c r="A64" s="7277"/>
      <c r="B64" s="217" t="s">
        <v>41</v>
      </c>
      <c r="C64" s="231">
        <v>2832.9173112500002</v>
      </c>
      <c r="D64" s="231">
        <f>D61*D62</f>
        <v>2832.9173112500002</v>
      </c>
      <c r="E64" s="231">
        <f>E61*E62</f>
        <v>0</v>
      </c>
      <c r="F64" s="232">
        <f>F61*F62</f>
        <v>2807.0597760000005</v>
      </c>
      <c r="G64" s="232">
        <f>G61*G62</f>
        <v>2794.0553320000004</v>
      </c>
      <c r="H64" s="232">
        <f t="shared" ref="H64:Q64" si="25">H61*H62</f>
        <v>2793.2449999999999</v>
      </c>
      <c r="I64" s="232">
        <f t="shared" si="25"/>
        <v>2886.8771750000001</v>
      </c>
      <c r="J64" s="232">
        <f t="shared" si="25"/>
        <v>2610.5695049999999</v>
      </c>
      <c r="K64" s="232">
        <f t="shared" si="25"/>
        <v>2804.765187</v>
      </c>
      <c r="L64" s="232">
        <f t="shared" si="25"/>
        <v>2898.297658</v>
      </c>
      <c r="M64" s="232">
        <f t="shared" si="25"/>
        <v>2896.9288040000006</v>
      </c>
      <c r="N64" s="232">
        <f t="shared" si="25"/>
        <v>2892.2040000000002</v>
      </c>
      <c r="O64" s="232">
        <f t="shared" si="25"/>
        <v>2723.8453319999999</v>
      </c>
      <c r="P64" s="232">
        <f t="shared" si="25"/>
        <v>0</v>
      </c>
      <c r="Q64" s="232">
        <f t="shared" si="25"/>
        <v>0</v>
      </c>
      <c r="R64" s="232">
        <f>R61*R62</f>
        <v>2785.9345622000005</v>
      </c>
      <c r="S64" s="232">
        <f>S61*S62</f>
        <v>2773.9753173500008</v>
      </c>
      <c r="T64" s="1310">
        <f>AVERAGE(L64:N64)</f>
        <v>2895.8101540000002</v>
      </c>
      <c r="U64" s="2782">
        <f>AVERAGE(L64:Q64)</f>
        <v>1901.8792990000002</v>
      </c>
      <c r="V64" s="232">
        <f>V61*V62</f>
        <v>2810.6503348900005</v>
      </c>
      <c r="W64" s="1480"/>
    </row>
    <row r="65" spans="1:26" ht="11.25" customHeight="1">
      <c r="A65" s="7278"/>
      <c r="B65" s="217" t="s">
        <v>40</v>
      </c>
      <c r="C65" s="1510">
        <v>58.854611570246938</v>
      </c>
      <c r="D65" s="1510">
        <f>D63</f>
        <v>60</v>
      </c>
      <c r="E65" s="1510">
        <f>D65</f>
        <v>60</v>
      </c>
      <c r="F65" s="1510">
        <f>F63</f>
        <v>60.874104140090452</v>
      </c>
      <c r="G65" s="1510">
        <f t="shared" ref="G65:Q65" si="26">G63</f>
        <v>62.159699194270374</v>
      </c>
      <c r="H65" s="1510">
        <f t="shared" si="26"/>
        <v>60.15957877000843</v>
      </c>
      <c r="I65" s="1510">
        <f t="shared" si="26"/>
        <v>62.721523579201929</v>
      </c>
      <c r="J65" s="1510">
        <f t="shared" si="26"/>
        <v>57.555791855203616</v>
      </c>
      <c r="K65" s="1510">
        <f t="shared" si="26"/>
        <v>60.661661867544225</v>
      </c>
      <c r="L65" s="1510">
        <f t="shared" si="26"/>
        <v>60.070862787467199</v>
      </c>
      <c r="M65" s="1510">
        <f>M63</f>
        <v>60.769159163417235</v>
      </c>
      <c r="N65" s="1510">
        <f>N63</f>
        <v>62.188318149964957</v>
      </c>
      <c r="O65" s="1510">
        <f t="shared" si="26"/>
        <v>56.385312058913776</v>
      </c>
      <c r="P65" s="1510">
        <f t="shared" si="26"/>
        <v>68.682105263157894</v>
      </c>
      <c r="Q65" s="1510" t="e">
        <f t="shared" si="26"/>
        <v>#DIV/0!</v>
      </c>
      <c r="R65" s="1510">
        <f>$C$64/R64*R63</f>
        <v>17.188587315790919</v>
      </c>
      <c r="S65" s="1510">
        <f>$C$64/S64*S63</f>
        <v>34.9383844082869</v>
      </c>
      <c r="T65" s="1510">
        <f>T63</f>
        <v>61.009446700283128</v>
      </c>
      <c r="U65" s="1510" t="e">
        <f>U63</f>
        <v>#DIV/0!</v>
      </c>
      <c r="V65" s="2783">
        <f>$C$64/V64*V63</f>
        <v>60.771263786948523</v>
      </c>
      <c r="W65" s="2784" t="s">
        <v>1284</v>
      </c>
    </row>
    <row r="66" spans="1:26" ht="11.25" customHeight="1">
      <c r="A66" s="7276" t="s">
        <v>42</v>
      </c>
      <c r="B66" s="217" t="s">
        <v>113</v>
      </c>
      <c r="C66" s="2741">
        <v>0.8138333333333333</v>
      </c>
      <c r="D66" s="217">
        <f>C66</f>
        <v>0.8138333333333333</v>
      </c>
      <c r="E66" s="217"/>
      <c r="F66" s="224">
        <v>0.78900000000000003</v>
      </c>
      <c r="G66" s="224">
        <v>0.747</v>
      </c>
      <c r="H66" s="224">
        <v>0.79800000000000004</v>
      </c>
      <c r="I66" s="224">
        <v>0.89900000000000002</v>
      </c>
      <c r="J66" s="224">
        <v>0.72699999999999998</v>
      </c>
      <c r="K66" s="224">
        <v>0.80700000000000005</v>
      </c>
      <c r="L66" s="224">
        <v>0.96499999999999997</v>
      </c>
      <c r="M66" s="224">
        <v>0.94299999999999995</v>
      </c>
      <c r="N66" s="224">
        <v>0.88900000000000001</v>
      </c>
      <c r="O66" s="224">
        <v>0.85499999999999998</v>
      </c>
      <c r="P66" s="224"/>
      <c r="Q66" s="224"/>
      <c r="R66" s="1310">
        <f>AVERAGE(F66:O66)</f>
        <v>0.84190000000000009</v>
      </c>
      <c r="S66" s="1310">
        <f>AVERAGE(F66:O66)</f>
        <v>0.84190000000000009</v>
      </c>
      <c r="T66" s="1310">
        <f>AVERAGE(L66:N66)</f>
        <v>0.93233333333333324</v>
      </c>
      <c r="U66" s="1310">
        <f>AVERAGE(L66:Q66)</f>
        <v>0.91299999999999992</v>
      </c>
      <c r="V66" s="1503">
        <f>AVERAGE(F66:Q66)</f>
        <v>0.84190000000000009</v>
      </c>
    </row>
    <row r="67" spans="1:26" ht="11.25" customHeight="1">
      <c r="A67" s="7277"/>
      <c r="B67" s="217" t="s">
        <v>114</v>
      </c>
      <c r="C67" s="231">
        <v>1137.0000833333331</v>
      </c>
      <c r="D67" s="217">
        <f>C67</f>
        <v>1137.0000833333331</v>
      </c>
      <c r="E67" s="231"/>
      <c r="F67" s="232">
        <v>1135.9449999999999</v>
      </c>
      <c r="G67" s="232">
        <v>1148.1389999999999</v>
      </c>
      <c r="H67" s="232">
        <v>1142.5</v>
      </c>
      <c r="I67" s="232">
        <v>1149.4829999999999</v>
      </c>
      <c r="J67" s="232">
        <v>1102.8800000000001</v>
      </c>
      <c r="K67" s="232">
        <v>1153.548</v>
      </c>
      <c r="L67" s="232">
        <v>1138.7929999999999</v>
      </c>
      <c r="M67" s="232">
        <v>1122.9010000000001</v>
      </c>
      <c r="N67" s="232">
        <v>1161.634</v>
      </c>
      <c r="O67" s="232">
        <v>1101.606</v>
      </c>
      <c r="P67" s="232"/>
      <c r="Q67" s="232"/>
      <c r="R67" s="2782">
        <f>AVERAGE(F67:O67)</f>
        <v>1135.7429</v>
      </c>
      <c r="S67" s="2782">
        <f>AVERAGE(F67:O67)</f>
        <v>1135.7429</v>
      </c>
      <c r="T67" s="1310">
        <f>AVERAGE(L67:N67)</f>
        <v>1141.1093333333333</v>
      </c>
      <c r="U67" s="2782">
        <f>AVERAGE(L67:Q67)</f>
        <v>1131.2335</v>
      </c>
      <c r="V67" s="232">
        <f>AVERAGE(F67:Q67)</f>
        <v>1135.7429</v>
      </c>
    </row>
    <row r="68" spans="1:26" ht="11.25" customHeight="1">
      <c r="A68" s="7277"/>
      <c r="B68" s="217" t="s">
        <v>40</v>
      </c>
      <c r="C68" s="231">
        <v>46.906486455981941</v>
      </c>
      <c r="D68" s="231">
        <f>D118</f>
        <v>48</v>
      </c>
      <c r="E68" s="231"/>
      <c r="F68" s="232">
        <f>(F15+F21)/F32*60</f>
        <v>45.826335311572706</v>
      </c>
      <c r="G68" s="232">
        <f t="shared" ref="G68:S68" si="27">(G15+G21)/G32*60</f>
        <v>46.538706901497335</v>
      </c>
      <c r="H68" s="232">
        <f t="shared" si="27"/>
        <v>46.942721279585001</v>
      </c>
      <c r="I68" s="232">
        <f t="shared" si="27"/>
        <v>51.131646058732613</v>
      </c>
      <c r="J68" s="232">
        <f t="shared" si="27"/>
        <v>46.019465875370919</v>
      </c>
      <c r="K68" s="232">
        <f t="shared" si="27"/>
        <v>50.388206764518188</v>
      </c>
      <c r="L68" s="232">
        <f t="shared" si="27"/>
        <v>52.402404550061938</v>
      </c>
      <c r="M68" s="232">
        <f>(M15+M21)/M32*60</f>
        <v>52.771722127461615</v>
      </c>
      <c r="N68" s="232">
        <f>(N15+N21)/N32*60</f>
        <v>52.825319820568197</v>
      </c>
      <c r="O68" s="232">
        <f t="shared" si="27"/>
        <v>47.64499508879981</v>
      </c>
      <c r="P68" s="232" t="e">
        <f t="shared" si="27"/>
        <v>#DIV/0!</v>
      </c>
      <c r="Q68" s="232" t="e">
        <f t="shared" si="27"/>
        <v>#DIV/0!</v>
      </c>
      <c r="R68" s="232">
        <f>(R15+R21)/R32*60</f>
        <v>13.297232575966829</v>
      </c>
      <c r="S68" s="232">
        <f t="shared" si="27"/>
        <v>27.6989606254248</v>
      </c>
      <c r="T68" s="1310">
        <f>AVERAGE(L68:N68)</f>
        <v>52.666482166030583</v>
      </c>
      <c r="U68" s="2782" t="e">
        <f>AVERAGE(L68:Q68)</f>
        <v>#DIV/0!</v>
      </c>
      <c r="V68" s="232">
        <f>(V15+V21)/V32*60</f>
        <v>49.260056236092275</v>
      </c>
    </row>
    <row r="69" spans="1:26" ht="11.25" customHeight="1">
      <c r="A69" s="7277"/>
      <c r="B69" s="217" t="s">
        <v>41</v>
      </c>
      <c r="C69" s="231">
        <v>925.32856781944429</v>
      </c>
      <c r="D69" s="231">
        <f>D66*D67</f>
        <v>925.32856781944429</v>
      </c>
      <c r="E69" s="231">
        <f>E66*E67</f>
        <v>0</v>
      </c>
      <c r="F69" s="232">
        <f>F66*F67</f>
        <v>896.26060499999994</v>
      </c>
      <c r="G69" s="232">
        <f>G66*G67</f>
        <v>857.65983299999994</v>
      </c>
      <c r="H69" s="232">
        <f t="shared" ref="H69:Q69" si="28">H66*H67</f>
        <v>911.71500000000003</v>
      </c>
      <c r="I69" s="232">
        <f t="shared" si="28"/>
        <v>1033.385217</v>
      </c>
      <c r="J69" s="232">
        <f t="shared" si="28"/>
        <v>801.79376000000002</v>
      </c>
      <c r="K69" s="232">
        <f t="shared" si="28"/>
        <v>930.9132360000001</v>
      </c>
      <c r="L69" s="232">
        <f t="shared" si="28"/>
        <v>1098.9352449999999</v>
      </c>
      <c r="M69" s="232">
        <f>M66*M67</f>
        <v>1058.8956430000001</v>
      </c>
      <c r="N69" s="232">
        <f>N66*N67</f>
        <v>1032.692626</v>
      </c>
      <c r="O69" s="232">
        <f t="shared" si="28"/>
        <v>941.87312999999995</v>
      </c>
      <c r="P69" s="232">
        <f t="shared" si="28"/>
        <v>0</v>
      </c>
      <c r="Q69" s="232">
        <f t="shared" si="28"/>
        <v>0</v>
      </c>
      <c r="R69" s="232">
        <f>R66*R67</f>
        <v>956.1819475100001</v>
      </c>
      <c r="S69" s="232">
        <f>S66*S67</f>
        <v>956.1819475100001</v>
      </c>
      <c r="T69" s="1310">
        <f>AVERAGE(L69:N69)</f>
        <v>1063.507838</v>
      </c>
      <c r="U69" s="2782">
        <f>AVERAGE(L69:Q69)</f>
        <v>688.73277400000006</v>
      </c>
      <c r="V69" s="232">
        <f>V66*V67</f>
        <v>956.1819475100001</v>
      </c>
    </row>
    <row r="70" spans="1:26" ht="11.25" customHeight="1">
      <c r="A70" s="7278"/>
      <c r="B70" s="217" t="s">
        <v>40</v>
      </c>
      <c r="C70" s="236">
        <v>36.232760335540597</v>
      </c>
      <c r="D70" s="236">
        <f>D68</f>
        <v>48</v>
      </c>
      <c r="E70" s="236">
        <v>44.341336850479422</v>
      </c>
      <c r="F70" s="237">
        <f>F68</f>
        <v>45.826335311572706</v>
      </c>
      <c r="G70" s="237">
        <f t="shared" ref="G70:Q70" si="29">G68</f>
        <v>46.538706901497335</v>
      </c>
      <c r="H70" s="237">
        <f t="shared" si="29"/>
        <v>46.942721279585001</v>
      </c>
      <c r="I70" s="237">
        <f t="shared" si="29"/>
        <v>51.131646058732613</v>
      </c>
      <c r="J70" s="237">
        <f t="shared" si="29"/>
        <v>46.019465875370919</v>
      </c>
      <c r="K70" s="237">
        <f t="shared" si="29"/>
        <v>50.388206764518188</v>
      </c>
      <c r="L70" s="237">
        <f t="shared" si="29"/>
        <v>52.402404550061938</v>
      </c>
      <c r="M70" s="237">
        <f>M68</f>
        <v>52.771722127461615</v>
      </c>
      <c r="N70" s="237">
        <f>N68</f>
        <v>52.825319820568197</v>
      </c>
      <c r="O70" s="237">
        <f t="shared" si="29"/>
        <v>47.64499508879981</v>
      </c>
      <c r="P70" s="237" t="e">
        <f t="shared" si="29"/>
        <v>#DIV/0!</v>
      </c>
      <c r="Q70" s="237" t="e">
        <f t="shared" si="29"/>
        <v>#DIV/0!</v>
      </c>
      <c r="R70" s="237">
        <f>$C$69/R69*R68</f>
        <v>12.868167201360768</v>
      </c>
      <c r="S70" s="237">
        <f>$C$69/S69*S68</f>
        <v>26.805190824148511</v>
      </c>
      <c r="T70" s="237">
        <f>T68</f>
        <v>52.666482166030583</v>
      </c>
      <c r="U70" s="237" t="e">
        <f>U68</f>
        <v>#DIV/0!</v>
      </c>
      <c r="V70" s="237">
        <f>$C$69/V69*V68</f>
        <v>47.670568772343238</v>
      </c>
    </row>
    <row r="71" spans="1:26" ht="11.25" customHeight="1">
      <c r="A71" s="7276" t="s">
        <v>43</v>
      </c>
      <c r="B71" s="217" t="s">
        <v>113</v>
      </c>
      <c r="C71" s="2741">
        <v>0.80191666666666672</v>
      </c>
      <c r="D71" s="217">
        <f>C71</f>
        <v>0.80191666666666672</v>
      </c>
      <c r="E71" s="217"/>
      <c r="F71" s="224">
        <v>0.8</v>
      </c>
      <c r="G71" s="224">
        <v>0.7</v>
      </c>
      <c r="H71" s="224">
        <v>0.75700000000000001</v>
      </c>
      <c r="I71" s="224">
        <v>0.88400000000000001</v>
      </c>
      <c r="J71" s="224">
        <v>0.70699999999999996</v>
      </c>
      <c r="K71" s="224">
        <v>0.82299999999999995</v>
      </c>
      <c r="L71" s="224">
        <v>0.89</v>
      </c>
      <c r="M71" s="224">
        <v>0.91100000000000003</v>
      </c>
      <c r="N71" s="224">
        <v>0.92700000000000005</v>
      </c>
      <c r="O71" s="224">
        <v>0.82299999999999995</v>
      </c>
      <c r="P71" s="224">
        <v>0.61</v>
      </c>
      <c r="Q71" s="224"/>
      <c r="R71" s="1310">
        <f>AVERAGE(F71:P71)</f>
        <v>0.80290909090909079</v>
      </c>
      <c r="S71" s="1310">
        <f>AVERAGE(F71:P71)</f>
        <v>0.80290909090909079</v>
      </c>
      <c r="T71" s="1310">
        <f>AVERAGE(F71:P71)</f>
        <v>0.80290909090909079</v>
      </c>
      <c r="U71" s="1310">
        <f>AVERAGE(L71:Q71)</f>
        <v>0.83220000000000005</v>
      </c>
      <c r="V71" s="1503">
        <f>AVERAGE(F71:Q71)</f>
        <v>0.80290909090909079</v>
      </c>
      <c r="W71" s="5054"/>
    </row>
    <row r="72" spans="1:26" ht="11.25" customHeight="1">
      <c r="A72" s="7277"/>
      <c r="B72" s="217" t="s">
        <v>114</v>
      </c>
      <c r="C72" s="231">
        <v>1137.9399166666669</v>
      </c>
      <c r="D72" s="217">
        <f>C72</f>
        <v>1137.9399166666669</v>
      </c>
      <c r="E72" s="231"/>
      <c r="F72" s="232">
        <v>1126.854</v>
      </c>
      <c r="G72" s="232">
        <v>1150.518</v>
      </c>
      <c r="H72" s="232">
        <v>1141.9459999999999</v>
      </c>
      <c r="I72" s="232">
        <v>1146.9290000000001</v>
      </c>
      <c r="J72" s="232">
        <v>1111.595</v>
      </c>
      <c r="K72" s="232">
        <v>1160.5989999999999</v>
      </c>
      <c r="L72" s="232">
        <v>1125.499</v>
      </c>
      <c r="M72" s="232">
        <v>1143.537</v>
      </c>
      <c r="N72" s="232">
        <v>1153.9490000000001</v>
      </c>
      <c r="O72" s="232">
        <v>1108.3340000000001</v>
      </c>
      <c r="P72" s="232">
        <v>1197.19</v>
      </c>
      <c r="Q72" s="232"/>
      <c r="R72" s="2782">
        <f>AVERAGE(F72:P72)</f>
        <v>1142.4500000000003</v>
      </c>
      <c r="S72" s="2782">
        <f>AVERAGE(F72:P72)</f>
        <v>1142.4500000000003</v>
      </c>
      <c r="T72" s="2782">
        <f>AVERAGE(F72:P72)</f>
        <v>1142.4500000000003</v>
      </c>
      <c r="U72" s="2782">
        <f>AVERAGE(L72:Q72)</f>
        <v>1145.7018</v>
      </c>
      <c r="V72" s="232">
        <f>AVERAGE(F72:Q72)</f>
        <v>1142.4500000000003</v>
      </c>
    </row>
    <row r="73" spans="1:26" ht="10.8" customHeight="1">
      <c r="A73" s="7277"/>
      <c r="B73" s="217" t="s">
        <v>40</v>
      </c>
      <c r="C73" s="231">
        <v>39.078220717254119</v>
      </c>
      <c r="D73" s="231">
        <f>D119</f>
        <v>40.049999999999997</v>
      </c>
      <c r="E73" s="231"/>
      <c r="F73" s="232">
        <f t="shared" ref="F73:U73" si="30">(F16+F22)/F33*60</f>
        <v>39.686855614973261</v>
      </c>
      <c r="G73" s="232">
        <f>(G16+G22)/G33*60</f>
        <v>38.205425955619923</v>
      </c>
      <c r="H73" s="232">
        <f>(H16+H22)/H33*60</f>
        <v>37.873108298171587</v>
      </c>
      <c r="I73" s="232">
        <f t="shared" si="30"/>
        <v>41.862582996637755</v>
      </c>
      <c r="J73" s="232">
        <f t="shared" si="30"/>
        <v>37.883401145893878</v>
      </c>
      <c r="K73" s="232">
        <f t="shared" si="30"/>
        <v>40.279656145063804</v>
      </c>
      <c r="L73" s="232">
        <f t="shared" si="30"/>
        <v>41.477539495798318</v>
      </c>
      <c r="M73" s="232">
        <f>(M16+M22)/M33*60</f>
        <v>39.763105821623178</v>
      </c>
      <c r="N73" s="232">
        <f t="shared" si="30"/>
        <v>42.75064637857578</v>
      </c>
      <c r="O73" s="232">
        <f t="shared" si="30"/>
        <v>36.644188552188552</v>
      </c>
      <c r="P73" s="232">
        <f t="shared" si="30"/>
        <v>26.318565789473681</v>
      </c>
      <c r="Q73" s="232" t="e">
        <f t="shared" si="30"/>
        <v>#DIV/0!</v>
      </c>
      <c r="R73" s="232">
        <f t="shared" si="30"/>
        <v>11.368918573199172</v>
      </c>
      <c r="S73" s="232">
        <f t="shared" si="30"/>
        <v>22.172858892170275</v>
      </c>
      <c r="T73" s="232">
        <f t="shared" si="30"/>
        <v>41.325075268142761</v>
      </c>
      <c r="U73" s="232">
        <f t="shared" si="30"/>
        <v>39.873881941827399</v>
      </c>
      <c r="V73" s="232">
        <f>(V16+V22)/V33*60</f>
        <v>39.517993080100446</v>
      </c>
    </row>
    <row r="74" spans="1:26" ht="11.25" customHeight="1">
      <c r="A74" s="7277"/>
      <c r="B74" s="217" t="s">
        <v>41</v>
      </c>
      <c r="C74" s="231">
        <v>912.532984840278</v>
      </c>
      <c r="D74" s="231">
        <f>D71*D72</f>
        <v>912.532984840278</v>
      </c>
      <c r="E74" s="231">
        <f>E71*E72</f>
        <v>0</v>
      </c>
      <c r="F74" s="232">
        <f>F71*F72</f>
        <v>901.48320000000012</v>
      </c>
      <c r="G74" s="232">
        <f>G71*G72</f>
        <v>805.36259999999993</v>
      </c>
      <c r="H74" s="232">
        <f t="shared" ref="H74:Q74" si="31">H71*H72</f>
        <v>864.45312199999989</v>
      </c>
      <c r="I74" s="232">
        <f t="shared" si="31"/>
        <v>1013.8852360000001</v>
      </c>
      <c r="J74" s="232">
        <f t="shared" si="31"/>
        <v>785.89766499999996</v>
      </c>
      <c r="K74" s="232">
        <f t="shared" si="31"/>
        <v>955.17297699999995</v>
      </c>
      <c r="L74" s="232">
        <f t="shared" si="31"/>
        <v>1001.69411</v>
      </c>
      <c r="M74" s="232">
        <f>M71*M72</f>
        <v>1041.762207</v>
      </c>
      <c r="N74" s="232">
        <f t="shared" si="31"/>
        <v>1069.7107230000001</v>
      </c>
      <c r="O74" s="232">
        <f t="shared" si="31"/>
        <v>912.15888199999995</v>
      </c>
      <c r="P74" s="232">
        <f t="shared" si="31"/>
        <v>730.28589999999997</v>
      </c>
      <c r="Q74" s="232">
        <f t="shared" si="31"/>
        <v>0</v>
      </c>
      <c r="R74" s="232">
        <f>R71*R72</f>
        <v>917.28349090909103</v>
      </c>
      <c r="S74" s="232">
        <f>S71*S72</f>
        <v>917.28349090909103</v>
      </c>
      <c r="T74" s="232">
        <f>T71*T72</f>
        <v>917.28349090909103</v>
      </c>
      <c r="U74" s="232">
        <f>U71*U72</f>
        <v>953.45303796000007</v>
      </c>
      <c r="V74" s="232">
        <f>V71*V72</f>
        <v>917.28349090909103</v>
      </c>
    </row>
    <row r="75" spans="1:26" ht="11.25" customHeight="1">
      <c r="A75" s="7278"/>
      <c r="B75" s="217" t="s">
        <v>40</v>
      </c>
      <c r="C75" s="236">
        <v>39.038434962693486</v>
      </c>
      <c r="D75" s="236">
        <f>D73</f>
        <v>40.049999999999997</v>
      </c>
      <c r="E75" s="236">
        <f>D75</f>
        <v>40.049999999999997</v>
      </c>
      <c r="F75" s="237">
        <f>F73</f>
        <v>39.686855614973261</v>
      </c>
      <c r="G75" s="237">
        <f t="shared" ref="G75:Q75" si="32">G73</f>
        <v>38.205425955619923</v>
      </c>
      <c r="H75" s="237">
        <f t="shared" si="32"/>
        <v>37.873108298171587</v>
      </c>
      <c r="I75" s="237">
        <f t="shared" si="32"/>
        <v>41.862582996637755</v>
      </c>
      <c r="J75" s="237">
        <f t="shared" si="32"/>
        <v>37.883401145893878</v>
      </c>
      <c r="K75" s="237">
        <f t="shared" si="32"/>
        <v>40.279656145063804</v>
      </c>
      <c r="L75" s="237">
        <f t="shared" si="32"/>
        <v>41.477539495798318</v>
      </c>
      <c r="M75" s="237">
        <f>M73</f>
        <v>39.763105821623178</v>
      </c>
      <c r="N75" s="237">
        <f t="shared" si="32"/>
        <v>42.75064637857578</v>
      </c>
      <c r="O75" s="237">
        <f t="shared" si="32"/>
        <v>36.644188552188552</v>
      </c>
      <c r="P75" s="237">
        <f t="shared" si="32"/>
        <v>26.318565789473681</v>
      </c>
      <c r="Q75" s="237" t="e">
        <f t="shared" si="32"/>
        <v>#DIV/0!</v>
      </c>
      <c r="R75" s="237">
        <f>$C$74/R74*R73</f>
        <v>11.310040246909557</v>
      </c>
      <c r="S75" s="237">
        <f>$C$74/S74*S73</f>
        <v>22.058028197217073</v>
      </c>
      <c r="T75" s="237">
        <f>T73</f>
        <v>41.325075268142761</v>
      </c>
      <c r="U75" s="237">
        <f>U73</f>
        <v>39.873881941827399</v>
      </c>
      <c r="V75" s="237">
        <f>$C$74/V74*V73</f>
        <v>39.313333923127857</v>
      </c>
    </row>
    <row r="76" spans="1:26">
      <c r="A76" s="7264" t="s">
        <v>44</v>
      </c>
      <c r="B76" s="217" t="s">
        <v>39</v>
      </c>
      <c r="C76" s="211">
        <f>C50/C26</f>
        <v>1.5748284561860227E-3</v>
      </c>
      <c r="D76" s="211">
        <f t="shared" ref="C76:D80" si="33">D50/D26</f>
        <v>1.1250687390440722E-3</v>
      </c>
      <c r="E76" s="211">
        <f t="shared" ref="E76:E85" si="34">D76</f>
        <v>1.1250687390440722E-3</v>
      </c>
      <c r="F76" s="211">
        <f>F50/F26</f>
        <v>3.7694598364054429E-3</v>
      </c>
      <c r="G76" s="211">
        <f t="shared" ref="G76:T76" si="35">G50/G26</f>
        <v>2.6436376454000705E-3</v>
      </c>
      <c r="H76" s="211">
        <f t="shared" si="35"/>
        <v>0</v>
      </c>
      <c r="I76" s="211">
        <f t="shared" si="35"/>
        <v>4.4105854049719326E-3</v>
      </c>
      <c r="J76" s="211">
        <f>J50/J28</f>
        <v>0</v>
      </c>
      <c r="K76" s="211">
        <f t="shared" si="35"/>
        <v>1.0252904989747096E-4</v>
      </c>
      <c r="L76" s="211">
        <f t="shared" si="35"/>
        <v>0</v>
      </c>
      <c r="M76" s="211">
        <f>M50/M26</f>
        <v>0</v>
      </c>
      <c r="N76" s="211">
        <f t="shared" si="35"/>
        <v>1.1088011088011088E-2</v>
      </c>
      <c r="O76" s="211">
        <f t="shared" si="35"/>
        <v>3.9731051344743277E-3</v>
      </c>
      <c r="P76" s="211">
        <f t="shared" si="35"/>
        <v>0</v>
      </c>
      <c r="Q76" s="211" t="e">
        <f t="shared" si="35"/>
        <v>#DIV/0!</v>
      </c>
      <c r="R76" s="211">
        <f>R50/R26</f>
        <v>6.1875936978474241E-4</v>
      </c>
      <c r="S76" s="211">
        <f t="shared" si="35"/>
        <v>1.018301134274319E-3</v>
      </c>
      <c r="T76" s="211">
        <f t="shared" si="35"/>
        <v>3.5522006993395127E-3</v>
      </c>
      <c r="U76" s="211">
        <f t="shared" ref="U76:V80" si="36">U50/U26</f>
        <v>3.64741641337386E-3</v>
      </c>
      <c r="V76" s="211">
        <f t="shared" si="36"/>
        <v>2.6093966565779426E-3</v>
      </c>
      <c r="W76" s="4" t="s">
        <v>201</v>
      </c>
      <c r="X76" s="4" t="s">
        <v>250</v>
      </c>
    </row>
    <row r="77" spans="1:26">
      <c r="A77" s="7275"/>
      <c r="B77" s="217" t="s">
        <v>42</v>
      </c>
      <c r="C77" s="211">
        <f t="shared" si="33"/>
        <v>2.6533590505056692E-3</v>
      </c>
      <c r="D77" s="211">
        <f t="shared" si="33"/>
        <v>2.371571042355062E-3</v>
      </c>
      <c r="E77" s="211">
        <f t="shared" si="34"/>
        <v>2.371571042355062E-3</v>
      </c>
      <c r="F77" s="211">
        <f t="shared" ref="F77:T77" si="37">F51/F27</f>
        <v>3.1425788001634143E-3</v>
      </c>
      <c r="G77" s="211">
        <f t="shared" si="37"/>
        <v>1.7824830529073379E-2</v>
      </c>
      <c r="H77" s="211">
        <f t="shared" si="37"/>
        <v>0</v>
      </c>
      <c r="I77" s="211">
        <f t="shared" si="37"/>
        <v>0</v>
      </c>
      <c r="J77" s="211">
        <f t="shared" si="37"/>
        <v>5.2316890881913304E-3</v>
      </c>
      <c r="K77" s="211">
        <f t="shared" si="37"/>
        <v>2.3845007451564829E-3</v>
      </c>
      <c r="L77" s="211">
        <f t="shared" si="37"/>
        <v>1.59570224196165E-3</v>
      </c>
      <c r="M77" s="211">
        <f>M51/M27</f>
        <v>5.7920648711265563E-4</v>
      </c>
      <c r="N77" s="211">
        <f t="shared" si="37"/>
        <v>0</v>
      </c>
      <c r="O77" s="211">
        <f t="shared" si="37"/>
        <v>0</v>
      </c>
      <c r="P77" s="211" t="e">
        <f t="shared" si="37"/>
        <v>#DIV/0!</v>
      </c>
      <c r="Q77" s="211" t="e">
        <f t="shared" si="37"/>
        <v>#DIV/0!</v>
      </c>
      <c r="R77" s="211">
        <f t="shared" si="37"/>
        <v>2.2263950855257956E-3</v>
      </c>
      <c r="S77" s="211">
        <f t="shared" si="37"/>
        <v>2.9734092260640557E-3</v>
      </c>
      <c r="T77" s="211">
        <f t="shared" si="37"/>
        <v>7.6852136489394404E-4</v>
      </c>
      <c r="U77" s="211">
        <f t="shared" si="36"/>
        <v>5.549967047070658E-4</v>
      </c>
      <c r="V77" s="211">
        <f t="shared" si="36"/>
        <v>3.2077666034878239E-3</v>
      </c>
      <c r="W77" s="6">
        <v>0.97498842184167667</v>
      </c>
      <c r="X77" s="6">
        <v>0.97365625223348617</v>
      </c>
      <c r="Y77" s="278">
        <v>154334.83099999998</v>
      </c>
      <c r="Z77" s="217" t="s">
        <v>27</v>
      </c>
    </row>
    <row r="78" spans="1:26">
      <c r="A78" s="7275"/>
      <c r="B78" s="217" t="s">
        <v>43</v>
      </c>
      <c r="C78" s="211">
        <f t="shared" si="33"/>
        <v>6.4195353896901427E-3</v>
      </c>
      <c r="D78" s="211">
        <f t="shared" si="33"/>
        <v>5.8128768595041361E-3</v>
      </c>
      <c r="E78" s="211">
        <f t="shared" si="34"/>
        <v>5.8128768595041361E-3</v>
      </c>
      <c r="F78" s="211">
        <f t="shared" ref="F78:T78" si="38">F52/F28</f>
        <v>0</v>
      </c>
      <c r="G78" s="211">
        <f t="shared" si="38"/>
        <v>0</v>
      </c>
      <c r="H78" s="211">
        <f t="shared" si="38"/>
        <v>0</v>
      </c>
      <c r="I78" s="211">
        <f t="shared" si="38"/>
        <v>0</v>
      </c>
      <c r="J78" s="211">
        <f t="shared" si="38"/>
        <v>0</v>
      </c>
      <c r="K78" s="211">
        <f t="shared" si="38"/>
        <v>0</v>
      </c>
      <c r="L78" s="211">
        <f t="shared" si="38"/>
        <v>0</v>
      </c>
      <c r="M78" s="211">
        <f>M52/M28</f>
        <v>1.266654156502158E-2</v>
      </c>
      <c r="N78" s="211">
        <f t="shared" si="38"/>
        <v>0</v>
      </c>
      <c r="O78" s="211">
        <f t="shared" si="38"/>
        <v>0</v>
      </c>
      <c r="P78" s="211">
        <f t="shared" si="38"/>
        <v>0</v>
      </c>
      <c r="Q78" s="211" t="e">
        <f t="shared" si="38"/>
        <v>#DIV/0!</v>
      </c>
      <c r="R78" s="211">
        <f t="shared" si="38"/>
        <v>0</v>
      </c>
      <c r="S78" s="211">
        <f t="shared" si="38"/>
        <v>0</v>
      </c>
      <c r="T78" s="211">
        <f t="shared" si="38"/>
        <v>4.2069835927639881E-3</v>
      </c>
      <c r="U78" s="211">
        <f t="shared" si="36"/>
        <v>3.0675195128324565E-3</v>
      </c>
      <c r="V78" s="211">
        <f t="shared" si="36"/>
        <v>1.3354998108041935E-3</v>
      </c>
      <c r="W78" s="6">
        <v>0.99919420580257001</v>
      </c>
      <c r="X78" s="6">
        <v>0.99957082776657291</v>
      </c>
      <c r="Y78" s="278">
        <v>139429.27300000002</v>
      </c>
      <c r="Z78" s="217" t="s">
        <v>28</v>
      </c>
    </row>
    <row r="79" spans="1:26">
      <c r="A79" s="7275"/>
      <c r="B79" s="217" t="s">
        <v>45</v>
      </c>
      <c r="C79" s="211">
        <f>C53/C29</f>
        <v>2.0967431609878961E-3</v>
      </c>
      <c r="D79" s="211">
        <f t="shared" si="33"/>
        <v>1.8178336557059963E-3</v>
      </c>
      <c r="E79" s="211">
        <f t="shared" si="34"/>
        <v>1.8178336557059963E-3</v>
      </c>
      <c r="F79" s="211">
        <f t="shared" ref="F79:T79" si="39">F53/F29</f>
        <v>0</v>
      </c>
      <c r="G79" s="211">
        <f t="shared" si="39"/>
        <v>1.6923814627817109E-3</v>
      </c>
      <c r="H79" s="211">
        <f t="shared" si="39"/>
        <v>0</v>
      </c>
      <c r="I79" s="211">
        <f t="shared" si="39"/>
        <v>3.7927003506948954E-3</v>
      </c>
      <c r="J79" s="211">
        <f t="shared" si="39"/>
        <v>4.216269841269841E-3</v>
      </c>
      <c r="K79" s="211">
        <f t="shared" si="39"/>
        <v>0</v>
      </c>
      <c r="L79" s="211">
        <f t="shared" si="39"/>
        <v>0</v>
      </c>
      <c r="M79" s="211">
        <f>M53/M29</f>
        <v>0</v>
      </c>
      <c r="N79" s="211">
        <f t="shared" si="39"/>
        <v>0</v>
      </c>
      <c r="O79" s="211">
        <f t="shared" si="39"/>
        <v>0</v>
      </c>
      <c r="P79" s="211">
        <f t="shared" si="39"/>
        <v>4.4497810425201297E-3</v>
      </c>
      <c r="Q79" s="211">
        <f t="shared" si="39"/>
        <v>6.9493521790341579E-3</v>
      </c>
      <c r="R79" s="211">
        <f t="shared" si="39"/>
        <v>1.2413621881077503E-4</v>
      </c>
      <c r="S79" s="211">
        <f t="shared" si="39"/>
        <v>7.7792030454752346E-4</v>
      </c>
      <c r="T79" s="211">
        <f t="shared" si="39"/>
        <v>0</v>
      </c>
      <c r="U79" s="211">
        <f t="shared" si="36"/>
        <v>1.9371002729550385E-3</v>
      </c>
      <c r="V79" s="211">
        <f t="shared" si="36"/>
        <v>1.7792858029544421E-3</v>
      </c>
      <c r="W79" s="6">
        <v>0.98548780998924945</v>
      </c>
      <c r="X79" s="6">
        <v>0.99142331918861526</v>
      </c>
      <c r="Y79" s="278">
        <v>136160.51999999999</v>
      </c>
      <c r="Z79" s="217" t="s">
        <v>29</v>
      </c>
    </row>
    <row r="80" spans="1:26">
      <c r="A80" s="7275"/>
      <c r="B80" s="217" t="s">
        <v>17</v>
      </c>
      <c r="C80" s="211">
        <f t="shared" si="33"/>
        <v>1.2594320268737344E-3</v>
      </c>
      <c r="D80" s="211">
        <f t="shared" si="33"/>
        <v>1.032548323201967E-3</v>
      </c>
      <c r="E80" s="211">
        <f t="shared" si="34"/>
        <v>1.032548323201967E-3</v>
      </c>
      <c r="F80" s="211">
        <f t="shared" ref="F80:T80" si="40">F54/F30</f>
        <v>0</v>
      </c>
      <c r="G80" s="211">
        <f t="shared" si="40"/>
        <v>1.6975268339818757E-3</v>
      </c>
      <c r="H80" s="211">
        <f t="shared" si="40"/>
        <v>0</v>
      </c>
      <c r="I80" s="211">
        <f t="shared" si="40"/>
        <v>0</v>
      </c>
      <c r="J80" s="211">
        <f t="shared" si="40"/>
        <v>0</v>
      </c>
      <c r="K80" s="211">
        <f t="shared" si="40"/>
        <v>0</v>
      </c>
      <c r="L80" s="211">
        <f t="shared" si="40"/>
        <v>0</v>
      </c>
      <c r="M80" s="211">
        <f>M54/M30</f>
        <v>1.412070377587619E-3</v>
      </c>
      <c r="N80" s="211">
        <f t="shared" si="40"/>
        <v>3.4674988663946013E-3</v>
      </c>
      <c r="O80" s="211">
        <f t="shared" si="40"/>
        <v>0</v>
      </c>
      <c r="P80" s="211">
        <f t="shared" si="40"/>
        <v>0</v>
      </c>
      <c r="Q80" s="211">
        <f t="shared" si="40"/>
        <v>0</v>
      </c>
      <c r="R80" s="211">
        <f t="shared" si="40"/>
        <v>1.3992697964385355E-4</v>
      </c>
      <c r="S80" s="211">
        <f t="shared" si="40"/>
        <v>1.3992697964385355E-4</v>
      </c>
      <c r="T80" s="211">
        <f t="shared" si="40"/>
        <v>1.5935267402639943E-3</v>
      </c>
      <c r="U80" s="211">
        <f t="shared" si="36"/>
        <v>7.5814053398364943E-4</v>
      </c>
      <c r="V80" s="211">
        <f t="shared" si="36"/>
        <v>5.2741707711914025E-4</v>
      </c>
      <c r="W80" s="6">
        <v>1.0010046933121386</v>
      </c>
      <c r="X80" s="6">
        <v>0.99948061276515365</v>
      </c>
      <c r="Y80" s="278">
        <v>54232.192999999999</v>
      </c>
      <c r="Z80" s="217" t="s">
        <v>23</v>
      </c>
    </row>
    <row r="81" spans="1:28">
      <c r="A81" s="7264" t="s">
        <v>46</v>
      </c>
      <c r="B81" s="217" t="s">
        <v>39</v>
      </c>
      <c r="C81" s="238">
        <f t="shared" ref="C81:D85" si="41">C55/C26</f>
        <v>1.7676645936781887E-4</v>
      </c>
      <c r="D81" s="238">
        <f t="shared" si="41"/>
        <v>1.6189215867058607E-4</v>
      </c>
      <c r="E81" s="211">
        <f t="shared" si="34"/>
        <v>1.6189215867058607E-4</v>
      </c>
      <c r="F81" s="211">
        <f t="shared" ref="F81:T81" si="42">F55/F26</f>
        <v>0</v>
      </c>
      <c r="G81" s="238">
        <f t="shared" si="42"/>
        <v>7.0497003877335212E-4</v>
      </c>
      <c r="H81" s="238">
        <f t="shared" si="42"/>
        <v>0</v>
      </c>
      <c r="I81" s="238">
        <f t="shared" si="42"/>
        <v>0</v>
      </c>
      <c r="J81" s="238">
        <f>J55/J28</f>
        <v>0</v>
      </c>
      <c r="K81" s="238">
        <f t="shared" si="42"/>
        <v>1.5379357484620643E-3</v>
      </c>
      <c r="L81" s="238">
        <f t="shared" si="42"/>
        <v>0</v>
      </c>
      <c r="M81" s="238">
        <f>M55/M26</f>
        <v>1.5782171349288936E-2</v>
      </c>
      <c r="N81" s="238">
        <f t="shared" si="42"/>
        <v>0</v>
      </c>
      <c r="O81" s="238">
        <f t="shared" si="42"/>
        <v>0</v>
      </c>
      <c r="P81" s="238">
        <f t="shared" si="42"/>
        <v>0</v>
      </c>
      <c r="Q81" s="238" t="e">
        <f t="shared" si="42"/>
        <v>#DIV/0!</v>
      </c>
      <c r="R81" s="238">
        <f t="shared" si="42"/>
        <v>1.8385992702175205E-3</v>
      </c>
      <c r="S81" s="238">
        <f t="shared" si="42"/>
        <v>1.8385992702175205E-3</v>
      </c>
      <c r="T81" s="238">
        <f t="shared" si="42"/>
        <v>5.772326136426708E-3</v>
      </c>
      <c r="U81" s="238">
        <f t="shared" ref="U81:V85" si="43">U55/U26</f>
        <v>3.6879432624113474E-3</v>
      </c>
      <c r="V81" s="238">
        <f t="shared" si="43"/>
        <v>1.8385992702175205E-3</v>
      </c>
      <c r="W81" s="6">
        <v>1.000613764376415</v>
      </c>
      <c r="X81" s="6">
        <v>1.0016079519472023</v>
      </c>
      <c r="Y81" s="278">
        <v>21998.68</v>
      </c>
      <c r="Z81" s="217" t="s">
        <v>17</v>
      </c>
    </row>
    <row r="82" spans="1:28">
      <c r="A82" s="7275"/>
      <c r="B82" s="217" t="s">
        <v>42</v>
      </c>
      <c r="C82" s="238">
        <f t="shared" si="41"/>
        <v>2.0793150251558847E-3</v>
      </c>
      <c r="D82" s="238">
        <f t="shared" si="41"/>
        <v>1.755949643627624E-3</v>
      </c>
      <c r="E82" s="211">
        <f t="shared" si="34"/>
        <v>1.755949643627624E-3</v>
      </c>
      <c r="F82" s="211">
        <f t="shared" ref="F82:T82" si="44">F56/F27</f>
        <v>7.2279312403758528E-3</v>
      </c>
      <c r="G82" s="238">
        <f t="shared" si="44"/>
        <v>1.0802927593377806E-3</v>
      </c>
      <c r="H82" s="238">
        <f t="shared" si="44"/>
        <v>2.0678959159055659E-3</v>
      </c>
      <c r="I82" s="238">
        <f t="shared" si="44"/>
        <v>9.1187289419183328E-3</v>
      </c>
      <c r="J82" s="238">
        <f t="shared" si="44"/>
        <v>0</v>
      </c>
      <c r="K82" s="238">
        <f t="shared" si="44"/>
        <v>1.0879284649776453E-2</v>
      </c>
      <c r="L82" s="238">
        <f t="shared" si="44"/>
        <v>2.2472806574293236E-2</v>
      </c>
      <c r="M82" s="238">
        <f>M56/M27</f>
        <v>1.7086591369823344E-2</v>
      </c>
      <c r="N82" s="238">
        <f t="shared" si="44"/>
        <v>1.6580635069607382E-2</v>
      </c>
      <c r="O82" s="238">
        <f t="shared" si="44"/>
        <v>1.1735623860770556E-2</v>
      </c>
      <c r="P82" s="238" t="e">
        <f t="shared" si="44"/>
        <v>#DIV/0!</v>
      </c>
      <c r="Q82" s="238" t="e">
        <f t="shared" si="44"/>
        <v>#DIV/0!</v>
      </c>
      <c r="R82" s="238">
        <f t="shared" si="44"/>
        <v>1.0033425220955065E-2</v>
      </c>
      <c r="S82" s="238">
        <f t="shared" si="44"/>
        <v>1.0033425220955065E-2</v>
      </c>
      <c r="T82" s="238">
        <f t="shared" si="44"/>
        <v>3.2902320934521979E-2</v>
      </c>
      <c r="U82" s="238">
        <f t="shared" si="43"/>
        <v>1.6892712199521317E-2</v>
      </c>
      <c r="V82" s="238">
        <f t="shared" si="43"/>
        <v>1.0033425220955065E-2</v>
      </c>
      <c r="W82" s="6">
        <v>4.603368954835881E-4</v>
      </c>
      <c r="X82" s="6">
        <v>6.1787737338436593E-4</v>
      </c>
    </row>
    <row r="83" spans="1:28">
      <c r="A83" s="7275"/>
      <c r="B83" s="217" t="s">
        <v>43</v>
      </c>
      <c r="C83" s="238">
        <f t="shared" si="41"/>
        <v>3.6736323121732114E-3</v>
      </c>
      <c r="D83" s="238">
        <f t="shared" si="41"/>
        <v>3.3264669421487511E-3</v>
      </c>
      <c r="E83" s="211">
        <f t="shared" si="34"/>
        <v>3.3264669421487511E-3</v>
      </c>
      <c r="F83" s="211">
        <f t="shared" ref="F83:T83" si="45">F57/F28</f>
        <v>0</v>
      </c>
      <c r="G83" s="238">
        <f t="shared" si="45"/>
        <v>1.2859751549600061E-4</v>
      </c>
      <c r="H83" s="238">
        <f t="shared" si="45"/>
        <v>1.4044943820224719E-3</v>
      </c>
      <c r="I83" s="238">
        <f t="shared" si="45"/>
        <v>0</v>
      </c>
      <c r="J83" s="238">
        <f t="shared" si="45"/>
        <v>0</v>
      </c>
      <c r="K83" s="238">
        <f t="shared" si="45"/>
        <v>2.4572649572649572E-3</v>
      </c>
      <c r="L83" s="238">
        <f t="shared" si="45"/>
        <v>3.3602150537634411E-4</v>
      </c>
      <c r="M83" s="238">
        <f>M57/M28</f>
        <v>0</v>
      </c>
      <c r="N83" s="238">
        <f t="shared" si="45"/>
        <v>2.6773110061821548E-4</v>
      </c>
      <c r="O83" s="238">
        <f t="shared" si="45"/>
        <v>0</v>
      </c>
      <c r="P83" s="238">
        <f t="shared" si="45"/>
        <v>0</v>
      </c>
      <c r="Q83" s="238" t="e">
        <f t="shared" si="45"/>
        <v>#DIV/0!</v>
      </c>
      <c r="R83" s="238">
        <f t="shared" si="45"/>
        <v>4.5258604699475444E-4</v>
      </c>
      <c r="S83" s="238">
        <f t="shared" si="45"/>
        <v>4.5258604699475444E-4</v>
      </c>
      <c r="T83" s="238">
        <f t="shared" si="45"/>
        <v>1.4256999953255738E-3</v>
      </c>
      <c r="U83" s="238">
        <f t="shared" si="43"/>
        <v>1.4769538395119236E-4</v>
      </c>
      <c r="V83" s="238">
        <f t="shared" si="43"/>
        <v>4.5258604699475444E-4</v>
      </c>
      <c r="W83" s="6">
        <v>7.9727247213366974E-4</v>
      </c>
      <c r="X83" s="6">
        <v>4.4875798785811637E-4</v>
      </c>
    </row>
    <row r="84" spans="1:28">
      <c r="A84" s="7275"/>
      <c r="B84" s="217" t="s">
        <v>45</v>
      </c>
      <c r="C84" s="238">
        <f t="shared" si="41"/>
        <v>1.0210417686979641E-3</v>
      </c>
      <c r="D84" s="238">
        <f t="shared" si="41"/>
        <v>8.8522243713733085E-4</v>
      </c>
      <c r="E84" s="211">
        <f t="shared" si="34"/>
        <v>8.8522243713733085E-4</v>
      </c>
      <c r="F84" s="211">
        <f t="shared" ref="F84:T84" si="46">F58/F29</f>
        <v>0</v>
      </c>
      <c r="G84" s="238">
        <f t="shared" si="46"/>
        <v>0</v>
      </c>
      <c r="H84" s="238">
        <f t="shared" si="46"/>
        <v>0</v>
      </c>
      <c r="I84" s="238">
        <f t="shared" si="46"/>
        <v>0</v>
      </c>
      <c r="J84" s="238">
        <f t="shared" si="46"/>
        <v>3.472222222222222E-3</v>
      </c>
      <c r="K84" s="238">
        <f t="shared" si="46"/>
        <v>0</v>
      </c>
      <c r="L84" s="238">
        <f t="shared" si="46"/>
        <v>0</v>
      </c>
      <c r="M84" s="238">
        <f>M58/M29</f>
        <v>0</v>
      </c>
      <c r="N84" s="238">
        <f t="shared" si="46"/>
        <v>0</v>
      </c>
      <c r="O84" s="238">
        <f t="shared" si="46"/>
        <v>0</v>
      </c>
      <c r="P84" s="238">
        <f t="shared" si="46"/>
        <v>0</v>
      </c>
      <c r="Q84" s="238">
        <f t="shared" si="46"/>
        <v>9.7762073027090699E-3</v>
      </c>
      <c r="R84" s="238">
        <f t="shared" si="46"/>
        <v>1.1482600239996689E-3</v>
      </c>
      <c r="S84" s="238">
        <f t="shared" si="46"/>
        <v>1.1482600239996689E-3</v>
      </c>
      <c r="T84" s="238">
        <f t="shared" si="46"/>
        <v>4.5208693102212379E-3</v>
      </c>
      <c r="U84" s="238">
        <f t="shared" si="43"/>
        <v>1.6609434158602087E-3</v>
      </c>
      <c r="V84" s="238">
        <f t="shared" si="43"/>
        <v>1.1482600239996689E-3</v>
      </c>
      <c r="W84" s="6">
        <v>8.6957492246856408E-3</v>
      </c>
      <c r="X84" s="6">
        <v>5.9850682121366751E-3</v>
      </c>
    </row>
    <row r="85" spans="1:28">
      <c r="A85" s="7275"/>
      <c r="B85" s="217" t="s">
        <v>17</v>
      </c>
      <c r="C85" s="238">
        <f t="shared" si="41"/>
        <v>1.5578340402096712E-4</v>
      </c>
      <c r="D85" s="238">
        <f t="shared" si="41"/>
        <v>1.4921032261002308E-4</v>
      </c>
      <c r="E85" s="211">
        <f t="shared" si="34"/>
        <v>1.4921032261002308E-4</v>
      </c>
      <c r="F85" s="211">
        <f t="shared" ref="F85:T85" si="47">F59/F30</f>
        <v>2.4666387114279369E-4</v>
      </c>
      <c r="G85" s="238">
        <f t="shared" si="47"/>
        <v>0</v>
      </c>
      <c r="H85" s="238">
        <f t="shared" si="47"/>
        <v>1.4595131064276958E-4</v>
      </c>
      <c r="I85" s="238">
        <f t="shared" si="47"/>
        <v>0</v>
      </c>
      <c r="J85" s="238">
        <f t="shared" si="47"/>
        <v>3.7757274662881474E-3</v>
      </c>
      <c r="K85" s="238">
        <f t="shared" si="47"/>
        <v>0</v>
      </c>
      <c r="L85" s="238">
        <f t="shared" si="47"/>
        <v>0</v>
      </c>
      <c r="M85" s="238">
        <f>M59/M30</f>
        <v>0</v>
      </c>
      <c r="N85" s="238">
        <f t="shared" si="47"/>
        <v>1.0935957963244512E-2</v>
      </c>
      <c r="O85" s="238">
        <f t="shared" si="47"/>
        <v>0</v>
      </c>
      <c r="P85" s="238">
        <f t="shared" si="47"/>
        <v>0</v>
      </c>
      <c r="Q85" s="238">
        <f t="shared" si="47"/>
        <v>0</v>
      </c>
      <c r="R85" s="238">
        <f t="shared" si="47"/>
        <v>1.2012193021733889E-3</v>
      </c>
      <c r="S85" s="238">
        <f t="shared" si="47"/>
        <v>1.2012193021733889E-3</v>
      </c>
      <c r="T85" s="238">
        <f t="shared" si="47"/>
        <v>4.9399328948183819E-3</v>
      </c>
      <c r="U85" s="238">
        <f t="shared" si="43"/>
        <v>1.7268756607405349E-3</v>
      </c>
      <c r="V85" s="238">
        <f t="shared" si="43"/>
        <v>1.2012193021733889E-3</v>
      </c>
      <c r="W85" s="6">
        <v>1.9082062142130073E-3</v>
      </c>
      <c r="X85" s="6">
        <v>8.9227444665569765E-4</v>
      </c>
    </row>
    <row r="86" spans="1:28">
      <c r="A86" s="7271" t="s">
        <v>0</v>
      </c>
      <c r="B86" s="7271"/>
      <c r="C86" s="2735" t="s">
        <v>1169</v>
      </c>
      <c r="D86" s="2735" t="s">
        <v>1269</v>
      </c>
      <c r="E86" s="2735" t="s">
        <v>1270</v>
      </c>
      <c r="F86" s="230" t="s">
        <v>48</v>
      </c>
      <c r="G86" s="230" t="s">
        <v>5</v>
      </c>
      <c r="H86" s="230" t="s">
        <v>6</v>
      </c>
      <c r="I86" s="230" t="s">
        <v>7</v>
      </c>
      <c r="J86" s="230" t="s">
        <v>8</v>
      </c>
      <c r="K86" s="230" t="s">
        <v>9</v>
      </c>
      <c r="L86" s="230" t="s">
        <v>10</v>
      </c>
      <c r="M86" s="230" t="s">
        <v>11</v>
      </c>
      <c r="N86" s="230" t="s">
        <v>12</v>
      </c>
      <c r="O86" s="230" t="s">
        <v>13</v>
      </c>
      <c r="P86" s="230" t="s">
        <v>14</v>
      </c>
      <c r="Q86" s="230" t="s">
        <v>15</v>
      </c>
      <c r="R86" s="209" t="s">
        <v>19</v>
      </c>
      <c r="S86" s="209" t="s">
        <v>20</v>
      </c>
      <c r="T86" s="209" t="s">
        <v>21</v>
      </c>
      <c r="U86" s="209" t="s">
        <v>178</v>
      </c>
      <c r="V86" s="209" t="s">
        <v>22</v>
      </c>
      <c r="W86" s="6">
        <v>1.7245873642511955E-3</v>
      </c>
      <c r="X86" s="6">
        <v>9.6369418528748085E-4</v>
      </c>
    </row>
    <row r="87" spans="1:28">
      <c r="A87" s="7273" t="s">
        <v>49</v>
      </c>
      <c r="B87" s="217" t="s">
        <v>529</v>
      </c>
      <c r="C87" s="225">
        <f t="shared" ref="C87:C92" si="48">C14/C2</f>
        <v>0.97749821155362038</v>
      </c>
      <c r="D87" s="225">
        <v>0.98</v>
      </c>
      <c r="E87" s="225">
        <f>D87</f>
        <v>0.98</v>
      </c>
      <c r="F87" s="225">
        <f>F14/F2</f>
        <v>0.97803964795466247</v>
      </c>
      <c r="G87" s="225">
        <f t="shared" ref="G87:U87" si="49">G14/G2</f>
        <v>0.97894259760051094</v>
      </c>
      <c r="H87" s="225">
        <f t="shared" si="49"/>
        <v>0.98038576880174066</v>
      </c>
      <c r="I87" s="225">
        <f t="shared" si="49"/>
        <v>0.98020622414048852</v>
      </c>
      <c r="J87" s="225">
        <f t="shared" si="49"/>
        <v>0.9778012323381331</v>
      </c>
      <c r="K87" s="225">
        <f t="shared" si="49"/>
        <v>0.97906406843466531</v>
      </c>
      <c r="L87" s="225">
        <f t="shared" si="49"/>
        <v>0.97872463970540058</v>
      </c>
      <c r="M87" s="225">
        <f t="shared" si="49"/>
        <v>0.97682958630408989</v>
      </c>
      <c r="N87" s="225">
        <f t="shared" si="49"/>
        <v>0.97903120660295517</v>
      </c>
      <c r="O87" s="225">
        <f t="shared" si="49"/>
        <v>0.97835967049888617</v>
      </c>
      <c r="P87" s="225">
        <f t="shared" si="49"/>
        <v>0.98270980179528888</v>
      </c>
      <c r="Q87" s="225" t="e">
        <f t="shared" si="49"/>
        <v>#DIV/0!</v>
      </c>
      <c r="R87" s="225">
        <f>R14/R2</f>
        <v>0.97907658620100646</v>
      </c>
      <c r="S87" s="239">
        <f t="shared" si="49"/>
        <v>0.97905411350707994</v>
      </c>
      <c r="T87" s="4265" t="e">
        <f t="shared" si="49"/>
        <v>#DIV/0!</v>
      </c>
      <c r="U87" s="4265">
        <f t="shared" si="49"/>
        <v>0.97828360674802639</v>
      </c>
      <c r="V87" s="2393">
        <f t="shared" ref="V87:V92" si="50">V14/V2</f>
        <v>0.97872066777537103</v>
      </c>
    </row>
    <row r="88" spans="1:28">
      <c r="A88" s="7273"/>
      <c r="B88" s="217" t="s">
        <v>530</v>
      </c>
      <c r="C88" s="225">
        <f t="shared" si="48"/>
        <v>0.99987013718184936</v>
      </c>
      <c r="D88" s="225">
        <v>0.99990000000000001</v>
      </c>
      <c r="E88" s="225">
        <f>D88</f>
        <v>0.99990000000000001</v>
      </c>
      <c r="F88" s="225">
        <f t="shared" ref="F88:U88" si="51">F15/F3</f>
        <v>0.99983093687456581</v>
      </c>
      <c r="G88" s="225">
        <f t="shared" si="51"/>
        <v>0.99998076998460861</v>
      </c>
      <c r="H88" s="225">
        <f t="shared" si="51"/>
        <v>1</v>
      </c>
      <c r="I88" s="225">
        <f t="shared" si="51"/>
        <v>0.99992821422688238</v>
      </c>
      <c r="J88" s="225">
        <f t="shared" si="51"/>
        <v>0.9998265435587399</v>
      </c>
      <c r="K88" s="225">
        <f t="shared" si="51"/>
        <v>0.99992439620491735</v>
      </c>
      <c r="L88" s="225">
        <f t="shared" si="51"/>
        <v>0.99976278029232812</v>
      </c>
      <c r="M88" s="225">
        <f t="shared" si="51"/>
        <v>0.99999647396944957</v>
      </c>
      <c r="N88" s="225">
        <f t="shared" si="51"/>
        <v>0.99978793989265691</v>
      </c>
      <c r="O88" s="225">
        <f t="shared" si="51"/>
        <v>0.99901275410810841</v>
      </c>
      <c r="P88" s="225" t="e">
        <f t="shared" si="51"/>
        <v>#DIV/0!</v>
      </c>
      <c r="Q88" s="225" t="e">
        <f t="shared" si="51"/>
        <v>#DIV/0!</v>
      </c>
      <c r="R88" s="225">
        <f t="shared" si="51"/>
        <v>0.99993908703650325</v>
      </c>
      <c r="S88" s="239">
        <f t="shared" si="51"/>
        <v>0.99991597312000291</v>
      </c>
      <c r="T88" s="4265" t="e">
        <f t="shared" si="51"/>
        <v>#DIV/0!</v>
      </c>
      <c r="U88" s="4265">
        <f t="shared" si="51"/>
        <v>0.99963187555390798</v>
      </c>
      <c r="V88" s="2393">
        <f t="shared" si="50"/>
        <v>0.99979160392470223</v>
      </c>
      <c r="W88" s="7" t="s">
        <v>76</v>
      </c>
      <c r="X88" s="110" t="s">
        <v>77</v>
      </c>
      <c r="Y88" s="118" t="s">
        <v>186</v>
      </c>
    </row>
    <row r="89" spans="1:28">
      <c r="A89" s="7273"/>
      <c r="B89" s="217" t="s">
        <v>43</v>
      </c>
      <c r="C89" s="225">
        <f t="shared" si="48"/>
        <v>1.0018258233928048</v>
      </c>
      <c r="D89" s="225">
        <v>1.0035000000000001</v>
      </c>
      <c r="E89" s="225">
        <v>1</v>
      </c>
      <c r="F89" s="225">
        <f t="shared" ref="F89:U90" si="52">F16/F4</f>
        <v>1.0070524985861207</v>
      </c>
      <c r="G89" s="225">
        <f>G16/G4</f>
        <v>1.006108820007982</v>
      </c>
      <c r="H89" s="225">
        <f t="shared" si="52"/>
        <v>1.0027112703876353</v>
      </c>
      <c r="I89" s="225">
        <f t="shared" si="52"/>
        <v>1.0015607027380438</v>
      </c>
      <c r="J89" s="225">
        <f t="shared" si="52"/>
        <v>1.0046615565330577</v>
      </c>
      <c r="K89" s="225">
        <f t="shared" si="52"/>
        <v>1.0013871134113719</v>
      </c>
      <c r="L89" s="225">
        <f t="shared" si="52"/>
        <v>1.002504384380867</v>
      </c>
      <c r="M89" s="225">
        <f t="shared" si="52"/>
        <v>1.0026117222159274</v>
      </c>
      <c r="N89" s="225">
        <f t="shared" si="52"/>
        <v>1.0032249771187052</v>
      </c>
      <c r="O89" s="225">
        <f t="shared" si="52"/>
        <v>1.006474714211512</v>
      </c>
      <c r="P89" s="225">
        <f t="shared" si="52"/>
        <v>1.0095498387414261</v>
      </c>
      <c r="Q89" s="225" t="e">
        <f t="shared" si="52"/>
        <v>#DIV/0!</v>
      </c>
      <c r="R89" s="225">
        <f t="shared" si="52"/>
        <v>1.0052121539199697</v>
      </c>
      <c r="S89" s="239">
        <f t="shared" si="52"/>
        <v>1.0038762090275906</v>
      </c>
      <c r="T89" s="4265" t="e">
        <f t="shared" si="52"/>
        <v>#DIV/0!</v>
      </c>
      <c r="U89" s="4265">
        <f t="shared" si="52"/>
        <v>1.0037170331600487</v>
      </c>
      <c r="V89" s="2393">
        <f t="shared" si="50"/>
        <v>1.003806325331841</v>
      </c>
      <c r="W89" s="468" t="s">
        <v>78</v>
      </c>
      <c r="X89" s="111" t="s">
        <v>79</v>
      </c>
      <c r="Y89" s="492">
        <v>447000</v>
      </c>
      <c r="AA89" s="260"/>
    </row>
    <row r="90" spans="1:28">
      <c r="A90" s="7273"/>
      <c r="B90" s="217" t="s">
        <v>45</v>
      </c>
      <c r="C90" s="225">
        <f t="shared" si="48"/>
        <v>1.0040908537375219</v>
      </c>
      <c r="D90" s="239">
        <v>1.0043</v>
      </c>
      <c r="E90" s="225">
        <f>D90</f>
        <v>1.0043</v>
      </c>
      <c r="F90" s="225">
        <f t="shared" si="52"/>
        <v>1.0036160945520129</v>
      </c>
      <c r="G90" s="225">
        <f t="shared" ref="G90:U90" si="53">G17/G5</f>
        <v>1.0058263871021329</v>
      </c>
      <c r="H90" s="225">
        <f t="shared" si="53"/>
        <v>1.0056326965082183</v>
      </c>
      <c r="I90" s="225">
        <f t="shared" si="53"/>
        <v>1.0051074275427105</v>
      </c>
      <c r="J90" s="225">
        <f t="shared" si="53"/>
        <v>1.0051921499650693</v>
      </c>
      <c r="K90" s="225">
        <f>K17/K5</f>
        <v>1.0052191401959754</v>
      </c>
      <c r="L90" s="225">
        <f t="shared" si="53"/>
        <v>1.0032393926352068</v>
      </c>
      <c r="M90" s="225">
        <f t="shared" si="53"/>
        <v>1.0058894527804263</v>
      </c>
      <c r="N90" s="225">
        <f t="shared" si="53"/>
        <v>1.0054621220361106</v>
      </c>
      <c r="O90" s="225">
        <f t="shared" si="53"/>
        <v>1.0050741609556901</v>
      </c>
      <c r="P90" s="225">
        <f t="shared" si="53"/>
        <v>1.0054005512330648</v>
      </c>
      <c r="Q90" s="225">
        <f t="shared" si="53"/>
        <v>1.0028391724137056</v>
      </c>
      <c r="R90" s="225">
        <f t="shared" si="53"/>
        <v>1.0049693386658363</v>
      </c>
      <c r="S90" s="239">
        <f t="shared" si="53"/>
        <v>1.0050723863319906</v>
      </c>
      <c r="T90" s="4265" t="e">
        <f t="shared" si="53"/>
        <v>#DIV/0!</v>
      </c>
      <c r="U90" s="4265">
        <f t="shared" si="53"/>
        <v>1.0046181574900206</v>
      </c>
      <c r="V90" s="2393">
        <f t="shared" si="50"/>
        <v>1.0048416087822143</v>
      </c>
      <c r="W90" s="106" t="s">
        <v>80</v>
      </c>
      <c r="X90" s="112" t="s">
        <v>79</v>
      </c>
      <c r="Y90" s="493">
        <v>447000</v>
      </c>
      <c r="AA90" s="260"/>
      <c r="AB90" s="262"/>
    </row>
    <row r="91" spans="1:28">
      <c r="A91" s="7273"/>
      <c r="B91" s="217" t="s">
        <v>17</v>
      </c>
      <c r="C91" s="225">
        <f t="shared" si="48"/>
        <v>1.0038300232567896</v>
      </c>
      <c r="D91" s="225">
        <v>1.0044999999999999</v>
      </c>
      <c r="E91" s="225">
        <f>D91</f>
        <v>1.0044999999999999</v>
      </c>
      <c r="F91" s="225">
        <f t="shared" ref="F91:U92" si="54">F18/F6</f>
        <v>1.0059846516807573</v>
      </c>
      <c r="G91" s="225">
        <f t="shared" si="54"/>
        <v>1.0055620773661629</v>
      </c>
      <c r="H91" s="225">
        <f t="shared" si="54"/>
        <v>1.0035368585805324</v>
      </c>
      <c r="I91" s="225">
        <f t="shared" si="54"/>
        <v>1.005912059359612</v>
      </c>
      <c r="J91" s="225">
        <f t="shared" si="54"/>
        <v>1.0052130332322755</v>
      </c>
      <c r="K91" s="225">
        <f t="shared" si="54"/>
        <v>1.0068479594360766</v>
      </c>
      <c r="L91" s="225">
        <f t="shared" si="54"/>
        <v>1.0052350452839909</v>
      </c>
      <c r="M91" s="225">
        <f t="shared" si="54"/>
        <v>1.0036078537940605</v>
      </c>
      <c r="N91" s="225">
        <f t="shared" si="54"/>
        <v>1.0064889629341602</v>
      </c>
      <c r="O91" s="225">
        <f t="shared" si="54"/>
        <v>1.0061824093822207</v>
      </c>
      <c r="P91" s="225">
        <f t="shared" si="54"/>
        <v>1.0061303473835905</v>
      </c>
      <c r="Q91" s="225">
        <f t="shared" si="54"/>
        <v>1.0075045116319175</v>
      </c>
      <c r="R91" s="225">
        <f t="shared" si="54"/>
        <v>1.0051271115598761</v>
      </c>
      <c r="S91" s="239">
        <f t="shared" si="54"/>
        <v>1.0055822358500655</v>
      </c>
      <c r="T91" s="4265" t="e">
        <f t="shared" si="54"/>
        <v>#DIV/0!</v>
      </c>
      <c r="U91" s="4265">
        <f t="shared" si="54"/>
        <v>1.0058402247959219</v>
      </c>
      <c r="V91" s="2393">
        <f t="shared" si="50"/>
        <v>1.0057092906575997</v>
      </c>
      <c r="W91" s="106" t="s">
        <v>81</v>
      </c>
      <c r="X91" s="112" t="s">
        <v>79</v>
      </c>
      <c r="Y91" s="493">
        <v>447000</v>
      </c>
    </row>
    <row r="92" spans="1:28">
      <c r="A92" s="7274" t="s">
        <v>198</v>
      </c>
      <c r="B92" s="7274"/>
      <c r="C92" s="247">
        <f t="shared" si="48"/>
        <v>0.99483918463783039</v>
      </c>
      <c r="D92" s="247">
        <f t="shared" ref="D92:Q92" si="55">D19/D7</f>
        <v>0.99638399452019832</v>
      </c>
      <c r="E92" s="247">
        <f t="shared" si="55"/>
        <v>0.99638399452019832</v>
      </c>
      <c r="F92" s="247">
        <f>F19/F7</f>
        <v>0.99633813730488796</v>
      </c>
      <c r="G92" s="247">
        <f t="shared" si="55"/>
        <v>0.99612374473672649</v>
      </c>
      <c r="H92" s="247">
        <f t="shared" si="55"/>
        <v>0.99651840446930751</v>
      </c>
      <c r="I92" s="247">
        <f t="shared" si="55"/>
        <v>0.9958414522014728</v>
      </c>
      <c r="J92" s="247">
        <f t="shared" si="55"/>
        <v>0.99565900851830702</v>
      </c>
      <c r="K92" s="247">
        <f t="shared" si="55"/>
        <v>0.99508664530737656</v>
      </c>
      <c r="L92" s="247">
        <f t="shared" si="55"/>
        <v>0.9951165818230433</v>
      </c>
      <c r="M92" s="247">
        <f t="shared" si="55"/>
        <v>0.99494788904133469</v>
      </c>
      <c r="N92" s="247">
        <f t="shared" si="55"/>
        <v>0.99564616359304947</v>
      </c>
      <c r="O92" s="247">
        <f t="shared" si="55"/>
        <v>0.99589479451524499</v>
      </c>
      <c r="P92" s="247">
        <f t="shared" si="55"/>
        <v>1.005097779159845</v>
      </c>
      <c r="Q92" s="247">
        <f t="shared" si="55"/>
        <v>1.0040913222093137</v>
      </c>
      <c r="R92" s="247">
        <f t="shared" si="54"/>
        <v>0.99632153953215941</v>
      </c>
      <c r="S92" s="247">
        <f t="shared" si="54"/>
        <v>0.99591713884307043</v>
      </c>
      <c r="T92" s="247" t="e">
        <f t="shared" si="54"/>
        <v>#DIV/0!</v>
      </c>
      <c r="U92" s="247">
        <f t="shared" si="54"/>
        <v>0.99614042512473355</v>
      </c>
      <c r="V92" s="247">
        <f t="shared" si="50"/>
        <v>0.99601770058959738</v>
      </c>
      <c r="W92" s="106" t="s">
        <v>23</v>
      </c>
      <c r="X92" s="112" t="s">
        <v>82</v>
      </c>
      <c r="Y92" s="493">
        <v>797000</v>
      </c>
    </row>
    <row r="93" spans="1:28" ht="10.8" customHeight="1">
      <c r="A93" s="7306" t="s">
        <v>1148</v>
      </c>
      <c r="B93" s="217" t="s">
        <v>529</v>
      </c>
      <c r="C93" s="2393">
        <f>종합!I5/100</f>
        <v>0.97749821155362038</v>
      </c>
      <c r="D93" s="2393">
        <f>종합!J5/100</f>
        <v>0.98</v>
      </c>
      <c r="E93" s="2393">
        <f>종합!K5/100</f>
        <v>0.98</v>
      </c>
      <c r="F93" s="2393">
        <f>F87</f>
        <v>0.97803964795466247</v>
      </c>
      <c r="G93" s="2393">
        <f t="shared" ref="G93:Q93" si="56">G87</f>
        <v>0.97894259760051094</v>
      </c>
      <c r="H93" s="2393">
        <f t="shared" si="56"/>
        <v>0.98038576880174066</v>
      </c>
      <c r="I93" s="2393">
        <f t="shared" si="56"/>
        <v>0.98020622414048852</v>
      </c>
      <c r="J93" s="2393">
        <f t="shared" si="56"/>
        <v>0.9778012323381331</v>
      </c>
      <c r="K93" s="2393">
        <f t="shared" si="56"/>
        <v>0.97906406843466531</v>
      </c>
      <c r="L93" s="2393">
        <f t="shared" si="56"/>
        <v>0.97872463970540058</v>
      </c>
      <c r="M93" s="2393">
        <f t="shared" si="56"/>
        <v>0.97682958630408989</v>
      </c>
      <c r="N93" s="2393">
        <f t="shared" si="56"/>
        <v>0.97903120660295517</v>
      </c>
      <c r="O93" s="2393">
        <f t="shared" si="56"/>
        <v>0.97835967049888617</v>
      </c>
      <c r="P93" s="2393">
        <f t="shared" si="56"/>
        <v>0.98270980179528888</v>
      </c>
      <c r="Q93" s="2393" t="e">
        <f t="shared" si="56"/>
        <v>#DIV/0!</v>
      </c>
      <c r="R93" s="2393">
        <f>R14/R2</f>
        <v>0.97907658620100646</v>
      </c>
      <c r="S93" s="2393">
        <f>S14/S2</f>
        <v>0.97905411350707994</v>
      </c>
      <c r="T93" s="2393" t="e">
        <f>T14/T2</f>
        <v>#DIV/0!</v>
      </c>
      <c r="U93" s="2393">
        <f>U14/U2</f>
        <v>0.97828360674802639</v>
      </c>
      <c r="V93" s="225">
        <f>V14/V2</f>
        <v>0.97872066777537103</v>
      </c>
      <c r="W93" s="2390"/>
      <c r="X93" s="2391"/>
      <c r="Y93" s="2392"/>
    </row>
    <row r="94" spans="1:28">
      <c r="A94" s="7307"/>
      <c r="B94" s="217" t="s">
        <v>530</v>
      </c>
      <c r="C94" s="2393">
        <f>종합!I6/100</f>
        <v>0.99972522425747468</v>
      </c>
      <c r="D94" s="2393">
        <f>종합!J6/100</f>
        <v>0.99975736339467181</v>
      </c>
      <c r="E94" s="2393">
        <f>종합!K6/100</f>
        <v>0.99975736339467181</v>
      </c>
      <c r="F94" s="2393">
        <f>년간!F15/(년간!F3+종합!L46)</f>
        <v>0.99983093687456581</v>
      </c>
      <c r="G94" s="2393">
        <f>년간!G15/(년간!G3+종합!M46)</f>
        <v>0.99998076998460861</v>
      </c>
      <c r="H94" s="2393">
        <f>년간!H15/(년간!H3+종합!N46)</f>
        <v>0.99995671990272117</v>
      </c>
      <c r="I94" s="2393">
        <f>년간!I15/(년간!I3+종합!O46)</f>
        <v>0.99992821422688238</v>
      </c>
      <c r="J94" s="2393">
        <f>년간!J15/(년간!J3+종합!P46)</f>
        <v>0.9998049675061208</v>
      </c>
      <c r="K94" s="2393">
        <f>년간!K15/(년간!K3+종합!Q46)</f>
        <v>0.99992439620491735</v>
      </c>
      <c r="L94" s="2393">
        <f>년간!L15/(년간!L3+종합!R46)</f>
        <v>0.99975311339798156</v>
      </c>
      <c r="M94" s="2393">
        <f>년간!M15/(년간!M3+종합!S46)</f>
        <v>0.99995733670013753</v>
      </c>
      <c r="N94" s="2393">
        <f>년간!N15/(년간!N3+종합!T46)</f>
        <v>0.99978793989265691</v>
      </c>
      <c r="O94" s="2393">
        <f>년간!O15/(년간!O3+종합!U46)</f>
        <v>0.99893602035948081</v>
      </c>
      <c r="P94" s="2393" t="e">
        <f>년간!P15/(년간!P3+종합!V46)</f>
        <v>#DIV/0!</v>
      </c>
      <c r="Q94" s="2393" t="e">
        <f>년간!Q15/(년간!Q3+종합!W46)</f>
        <v>#DIV/0!</v>
      </c>
      <c r="R94" s="2393">
        <f>R15/(R3+종합!L46+종합!M46+종합!N46)</f>
        <v>0.99992592521022761</v>
      </c>
      <c r="S94" s="2393">
        <f>S15/(S3+종합!L46+종합!M46+종합!N46+종합!O46+종합!P46+종합!Q46)</f>
        <v>0.99990609248686813</v>
      </c>
      <c r="T94" s="2393">
        <f>T15/(T3+종합!R46+종합!S46+종합!T46)</f>
        <v>60904.562411347513</v>
      </c>
      <c r="U94" s="2393">
        <f>U15/(U3+종합!R46+종합!S46+종합!T46+종합!U46+종합!V46+종합!W46)</f>
        <v>0.99959985878079682</v>
      </c>
      <c r="V94" s="225">
        <f>V15/(V3+종합!X46)</f>
        <v>0.99977203109953872</v>
      </c>
      <c r="W94" s="2390"/>
      <c r="X94" s="2391"/>
      <c r="Y94" s="2392"/>
    </row>
    <row r="95" spans="1:28">
      <c r="A95" s="7307"/>
      <c r="B95" s="217" t="s">
        <v>29</v>
      </c>
      <c r="C95" s="2393">
        <f>종합!I7/100</f>
        <v>1.0016156108737713</v>
      </c>
      <c r="D95" s="2393">
        <f>종합!J7/100</f>
        <v>1.0033526629746046</v>
      </c>
      <c r="E95" s="2393">
        <f>종합!K7/100</f>
        <v>1.0033526629746046</v>
      </c>
      <c r="F95" s="2393">
        <f>년간!F16/(년간!F4+종합!L47)</f>
        <v>1.0070524985861207</v>
      </c>
      <c r="G95" s="2393">
        <f>년간!G16/(년간!G4+종합!M47)</f>
        <v>1.006108820007982</v>
      </c>
      <c r="H95" s="2393">
        <f>년간!H16/(년간!H4+종합!N47)</f>
        <v>1.002568166142314</v>
      </c>
      <c r="I95" s="2393">
        <f>년간!I16/(년간!I4+종합!O47)</f>
        <v>1.0015607027380438</v>
      </c>
      <c r="J95" s="2393">
        <f>년간!J16/(년간!J4+종합!P47)</f>
        <v>1.0042161065318358</v>
      </c>
      <c r="K95" s="2393">
        <f>년간!K16/(년간!K4+종합!Q47)</f>
        <v>1.0013871134113719</v>
      </c>
      <c r="L95" s="2393">
        <f>년간!L16/(년간!L4+종합!R47)</f>
        <v>1.0020964912879828</v>
      </c>
      <c r="M95" s="2393">
        <f>년간!M16/(년간!M4+종합!S47)</f>
        <v>1.0025638621252106</v>
      </c>
      <c r="N95" s="2393">
        <f>년간!N16/(년간!N4+종합!T47)</f>
        <v>1.0031733953067479</v>
      </c>
      <c r="O95" s="2393">
        <f>년간!O16/(년간!O4+종합!U47)</f>
        <v>1.006344306717986</v>
      </c>
      <c r="P95" s="2393">
        <f>년간!P16/(년간!P4+종합!V47)</f>
        <v>1.0095498387414261</v>
      </c>
      <c r="Q95" s="2393" t="e">
        <f>년간!Q16/(년간!Q4+종합!W47)</f>
        <v>#DIV/0!</v>
      </c>
      <c r="R95" s="2393">
        <f>R16/(R4+종합!L47+종합!M47+종합!N47)</f>
        <v>1.0051613806815312</v>
      </c>
      <c r="S95" s="2393">
        <f>S16/(S4+종합!L47+종합!M47+종합!N47+종합!O47+종합!P47+종합!Q47)</f>
        <v>1.0037820488579641</v>
      </c>
      <c r="T95" s="2393">
        <f>T16/(T4+종합!R47+종합!S47+종합!T47)</f>
        <v>5727.3822570123939</v>
      </c>
      <c r="U95" s="2393">
        <f>U16/(U4+종합!R47+종합!S47+종합!T47+종합!U47+종합!V47+종합!W47)</f>
        <v>1.0035539706447312</v>
      </c>
      <c r="V95" s="225">
        <f>V16/(V4+종합!X47)</f>
        <v>1.0036819107986636</v>
      </c>
      <c r="W95" s="2390"/>
      <c r="X95" s="2391"/>
      <c r="Y95" s="2392"/>
    </row>
    <row r="96" spans="1:28">
      <c r="A96" s="7307"/>
      <c r="B96" s="217" t="s">
        <v>23</v>
      </c>
      <c r="C96" s="2393">
        <f>종합!I8/100</f>
        <v>1.0039461945188946</v>
      </c>
      <c r="D96" s="2393">
        <f>종합!J8/100</f>
        <v>1.0039782638666881</v>
      </c>
      <c r="E96" s="2393">
        <f>종합!K8/100</f>
        <v>1.0039782638666881</v>
      </c>
      <c r="F96" s="2393">
        <f>년간!F17/(년간!F5+종합!L49+종합!AR49)</f>
        <v>1.0021777145770938</v>
      </c>
      <c r="G96" s="2393">
        <f>년간!G17/(년간!G5+종합!M49+종합!AS49)</f>
        <v>1.0057793845927043</v>
      </c>
      <c r="H96" s="2393">
        <f>년간!H17/(년간!H5+종합!N49+종합!AT49)</f>
        <v>1.0043624245241025</v>
      </c>
      <c r="I96" s="2393">
        <f>년간!I17/(년간!I5+종합!O49+종합!AU49)</f>
        <v>1.0044469180256721</v>
      </c>
      <c r="J96" s="2393">
        <f>년간!J17/(년간!J5+종합!P49+종합!AV49)</f>
        <v>1.0048308026118353</v>
      </c>
      <c r="K96" s="2393">
        <f>년간!K17/(년간!K5+종합!Q49+종합!AW49)</f>
        <v>1.0045978678721237</v>
      </c>
      <c r="L96" s="2393">
        <f>년간!L17/(년간!L5+종합!R49+종합!AX49)</f>
        <v>1.002849087496591</v>
      </c>
      <c r="M96" s="2393">
        <f>년간!M17/(년간!M5+종합!S49+종합!AY49)</f>
        <v>1.0052026140805024</v>
      </c>
      <c r="N96" s="2393">
        <f>년간!N17/(년간!N5+종합!T49+종합!AZ49)</f>
        <v>1.0048535504383853</v>
      </c>
      <c r="O96" s="2393">
        <f>년간!O17/(년간!O5+종합!U49+종합!BA49)</f>
        <v>1.0047542825047076</v>
      </c>
      <c r="P96" s="2393">
        <f>년간!P17/(년간!P5+종합!V49+종합!BB49)</f>
        <v>1.0051303258115003</v>
      </c>
      <c r="Q96" s="2393">
        <f>년간!Q17/(년간!Q5+종합!W49+종합!BC49)</f>
        <v>1.0022921737507162</v>
      </c>
      <c r="R96" s="2393">
        <f>R17/(R5+종합!L49+종합!M49+종합!N49+종합!AR49+종합!AS49+종합!AT49)</f>
        <v>1.0040011697532381</v>
      </c>
      <c r="S96" s="2393">
        <f>S17/(S5+종합!L49+종합!M49+종합!N49+종합!O49+종합!P49+종합!AR49+종합!AS49+종합!AT49+종합!AU49+종합!AV49+종합!AW49)</f>
        <v>1.0043357950021368</v>
      </c>
      <c r="T96" s="2393">
        <f>T17/(T5+종합!R49+종합!S49+종합!AX49+종합!AY49+종합!AZ49)</f>
        <v>2299.9937499999996</v>
      </c>
      <c r="U96" s="2393">
        <f>U17/(U5+종합!R49+종합!S49+종합!T49+종합!U49+종합!V49+종합!W49+종합!AX49+종합!AY49+종합!AZ49+종합!BA49+종합!BB49+종합!BC49)</f>
        <v>1.0041535602555278</v>
      </c>
      <c r="V96" s="225">
        <f>V17/(V5+종합!X49+종합!BD49)</f>
        <v>1.0042329805871817</v>
      </c>
      <c r="W96" s="2390"/>
      <c r="X96" s="2391"/>
      <c r="Y96" s="2392"/>
    </row>
    <row r="97" spans="1:25">
      <c r="A97" s="7307"/>
      <c r="B97" s="217" t="s">
        <v>17</v>
      </c>
      <c r="C97" s="2393">
        <f>종합!I9/100</f>
        <v>1.0020491802108988</v>
      </c>
      <c r="D97" s="2393">
        <f>종합!J9/100</f>
        <v>1.0033091245525503</v>
      </c>
      <c r="E97" s="2393">
        <f>종합!K9/100</f>
        <v>1.0033091245525503</v>
      </c>
      <c r="F97" s="2393">
        <f>년간!F18/(년간!F6+종합!L50+종합!AR50)</f>
        <v>1.0033160299614805</v>
      </c>
      <c r="G97" s="2393">
        <f>년간!G18/(년간!G6+종합!M50+종합!AS50)</f>
        <v>1.0031278394459495</v>
      </c>
      <c r="H97" s="2393">
        <f>년간!H18/(년간!H6+종합!N50+종합!AT50)</f>
        <v>0.99842715192487541</v>
      </c>
      <c r="I97" s="2393">
        <f>년간!I18/(년간!I6+종합!O50+종합!AU50)</f>
        <v>1.0025638671527115</v>
      </c>
      <c r="J97" s="2393">
        <f>년간!J18/(년간!J6+종합!P50+종합!AV50)</f>
        <v>0.9997635835175992</v>
      </c>
      <c r="K97" s="2393">
        <f>년간!K18/(년간!K6+종합!Q50+종합!AW50)</f>
        <v>1.0047346208947769</v>
      </c>
      <c r="L97" s="2393">
        <f>년간!L18/(년간!L6+종합!R50+종합!AX50)</f>
        <v>1.002594514455152</v>
      </c>
      <c r="M97" s="2393">
        <f>년간!M18/(년간!M6+종합!S50+종합!AY50)</f>
        <v>1.0008510072786203</v>
      </c>
      <c r="N97" s="2393">
        <f>년간!N18/(년간!N6+종합!T50+종합!AZ50)</f>
        <v>1.00080800946721</v>
      </c>
      <c r="O97" s="2393">
        <f>년간!O18/(년간!O6+종합!U50+종합!BA50)</f>
        <v>1.0026545546897851</v>
      </c>
      <c r="P97" s="2393">
        <f>년간!P18/(년간!P6+종합!V50+종합!BB50)</f>
        <v>0.99967140776362418</v>
      </c>
      <c r="Q97" s="2393">
        <f>년간!Q18/(년간!Q6+종합!W50+종합!BC50)</f>
        <v>1.0034903187563309</v>
      </c>
      <c r="R97" s="2393">
        <f>R18/(R6+종합!L50+종합!M50+종합!N50+종합!AR50+종합!AS50+종합!AT50)</f>
        <v>1.0018370791517246</v>
      </c>
      <c r="S97" s="2393">
        <f>S18/(S6+종합!L50+종합!M50+종합!N50+종합!O50+종합!P50+종합!AR50+종합!AS50+종합!AT50+종합!AU50+종합!AV50+종합!AW50)</f>
        <v>1.002555927675262</v>
      </c>
      <c r="T97" s="2393">
        <f>T18/(T6+종합!R50+종합!S50+종합!AX50+종합!AY50+종합!AZ50)</f>
        <v>378.80111369680856</v>
      </c>
      <c r="U97" s="2393">
        <f>U18/(U6+종합!R50+종합!S50+종합!T50+종합!U50+종합!V50+종합!W50+종합!AX50+종합!AY50+종합!AZ50+종합!BA50+종합!BB50+종합!BC50)</f>
        <v>1.0016837025571241</v>
      </c>
      <c r="V97" s="225">
        <f>V18/(V6+종합!X50+종합!BD50)</f>
        <v>1.0019420910863446</v>
      </c>
      <c r="W97" s="2390"/>
      <c r="X97" s="2391"/>
      <c r="Y97" s="2392"/>
    </row>
    <row r="98" spans="1:25">
      <c r="A98" s="7274" t="s">
        <v>1149</v>
      </c>
      <c r="B98" s="7274"/>
      <c r="C98" s="2389">
        <f>종합!I10/100</f>
        <v>0.99460676096937428</v>
      </c>
      <c r="D98" s="2389">
        <v>0.99633336586919141</v>
      </c>
      <c r="E98" s="2389">
        <f>종합!K10/100</f>
        <v>0.9961711344864157</v>
      </c>
      <c r="F98" s="2389">
        <f>년간!F19/(년간!F7+종합!L51)</f>
        <v>0.99598178930933923</v>
      </c>
      <c r="G98" s="2389">
        <f>년간!G19/(년간!G7+종합!M51)</f>
        <v>0.99598855008226539</v>
      </c>
      <c r="H98" s="2389">
        <f>년간!H19/(년간!H7+종합!N51)</f>
        <v>0.99604445024982668</v>
      </c>
      <c r="I98" s="2389">
        <f>년간!I19/(년간!I7+종합!O51)</f>
        <v>0.99559442002480869</v>
      </c>
      <c r="J98" s="2389">
        <f>년간!J19/(년간!J7+종합!P51)</f>
        <v>0.99524974045220815</v>
      </c>
      <c r="K98" s="2389">
        <f>년간!K19/(년간!K7+종합!Q51)</f>
        <v>0.99489444137993555</v>
      </c>
      <c r="L98" s="2389">
        <f>년간!L19/(년간!L7+종합!R51)</f>
        <v>0.99484219156365694</v>
      </c>
      <c r="M98" s="2389">
        <f>년간!M19/(년간!M7+종합!S51)</f>
        <v>0.99471903293349717</v>
      </c>
      <c r="N98" s="2389">
        <f>년간!N19/(년간!N7+종합!T51)</f>
        <v>0.99533257042370504</v>
      </c>
      <c r="O98" s="2389">
        <f>년간!O19/(년간!O7+종합!U51)</f>
        <v>0.99565487664079544</v>
      </c>
      <c r="P98" s="2389">
        <f>년간!P19/(년간!P7+종합!V51)</f>
        <v>1.0033560438985045</v>
      </c>
      <c r="Q98" s="2389">
        <f>년간!Q19/(년간!Q7+종합!W51)</f>
        <v>1.0026145603997041</v>
      </c>
      <c r="R98" s="2389">
        <f>R19/(R7+종합!L51+종합!M51+종합!N51)</f>
        <v>0.99600428963406384</v>
      </c>
      <c r="S98" s="2389">
        <f>S19/(S7+종합!L51+종합!M51+종합!N51+종합!O51+종합!P51+종합!Q51)</f>
        <v>0.99561920447095886</v>
      </c>
      <c r="T98" s="2389">
        <f>T19/(T7+종합!R51+종합!S51+종합!T51)</f>
        <v>10063.734390338561</v>
      </c>
      <c r="U98" s="2389">
        <f>U19/(U7+종합!R51+종합!S51+종합!T51+종합!U51+종합!V51+종합!W51)</f>
        <v>0.99576794330032958</v>
      </c>
      <c r="V98" s="2389">
        <f>V19/(V7+종합!X51)</f>
        <v>0.9956861949337682</v>
      </c>
      <c r="W98" s="2390"/>
      <c r="X98" s="2391"/>
      <c r="Y98" s="2392"/>
    </row>
    <row r="99" spans="1:25">
      <c r="A99" s="7272" t="s">
        <v>1046</v>
      </c>
      <c r="B99" s="217" t="s">
        <v>39</v>
      </c>
      <c r="C99" s="225">
        <f>(C14+C20)/C2</f>
        <v>0.97757867398196108</v>
      </c>
      <c r="D99" s="225"/>
      <c r="E99" s="225">
        <f>D99</f>
        <v>0</v>
      </c>
      <c r="F99" s="225">
        <f t="shared" ref="F99:V99" si="57">(F14+F20)/F2</f>
        <v>0.97803964795466247</v>
      </c>
      <c r="G99" s="225">
        <f t="shared" si="57"/>
        <v>0.97894259760051094</v>
      </c>
      <c r="H99" s="225">
        <f t="shared" si="57"/>
        <v>0.98038576880174066</v>
      </c>
      <c r="I99" s="225">
        <f t="shared" si="57"/>
        <v>0.98020622414048852</v>
      </c>
      <c r="J99" s="225">
        <f t="shared" si="57"/>
        <v>0.9778012323381331</v>
      </c>
      <c r="K99" s="225">
        <f t="shared" si="57"/>
        <v>0.97906406843466531</v>
      </c>
      <c r="L99" s="225">
        <f t="shared" si="57"/>
        <v>0.97883298559533849</v>
      </c>
      <c r="M99" s="225">
        <f t="shared" si="57"/>
        <v>0.9770005601788031</v>
      </c>
      <c r="N99" s="225">
        <f t="shared" si="57"/>
        <v>0.97903120660295517</v>
      </c>
      <c r="O99" s="225">
        <f t="shared" si="57"/>
        <v>0.97835967049888617</v>
      </c>
      <c r="P99" s="225">
        <f t="shared" si="57"/>
        <v>0.98270980179528888</v>
      </c>
      <c r="Q99" s="225" t="e">
        <f t="shared" si="57"/>
        <v>#DIV/0!</v>
      </c>
      <c r="R99" s="225">
        <f t="shared" si="57"/>
        <v>0.97907658620100646</v>
      </c>
      <c r="S99" s="225">
        <f t="shared" si="57"/>
        <v>0.97905411350707994</v>
      </c>
      <c r="T99" s="225" t="e">
        <f t="shared" si="57"/>
        <v>#DIV/0!</v>
      </c>
      <c r="U99" s="225">
        <f t="shared" si="57"/>
        <v>0.97835256875612553</v>
      </c>
      <c r="V99" s="225">
        <f t="shared" si="57"/>
        <v>0.97875051188378481</v>
      </c>
      <c r="W99" s="107" t="s">
        <v>137</v>
      </c>
      <c r="X99" s="113" t="s">
        <v>82</v>
      </c>
      <c r="Y99" s="494">
        <v>797000</v>
      </c>
    </row>
    <row r="100" spans="1:25">
      <c r="A100" s="7273"/>
      <c r="B100" s="217" t="s">
        <v>42</v>
      </c>
      <c r="C100" s="225">
        <f>(C15+C21)/C3</f>
        <v>0.99997129818603592</v>
      </c>
      <c r="D100" s="225"/>
      <c r="E100" s="225">
        <f>D100</f>
        <v>0</v>
      </c>
      <c r="F100" s="225">
        <f t="shared" ref="F100:V100" si="58">(F15+F21)/F3</f>
        <v>0.99983093687456581</v>
      </c>
      <c r="G100" s="225">
        <f t="shared" si="58"/>
        <v>0.99998076998460861</v>
      </c>
      <c r="H100" s="225">
        <f t="shared" si="58"/>
        <v>1</v>
      </c>
      <c r="I100" s="225">
        <f t="shared" si="58"/>
        <v>0.99992821422688238</v>
      </c>
      <c r="J100" s="225">
        <f t="shared" si="58"/>
        <v>0.9998265435587399</v>
      </c>
      <c r="K100" s="225">
        <f t="shared" si="58"/>
        <v>0.99992439620491735</v>
      </c>
      <c r="L100" s="225">
        <f t="shared" si="58"/>
        <v>0.99976278029232812</v>
      </c>
      <c r="M100" s="225">
        <f t="shared" si="58"/>
        <v>0.99999647396944957</v>
      </c>
      <c r="N100" s="225">
        <f t="shared" si="58"/>
        <v>0.99978793989265691</v>
      </c>
      <c r="O100" s="225">
        <f t="shared" si="58"/>
        <v>0.99901275410810841</v>
      </c>
      <c r="P100" s="225" t="e">
        <f t="shared" si="58"/>
        <v>#DIV/0!</v>
      </c>
      <c r="Q100" s="225" t="e">
        <f t="shared" si="58"/>
        <v>#DIV/0!</v>
      </c>
      <c r="R100" s="225">
        <f t="shared" si="58"/>
        <v>0.99993908703650325</v>
      </c>
      <c r="S100" s="225">
        <f t="shared" si="58"/>
        <v>0.99991597312000291</v>
      </c>
      <c r="T100" s="225" t="e">
        <f t="shared" si="58"/>
        <v>#DIV/0!</v>
      </c>
      <c r="U100" s="225">
        <f t="shared" si="58"/>
        <v>0.99963187555390798</v>
      </c>
      <c r="V100" s="225">
        <f t="shared" si="58"/>
        <v>0.99979160392470223</v>
      </c>
    </row>
    <row r="101" spans="1:25">
      <c r="A101" s="7273"/>
      <c r="B101" s="217" t="s">
        <v>43</v>
      </c>
      <c r="C101" s="225">
        <f>(C16+C22)/C4</f>
        <v>1.0030737269815957</v>
      </c>
      <c r="D101" s="225">
        <v>0.996</v>
      </c>
      <c r="E101" s="225">
        <f>D101</f>
        <v>0.996</v>
      </c>
      <c r="F101" s="225">
        <f t="shared" ref="F101:V101" si="59">(F16+F22)/F4</f>
        <v>1.007249566267876</v>
      </c>
      <c r="G101" s="225">
        <f t="shared" si="59"/>
        <v>1.0078018030924776</v>
      </c>
      <c r="H101" s="225">
        <f t="shared" si="59"/>
        <v>1.0035531617698576</v>
      </c>
      <c r="I101" s="225">
        <f t="shared" si="59"/>
        <v>1.0015607027380438</v>
      </c>
      <c r="J101" s="225">
        <f t="shared" si="59"/>
        <v>1.0058366462190773</v>
      </c>
      <c r="K101" s="225">
        <f t="shared" si="59"/>
        <v>1.0030150451233293</v>
      </c>
      <c r="L101" s="225">
        <f t="shared" si="59"/>
        <v>1.0037359154815011</v>
      </c>
      <c r="M101" s="225">
        <f t="shared" si="59"/>
        <v>1.0028818741878036</v>
      </c>
      <c r="N101" s="225">
        <f t="shared" si="59"/>
        <v>1.0032249771187052</v>
      </c>
      <c r="O101" s="225">
        <f t="shared" si="59"/>
        <v>1.0073710746880795</v>
      </c>
      <c r="P101" s="225">
        <f t="shared" si="59"/>
        <v>1.0095498387414261</v>
      </c>
      <c r="Q101" s="225" t="e">
        <f t="shared" si="59"/>
        <v>#DIV/0!</v>
      </c>
      <c r="R101" s="225">
        <f t="shared" si="59"/>
        <v>1.0061194010559886</v>
      </c>
      <c r="S101" s="225">
        <f t="shared" si="59"/>
        <v>1.004794677958792</v>
      </c>
      <c r="T101" s="225" t="e">
        <f t="shared" si="59"/>
        <v>#DIV/0!</v>
      </c>
      <c r="U101" s="225">
        <f t="shared" si="59"/>
        <v>1.0043170111421598</v>
      </c>
      <c r="V101" s="225">
        <f t="shared" si="59"/>
        <v>1.0045849657517931</v>
      </c>
    </row>
    <row r="102" spans="1:25">
      <c r="A102" s="7273"/>
      <c r="B102" s="217" t="s">
        <v>45</v>
      </c>
      <c r="C102" s="225">
        <f>(C17+C23)/C5</f>
        <v>1.0046471906956325</v>
      </c>
      <c r="D102" s="225">
        <v>1.0049999999999999</v>
      </c>
      <c r="E102" s="225">
        <f>D102</f>
        <v>1.0049999999999999</v>
      </c>
      <c r="F102" s="225">
        <f t="shared" ref="F102:V102" si="60">(F17+F23)/F5</f>
        <v>1.0037493002128435</v>
      </c>
      <c r="G102" s="225">
        <f t="shared" si="60"/>
        <v>1.0059754018150875</v>
      </c>
      <c r="H102" s="225">
        <f t="shared" si="60"/>
        <v>1.0059851938992839</v>
      </c>
      <c r="I102" s="225">
        <f t="shared" si="60"/>
        <v>1.0054915383810483</v>
      </c>
      <c r="J102" s="225">
        <f t="shared" si="60"/>
        <v>1.0055525557103346</v>
      </c>
      <c r="K102" s="225">
        <f t="shared" si="60"/>
        <v>1.005475832561715</v>
      </c>
      <c r="L102" s="225">
        <f t="shared" si="60"/>
        <v>1.0035459513523306</v>
      </c>
      <c r="M102" s="225">
        <f t="shared" si="60"/>
        <v>1.0062809428084944</v>
      </c>
      <c r="N102" s="225">
        <f t="shared" si="60"/>
        <v>1.0054621220361106</v>
      </c>
      <c r="O102" s="225">
        <f t="shared" si="60"/>
        <v>1.0052421868511336</v>
      </c>
      <c r="P102" s="225">
        <f t="shared" si="60"/>
        <v>1.0057913247965971</v>
      </c>
      <c r="Q102" s="225">
        <f t="shared" si="60"/>
        <v>1.0038063604026262</v>
      </c>
      <c r="R102" s="225">
        <f t="shared" si="60"/>
        <v>1.0051830776004971</v>
      </c>
      <c r="S102" s="225">
        <f t="shared" si="60"/>
        <v>1.0053458925305745</v>
      </c>
      <c r="T102" s="225" t="e">
        <f t="shared" si="60"/>
        <v>#DIV/0!</v>
      </c>
      <c r="U102" s="225">
        <f t="shared" si="60"/>
        <v>1.0049830114483442</v>
      </c>
      <c r="V102" s="225">
        <f t="shared" si="60"/>
        <v>1.0051615255347359</v>
      </c>
      <c r="W102" s="4">
        <f>248*D19</f>
        <v>257127144</v>
      </c>
    </row>
    <row r="103" spans="1:25">
      <c r="A103" s="7273"/>
      <c r="B103" s="217" t="s">
        <v>17</v>
      </c>
      <c r="C103" s="225">
        <f>(C18+C24)/C6</f>
        <v>1.0052310002314184</v>
      </c>
      <c r="D103" s="225">
        <v>1.0035000000000001</v>
      </c>
      <c r="E103" s="225">
        <f>D103</f>
        <v>1.0035000000000001</v>
      </c>
      <c r="F103" s="225">
        <f t="shared" ref="F103:V103" si="61">(F18+F24)/F6</f>
        <v>1.0064324495029737</v>
      </c>
      <c r="G103" s="225">
        <f t="shared" si="61"/>
        <v>1.0055620773661629</v>
      </c>
      <c r="H103" s="225">
        <f t="shared" si="61"/>
        <v>1.0051330258703166</v>
      </c>
      <c r="I103" s="225">
        <f t="shared" si="61"/>
        <v>1.005912059359612</v>
      </c>
      <c r="J103" s="225">
        <f t="shared" si="61"/>
        <v>1.0064365155025192</v>
      </c>
      <c r="K103" s="225">
        <f t="shared" si="61"/>
        <v>1.0068479594360766</v>
      </c>
      <c r="L103" s="225">
        <f t="shared" si="61"/>
        <v>1.0056333551561314</v>
      </c>
      <c r="M103" s="225">
        <f t="shared" si="61"/>
        <v>1.0054347530234748</v>
      </c>
      <c r="N103" s="225">
        <f t="shared" si="61"/>
        <v>1.0081294034576156</v>
      </c>
      <c r="O103" s="225">
        <f t="shared" si="61"/>
        <v>1.0066916800407053</v>
      </c>
      <c r="P103" s="225">
        <f t="shared" si="61"/>
        <v>1.0064326919831259</v>
      </c>
      <c r="Q103" s="225">
        <f t="shared" si="61"/>
        <v>1.0080577281429235</v>
      </c>
      <c r="R103" s="225">
        <f t="shared" si="61"/>
        <v>1.0057444382849261</v>
      </c>
      <c r="S103" s="225">
        <f t="shared" si="61"/>
        <v>1.0060727364299376</v>
      </c>
      <c r="T103" s="225" t="e">
        <f t="shared" si="61"/>
        <v>#DIV/0!</v>
      </c>
      <c r="U103" s="225">
        <f t="shared" si="61"/>
        <v>1.0066883917338212</v>
      </c>
      <c r="V103" s="225">
        <f t="shared" si="61"/>
        <v>1.0063759353359323</v>
      </c>
    </row>
    <row r="104" spans="1:25">
      <c r="A104" s="7274" t="s">
        <v>50</v>
      </c>
      <c r="B104" s="7274"/>
      <c r="C104" s="247">
        <f>C102*C101*C100*C99</f>
        <v>0.98511216705391147</v>
      </c>
      <c r="D104" s="247">
        <v>0</v>
      </c>
      <c r="E104" s="247">
        <f t="shared" ref="E104:P104" si="62">E102*E101*E100*E99</f>
        <v>0</v>
      </c>
      <c r="F104" s="247">
        <f t="shared" si="62"/>
        <v>0.98865638575432457</v>
      </c>
      <c r="G104" s="247">
        <f t="shared" si="62"/>
        <v>0.99245624227981877</v>
      </c>
      <c r="H104" s="247">
        <f t="shared" si="62"/>
        <v>0.98975788619634064</v>
      </c>
      <c r="I104" s="247">
        <f t="shared" si="62"/>
        <v>0.98705641409818812</v>
      </c>
      <c r="J104" s="247">
        <f t="shared" si="62"/>
        <v>0.98879775380420232</v>
      </c>
      <c r="K104" s="247">
        <f t="shared" si="62"/>
        <v>0.98731869523387117</v>
      </c>
      <c r="L104" s="247">
        <f t="shared" si="62"/>
        <v>0.98573979162709702</v>
      </c>
      <c r="M104" s="247">
        <f t="shared" si="62"/>
        <v>0.98596684553221925</v>
      </c>
      <c r="N104" s="247">
        <f t="shared" si="62"/>
        <v>0.98734397294042298</v>
      </c>
      <c r="O104" s="247">
        <f t="shared" si="62"/>
        <v>0.98975967945437449</v>
      </c>
      <c r="P104" s="247" t="e">
        <f t="shared" si="62"/>
        <v>#DIV/0!</v>
      </c>
      <c r="Q104" s="247" t="e">
        <f t="shared" ref="Q104:V104" si="63">Q102*Q101*Q100*Q99</f>
        <v>#DIV/0!</v>
      </c>
      <c r="R104" s="247">
        <f t="shared" si="63"/>
        <v>0.99011331770500988</v>
      </c>
      <c r="S104" s="247">
        <f t="shared" si="63"/>
        <v>0.9889242725055476</v>
      </c>
      <c r="T104" s="247" t="e">
        <f t="shared" si="63"/>
        <v>#DIV/0!</v>
      </c>
      <c r="U104" s="247">
        <f t="shared" si="63"/>
        <v>0.98710880309030613</v>
      </c>
      <c r="V104" s="247">
        <f t="shared" si="63"/>
        <v>0.9881070971969329</v>
      </c>
    </row>
    <row r="105" spans="1:25">
      <c r="A105" s="7272" t="s">
        <v>51</v>
      </c>
      <c r="B105" s="217" t="s">
        <v>39</v>
      </c>
      <c r="C105" s="225">
        <f t="shared" ref="C105:N105" si="64">C20/(C20+C14)</f>
        <v>8.2307880155454009E-5</v>
      </c>
      <c r="D105" s="225">
        <f>D20/(D20+D14)</f>
        <v>5.4232287734825805E-5</v>
      </c>
      <c r="E105" s="225">
        <f t="shared" si="64"/>
        <v>5.4232287734825805E-5</v>
      </c>
      <c r="F105" s="225">
        <f t="shared" si="64"/>
        <v>0</v>
      </c>
      <c r="G105" s="225">
        <f t="shared" si="64"/>
        <v>0</v>
      </c>
      <c r="H105" s="225">
        <f t="shared" si="64"/>
        <v>0</v>
      </c>
      <c r="I105" s="225">
        <f t="shared" si="64"/>
        <v>0</v>
      </c>
      <c r="J105" s="225">
        <f t="shared" si="64"/>
        <v>0</v>
      </c>
      <c r="K105" s="225">
        <f t="shared" si="64"/>
        <v>0</v>
      </c>
      <c r="L105" s="225">
        <f t="shared" si="64"/>
        <v>1.106888422563751E-4</v>
      </c>
      <c r="M105" s="225">
        <f t="shared" si="64"/>
        <v>1.7499874788395889E-4</v>
      </c>
      <c r="N105" s="225">
        <f t="shared" si="64"/>
        <v>0</v>
      </c>
      <c r="O105" s="225">
        <f t="shared" ref="O105:U109" si="65">O20/(O20+O14)</f>
        <v>0</v>
      </c>
      <c r="P105" s="225">
        <f t="shared" si="65"/>
        <v>0</v>
      </c>
      <c r="Q105" s="225" t="e">
        <f t="shared" si="65"/>
        <v>#DIV/0!</v>
      </c>
      <c r="R105" s="225">
        <f t="shared" si="65"/>
        <v>0</v>
      </c>
      <c r="S105" s="225">
        <f t="shared" si="65"/>
        <v>0</v>
      </c>
      <c r="T105" s="225">
        <f t="shared" si="65"/>
        <v>9.4827221435570867E-5</v>
      </c>
      <c r="U105" s="225">
        <f t="shared" si="65"/>
        <v>7.0487889848188859E-5</v>
      </c>
      <c r="V105" s="223">
        <f>V20*1000/V14</f>
        <v>3.0492978636686621E-2</v>
      </c>
    </row>
    <row r="106" spans="1:25">
      <c r="A106" s="7273"/>
      <c r="B106" s="217" t="s">
        <v>42</v>
      </c>
      <c r="C106" s="225">
        <f>C21/(C21+C15)</f>
        <v>1.0116390777427927E-4</v>
      </c>
      <c r="D106" s="225">
        <f>D21/(D21+D15)</f>
        <v>1.5019299800243312E-5</v>
      </c>
      <c r="E106" s="225">
        <f>E21/(E21+E15)</f>
        <v>1.5019299800243312E-5</v>
      </c>
      <c r="F106" s="225">
        <f t="shared" ref="F106:N106" si="66">F21/(F21+F15)</f>
        <v>0</v>
      </c>
      <c r="G106" s="225">
        <f t="shared" si="66"/>
        <v>0</v>
      </c>
      <c r="H106" s="225">
        <f t="shared" si="66"/>
        <v>0</v>
      </c>
      <c r="I106" s="225">
        <f t="shared" si="66"/>
        <v>0</v>
      </c>
      <c r="J106" s="225">
        <f t="shared" si="66"/>
        <v>0</v>
      </c>
      <c r="K106" s="225">
        <f t="shared" si="66"/>
        <v>0</v>
      </c>
      <c r="L106" s="225">
        <f t="shared" si="66"/>
        <v>0</v>
      </c>
      <c r="M106" s="225">
        <f t="shared" si="66"/>
        <v>0</v>
      </c>
      <c r="N106" s="225">
        <f t="shared" si="66"/>
        <v>0</v>
      </c>
      <c r="O106" s="225">
        <f t="shared" si="65"/>
        <v>0</v>
      </c>
      <c r="P106" s="225" t="e">
        <f t="shared" si="65"/>
        <v>#DIV/0!</v>
      </c>
      <c r="Q106" s="225" t="e">
        <f t="shared" si="65"/>
        <v>#DIV/0!</v>
      </c>
      <c r="R106" s="225">
        <f t="shared" si="65"/>
        <v>0</v>
      </c>
      <c r="S106" s="225">
        <f t="shared" si="65"/>
        <v>0</v>
      </c>
      <c r="T106" s="225">
        <f t="shared" si="65"/>
        <v>0</v>
      </c>
      <c r="U106" s="225">
        <f t="shared" si="65"/>
        <v>0</v>
      </c>
      <c r="V106" s="223">
        <f>V21*1000/V15</f>
        <v>0</v>
      </c>
    </row>
    <row r="107" spans="1:25">
      <c r="A107" s="7273"/>
      <c r="B107" s="217" t="s">
        <v>43</v>
      </c>
      <c r="C107" s="225">
        <f>C22/(C22+C16)</f>
        <v>1.2440796276720794E-3</v>
      </c>
      <c r="D107" s="225">
        <f>D22/(D22+D16)</f>
        <v>6.5806310093956787E-4</v>
      </c>
      <c r="E107" s="225">
        <f>E22/(E22+E16)</f>
        <v>6.5806310093956787E-4</v>
      </c>
      <c r="F107" s="225">
        <f t="shared" ref="F107:N107" si="67">F22/(F22+F16)</f>
        <v>1.9564930912348302E-4</v>
      </c>
      <c r="G107" s="225">
        <f t="shared" si="67"/>
        <v>1.6798770148065561E-3</v>
      </c>
      <c r="H107" s="225">
        <f t="shared" si="67"/>
        <v>8.3891059716025614E-4</v>
      </c>
      <c r="I107" s="225">
        <f t="shared" si="67"/>
        <v>0</v>
      </c>
      <c r="J107" s="225">
        <f t="shared" si="67"/>
        <v>1.1682709020761027E-3</v>
      </c>
      <c r="K107" s="225">
        <f t="shared" si="67"/>
        <v>1.6230381786118302E-3</v>
      </c>
      <c r="L107" s="225">
        <f t="shared" si="67"/>
        <v>1.2269473291123322E-3</v>
      </c>
      <c r="M107" s="225">
        <f t="shared" si="67"/>
        <v>2.6937566510005666E-4</v>
      </c>
      <c r="N107" s="225">
        <f t="shared" si="67"/>
        <v>0</v>
      </c>
      <c r="O107" s="225">
        <f t="shared" si="65"/>
        <v>8.8980168191262171E-4</v>
      </c>
      <c r="P107" s="225">
        <f t="shared" si="65"/>
        <v>0</v>
      </c>
      <c r="Q107" s="225" t="e">
        <f t="shared" si="65"/>
        <v>#DIV/0!</v>
      </c>
      <c r="R107" s="225">
        <f t="shared" si="65"/>
        <v>9.0172909404867996E-4</v>
      </c>
      <c r="S107" s="225">
        <f t="shared" si="65"/>
        <v>9.1408618233048571E-4</v>
      </c>
      <c r="T107" s="225">
        <f t="shared" si="65"/>
        <v>5.1590230140009644E-4</v>
      </c>
      <c r="U107" s="225">
        <f t="shared" si="65"/>
        <v>5.9739900395465602E-4</v>
      </c>
      <c r="V107" s="223">
        <f>V22*1000/V16</f>
        <v>0.77568789945067962</v>
      </c>
    </row>
    <row r="108" spans="1:25">
      <c r="A108" s="7273"/>
      <c r="B108" s="217" t="s">
        <v>45</v>
      </c>
      <c r="C108" s="225">
        <f t="shared" ref="C108:N108" si="68">C23/(C23+C17)</f>
        <v>5.537635134632979E-4</v>
      </c>
      <c r="D108" s="225">
        <f t="shared" si="68"/>
        <v>3.5846576651929739E-4</v>
      </c>
      <c r="E108" s="225">
        <f t="shared" si="68"/>
        <v>3.5846576651929739E-4</v>
      </c>
      <c r="F108" s="225">
        <f t="shared" si="68"/>
        <v>1.3270809832940922E-4</v>
      </c>
      <c r="G108" s="225">
        <f t="shared" si="68"/>
        <v>1.4812957919804924E-4</v>
      </c>
      <c r="H108" s="225">
        <f t="shared" si="68"/>
        <v>3.5040017805742954E-4</v>
      </c>
      <c r="I108" s="225">
        <f t="shared" si="68"/>
        <v>3.8201299929021518E-4</v>
      </c>
      <c r="J108" s="225">
        <f t="shared" si="68"/>
        <v>3.5841562255369469E-4</v>
      </c>
      <c r="K108" s="225">
        <f t="shared" si="68"/>
        <v>2.5529441626232792E-4</v>
      </c>
      <c r="L108" s="225">
        <f t="shared" si="68"/>
        <v>3.0547551580536959E-4</v>
      </c>
      <c r="M108" s="225">
        <f t="shared" si="68"/>
        <v>3.8904644956854509E-4</v>
      </c>
      <c r="N108" s="225">
        <f t="shared" si="68"/>
        <v>0</v>
      </c>
      <c r="O108" s="225">
        <f t="shared" si="65"/>
        <v>1.6714966566401301E-4</v>
      </c>
      <c r="P108" s="225">
        <f t="shared" si="65"/>
        <v>3.8852349776561344E-4</v>
      </c>
      <c r="Q108" s="225">
        <f t="shared" si="65"/>
        <v>9.635204827079662E-4</v>
      </c>
      <c r="R108" s="225">
        <f t="shared" si="65"/>
        <v>2.1263682151416156E-4</v>
      </c>
      <c r="S108" s="225">
        <f t="shared" si="65"/>
        <v>2.7205183869136201E-4</v>
      </c>
      <c r="T108" s="225">
        <f t="shared" si="65"/>
        <v>2.3290092300883294E-4</v>
      </c>
      <c r="U108" s="225">
        <f t="shared" si="65"/>
        <v>3.6304490142338074E-4</v>
      </c>
      <c r="V108" s="223">
        <f>V23*1000/V17</f>
        <v>0.31837530385422969</v>
      </c>
    </row>
    <row r="109" spans="1:25">
      <c r="A109" s="7273"/>
      <c r="B109" s="217" t="s">
        <v>17</v>
      </c>
      <c r="C109" s="225">
        <f t="shared" ref="C109:N109" si="69">C24/(C24+C18)</f>
        <v>1.3936865997033442E-3</v>
      </c>
      <c r="D109" s="225">
        <f t="shared" si="69"/>
        <v>1.2006603631997599E-3</v>
      </c>
      <c r="E109" s="225">
        <f t="shared" si="69"/>
        <v>1.2006603631997599E-3</v>
      </c>
      <c r="F109" s="225">
        <f t="shared" si="69"/>
        <v>4.4493579518186993E-4</v>
      </c>
      <c r="G109" s="225">
        <f t="shared" si="69"/>
        <v>0</v>
      </c>
      <c r="H109" s="225">
        <f t="shared" si="69"/>
        <v>1.5880159627649426E-3</v>
      </c>
      <c r="I109" s="225">
        <f t="shared" si="69"/>
        <v>0</v>
      </c>
      <c r="J109" s="225">
        <f t="shared" si="69"/>
        <v>1.2156576707999028E-3</v>
      </c>
      <c r="K109" s="225">
        <f t="shared" si="69"/>
        <v>0</v>
      </c>
      <c r="L109" s="225">
        <f t="shared" si="69"/>
        <v>3.9607862060091355E-4</v>
      </c>
      <c r="M109" s="225">
        <f t="shared" si="69"/>
        <v>1.8170241519110157E-3</v>
      </c>
      <c r="N109" s="225">
        <f t="shared" si="69"/>
        <v>1.6272122584949872E-3</v>
      </c>
      <c r="O109" s="225">
        <f t="shared" si="65"/>
        <v>5.0588543501630583E-4</v>
      </c>
      <c r="P109" s="225">
        <f t="shared" si="65"/>
        <v>3.0041214076572173E-4</v>
      </c>
      <c r="Q109" s="225">
        <f t="shared" si="65"/>
        <v>5.4879447432563662E-4</v>
      </c>
      <c r="R109" s="225">
        <f t="shared" si="65"/>
        <v>6.1380078432530518E-4</v>
      </c>
      <c r="S109" s="225">
        <f t="shared" si="65"/>
        <v>4.8753987868968112E-4</v>
      </c>
      <c r="T109" s="225">
        <f t="shared" si="65"/>
        <v>1.2439523499779223E-3</v>
      </c>
      <c r="U109" s="225">
        <f t="shared" si="65"/>
        <v>8.4253175547044227E-4</v>
      </c>
      <c r="V109" s="223">
        <f>V24*1000/V18</f>
        <v>0.6628602166901999</v>
      </c>
    </row>
    <row r="110" spans="1:25">
      <c r="A110" s="7274" t="s">
        <v>199</v>
      </c>
      <c r="B110" s="7274"/>
      <c r="C110" s="247">
        <f>(C105+C106+C107+C108+C109)/5</f>
        <v>6.7500030575369096E-4</v>
      </c>
      <c r="D110" s="247">
        <f t="shared" ref="D110:R110" si="70">(D105+D106+D107+D108+D109)/5</f>
        <v>4.5728816363873882E-4</v>
      </c>
      <c r="E110" s="247">
        <f t="shared" si="70"/>
        <v>4.5728816363873882E-4</v>
      </c>
      <c r="F110" s="247">
        <f t="shared" si="70"/>
        <v>1.5465864052695242E-4</v>
      </c>
      <c r="G110" s="247">
        <f t="shared" si="70"/>
        <v>3.6560131880092106E-4</v>
      </c>
      <c r="H110" s="247">
        <f t="shared" si="70"/>
        <v>5.5546534759652567E-4</v>
      </c>
      <c r="I110" s="247">
        <f t="shared" si="70"/>
        <v>7.640259985804303E-5</v>
      </c>
      <c r="J110" s="247">
        <f t="shared" si="70"/>
        <v>5.4846883908594003E-4</v>
      </c>
      <c r="K110" s="247">
        <f t="shared" si="70"/>
        <v>3.7566651897483162E-4</v>
      </c>
      <c r="L110" s="247">
        <f t="shared" si="70"/>
        <v>4.0783806155499802E-4</v>
      </c>
      <c r="M110" s="247">
        <f t="shared" si="70"/>
        <v>5.3008900289271534E-4</v>
      </c>
      <c r="N110" s="247">
        <f t="shared" si="70"/>
        <v>3.2544245169899744E-4</v>
      </c>
      <c r="O110" s="247">
        <f t="shared" si="70"/>
        <v>3.1256735651858812E-4</v>
      </c>
      <c r="P110" s="247" t="e">
        <f t="shared" si="70"/>
        <v>#DIV/0!</v>
      </c>
      <c r="Q110" s="247" t="e">
        <f t="shared" si="70"/>
        <v>#DIV/0!</v>
      </c>
      <c r="R110" s="247">
        <f t="shared" si="70"/>
        <v>3.4563333997762936E-4</v>
      </c>
      <c r="S110" s="247">
        <f>S25/(S19+S25)</f>
        <v>3.0347457766945662E-4</v>
      </c>
      <c r="T110" s="247">
        <f>T25/(T19+T25)</f>
        <v>9.1150984301621837E-5</v>
      </c>
      <c r="U110" s="247">
        <f>U25/(U19+U25)</f>
        <v>2.8257338918512162E-4</v>
      </c>
      <c r="V110" s="247">
        <f>V25/(V19+V25)</f>
        <v>2.9406022928037817E-4</v>
      </c>
      <c r="W110" s="74">
        <f>0.0006</f>
        <v>5.9999999999999995E-4</v>
      </c>
    </row>
    <row r="111" spans="1:25">
      <c r="A111" s="7273" t="s">
        <v>52</v>
      </c>
      <c r="B111" s="217" t="s">
        <v>39</v>
      </c>
      <c r="C111" s="225">
        <f>C31/C26</f>
        <v>0.99351749184463833</v>
      </c>
      <c r="D111" s="239">
        <v>0.995</v>
      </c>
      <c r="E111" s="225">
        <f>D111</f>
        <v>0.995</v>
      </c>
      <c r="F111" s="225">
        <f t="shared" ref="F111:V111" si="71">F31/F26</f>
        <v>0.97512156507972403</v>
      </c>
      <c r="G111" s="225">
        <f t="shared" si="71"/>
        <v>0.98431441663729291</v>
      </c>
      <c r="H111" s="225">
        <f t="shared" si="71"/>
        <v>1</v>
      </c>
      <c r="I111" s="225">
        <f t="shared" si="71"/>
        <v>0.99478748997594224</v>
      </c>
      <c r="J111" s="225">
        <f t="shared" si="71"/>
        <v>0.99661781285231121</v>
      </c>
      <c r="K111" s="225">
        <f t="shared" si="71"/>
        <v>0.99699248120300754</v>
      </c>
      <c r="L111" s="225">
        <f t="shared" si="71"/>
        <v>1</v>
      </c>
      <c r="M111" s="225">
        <f t="shared" si="71"/>
        <v>0.978494623655914</v>
      </c>
      <c r="N111" s="225">
        <f t="shared" si="71"/>
        <v>0.98891198891198895</v>
      </c>
      <c r="O111" s="225">
        <f t="shared" si="71"/>
        <v>0.99602689486552565</v>
      </c>
      <c r="P111" s="225">
        <f t="shared" si="71"/>
        <v>1</v>
      </c>
      <c r="Q111" s="225" t="e">
        <f t="shared" si="71"/>
        <v>#DIV/0!</v>
      </c>
      <c r="R111" s="225">
        <f t="shared" si="71"/>
        <v>0.99122068848471134</v>
      </c>
      <c r="S111" s="239">
        <f t="shared" si="71"/>
        <v>0.99122068848471134</v>
      </c>
      <c r="T111" s="225">
        <f t="shared" si="71"/>
        <v>0.98956541044569013</v>
      </c>
      <c r="U111" s="225">
        <f t="shared" si="71"/>
        <v>0.99132725430597768</v>
      </c>
      <c r="V111" s="225">
        <f t="shared" si="71"/>
        <v>0.99122068848471134</v>
      </c>
      <c r="W111" s="3">
        <f>W110*V13</f>
        <v>615.09847979999995</v>
      </c>
    </row>
    <row r="112" spans="1:25">
      <c r="A112" s="7273"/>
      <c r="B112" s="217" t="s">
        <v>42</v>
      </c>
      <c r="C112" s="225">
        <f>C32/C27</f>
        <v>0.94939227872516307</v>
      </c>
      <c r="D112" s="239">
        <v>0.95120000000000005</v>
      </c>
      <c r="E112" s="225">
        <f>D112</f>
        <v>0.95120000000000005</v>
      </c>
      <c r="F112" s="225">
        <f t="shared" ref="F112:V112" si="72">F32/F27</f>
        <v>0.93196316897646203</v>
      </c>
      <c r="G112" s="225">
        <f t="shared" si="72"/>
        <v>0.94152915440084262</v>
      </c>
      <c r="H112" s="225">
        <f t="shared" si="72"/>
        <v>0.95671204549371014</v>
      </c>
      <c r="I112" s="225">
        <f t="shared" si="72"/>
        <v>0.9599703254922568</v>
      </c>
      <c r="J112" s="225">
        <f t="shared" si="72"/>
        <v>0.95710014947683109</v>
      </c>
      <c r="K112" s="225">
        <f t="shared" si="72"/>
        <v>0.93412816691505218</v>
      </c>
      <c r="L112" s="225">
        <f t="shared" si="72"/>
        <v>0.94454934709183269</v>
      </c>
      <c r="M112" s="225">
        <f t="shared" si="72"/>
        <v>0.93382565884737911</v>
      </c>
      <c r="N112" s="225">
        <f t="shared" si="72"/>
        <v>0.9414985139996872</v>
      </c>
      <c r="O112" s="225">
        <f t="shared" si="72"/>
        <v>0.94057279832205554</v>
      </c>
      <c r="P112" s="225" t="e">
        <f t="shared" si="72"/>
        <v>#DIV/0!</v>
      </c>
      <c r="Q112" s="225" t="e">
        <f t="shared" si="72"/>
        <v>#DIV/0!</v>
      </c>
      <c r="R112" s="225">
        <f t="shared" si="72"/>
        <v>0.94391242064805669</v>
      </c>
      <c r="S112" s="239">
        <f t="shared" si="72"/>
        <v>0.94391242064805669</v>
      </c>
      <c r="T112" s="225">
        <f t="shared" si="72"/>
        <v>0.94005533353827231</v>
      </c>
      <c r="U112" s="225">
        <f t="shared" si="72"/>
        <v>0.94019910506781368</v>
      </c>
      <c r="V112" s="225">
        <f t="shared" si="72"/>
        <v>0.94391242064805669</v>
      </c>
      <c r="W112" s="4">
        <v>0.27</v>
      </c>
    </row>
    <row r="113" spans="1:26">
      <c r="A113" s="7273"/>
      <c r="B113" s="217" t="s">
        <v>43</v>
      </c>
      <c r="C113" s="225">
        <f>C33/C28</f>
        <v>0.98320217917675545</v>
      </c>
      <c r="D113" s="239">
        <v>0.99399999999999999</v>
      </c>
      <c r="E113" s="225">
        <f>D113</f>
        <v>0.99399999999999999</v>
      </c>
      <c r="F113" s="225">
        <f t="shared" ref="F113:V113" si="73">F33/F28</f>
        <v>1</v>
      </c>
      <c r="G113" s="225">
        <f t="shared" si="73"/>
        <v>0.99447030683367199</v>
      </c>
      <c r="H113" s="225">
        <f t="shared" si="73"/>
        <v>0.9985955056179775</v>
      </c>
      <c r="I113" s="225">
        <f t="shared" si="73"/>
        <v>1</v>
      </c>
      <c r="J113" s="225">
        <f t="shared" si="73"/>
        <v>0.99062268651805541</v>
      </c>
      <c r="K113" s="225">
        <f t="shared" si="73"/>
        <v>0.9942574786324786</v>
      </c>
      <c r="L113" s="225">
        <f t="shared" si="73"/>
        <v>0.99966397849462363</v>
      </c>
      <c r="M113" s="225">
        <f t="shared" si="73"/>
        <v>0.98151623193844995</v>
      </c>
      <c r="N113" s="225">
        <f t="shared" si="73"/>
        <v>0.99973226889938183</v>
      </c>
      <c r="O113" s="225">
        <f t="shared" si="73"/>
        <v>0.99798387096774188</v>
      </c>
      <c r="P113" s="225">
        <f t="shared" si="73"/>
        <v>1</v>
      </c>
      <c r="Q113" s="225" t="e">
        <f t="shared" si="73"/>
        <v>#DIV/0!</v>
      </c>
      <c r="R113" s="225">
        <f t="shared" si="73"/>
        <v>0.99570661542304428</v>
      </c>
      <c r="S113" s="239">
        <f t="shared" si="73"/>
        <v>0.99570661542304428</v>
      </c>
      <c r="T113" s="225">
        <f>T33/T28</f>
        <v>0.99365836176942612</v>
      </c>
      <c r="U113" s="225">
        <f t="shared" si="73"/>
        <v>0.99486474511185086</v>
      </c>
      <c r="V113" s="225">
        <f t="shared" si="73"/>
        <v>0.99570661542304428</v>
      </c>
      <c r="W113" s="261">
        <f>C110-W112/100</f>
        <v>-2.0249996942463093E-3</v>
      </c>
    </row>
    <row r="114" spans="1:26">
      <c r="A114" s="7273"/>
      <c r="B114" s="217" t="s">
        <v>45</v>
      </c>
      <c r="C114" s="225">
        <f>C34/C29</f>
        <v>0.85941544812145809</v>
      </c>
      <c r="D114" s="239">
        <v>0.89</v>
      </c>
      <c r="E114" s="225">
        <f>D114</f>
        <v>0.89</v>
      </c>
      <c r="F114" s="225">
        <f t="shared" ref="F114:V114" si="74">F34/F29</f>
        <v>0.8883469648082839</v>
      </c>
      <c r="G114" s="225">
        <f t="shared" si="74"/>
        <v>0.86240938707584691</v>
      </c>
      <c r="H114" s="225">
        <f t="shared" si="74"/>
        <v>0.87226529311809686</v>
      </c>
      <c r="I114" s="225">
        <f t="shared" si="74"/>
        <v>0.87676321600207818</v>
      </c>
      <c r="J114" s="225">
        <f t="shared" si="74"/>
        <v>0.88782242063492067</v>
      </c>
      <c r="K114" s="225">
        <f t="shared" si="74"/>
        <v>0.88181096490172961</v>
      </c>
      <c r="L114" s="225">
        <f t="shared" si="74"/>
        <v>0.87105734767025089</v>
      </c>
      <c r="M114" s="225">
        <f t="shared" si="74"/>
        <v>0.84986897274633122</v>
      </c>
      <c r="N114" s="225">
        <f t="shared" si="74"/>
        <v>0.85191672505254734</v>
      </c>
      <c r="O114" s="225">
        <f t="shared" si="74"/>
        <v>0.87896608963718281</v>
      </c>
      <c r="P114" s="225">
        <f t="shared" si="74"/>
        <v>0.86749540895606725</v>
      </c>
      <c r="Q114" s="225">
        <f t="shared" si="74"/>
        <v>0.833545347467609</v>
      </c>
      <c r="R114" s="225">
        <f t="shared" si="74"/>
        <v>0.86855215790127027</v>
      </c>
      <c r="S114" s="239">
        <f t="shared" si="74"/>
        <v>0.86855215790127027</v>
      </c>
      <c r="T114" s="225">
        <f t="shared" si="74"/>
        <v>0.85824020071030593</v>
      </c>
      <c r="U114" s="225">
        <f t="shared" si="74"/>
        <v>0.85911597787543326</v>
      </c>
      <c r="V114" s="225">
        <f t="shared" si="74"/>
        <v>0.86855215790127027</v>
      </c>
      <c r="W114" s="3">
        <f>W113*D19*C217</f>
        <v>-1814721381.6451561</v>
      </c>
    </row>
    <row r="115" spans="1:26">
      <c r="A115" s="7273"/>
      <c r="B115" s="217" t="s">
        <v>17</v>
      </c>
      <c r="C115" s="225">
        <f>C35/C30</f>
        <v>0.74245931529902731</v>
      </c>
      <c r="D115" s="239">
        <v>0.745</v>
      </c>
      <c r="E115" s="225">
        <f>D115</f>
        <v>0.745</v>
      </c>
      <c r="F115" s="225">
        <f t="shared" ref="F115:V115" si="75">F35/F30</f>
        <v>0.78051848745714214</v>
      </c>
      <c r="G115" s="225">
        <f t="shared" si="75"/>
        <v>0.7886187354730877</v>
      </c>
      <c r="H115" s="225">
        <f t="shared" si="75"/>
        <v>0.74061533072566987</v>
      </c>
      <c r="I115" s="225">
        <f t="shared" si="75"/>
        <v>0.7537742438080911</v>
      </c>
      <c r="J115" s="225">
        <f t="shared" si="75"/>
        <v>0.75403832505322921</v>
      </c>
      <c r="K115" s="225">
        <f t="shared" si="75"/>
        <v>0.77793282648445772</v>
      </c>
      <c r="L115" s="225">
        <f t="shared" si="75"/>
        <v>0.77105125196594848</v>
      </c>
      <c r="M115" s="225">
        <f t="shared" si="75"/>
        <v>0.75390437459402981</v>
      </c>
      <c r="N115" s="225">
        <f t="shared" si="75"/>
        <v>0.73684350910885277</v>
      </c>
      <c r="O115" s="225">
        <f t="shared" si="75"/>
        <v>0.74214876033057853</v>
      </c>
      <c r="P115" s="225">
        <f t="shared" si="75"/>
        <v>0.76681127982646424</v>
      </c>
      <c r="Q115" s="225">
        <f t="shared" si="75"/>
        <v>0.76204704082608277</v>
      </c>
      <c r="R115" s="225">
        <f t="shared" si="75"/>
        <v>0.76120492198532708</v>
      </c>
      <c r="S115" s="239">
        <f t="shared" si="75"/>
        <v>0.76120492198532708</v>
      </c>
      <c r="T115" s="225">
        <f t="shared" si="75"/>
        <v>0.75432244128296611</v>
      </c>
      <c r="U115" s="225">
        <f t="shared" si="75"/>
        <v>0.75575660319345639</v>
      </c>
      <c r="V115" s="225">
        <f t="shared" si="75"/>
        <v>0.76120492198532708</v>
      </c>
    </row>
    <row r="116" spans="1:26">
      <c r="A116" s="7274" t="s">
        <v>53</v>
      </c>
      <c r="B116" s="7274"/>
      <c r="C116" s="247">
        <f>(C111+C112+C113+C114+C115)/5</f>
        <v>0.90559734263340841</v>
      </c>
      <c r="D116" s="247">
        <f>(D111+D112+D113+D114+D115)/5</f>
        <v>0.91503999999999996</v>
      </c>
      <c r="E116" s="247">
        <f>(E111+E112+E113+E114+E115)/5</f>
        <v>0.91503999999999996</v>
      </c>
      <c r="F116" s="247">
        <f>(F111+F112+F113+F114+F115)/5</f>
        <v>0.91519003726432246</v>
      </c>
      <c r="G116" s="247">
        <f t="shared" ref="G116:V116" si="76">(G111+G112+G113+G114+G115)/5</f>
        <v>0.91426840008414845</v>
      </c>
      <c r="H116" s="247">
        <f t="shared" si="76"/>
        <v>0.91363763499109096</v>
      </c>
      <c r="I116" s="247">
        <f t="shared" si="76"/>
        <v>0.91705905505567364</v>
      </c>
      <c r="J116" s="247">
        <f t="shared" si="76"/>
        <v>0.9172402789070695</v>
      </c>
      <c r="K116" s="247">
        <f t="shared" si="76"/>
        <v>0.91702438362734517</v>
      </c>
      <c r="L116" s="247">
        <f t="shared" si="76"/>
        <v>0.91726438504453112</v>
      </c>
      <c r="M116" s="247">
        <f t="shared" si="76"/>
        <v>0.89952197235642084</v>
      </c>
      <c r="N116" s="247">
        <f t="shared" si="76"/>
        <v>0.90378060119449155</v>
      </c>
      <c r="O116" s="247">
        <f t="shared" si="76"/>
        <v>0.91113968282461699</v>
      </c>
      <c r="P116" s="247" t="e">
        <f t="shared" si="76"/>
        <v>#DIV/0!</v>
      </c>
      <c r="Q116" s="247" t="e">
        <f t="shared" si="76"/>
        <v>#DIV/0!</v>
      </c>
      <c r="R116" s="247">
        <f t="shared" si="76"/>
        <v>0.912119360888482</v>
      </c>
      <c r="S116" s="247">
        <f t="shared" si="76"/>
        <v>0.912119360888482</v>
      </c>
      <c r="T116" s="247">
        <f t="shared" si="76"/>
        <v>0.90716834954933212</v>
      </c>
      <c r="U116" s="247">
        <f>(U111+U112+U113+U114+U115)/5</f>
        <v>0.90825273711090626</v>
      </c>
      <c r="V116" s="247">
        <f t="shared" si="76"/>
        <v>0.912119360888482</v>
      </c>
      <c r="W116" s="6">
        <v>0.99299297141132337</v>
      </c>
    </row>
    <row r="117" spans="1:26">
      <c r="A117" s="7273" t="s">
        <v>40</v>
      </c>
      <c r="B117" s="217" t="s">
        <v>39</v>
      </c>
      <c r="C117" s="240">
        <f>(C8/C31*60)</f>
        <v>58.694362011852682</v>
      </c>
      <c r="D117" s="3076">
        <v>60</v>
      </c>
      <c r="E117" s="240">
        <f t="shared" ref="E117:E123" si="77">D117</f>
        <v>60</v>
      </c>
      <c r="F117" s="232">
        <f t="shared" ref="F117:R117" si="78">F65</f>
        <v>60.874104140090452</v>
      </c>
      <c r="G117" s="232">
        <f t="shared" si="78"/>
        <v>62.159699194270374</v>
      </c>
      <c r="H117" s="232">
        <f t="shared" si="78"/>
        <v>60.15957877000843</v>
      </c>
      <c r="I117" s="232">
        <f t="shared" si="78"/>
        <v>62.721523579201929</v>
      </c>
      <c r="J117" s="232">
        <f t="shared" si="78"/>
        <v>57.555791855203616</v>
      </c>
      <c r="K117" s="232">
        <f t="shared" si="78"/>
        <v>60.661661867544225</v>
      </c>
      <c r="L117" s="232">
        <f t="shared" si="78"/>
        <v>60.070862787467199</v>
      </c>
      <c r="M117" s="232">
        <f t="shared" si="78"/>
        <v>60.769159163417235</v>
      </c>
      <c r="N117" s="232">
        <f t="shared" si="78"/>
        <v>62.188318149964957</v>
      </c>
      <c r="O117" s="232">
        <f t="shared" si="78"/>
        <v>56.385312058913776</v>
      </c>
      <c r="P117" s="232">
        <f t="shared" si="78"/>
        <v>68.682105263157894</v>
      </c>
      <c r="Q117" s="232" t="e">
        <f t="shared" si="78"/>
        <v>#DIV/0!</v>
      </c>
      <c r="R117" s="232">
        <f t="shared" si="78"/>
        <v>17.188587315790919</v>
      </c>
      <c r="S117" s="241">
        <f>S63</f>
        <v>34.211452481085537</v>
      </c>
      <c r="T117" s="232">
        <f>T65</f>
        <v>61.009446700283128</v>
      </c>
      <c r="U117" s="232" t="e">
        <f>U65</f>
        <v>#DIV/0!</v>
      </c>
      <c r="V117" s="232">
        <f>V63</f>
        <v>60.293596370134942</v>
      </c>
      <c r="W117" s="6">
        <v>39.557155264129236</v>
      </c>
    </row>
    <row r="118" spans="1:26">
      <c r="A118" s="7273"/>
      <c r="B118" s="217" t="s">
        <v>42</v>
      </c>
      <c r="C118" s="240">
        <f>(C15+C21)/C32*60</f>
        <v>46.906486455981941</v>
      </c>
      <c r="D118" s="3076">
        <v>48</v>
      </c>
      <c r="E118" s="240">
        <f t="shared" si="77"/>
        <v>48</v>
      </c>
      <c r="F118" s="232">
        <f t="shared" ref="F118:R118" si="79">F70</f>
        <v>45.826335311572706</v>
      </c>
      <c r="G118" s="232">
        <f t="shared" si="79"/>
        <v>46.538706901497335</v>
      </c>
      <c r="H118" s="232">
        <f t="shared" si="79"/>
        <v>46.942721279585001</v>
      </c>
      <c r="I118" s="232">
        <f t="shared" si="79"/>
        <v>51.131646058732613</v>
      </c>
      <c r="J118" s="232">
        <f t="shared" si="79"/>
        <v>46.019465875370919</v>
      </c>
      <c r="K118" s="232">
        <f t="shared" si="79"/>
        <v>50.388206764518188</v>
      </c>
      <c r="L118" s="232">
        <f t="shared" si="79"/>
        <v>52.402404550061938</v>
      </c>
      <c r="M118" s="232">
        <f t="shared" si="79"/>
        <v>52.771722127461615</v>
      </c>
      <c r="N118" s="232">
        <f t="shared" si="79"/>
        <v>52.825319820568197</v>
      </c>
      <c r="O118" s="232">
        <f t="shared" si="79"/>
        <v>47.64499508879981</v>
      </c>
      <c r="P118" s="232" t="e">
        <f t="shared" si="79"/>
        <v>#DIV/0!</v>
      </c>
      <c r="Q118" s="232" t="e">
        <f t="shared" si="79"/>
        <v>#DIV/0!</v>
      </c>
      <c r="R118" s="232">
        <f t="shared" si="79"/>
        <v>12.868167201360768</v>
      </c>
      <c r="S118" s="241">
        <f>S68</f>
        <v>27.6989606254248</v>
      </c>
      <c r="T118" s="232">
        <f>T70</f>
        <v>52.666482166030583</v>
      </c>
      <c r="U118" s="232" t="e">
        <f>U70</f>
        <v>#DIV/0!</v>
      </c>
      <c r="V118" s="232">
        <f>V68</f>
        <v>49.260056236092275</v>
      </c>
    </row>
    <row r="119" spans="1:26">
      <c r="A119" s="7273"/>
      <c r="B119" s="217" t="s">
        <v>43</v>
      </c>
      <c r="C119" s="240">
        <f>(C16+C22)/C33*60</f>
        <v>39.078220717254119</v>
      </c>
      <c r="D119" s="3076">
        <v>40.049999999999997</v>
      </c>
      <c r="E119" s="240">
        <f t="shared" si="77"/>
        <v>40.049999999999997</v>
      </c>
      <c r="F119" s="242">
        <f t="shared" ref="F119:R119" si="80">F75</f>
        <v>39.686855614973261</v>
      </c>
      <c r="G119" s="242">
        <f t="shared" si="80"/>
        <v>38.205425955619923</v>
      </c>
      <c r="H119" s="242">
        <f t="shared" si="80"/>
        <v>37.873108298171587</v>
      </c>
      <c r="I119" s="242">
        <f t="shared" si="80"/>
        <v>41.862582996637755</v>
      </c>
      <c r="J119" s="242">
        <f t="shared" si="80"/>
        <v>37.883401145893878</v>
      </c>
      <c r="K119" s="242">
        <f t="shared" si="80"/>
        <v>40.279656145063804</v>
      </c>
      <c r="L119" s="242">
        <f t="shared" si="80"/>
        <v>41.477539495798318</v>
      </c>
      <c r="M119" s="242">
        <f t="shared" si="80"/>
        <v>39.763105821623178</v>
      </c>
      <c r="N119" s="242">
        <f t="shared" si="80"/>
        <v>42.75064637857578</v>
      </c>
      <c r="O119" s="242">
        <f t="shared" si="80"/>
        <v>36.644188552188552</v>
      </c>
      <c r="P119" s="242">
        <f t="shared" si="80"/>
        <v>26.318565789473681</v>
      </c>
      <c r="Q119" s="242" t="e">
        <f t="shared" si="80"/>
        <v>#DIV/0!</v>
      </c>
      <c r="R119" s="242">
        <f t="shared" si="80"/>
        <v>11.310040246909557</v>
      </c>
      <c r="S119" s="243">
        <f>S73</f>
        <v>22.172858892170275</v>
      </c>
      <c r="T119" s="242">
        <f>T75</f>
        <v>41.325075268142761</v>
      </c>
      <c r="U119" s="242">
        <f>U75</f>
        <v>39.873881941827399</v>
      </c>
      <c r="V119" s="242">
        <f>V73</f>
        <v>39.517993080100446</v>
      </c>
    </row>
    <row r="120" spans="1:26">
      <c r="A120" s="7294"/>
      <c r="B120" s="5182" t="s">
        <v>1827</v>
      </c>
      <c r="C120" s="240">
        <v>39.078220717254119</v>
      </c>
      <c r="D120" s="3076">
        <v>40.049999999999997</v>
      </c>
      <c r="E120" s="240">
        <f t="shared" si="77"/>
        <v>40.049999999999997</v>
      </c>
      <c r="F120" s="5183">
        <v>42.135028790988457</v>
      </c>
      <c r="G120" s="5183">
        <v>43.809064070863357</v>
      </c>
      <c r="H120" s="5183">
        <v>40.549871664261666</v>
      </c>
      <c r="I120" s="5184">
        <v>38.281127680468018</v>
      </c>
      <c r="J120" s="5184">
        <v>45.497314972961597</v>
      </c>
      <c r="K120" s="5184">
        <v>38.804861359958601</v>
      </c>
      <c r="L120" s="5184">
        <v>39.027029838828497</v>
      </c>
      <c r="M120" s="5184">
        <v>34.8970510402606</v>
      </c>
      <c r="N120" s="5184">
        <v>38.0912994926449</v>
      </c>
      <c r="O120" s="5184">
        <v>36.75</v>
      </c>
      <c r="P120" s="5184"/>
      <c r="Q120" s="5184"/>
      <c r="R120" s="5184"/>
      <c r="S120" s="5184"/>
      <c r="T120" s="5183"/>
      <c r="U120" s="5183"/>
      <c r="V120" s="5573">
        <v>39.874156545930497</v>
      </c>
      <c r="W120" s="5189" t="s">
        <v>1764</v>
      </c>
      <c r="X120" s="5190"/>
      <c r="Y120" s="5190"/>
      <c r="Z120" s="5190"/>
    </row>
    <row r="121" spans="1:26">
      <c r="A121" s="7273"/>
      <c r="B121" s="217" t="s">
        <v>45</v>
      </c>
      <c r="C121" s="240">
        <f>(C17+C23)/C34*60</f>
        <v>23.126629659404287</v>
      </c>
      <c r="D121" s="3076">
        <v>24.5</v>
      </c>
      <c r="E121" s="240">
        <f t="shared" si="77"/>
        <v>24.5</v>
      </c>
      <c r="F121" s="4248">
        <f>(F17+F23)/F34*60</f>
        <v>23.168020947715178</v>
      </c>
      <c r="G121" s="244">
        <f>(G17+G23)/G34*60</f>
        <v>22.388742436631237</v>
      </c>
      <c r="H121" s="244">
        <f>(H17+H23)/H34*60</f>
        <v>24.288338964478129</v>
      </c>
      <c r="I121" s="244">
        <f>(I17+I23)/I34*60</f>
        <v>22.942111344849042</v>
      </c>
      <c r="J121" s="244">
        <f>(J17+J23)/J34*60</f>
        <v>21.184386401095065</v>
      </c>
      <c r="K121" s="244">
        <f t="shared" ref="K121:P121" si="81">(K17+K23)/K34*60</f>
        <v>22.248172195547795</v>
      </c>
      <c r="L121" s="244">
        <f t="shared" si="81"/>
        <v>23.236019956794568</v>
      </c>
      <c r="M121" s="244">
        <f t="shared" si="81"/>
        <v>22.968708951312014</v>
      </c>
      <c r="N121" s="244">
        <f t="shared" si="81"/>
        <v>22.938130764260119</v>
      </c>
      <c r="O121" s="244">
        <f t="shared" si="81"/>
        <v>22.080294609615283</v>
      </c>
      <c r="P121" s="244">
        <f t="shared" si="81"/>
        <v>21.626852304184986</v>
      </c>
      <c r="Q121" s="244">
        <f t="shared" ref="Q121:V121" si="82">(Q17+Q23)/Q34*60</f>
        <v>21.470551661768035</v>
      </c>
      <c r="R121" s="244">
        <f t="shared" si="82"/>
        <v>5.4914393791417941</v>
      </c>
      <c r="S121" s="245">
        <f t="shared" si="82"/>
        <v>11.084941330042925</v>
      </c>
      <c r="T121" s="244">
        <f t="shared" si="82"/>
        <v>23.057480471901368</v>
      </c>
      <c r="U121" s="244">
        <f t="shared" si="82"/>
        <v>22.381587369617577</v>
      </c>
      <c r="V121" s="244">
        <f t="shared" si="82"/>
        <v>22.529190340300048</v>
      </c>
    </row>
    <row r="122" spans="1:26">
      <c r="A122" s="7294"/>
      <c r="B122" s="5182" t="s">
        <v>1828</v>
      </c>
      <c r="C122" s="5931">
        <v>23.126629659404287</v>
      </c>
      <c r="D122" s="5932"/>
      <c r="E122" s="5931"/>
      <c r="F122" s="5933">
        <f>'1CCL보정'!N63</f>
        <v>23.159755538788932</v>
      </c>
      <c r="G122" s="5933">
        <f>'1CCL보정'!O63</f>
        <v>23.742248737277286</v>
      </c>
      <c r="H122" s="5933">
        <f>'1CCL보정'!P63</f>
        <v>25.27942840956711</v>
      </c>
      <c r="I122" s="5933">
        <f>'1CCL보정'!Q63</f>
        <v>24.977600400896691</v>
      </c>
      <c r="J122" s="5933">
        <f>'1CCL보정'!R63</f>
        <v>24.103264264799073</v>
      </c>
      <c r="K122" s="5933">
        <f>'1CCL보정'!S63</f>
        <v>25.363665483104121</v>
      </c>
      <c r="L122" s="5933">
        <f>'1CCL보정'!T63</f>
        <v>25.472117747991501</v>
      </c>
      <c r="M122" s="5933">
        <f>'1CCL보정'!U63</f>
        <v>23.60919662546176</v>
      </c>
      <c r="N122" s="5933">
        <f>'1CCL보정'!V63</f>
        <v>23.854573539326406</v>
      </c>
      <c r="O122" s="5933">
        <f>'1CCL보정'!W63</f>
        <v>23.893653501677424</v>
      </c>
      <c r="P122" s="5933">
        <f>'1CCL보정'!X63</f>
        <v>24.289727153802886</v>
      </c>
      <c r="Q122" s="5933">
        <f>'1CCL보정'!Y63</f>
        <v>22.948482369871499</v>
      </c>
      <c r="R122" s="5934"/>
      <c r="S122" s="5935"/>
      <c r="T122" s="5934"/>
      <c r="U122" s="5934"/>
      <c r="V122" s="5939">
        <f>'1CCL보정'!Z63</f>
        <v>24.19248186662097</v>
      </c>
    </row>
    <row r="123" spans="1:26">
      <c r="A123" s="7273"/>
      <c r="B123" s="217" t="s">
        <v>17</v>
      </c>
      <c r="C123" s="240">
        <f>(C18+C24)/C35*60</f>
        <v>9.3511203248380532</v>
      </c>
      <c r="D123" s="3076">
        <v>9.5</v>
      </c>
      <c r="E123" s="240">
        <f t="shared" si="77"/>
        <v>9.5</v>
      </c>
      <c r="F123" s="4248">
        <f>(F18+F24)/F35*60</f>
        <v>9.7591442025092441</v>
      </c>
      <c r="G123" s="244">
        <f>(G18+G24)/G35*60</f>
        <v>10.472311819054873</v>
      </c>
      <c r="H123" s="244">
        <f>(H18+H24)/H35*60</f>
        <v>9.9624877818067148</v>
      </c>
      <c r="I123" s="244">
        <f>(I18+I24)/I35*60</f>
        <v>9.7368752672843897</v>
      </c>
      <c r="J123" s="244">
        <f>(J18+J24)/J35*60</f>
        <v>9.1052445314558934</v>
      </c>
      <c r="K123" s="244">
        <f t="shared" ref="K123:Q123" si="83">(K18+K24)/K35*60</f>
        <v>9.7512711078122098</v>
      </c>
      <c r="L123" s="244">
        <f t="shared" si="83"/>
        <v>9.6621640872887404</v>
      </c>
      <c r="M123" s="244">
        <f t="shared" si="83"/>
        <v>10.378213148529689</v>
      </c>
      <c r="N123" s="244">
        <f t="shared" si="83"/>
        <v>8.9028814479638001</v>
      </c>
      <c r="O123" s="244">
        <f t="shared" si="83"/>
        <v>8.7014542119743208</v>
      </c>
      <c r="P123" s="244">
        <f>(P18+P24)/P35*60</f>
        <v>9.1654691183404058</v>
      </c>
      <c r="Q123" s="244">
        <f t="shared" si="83"/>
        <v>8.7790909946363058</v>
      </c>
      <c r="R123" s="244">
        <f>(R18+R24)/R35*60</f>
        <v>2.4824851739672682</v>
      </c>
      <c r="S123" s="245">
        <f>(S18+S24)/S35*60</f>
        <v>4.8307780803787326</v>
      </c>
      <c r="T123" s="244">
        <f>(T18+T24)/T35*60</f>
        <v>9.6403316667840286</v>
      </c>
      <c r="U123" s="244">
        <f>(U18+U24)/U35*60</f>
        <v>9.2433568888839357</v>
      </c>
      <c r="V123" s="244">
        <f>(V18+V24)/V35*60</f>
        <v>9.5212979035692769</v>
      </c>
      <c r="W123" s="4">
        <f>W125*C215</f>
        <v>169370258.49702948</v>
      </c>
    </row>
    <row r="124" spans="1:26">
      <c r="A124" s="7274" t="s">
        <v>54</v>
      </c>
      <c r="B124" s="7274"/>
      <c r="C124" s="249">
        <f>(C117+C118+C119+C121+C123)/5</f>
        <v>35.431363833866214</v>
      </c>
      <c r="D124" s="249">
        <f>(D117+D118+D119+D121+D123)/5</f>
        <v>36.410000000000004</v>
      </c>
      <c r="E124" s="249">
        <f>(E117+E118+E119+E121+E123)/5</f>
        <v>36.410000000000004</v>
      </c>
      <c r="F124" s="250">
        <f>(F117+F118+F119+F121+F123)/5</f>
        <v>35.86289204337217</v>
      </c>
      <c r="G124" s="250">
        <f t="shared" ref="G124:V124" si="84">(G117+G118+G119+G121+G123)/5</f>
        <v>35.952977261414752</v>
      </c>
      <c r="H124" s="250">
        <f t="shared" si="84"/>
        <v>35.845247018809971</v>
      </c>
      <c r="I124" s="250">
        <f t="shared" si="84"/>
        <v>37.678947849341149</v>
      </c>
      <c r="J124" s="250">
        <f t="shared" si="84"/>
        <v>34.349657961803871</v>
      </c>
      <c r="K124" s="250">
        <f t="shared" si="84"/>
        <v>36.665793616097247</v>
      </c>
      <c r="L124" s="250">
        <f t="shared" si="84"/>
        <v>37.369798175482153</v>
      </c>
      <c r="M124" s="250">
        <f t="shared" si="84"/>
        <v>37.330181842468747</v>
      </c>
      <c r="N124" s="250">
        <f t="shared" si="84"/>
        <v>37.921059312266571</v>
      </c>
      <c r="O124" s="250">
        <f t="shared" si="84"/>
        <v>34.291248904298349</v>
      </c>
      <c r="P124" s="250" t="e">
        <f t="shared" si="84"/>
        <v>#DIV/0!</v>
      </c>
      <c r="Q124" s="250" t="e">
        <f t="shared" si="84"/>
        <v>#DIV/0!</v>
      </c>
      <c r="R124" s="250">
        <f t="shared" si="84"/>
        <v>9.8681438634340619</v>
      </c>
      <c r="S124" s="250">
        <f t="shared" si="84"/>
        <v>19.999798281820453</v>
      </c>
      <c r="T124" s="250">
        <f t="shared" si="84"/>
        <v>37.539763254628369</v>
      </c>
      <c r="U124" s="250" t="e">
        <f>(U117+U118+U119+U121+U123)/5</f>
        <v>#DIV/0!</v>
      </c>
      <c r="V124" s="250">
        <f t="shared" si="84"/>
        <v>36.224426786039395</v>
      </c>
    </row>
    <row r="125" spans="1:26">
      <c r="A125" s="508"/>
      <c r="B125" s="26"/>
      <c r="C125" s="144"/>
      <c r="D125" s="24"/>
      <c r="E125" s="47"/>
      <c r="F125" s="24"/>
      <c r="G125" s="25"/>
      <c r="H125" s="25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88">
        <f>C110-V110</f>
        <v>3.8094007647331278E-4</v>
      </c>
      <c r="W125" s="4">
        <f>V125*V19</f>
        <v>390.41126502726371</v>
      </c>
    </row>
    <row r="126" spans="1:26" s="5" customFormat="1">
      <c r="A126" s="7271" t="s">
        <v>0</v>
      </c>
      <c r="B126" s="7271"/>
      <c r="C126" s="2735" t="s">
        <v>1169</v>
      </c>
      <c r="D126" s="2735" t="s">
        <v>1269</v>
      </c>
      <c r="E126" s="2735" t="s">
        <v>1270</v>
      </c>
      <c r="F126" s="208" t="s">
        <v>38</v>
      </c>
      <c r="G126" s="208" t="s">
        <v>5</v>
      </c>
      <c r="H126" s="208" t="s">
        <v>6</v>
      </c>
      <c r="I126" s="208" t="s">
        <v>7</v>
      </c>
      <c r="J126" s="208" t="s">
        <v>8</v>
      </c>
      <c r="K126" s="208" t="s">
        <v>9</v>
      </c>
      <c r="L126" s="208" t="s">
        <v>10</v>
      </c>
      <c r="M126" s="208" t="s">
        <v>11</v>
      </c>
      <c r="N126" s="208" t="s">
        <v>12</v>
      </c>
      <c r="O126" s="208" t="s">
        <v>13</v>
      </c>
      <c r="P126" s="208" t="s">
        <v>14</v>
      </c>
      <c r="Q126" s="208" t="s">
        <v>15</v>
      </c>
      <c r="R126" s="209" t="s">
        <v>19</v>
      </c>
      <c r="S126" s="209" t="s">
        <v>20</v>
      </c>
      <c r="T126" s="209" t="s">
        <v>21</v>
      </c>
      <c r="U126" s="209" t="s">
        <v>178</v>
      </c>
      <c r="V126" s="209" t="s">
        <v>22</v>
      </c>
      <c r="W126" s="5" t="s">
        <v>239</v>
      </c>
      <c r="X126" s="5" t="s">
        <v>236</v>
      </c>
      <c r="Y126" s="5" t="s">
        <v>237</v>
      </c>
      <c r="Z126" s="5" t="s">
        <v>238</v>
      </c>
    </row>
    <row r="127" spans="1:26" s="479" customFormat="1">
      <c r="A127" s="7291" t="s">
        <v>39</v>
      </c>
      <c r="B127" s="477" t="s">
        <v>55</v>
      </c>
      <c r="C127" s="211">
        <f>C14/C2</f>
        <v>0.97749821155362038</v>
      </c>
      <c r="D127" s="478">
        <f>(D87-C87)*D2*C213</f>
        <v>306301481.46716464</v>
      </c>
      <c r="E127" s="478">
        <f>D127</f>
        <v>306301481.46716464</v>
      </c>
      <c r="F127" s="478">
        <f>(F87-$C$87)*F2*$C$213</f>
        <v>6303282.516945444</v>
      </c>
      <c r="G127" s="478">
        <f t="shared" ref="G127:L127" si="85">(G87-$C$87)*G2*$C$213</f>
        <v>18517898.661706079</v>
      </c>
      <c r="H127" s="478">
        <f t="shared" si="85"/>
        <v>30414638.972170323</v>
      </c>
      <c r="I127" s="478">
        <f t="shared" si="85"/>
        <v>31084232.300518543</v>
      </c>
      <c r="J127" s="478">
        <f t="shared" si="85"/>
        <v>3420172.0265346342</v>
      </c>
      <c r="K127" s="478">
        <f t="shared" si="85"/>
        <v>20463740.561803997</v>
      </c>
      <c r="L127" s="478">
        <f t="shared" si="85"/>
        <v>17629456.687864784</v>
      </c>
      <c r="M127" s="478">
        <f>(M87-$C$87)*M3*$C$213</f>
        <v>-8226431.9991654027</v>
      </c>
      <c r="N127" s="478">
        <f>(N87-$C$87)*N2*$C$213</f>
        <v>20094192.444438882</v>
      </c>
      <c r="O127" s="478">
        <f>(O87-$C$87)*O2*$C$213</f>
        <v>11699032.602735372</v>
      </c>
      <c r="P127" s="478">
        <f>(P87-$C$87)*P2*$C$213</f>
        <v>1501160.0164794887</v>
      </c>
      <c r="Q127" s="478" t="e">
        <f>(Q87-$C$87)*Q2*$C$213</f>
        <v>#DIV/0!</v>
      </c>
      <c r="R127" s="478">
        <f>SUM(F127:H127)</f>
        <v>55235820.15082185</v>
      </c>
      <c r="S127" s="478">
        <f>SUM(F127:K127)</f>
        <v>110203965.03967902</v>
      </c>
      <c r="T127" s="478">
        <f>SUM(F127:N127)</f>
        <v>139701182.17281729</v>
      </c>
      <c r="U127" s="478" t="e">
        <f>SUM(L127:Q127)</f>
        <v>#DIV/0!</v>
      </c>
      <c r="V127" s="478">
        <f>(V87-$C$87)*V2*$C$213</f>
        <v>152645034.02904654</v>
      </c>
      <c r="W127" s="479" t="s">
        <v>240</v>
      </c>
      <c r="X127" s="479">
        <f>SUM(F127:H127)</f>
        <v>55235820.15082185</v>
      </c>
      <c r="Y127" s="479">
        <f>SUM(I127:K127)</f>
        <v>54968144.888857171</v>
      </c>
      <c r="Z127" s="479">
        <f>SUM(X127:Y127)</f>
        <v>110203965.03967902</v>
      </c>
    </row>
    <row r="128" spans="1:26" s="479" customFormat="1">
      <c r="A128" s="7291"/>
      <c r="B128" s="477" t="s">
        <v>52</v>
      </c>
      <c r="C128" s="480"/>
      <c r="D128" s="478">
        <f>(D111-C111)*D26*E213/60</f>
        <v>7598924.3737040944</v>
      </c>
      <c r="E128" s="478">
        <f>D128</f>
        <v>7598924.3737040944</v>
      </c>
      <c r="F128" s="478">
        <f>(F111-$C$111)*F31/60*$E$213</f>
        <v>-8775455.0135763418</v>
      </c>
      <c r="G128" s="478">
        <f t="shared" ref="G128:Q128" si="86">(G111-$C$111)*G31/60*$E$213</f>
        <v>-4739084.8476804802</v>
      </c>
      <c r="H128" s="478">
        <f t="shared" si="86"/>
        <v>2837867.5225939285</v>
      </c>
      <c r="I128" s="478">
        <f t="shared" si="86"/>
        <v>581029.4929016236</v>
      </c>
      <c r="J128" s="478">
        <f t="shared" si="86"/>
        <v>1516172.1473609991</v>
      </c>
      <c r="K128" s="478">
        <f t="shared" si="86"/>
        <v>1869338.778450869</v>
      </c>
      <c r="L128" s="478">
        <f t="shared" si="86"/>
        <v>3872481.8194789519</v>
      </c>
      <c r="M128" s="478">
        <f t="shared" si="86"/>
        <v>-7814915.2807715628</v>
      </c>
      <c r="N128" s="478">
        <f t="shared" si="86"/>
        <v>-2423814.4115824485</v>
      </c>
      <c r="O128" s="478">
        <f t="shared" si="86"/>
        <v>1508075.5828038231</v>
      </c>
      <c r="P128" s="478">
        <f t="shared" si="86"/>
        <v>68137.510020157511</v>
      </c>
      <c r="Q128" s="478" t="e">
        <f t="shared" si="86"/>
        <v>#DIV/0!</v>
      </c>
      <c r="R128" s="478">
        <f t="shared" ref="R128:R162" si="87">SUM(F128:H128)</f>
        <v>-10676672.338662894</v>
      </c>
      <c r="S128" s="478">
        <f t="shared" ref="S128:S162" si="88">SUM(F128:K128)</f>
        <v>-6710131.919949403</v>
      </c>
      <c r="T128" s="478">
        <f t="shared" ref="T128:T162" si="89">SUM(F128:N128)</f>
        <v>-13076379.792824462</v>
      </c>
      <c r="U128" s="478" t="e">
        <f t="shared" ref="U128:U162" si="90">SUM(L128:Q128)</f>
        <v>#DIV/0!</v>
      </c>
      <c r="V128" s="478">
        <f>(V111-$C$111)*V31/60*$E$213</f>
        <v>-11873500.213739522</v>
      </c>
      <c r="W128" s="479" t="s">
        <v>242</v>
      </c>
      <c r="X128" s="479">
        <f>SUM(F140:H140)</f>
        <v>111389398.61016965</v>
      </c>
      <c r="Y128" s="479">
        <f>SUM(I140:K140)</f>
        <v>20322435.874267105</v>
      </c>
      <c r="Z128" s="479">
        <f>SUM(X128:Y128)</f>
        <v>131711834.48443675</v>
      </c>
    </row>
    <row r="129" spans="1:26" s="479" customFormat="1">
      <c r="A129" s="7291"/>
      <c r="B129" s="477" t="s">
        <v>40</v>
      </c>
      <c r="C129" s="775">
        <f>99.67-99.83</f>
        <v>-0.15999999999999659</v>
      </c>
      <c r="D129" s="478">
        <f>(D14/C117-D14/D117)*E213</f>
        <v>113450000.77900608</v>
      </c>
      <c r="E129" s="478">
        <f>D129</f>
        <v>113450000.77900608</v>
      </c>
      <c r="F129" s="478">
        <f>((F14+F20)/$C$117-(F14+F20)/F117)*$E$213</f>
        <v>17715634.185618967</v>
      </c>
      <c r="G129" s="478">
        <f t="shared" ref="G129:Q129" si="91">((G14+G20)/$C$117-(G14+G20)/G117)*$E$213</f>
        <v>30402592.980827082</v>
      </c>
      <c r="H129" s="478">
        <f t="shared" si="91"/>
        <v>10928348.521921707</v>
      </c>
      <c r="I129" s="478">
        <f t="shared" si="91"/>
        <v>31390465.998231091</v>
      </c>
      <c r="J129" s="478">
        <f t="shared" si="91"/>
        <v>-9486483.6169369631</v>
      </c>
      <c r="K129" s="478">
        <f t="shared" si="91"/>
        <v>18030539.019309398</v>
      </c>
      <c r="L129" s="478">
        <f t="shared" si="91"/>
        <v>14009621.104853708</v>
      </c>
      <c r="M129" s="478">
        <f t="shared" si="91"/>
        <v>18388685.040832467</v>
      </c>
      <c r="N129" s="478">
        <f t="shared" si="91"/>
        <v>31328771.3122596</v>
      </c>
      <c r="O129" s="478">
        <f t="shared" si="91"/>
        <v>-23642295.102817044</v>
      </c>
      <c r="P129" s="478">
        <f t="shared" si="91"/>
        <v>1788603.8878450419</v>
      </c>
      <c r="Q129" s="478" t="e">
        <f t="shared" si="91"/>
        <v>#DIV/0!</v>
      </c>
      <c r="R129" s="478">
        <f t="shared" si="87"/>
        <v>59046575.688367754</v>
      </c>
      <c r="S129" s="478">
        <f t="shared" si="88"/>
        <v>98981097.088971272</v>
      </c>
      <c r="T129" s="478">
        <f t="shared" si="89"/>
        <v>162708174.54691702</v>
      </c>
      <c r="U129" s="478" t="e">
        <f t="shared" si="90"/>
        <v>#DIV/0!</v>
      </c>
      <c r="V129" s="478">
        <f>((V14+V20)/$C$117-(V14+V20)/V117)*$E$213</f>
        <v>140854483.33194554</v>
      </c>
      <c r="W129" s="479" t="s">
        <v>243</v>
      </c>
      <c r="X129" s="479">
        <f>SUM(F147:H147)</f>
        <v>23612292.281961046</v>
      </c>
      <c r="Y129" s="479">
        <f>SUM(I147:K147)</f>
        <v>29633516.405627817</v>
      </c>
      <c r="Z129" s="479">
        <f>SUM(X129:Y129)</f>
        <v>53245808.687588863</v>
      </c>
    </row>
    <row r="130" spans="1:26" s="479" customFormat="1">
      <c r="A130" s="7291"/>
      <c r="B130" s="481" t="s">
        <v>56</v>
      </c>
      <c r="C130" s="480"/>
      <c r="D130" s="478"/>
      <c r="E130" s="478">
        <f>SUM(F130:K130)</f>
        <v>0</v>
      </c>
      <c r="F130" s="482"/>
      <c r="G130" s="482"/>
      <c r="H130" s="482"/>
      <c r="I130" s="482"/>
      <c r="J130" s="482"/>
      <c r="K130" s="482"/>
      <c r="L130" s="482"/>
      <c r="M130" s="482"/>
      <c r="N130" s="482"/>
      <c r="O130" s="482"/>
      <c r="P130" s="482"/>
      <c r="Q130" s="482"/>
      <c r="R130" s="478">
        <f>SUM(F130:O130)</f>
        <v>0</v>
      </c>
      <c r="S130" s="478">
        <f>SUM(F130:O130)</f>
        <v>0</v>
      </c>
      <c r="T130" s="478">
        <f>SUM(F130:O130)</f>
        <v>0</v>
      </c>
      <c r="U130" s="478">
        <f t="shared" si="90"/>
        <v>0</v>
      </c>
      <c r="V130" s="478">
        <f>SUM(F130:Q130)</f>
        <v>0</v>
      </c>
      <c r="W130" s="479" t="s">
        <v>244</v>
      </c>
      <c r="X130" s="479">
        <f>SUM(F155:H155)</f>
        <v>16308707.741802802</v>
      </c>
      <c r="Y130" s="479">
        <f>SUM(I155:K155)</f>
        <v>26548659.391399287</v>
      </c>
      <c r="Z130" s="479">
        <f>SUM(X130:Y130)</f>
        <v>42857367.133202091</v>
      </c>
    </row>
    <row r="131" spans="1:26" s="479" customFormat="1">
      <c r="A131" s="7291"/>
      <c r="B131" s="483" t="s">
        <v>57</v>
      </c>
      <c r="C131" s="484"/>
      <c r="D131" s="485">
        <f t="shared" ref="D131:Q131" si="92">SUM(D127:D130)</f>
        <v>427350406.61987478</v>
      </c>
      <c r="E131" s="485">
        <f t="shared" si="92"/>
        <v>427350406.61987478</v>
      </c>
      <c r="F131" s="485">
        <f t="shared" si="92"/>
        <v>15243461.688988069</v>
      </c>
      <c r="G131" s="485">
        <f t="shared" si="92"/>
        <v>44181406.794852681</v>
      </c>
      <c r="H131" s="485">
        <f t="shared" si="92"/>
        <v>44180855.016685963</v>
      </c>
      <c r="I131" s="485">
        <f t="shared" si="92"/>
        <v>63055727.791651256</v>
      </c>
      <c r="J131" s="485">
        <f t="shared" si="92"/>
        <v>-4550139.4430413302</v>
      </c>
      <c r="K131" s="485">
        <f t="shared" si="92"/>
        <v>40363618.35956426</v>
      </c>
      <c r="L131" s="485">
        <f t="shared" si="92"/>
        <v>35511559.612197444</v>
      </c>
      <c r="M131" s="485">
        <f t="shared" si="92"/>
        <v>2347337.7608955018</v>
      </c>
      <c r="N131" s="485">
        <f t="shared" si="92"/>
        <v>48999149.345116034</v>
      </c>
      <c r="O131" s="485">
        <f t="shared" si="92"/>
        <v>-10435186.917277848</v>
      </c>
      <c r="P131" s="485">
        <f t="shared" si="92"/>
        <v>3357901.4143446879</v>
      </c>
      <c r="Q131" s="485" t="e">
        <f t="shared" si="92"/>
        <v>#DIV/0!</v>
      </c>
      <c r="R131" s="485">
        <f t="shared" si="87"/>
        <v>103605723.50052671</v>
      </c>
      <c r="S131" s="485">
        <f t="shared" si="88"/>
        <v>202474930.2087009</v>
      </c>
      <c r="T131" s="485">
        <f t="shared" si="89"/>
        <v>289332976.92690986</v>
      </c>
      <c r="U131" s="485" t="e">
        <f t="shared" si="90"/>
        <v>#DIV/0!</v>
      </c>
      <c r="V131" s="485" t="e">
        <f>SUM(F131:Q131)</f>
        <v>#DIV/0!</v>
      </c>
      <c r="X131" s="479">
        <f>SUM(X127:X130)</f>
        <v>206546218.78475538</v>
      </c>
      <c r="Y131" s="479">
        <f>SUM(Y127:Y130)</f>
        <v>131472756.56015137</v>
      </c>
      <c r="Z131" s="479">
        <f>SUM(X131:Y131)</f>
        <v>338018975.34490675</v>
      </c>
    </row>
    <row r="132" spans="1:26" s="479" customFormat="1">
      <c r="A132" s="7291" t="s">
        <v>42</v>
      </c>
      <c r="B132" s="477" t="s">
        <v>55</v>
      </c>
      <c r="C132" s="480"/>
      <c r="D132" s="478">
        <f>(D88-C88)*D3*C214</f>
        <v>3450585.6616895474</v>
      </c>
      <c r="E132" s="478">
        <f t="shared" ref="E132:E137" si="93">D132</f>
        <v>3450585.6616895474</v>
      </c>
      <c r="F132" s="478">
        <f t="shared" ref="F132:Q132" si="94">(F88-$C$88)*F3*$C$214</f>
        <v>-385260.21429242828</v>
      </c>
      <c r="G132" s="478">
        <f t="shared" si="94"/>
        <v>1297843.8294915732</v>
      </c>
      <c r="H132" s="478">
        <f t="shared" si="94"/>
        <v>1223546.4515000798</v>
      </c>
      <c r="I132" s="478">
        <f t="shared" si="94"/>
        <v>666859.80361150426</v>
      </c>
      <c r="J132" s="478">
        <f t="shared" si="94"/>
        <v>-464469.22361144039</v>
      </c>
      <c r="K132" s="478">
        <f t="shared" si="94"/>
        <v>619578.38754268608</v>
      </c>
      <c r="L132" s="478">
        <f t="shared" si="94"/>
        <v>-1445013.0790228741</v>
      </c>
      <c r="M132" s="478">
        <f t="shared" si="94"/>
        <v>1554384.9008333939</v>
      </c>
      <c r="N132" s="478">
        <f t="shared" si="94"/>
        <v>-945038.809059027</v>
      </c>
      <c r="O132" s="478">
        <f t="shared" si="94"/>
        <v>-11137015.13718847</v>
      </c>
      <c r="P132" s="478" t="e">
        <f t="shared" si="94"/>
        <v>#DIV/0!</v>
      </c>
      <c r="Q132" s="478" t="e">
        <f t="shared" si="94"/>
        <v>#DIV/0!</v>
      </c>
      <c r="R132" s="478">
        <f t="shared" si="87"/>
        <v>2136130.0666992245</v>
      </c>
      <c r="S132" s="478">
        <f t="shared" si="88"/>
        <v>2958099.0342419744</v>
      </c>
      <c r="T132" s="478">
        <f t="shared" si="89"/>
        <v>2122432.046993467</v>
      </c>
      <c r="U132" s="478" t="e">
        <f t="shared" si="90"/>
        <v>#DIV/0!</v>
      </c>
      <c r="V132" s="478">
        <f>(V88-$C$88)*V3*$C$214</f>
        <v>-9014583.0901721567</v>
      </c>
    </row>
    <row r="133" spans="1:26" s="479" customFormat="1">
      <c r="A133" s="7292"/>
      <c r="B133" s="2384" t="s">
        <v>1147</v>
      </c>
      <c r="C133" s="2388"/>
      <c r="D133" s="2385">
        <f>(D94-C94)*D3*C214</f>
        <v>3713609.5271394644</v>
      </c>
      <c r="E133" s="2385">
        <f t="shared" si="93"/>
        <v>3713609.5271394644</v>
      </c>
      <c r="F133" s="2385">
        <f>(F94-$C$94)*(F3+종합!L46)*$C$214</f>
        <v>1038942.5067347919</v>
      </c>
      <c r="G133" s="2385">
        <f>(G94-$C$94)*(G3+종합!M46)*$C$214</f>
        <v>2997830.994442462</v>
      </c>
      <c r="H133" s="2385">
        <f>(H94-$C$94)*(H3+종합!N46)*$C$214</f>
        <v>2181208.899852016</v>
      </c>
      <c r="I133" s="2385">
        <f>(I94-$C$94)*(I3+종합!O46)*$C$214</f>
        <v>2330797.8403060995</v>
      </c>
      <c r="J133" s="2385">
        <f>(J94-$C$94)*(J3+종합!P46)*$C$214</f>
        <v>849644.54525347648</v>
      </c>
      <c r="K133" s="2385">
        <f>(K94-$C$94)*(K3+종합!Q46)*$C$214</f>
        <v>2274324.6572212148</v>
      </c>
      <c r="L133" s="2385">
        <f>(L94-$C$94)*(L3+종합!R46)*$C$214</f>
        <v>375388.69325106486</v>
      </c>
      <c r="M133" s="2385">
        <f>(M94-$C$94)*(M3+종합!S46)*$C$214</f>
        <v>2855907.6421316033</v>
      </c>
      <c r="N133" s="2385">
        <f>(N94-$C$94)*(N3+종합!T46)*$C$214</f>
        <v>721054.30439714901</v>
      </c>
      <c r="O133" s="2385">
        <f>(O94-$C$94)*(O3+종합!U46)*$C$214</f>
        <v>-10252186.201950008</v>
      </c>
      <c r="P133" s="2385" t="e">
        <f>(P94-$C$94)*(P3+종합!V46)*$C$214</f>
        <v>#DIV/0!</v>
      </c>
      <c r="Q133" s="2385" t="e">
        <f>(Q94-$C$94)*(Q3+종합!W46)*$C$214</f>
        <v>#DIV/0!</v>
      </c>
      <c r="R133" s="2385"/>
      <c r="S133" s="2385"/>
      <c r="T133" s="2385"/>
      <c r="U133" s="2385"/>
      <c r="V133" s="2385">
        <f>(V94-$C$94)*(V3+종합!X46)*$C$214</f>
        <v>5372913.8816551939</v>
      </c>
    </row>
    <row r="134" spans="1:26" s="479" customFormat="1">
      <c r="A134" s="7291"/>
      <c r="B134" s="477" t="s">
        <v>52</v>
      </c>
      <c r="C134" s="480"/>
      <c r="D134" s="478">
        <f>(D112-C112)*D27/60*E214</f>
        <v>11868182.086235689</v>
      </c>
      <c r="E134" s="478">
        <f t="shared" si="93"/>
        <v>11868182.086235689</v>
      </c>
      <c r="F134" s="478">
        <f t="shared" ref="F134:Q134" si="95">(F112-$C$112)*F32/60*$E$214</f>
        <v>-9696132.8143036049</v>
      </c>
      <c r="G134" s="478">
        <f t="shared" si="95"/>
        <v>-5142309.5831727404</v>
      </c>
      <c r="H134" s="478">
        <f t="shared" si="95"/>
        <v>3811639.6694198269</v>
      </c>
      <c r="I134" s="478">
        <f t="shared" si="95"/>
        <v>6162568.7718248582</v>
      </c>
      <c r="J134" s="478">
        <f t="shared" si="95"/>
        <v>4629122.8648491679</v>
      </c>
      <c r="K134" s="478">
        <f t="shared" si="95"/>
        <v>-8973901.716815738</v>
      </c>
      <c r="L134" s="478">
        <f t="shared" si="95"/>
        <v>-3226585.394681931</v>
      </c>
      <c r="M134" s="478">
        <f t="shared" si="95"/>
        <v>-9416022.3310576752</v>
      </c>
      <c r="N134" s="478">
        <f t="shared" si="95"/>
        <v>-4456452.7247816576</v>
      </c>
      <c r="O134" s="478">
        <f t="shared" si="95"/>
        <v>-6232149.5843714522</v>
      </c>
      <c r="P134" s="478" t="e">
        <f t="shared" si="95"/>
        <v>#DIV/0!</v>
      </c>
      <c r="Q134" s="478" t="e">
        <f t="shared" si="95"/>
        <v>#DIV/0!</v>
      </c>
      <c r="R134" s="478">
        <f t="shared" si="87"/>
        <v>-11026802.728056518</v>
      </c>
      <c r="S134" s="478">
        <f t="shared" si="88"/>
        <v>-9209012.8081982303</v>
      </c>
      <c r="T134" s="478">
        <f t="shared" si="89"/>
        <v>-26308073.258719493</v>
      </c>
      <c r="U134" s="478" t="e">
        <f t="shared" si="90"/>
        <v>#DIV/0!</v>
      </c>
      <c r="V134" s="478">
        <f>(V112-$C$112)*V32/60*$E$214</f>
        <v>-33122502.943707231</v>
      </c>
    </row>
    <row r="135" spans="1:26" s="479" customFormat="1">
      <c r="A135" s="7291"/>
      <c r="B135" s="477" t="s">
        <v>40</v>
      </c>
      <c r="C135" s="480"/>
      <c r="D135" s="478">
        <f>(D15/C118-D15/D118)*E214</f>
        <v>145584733.72970402</v>
      </c>
      <c r="E135" s="478">
        <f t="shared" si="93"/>
        <v>145584733.72970402</v>
      </c>
      <c r="F135" s="478">
        <f>((F15+F21)/$C$118-(F15+F21)/F118)*$E$214</f>
        <v>-12810762.445024246</v>
      </c>
      <c r="G135" s="478">
        <f t="shared" ref="G135:Q135" si="96">((G15+G21)/$C$118-(G15+G21)/G118)*$E$214</f>
        <v>-5127642.7040531011</v>
      </c>
      <c r="H135" s="478">
        <f t="shared" si="96"/>
        <v>402260.92059641529</v>
      </c>
      <c r="I135" s="478">
        <f t="shared" si="96"/>
        <v>52476699.406786799</v>
      </c>
      <c r="J135" s="478">
        <f t="shared" si="96"/>
        <v>-11357037.961378811</v>
      </c>
      <c r="K135" s="478">
        <f t="shared" si="96"/>
        <v>43638593.81407132</v>
      </c>
      <c r="L135" s="478">
        <f t="shared" si="96"/>
        <v>78062449.353455812</v>
      </c>
      <c r="M135" s="478">
        <f t="shared" si="96"/>
        <v>75635507.162539765</v>
      </c>
      <c r="N135" s="478">
        <f t="shared" si="96"/>
        <v>71237445.179704055</v>
      </c>
      <c r="O135" s="478">
        <f t="shared" si="96"/>
        <v>11125448.874969235</v>
      </c>
      <c r="P135" s="478" t="e">
        <f t="shared" si="96"/>
        <v>#DIV/0!</v>
      </c>
      <c r="Q135" s="478" t="e">
        <f t="shared" si="96"/>
        <v>#DIV/0!</v>
      </c>
      <c r="R135" s="478">
        <f t="shared" si="87"/>
        <v>-17536144.228480931</v>
      </c>
      <c r="S135" s="478">
        <f t="shared" si="88"/>
        <v>67222111.030998379</v>
      </c>
      <c r="T135" s="478">
        <f t="shared" si="89"/>
        <v>292157512.72669804</v>
      </c>
      <c r="U135" s="478" t="e">
        <f t="shared" si="90"/>
        <v>#DIV/0!</v>
      </c>
      <c r="V135" s="478">
        <f>((V15+V21)/$C$118-(V15+V21)/V118)*$E$214</f>
        <v>303282961.60166776</v>
      </c>
    </row>
    <row r="136" spans="1:26" s="479" customFormat="1">
      <c r="A136" s="7291"/>
      <c r="B136" s="477" t="s">
        <v>98</v>
      </c>
      <c r="C136" s="480"/>
      <c r="D136" s="478"/>
      <c r="E136" s="478">
        <f t="shared" si="93"/>
        <v>0</v>
      </c>
      <c r="F136" s="478" t="e">
        <f>스크!#REF!</f>
        <v>#REF!</v>
      </c>
      <c r="G136" s="478" t="e">
        <f>스크!#REF!</f>
        <v>#REF!</v>
      </c>
      <c r="H136" s="478" t="e">
        <f>스크!#REF!</f>
        <v>#REF!</v>
      </c>
      <c r="I136" s="478" t="e">
        <f>스크!#REF!</f>
        <v>#REF!</v>
      </c>
      <c r="J136" s="478" t="e">
        <f>스크!#REF!</f>
        <v>#REF!</v>
      </c>
      <c r="K136" s="478" t="e">
        <f>스크!#REF!</f>
        <v>#REF!</v>
      </c>
      <c r="L136" s="478" t="e">
        <f>스크!#REF!</f>
        <v>#REF!</v>
      </c>
      <c r="M136" s="478" t="e">
        <f>스크!#REF!</f>
        <v>#REF!</v>
      </c>
      <c r="N136" s="478" t="e">
        <f>스크!#REF!</f>
        <v>#REF!</v>
      </c>
      <c r="O136" s="478"/>
      <c r="P136" s="478"/>
      <c r="Q136" s="478"/>
      <c r="R136" s="478" t="e">
        <f t="shared" si="87"/>
        <v>#REF!</v>
      </c>
      <c r="S136" s="478" t="e">
        <f t="shared" si="88"/>
        <v>#REF!</v>
      </c>
      <c r="T136" s="478" t="e">
        <f t="shared" si="89"/>
        <v>#REF!</v>
      </c>
      <c r="U136" s="478" t="e">
        <f t="shared" si="90"/>
        <v>#REF!</v>
      </c>
      <c r="V136" s="478" t="e">
        <f>스크!#REF!</f>
        <v>#REF!</v>
      </c>
      <c r="W136" s="6">
        <f>30.3*60/D28</f>
        <v>4.4127818181818176E-3</v>
      </c>
    </row>
    <row r="137" spans="1:26" s="479" customFormat="1">
      <c r="A137" s="7291"/>
      <c r="B137" s="477" t="s">
        <v>58</v>
      </c>
      <c r="C137" s="480"/>
      <c r="D137" s="478"/>
      <c r="E137" s="478">
        <f t="shared" si="93"/>
        <v>0</v>
      </c>
      <c r="F137" s="482"/>
      <c r="G137" s="482"/>
      <c r="H137" s="482"/>
      <c r="I137" s="482"/>
      <c r="J137" s="482"/>
      <c r="K137" s="482"/>
      <c r="L137" s="482"/>
      <c r="M137" s="482"/>
      <c r="N137" s="482"/>
      <c r="O137" s="482"/>
      <c r="P137" s="482"/>
      <c r="Q137" s="482"/>
      <c r="R137" s="478">
        <f>SUM(F137:O137)</f>
        <v>0</v>
      </c>
      <c r="S137" s="478">
        <f>SUM(F137:O137)</f>
        <v>0</v>
      </c>
      <c r="T137" s="478">
        <f>SUM(F137:O137)</f>
        <v>0</v>
      </c>
      <c r="U137" s="478">
        <f t="shared" si="90"/>
        <v>0</v>
      </c>
      <c r="V137" s="478">
        <f>SUM(F137:Q137)</f>
        <v>0</v>
      </c>
    </row>
    <row r="138" spans="1:26" s="479" customFormat="1">
      <c r="A138" s="7291"/>
      <c r="B138" s="481" t="s">
        <v>59</v>
      </c>
      <c r="C138" s="480"/>
      <c r="D138" s="478"/>
      <c r="E138" s="478">
        <f>SUM(F138:Q138)</f>
        <v>2135000</v>
      </c>
      <c r="F138" s="482">
        <v>2135000</v>
      </c>
      <c r="G138" s="486"/>
      <c r="H138" s="482"/>
      <c r="I138" s="482"/>
      <c r="J138" s="482"/>
      <c r="K138" s="482"/>
      <c r="L138" s="482"/>
      <c r="M138" s="482"/>
      <c r="N138" s="482"/>
      <c r="O138" s="482"/>
      <c r="P138" s="482"/>
      <c r="Q138" s="482"/>
      <c r="R138" s="478">
        <f>SUM(F138:P138)</f>
        <v>2135000</v>
      </c>
      <c r="S138" s="478">
        <f>SUM(F138:P138)</f>
        <v>2135000</v>
      </c>
      <c r="T138" s="478">
        <f>SUM(F138:P138)</f>
        <v>2135000</v>
      </c>
      <c r="U138" s="478">
        <f t="shared" si="90"/>
        <v>0</v>
      </c>
      <c r="V138" s="478">
        <f>SUM(F138:Q138)</f>
        <v>2135000</v>
      </c>
    </row>
    <row r="139" spans="1:26" s="479" customFormat="1">
      <c r="A139" s="7291"/>
      <c r="B139" s="483" t="s">
        <v>57</v>
      </c>
      <c r="C139" s="484"/>
      <c r="D139" s="485">
        <f>SUM(D132:D138)</f>
        <v>164617111.00476873</v>
      </c>
      <c r="E139" s="485">
        <f>SUM(E132:E138)</f>
        <v>166752111.00476873</v>
      </c>
      <c r="F139" s="485" t="e">
        <f t="shared" ref="F139:Q139" si="97">SUM(F132:F138)</f>
        <v>#REF!</v>
      </c>
      <c r="G139" s="485" t="e">
        <f t="shared" si="97"/>
        <v>#REF!</v>
      </c>
      <c r="H139" s="485" t="e">
        <f t="shared" si="97"/>
        <v>#REF!</v>
      </c>
      <c r="I139" s="485" t="e">
        <f t="shared" si="97"/>
        <v>#REF!</v>
      </c>
      <c r="J139" s="485" t="e">
        <f t="shared" si="97"/>
        <v>#REF!</v>
      </c>
      <c r="K139" s="485" t="e">
        <f t="shared" si="97"/>
        <v>#REF!</v>
      </c>
      <c r="L139" s="485" t="e">
        <f t="shared" si="97"/>
        <v>#REF!</v>
      </c>
      <c r="M139" s="485" t="e">
        <f t="shared" si="97"/>
        <v>#REF!</v>
      </c>
      <c r="N139" s="485" t="e">
        <f t="shared" si="97"/>
        <v>#REF!</v>
      </c>
      <c r="O139" s="485">
        <f t="shared" si="97"/>
        <v>-16495902.048540695</v>
      </c>
      <c r="P139" s="485" t="e">
        <f t="shared" si="97"/>
        <v>#DIV/0!</v>
      </c>
      <c r="Q139" s="485" t="e">
        <f t="shared" si="97"/>
        <v>#DIV/0!</v>
      </c>
      <c r="R139" s="485" t="e">
        <f t="shared" si="87"/>
        <v>#REF!</v>
      </c>
      <c r="S139" s="485" t="e">
        <f t="shared" si="88"/>
        <v>#REF!</v>
      </c>
      <c r="T139" s="485" t="e">
        <f t="shared" si="89"/>
        <v>#REF!</v>
      </c>
      <c r="U139" s="485" t="e">
        <f t="shared" si="90"/>
        <v>#REF!</v>
      </c>
      <c r="V139" s="485" t="e">
        <f>SUM(F139:Q139)</f>
        <v>#REF!</v>
      </c>
      <c r="W139" s="479">
        <f>45*40*2</f>
        <v>3600</v>
      </c>
    </row>
    <row r="140" spans="1:26" s="479" customFormat="1">
      <c r="A140" s="7291" t="s">
        <v>43</v>
      </c>
      <c r="B140" s="477" t="s">
        <v>55</v>
      </c>
      <c r="C140" s="480"/>
      <c r="D140" s="478">
        <f>(D89-C89)*D4*C215</f>
        <v>197841675.19918102</v>
      </c>
      <c r="E140" s="478">
        <f>D140</f>
        <v>197841675.19918102</v>
      </c>
      <c r="F140" s="478">
        <f t="shared" ref="F140:Q140" si="98">(F89-$C$89)*F4*$C$215</f>
        <v>55689109.841919333</v>
      </c>
      <c r="G140" s="478">
        <f t="shared" si="98"/>
        <v>45393163.717209406</v>
      </c>
      <c r="H140" s="478">
        <f t="shared" si="98"/>
        <v>10307125.051040923</v>
      </c>
      <c r="I140" s="478">
        <f t="shared" si="98"/>
        <v>-2835784.632356842</v>
      </c>
      <c r="J140" s="478">
        <f t="shared" si="98"/>
        <v>27900139.040028006</v>
      </c>
      <c r="K140" s="478">
        <f t="shared" si="98"/>
        <v>-4741918.5334040588</v>
      </c>
      <c r="L140" s="478">
        <f t="shared" si="98"/>
        <v>9047408.454895325</v>
      </c>
      <c r="M140" s="478">
        <f t="shared" si="98"/>
        <v>9427442.8491391689</v>
      </c>
      <c r="N140" s="478">
        <f t="shared" si="98"/>
        <v>17707241.658700112</v>
      </c>
      <c r="O140" s="478">
        <f t="shared" si="98"/>
        <v>54472367.008336499</v>
      </c>
      <c r="P140" s="478">
        <f t="shared" si="98"/>
        <v>4426033.8041061172</v>
      </c>
      <c r="Q140" s="478" t="e">
        <f t="shared" si="98"/>
        <v>#DIV/0!</v>
      </c>
      <c r="R140" s="478">
        <f t="shared" si="87"/>
        <v>111389398.61016965</v>
      </c>
      <c r="S140" s="478">
        <f t="shared" si="88"/>
        <v>131711834.48443675</v>
      </c>
      <c r="T140" s="478">
        <f t="shared" si="89"/>
        <v>167893927.44717133</v>
      </c>
      <c r="U140" s="478" t="e">
        <f t="shared" si="90"/>
        <v>#DIV/0!</v>
      </c>
      <c r="V140" s="478">
        <f>(V89-$C$89)*V4*$C$215</f>
        <v>226792328.25960508</v>
      </c>
    </row>
    <row r="141" spans="1:26" s="479" customFormat="1">
      <c r="A141" s="7292"/>
      <c r="B141" s="2384" t="s">
        <v>1147</v>
      </c>
      <c r="C141" s="2388"/>
      <c r="D141" s="2385">
        <f>(D95-C95)*D4*C215</f>
        <v>205271830.97657198</v>
      </c>
      <c r="E141" s="478">
        <f>D141</f>
        <v>205271830.97657198</v>
      </c>
      <c r="F141" s="2385">
        <f>(F95-$C$95)*(F4+종합!L47)*$C$215</f>
        <v>57928879.414280646</v>
      </c>
      <c r="G141" s="2385">
        <f>(G95-$C$95)*(G4+종합!M47)*$C$215</f>
        <v>47621092.466459915</v>
      </c>
      <c r="H141" s="2385">
        <f>(H95-$C$95)*(H4+종합!N47)*$C$215</f>
        <v>11089887.640765166</v>
      </c>
      <c r="I141" s="2385">
        <f>(I95-$C$95)*(I4+종합!O47)*$C$215</f>
        <v>-587308.62605846743</v>
      </c>
      <c r="J141" s="2385">
        <f>(J95-$C$95)*(J4+종합!P47)*$C$215</f>
        <v>25597039.783988148</v>
      </c>
      <c r="K141" s="2385">
        <f>(K95-$C$95)*(K4+종합!Q47)*$C$215</f>
        <v>-2469778.2080281875</v>
      </c>
      <c r="L141" s="2385">
        <f>(L95-$C$95)*(L4+종합!R47)*$C$215</f>
        <v>6414298.0785105284</v>
      </c>
      <c r="M141" s="2385">
        <f>(M95-$C$95)*(M4+종합!S47)*$C$215</f>
        <v>11375524.395405741</v>
      </c>
      <c r="N141" s="2385">
        <f>(N95-$C$95)*(N4+종합!T47)*$C$215</f>
        <v>19715834.815979831</v>
      </c>
      <c r="O141" s="2385">
        <f>(O95-$C$95)*(O4+종합!U47)*$C$215</f>
        <v>55414645.033217452</v>
      </c>
      <c r="P141" s="2385">
        <f>(P95-$C$95)*(P4+종합!V47)*$C$215</f>
        <v>4546490.2860387638</v>
      </c>
      <c r="Q141" s="2385" t="e">
        <f>(Q95-$C$95)*(Q4+종합!W47)*$C$215</f>
        <v>#DIV/0!</v>
      </c>
      <c r="R141" s="2385"/>
      <c r="S141" s="2385"/>
      <c r="T141" s="2385"/>
      <c r="U141" s="2385"/>
      <c r="V141" s="2385">
        <f>(V95-$C$95)*(V4+종합!X47)*$C$215</f>
        <v>236646605.08056876</v>
      </c>
    </row>
    <row r="142" spans="1:26" s="479" customFormat="1">
      <c r="A142" s="7291"/>
      <c r="B142" s="477" t="s">
        <v>52</v>
      </c>
      <c r="C142" s="480"/>
      <c r="D142" s="478">
        <f>(D113-C113)*D28/60*E215</f>
        <v>162528512.41891521</v>
      </c>
      <c r="E142" s="478">
        <f>D142</f>
        <v>162528512.41891521</v>
      </c>
      <c r="F142" s="478">
        <f t="shared" ref="F142:Q142" si="99">(F113-$C$113)*F33/60*$E$215</f>
        <v>22952847.259645052</v>
      </c>
      <c r="G142" s="478">
        <f t="shared" si="99"/>
        <v>15918165.843019323</v>
      </c>
      <c r="H142" s="478">
        <f t="shared" si="99"/>
        <v>23991939.108845953</v>
      </c>
      <c r="I142" s="478">
        <f t="shared" si="99"/>
        <v>21721126.285043243</v>
      </c>
      <c r="J142" s="478">
        <f t="shared" si="99"/>
        <v>9794935.0410321392</v>
      </c>
      <c r="K142" s="478">
        <f t="shared" si="99"/>
        <v>15035477.921816343</v>
      </c>
      <c r="L142" s="478">
        <f t="shared" si="99"/>
        <v>26839075.505194571</v>
      </c>
      <c r="M142" s="478">
        <f t="shared" si="99"/>
        <v>-2577443.730063607</v>
      </c>
      <c r="N142" s="478">
        <f t="shared" si="99"/>
        <v>24806460.580074206</v>
      </c>
      <c r="O142" s="478">
        <f t="shared" si="99"/>
        <v>24059348.948145211</v>
      </c>
      <c r="P142" s="478">
        <f t="shared" si="99"/>
        <v>1865685.9804631274</v>
      </c>
      <c r="Q142" s="478" t="e">
        <f t="shared" si="99"/>
        <v>#DIV/0!</v>
      </c>
      <c r="R142" s="478">
        <f t="shared" si="87"/>
        <v>62862952.21151033</v>
      </c>
      <c r="S142" s="478">
        <f t="shared" si="88"/>
        <v>109414491.45940205</v>
      </c>
      <c r="T142" s="478">
        <f t="shared" si="89"/>
        <v>158482583.81460723</v>
      </c>
      <c r="U142" s="478" t="e">
        <f t="shared" si="90"/>
        <v>#DIV/0!</v>
      </c>
      <c r="V142" s="478">
        <f>(V113-$C$113)*V33/60*$E$215</f>
        <v>183932069.87600237</v>
      </c>
    </row>
    <row r="143" spans="1:26" s="479" customFormat="1">
      <c r="A143" s="7291"/>
      <c r="B143" s="477" t="s">
        <v>40</v>
      </c>
      <c r="C143" s="480"/>
      <c r="D143" s="478">
        <f>(D16/C119-D16/D119)*E215</f>
        <v>372059743.93755233</v>
      </c>
      <c r="E143" s="478">
        <f>D143</f>
        <v>372059743.93755233</v>
      </c>
      <c r="F143" s="5188">
        <f>((F16+F22)/$C$119-(F16+F22)/F119)*$E$215</f>
        <v>21281669.327090628</v>
      </c>
      <c r="G143" s="5188">
        <f t="shared" ref="G143:Q143" si="100">((G16+G22)/$C$119-(G16+G22)/G119)*$E$215</f>
        <v>-31551398.662418716</v>
      </c>
      <c r="H143" s="5188">
        <f t="shared" si="100"/>
        <v>-48064635.329553932</v>
      </c>
      <c r="I143" s="5188">
        <f t="shared" si="100"/>
        <v>92134091.163219541</v>
      </c>
      <c r="J143" s="5188">
        <f t="shared" si="100"/>
        <v>-40358545.618048079</v>
      </c>
      <c r="K143" s="5188">
        <f t="shared" si="100"/>
        <v>41813101.160840362</v>
      </c>
      <c r="L143" s="5188">
        <f t="shared" si="100"/>
        <v>100102153.52971235</v>
      </c>
      <c r="M143" s="5188">
        <f t="shared" si="100"/>
        <v>26793420.049444992</v>
      </c>
      <c r="N143" s="5188">
        <f t="shared" si="100"/>
        <v>141028804.36427099</v>
      </c>
      <c r="O143" s="5188">
        <f t="shared" si="100"/>
        <v>-101379760.2602755</v>
      </c>
      <c r="P143" s="5188">
        <f t="shared" si="100"/>
        <v>-36265172.834318042</v>
      </c>
      <c r="Q143" s="5188" t="e">
        <f t="shared" si="100"/>
        <v>#DIV/0!</v>
      </c>
      <c r="R143" s="478">
        <f t="shared" si="87"/>
        <v>-58334364.664882019</v>
      </c>
      <c r="S143" s="478">
        <f t="shared" si="88"/>
        <v>35254282.041129805</v>
      </c>
      <c r="T143" s="478">
        <f t="shared" si="89"/>
        <v>303178659.98455811</v>
      </c>
      <c r="U143" s="478" t="e">
        <f t="shared" si="90"/>
        <v>#DIV/0!</v>
      </c>
      <c r="V143" s="478">
        <f>((V16+V22)/$C$119-(V16+V22)/V119)*$E$215</f>
        <v>165533726.88996443</v>
      </c>
    </row>
    <row r="144" spans="1:26" s="479" customFormat="1">
      <c r="A144" s="7293"/>
      <c r="B144" s="5185" t="s">
        <v>1763</v>
      </c>
      <c r="C144" s="5186"/>
      <c r="D144" s="5187">
        <v>372059743.93755233</v>
      </c>
      <c r="E144" s="5187">
        <v>372059743.93755233</v>
      </c>
      <c r="F144" s="5940">
        <f>((F16+F22)/$C$120-(F16+F22)/F120)*$E$215</f>
        <v>100674714.94632709</v>
      </c>
      <c r="G144" s="5940">
        <f t="shared" ref="G144:Q144" si="101">((G16+G22)/$C$120-(G16+G22)/G120)*$E$215</f>
        <v>149144115.91330129</v>
      </c>
      <c r="H144" s="5940">
        <f t="shared" si="101"/>
        <v>54820673.847583078</v>
      </c>
      <c r="I144" s="5940">
        <f t="shared" si="101"/>
        <v>-28843298.780974802</v>
      </c>
      <c r="J144" s="5940">
        <f t="shared" si="101"/>
        <v>180538623.78070661</v>
      </c>
      <c r="K144" s="5940">
        <f t="shared" si="101"/>
        <v>-9875191.0840237942</v>
      </c>
      <c r="L144" s="5940">
        <f t="shared" si="101"/>
        <v>-2269841.5139812236</v>
      </c>
      <c r="M144" s="5940">
        <f t="shared" si="101"/>
        <v>-186380208.98257473</v>
      </c>
      <c r="N144" s="5940">
        <f t="shared" si="101"/>
        <v>-42535759.926017925</v>
      </c>
      <c r="O144" s="5940">
        <f t="shared" si="101"/>
        <v>-96693406.795939133</v>
      </c>
      <c r="P144" s="5940" t="e">
        <f t="shared" si="101"/>
        <v>#DIV/0!</v>
      </c>
      <c r="Q144" s="5940" t="e">
        <f t="shared" si="101"/>
        <v>#DIV/0!</v>
      </c>
      <c r="R144" s="478">
        <f t="shared" si="87"/>
        <v>304639504.70721143</v>
      </c>
      <c r="S144" s="478">
        <f t="shared" si="88"/>
        <v>446459638.6229195</v>
      </c>
      <c r="T144" s="478">
        <f t="shared" si="89"/>
        <v>215273828.20034564</v>
      </c>
      <c r="U144" s="478" t="e">
        <f t="shared" si="90"/>
        <v>#DIV/0!</v>
      </c>
      <c r="V144" s="5187">
        <f>((V16+V22)/$C$120-(V16+V22)/V120)*$E$215</f>
        <v>296920365.18836284</v>
      </c>
    </row>
    <row r="145" spans="1:24" s="479" customFormat="1">
      <c r="A145" s="7291"/>
      <c r="B145" s="477" t="s">
        <v>58</v>
      </c>
      <c r="C145" s="480"/>
      <c r="D145" s="478"/>
      <c r="E145" s="478"/>
      <c r="F145" s="482"/>
      <c r="G145" s="482"/>
      <c r="H145" s="482"/>
      <c r="I145" s="482"/>
      <c r="J145" s="482"/>
      <c r="K145" s="482"/>
      <c r="L145" s="482"/>
      <c r="M145" s="482"/>
      <c r="N145" s="482"/>
      <c r="O145" s="482"/>
      <c r="P145" s="482"/>
      <c r="Q145" s="482"/>
      <c r="R145" s="478">
        <f t="shared" si="87"/>
        <v>0</v>
      </c>
      <c r="S145" s="478">
        <f t="shared" si="88"/>
        <v>0</v>
      </c>
      <c r="T145" s="478">
        <f t="shared" si="89"/>
        <v>0</v>
      </c>
      <c r="U145" s="478">
        <f t="shared" si="90"/>
        <v>0</v>
      </c>
      <c r="V145" s="478">
        <f>SUM(F145:Q145)</f>
        <v>0</v>
      </c>
      <c r="X145" s="479">
        <v>253898029.2906</v>
      </c>
    </row>
    <row r="146" spans="1:24" s="479" customFormat="1">
      <c r="A146" s="7291"/>
      <c r="B146" s="483" t="s">
        <v>57</v>
      </c>
      <c r="C146" s="484"/>
      <c r="D146" s="485">
        <f t="shared" ref="D146:Q146" si="102">D145+D143+D142+D140</f>
        <v>732429931.55564857</v>
      </c>
      <c r="E146" s="485">
        <f t="shared" si="102"/>
        <v>732429931.55564857</v>
      </c>
      <c r="F146" s="485">
        <f t="shared" si="102"/>
        <v>99923626.428655013</v>
      </c>
      <c r="G146" s="485">
        <f t="shared" si="102"/>
        <v>29759930.897810012</v>
      </c>
      <c r="H146" s="485">
        <f t="shared" si="102"/>
        <v>-13765571.169667056</v>
      </c>
      <c r="I146" s="485">
        <f t="shared" si="102"/>
        <v>111019432.81590594</v>
      </c>
      <c r="J146" s="485">
        <f t="shared" si="102"/>
        <v>-2663471.5369879343</v>
      </c>
      <c r="K146" s="485">
        <f t="shared" si="102"/>
        <v>52106660.549252644</v>
      </c>
      <c r="L146" s="485">
        <f t="shared" si="102"/>
        <v>135988637.48980224</v>
      </c>
      <c r="M146" s="485">
        <f t="shared" si="102"/>
        <v>33643419.168520555</v>
      </c>
      <c r="N146" s="485">
        <f t="shared" si="102"/>
        <v>183542506.60304528</v>
      </c>
      <c r="O146" s="485">
        <f t="shared" si="102"/>
        <v>-22848044.303793788</v>
      </c>
      <c r="P146" s="485">
        <f t="shared" si="102"/>
        <v>-29973453.049748801</v>
      </c>
      <c r="Q146" s="485" t="e">
        <f t="shared" si="102"/>
        <v>#DIV/0!</v>
      </c>
      <c r="R146" s="485">
        <f t="shared" si="87"/>
        <v>115917986.15679798</v>
      </c>
      <c r="S146" s="485">
        <f t="shared" si="88"/>
        <v>276380607.98496866</v>
      </c>
      <c r="T146" s="485">
        <f t="shared" si="89"/>
        <v>629555171.2463367</v>
      </c>
      <c r="U146" s="485" t="e">
        <f t="shared" si="90"/>
        <v>#DIV/0!</v>
      </c>
      <c r="V146" s="485" t="e">
        <f>SUM(F146:Q146)</f>
        <v>#DIV/0!</v>
      </c>
      <c r="X146" s="479">
        <v>2.5389802929059999</v>
      </c>
    </row>
    <row r="147" spans="1:24" s="479" customFormat="1">
      <c r="A147" s="7291" t="s">
        <v>45</v>
      </c>
      <c r="B147" s="477" t="s">
        <v>55</v>
      </c>
      <c r="C147" s="480"/>
      <c r="D147" s="478">
        <f>(D90-C90)*D5*C216</f>
        <v>24501908.887719091</v>
      </c>
      <c r="E147" s="478">
        <f>D147</f>
        <v>24501908.887719091</v>
      </c>
      <c r="F147" s="478">
        <f>(F90-$C$90)*F5*$C$216</f>
        <v>-4561288.0794877</v>
      </c>
      <c r="G147" s="478">
        <f t="shared" ref="G147:Q147" si="103">(G90-$C$90)*G5*$C$216</f>
        <v>13840632.604400333</v>
      </c>
      <c r="H147" s="478">
        <f t="shared" si="103"/>
        <v>14332947.757048415</v>
      </c>
      <c r="I147" s="478">
        <f t="shared" si="103"/>
        <v>9174759.5605757236</v>
      </c>
      <c r="J147" s="478">
        <f t="shared" si="103"/>
        <v>9733657.6542436574</v>
      </c>
      <c r="K147" s="478">
        <f t="shared" si="103"/>
        <v>10725099.19080844</v>
      </c>
      <c r="L147" s="478">
        <f t="shared" si="103"/>
        <v>-8984096.2027664464</v>
      </c>
      <c r="M147" s="478">
        <f t="shared" si="103"/>
        <v>15603650.127946995</v>
      </c>
      <c r="N147" s="478">
        <f t="shared" si="103"/>
        <v>12482311.305416094</v>
      </c>
      <c r="O147" s="478">
        <f t="shared" si="103"/>
        <v>9382385.5420715157</v>
      </c>
      <c r="P147" s="478">
        <f t="shared" si="103"/>
        <v>12160766.306904875</v>
      </c>
      <c r="Q147" s="478">
        <f t="shared" si="103"/>
        <v>-11102176.508441618</v>
      </c>
      <c r="R147" s="478">
        <f t="shared" si="87"/>
        <v>23612292.281961046</v>
      </c>
      <c r="S147" s="478">
        <f t="shared" si="88"/>
        <v>53245808.687588863</v>
      </c>
      <c r="T147" s="478">
        <f>SUM(F147:P147)</f>
        <v>93890825.767161906</v>
      </c>
      <c r="U147" s="478">
        <f t="shared" si="90"/>
        <v>29542840.571131416</v>
      </c>
      <c r="V147" s="478">
        <f>(V90-$C$90)*V5*$C$216</f>
        <v>82788649.258731917</v>
      </c>
    </row>
    <row r="148" spans="1:24" s="479" customFormat="1">
      <c r="A148" s="7292"/>
      <c r="B148" s="2384" t="s">
        <v>1147</v>
      </c>
      <c r="C148" s="2388"/>
      <c r="D148" s="2385">
        <f>(D96-C96)*D5*C216</f>
        <v>3756989.1444195174</v>
      </c>
      <c r="E148" s="2385">
        <f>D148</f>
        <v>3756989.1444195174</v>
      </c>
      <c r="F148" s="2385">
        <f>(F96-$C$96)*(F5+종합!L49+종합!AR49)*$C$216</f>
        <v>-17015203.223538756</v>
      </c>
      <c r="G148" s="2385">
        <f>(G96-$C$96)*(G5+종합!M49+종합!AS49)*$C$216</f>
        <v>14620114.22076668</v>
      </c>
      <c r="H148" s="2385">
        <f>(H96-$C$96)*(H5+종합!N49+종합!AT49)*$C$216</f>
        <v>3874161.6912570577</v>
      </c>
      <c r="I148" s="2385">
        <f>(I96-$C$96)*(I5+종합!O49+종합!AU49)*$C$216</f>
        <v>4522090.4926527683</v>
      </c>
      <c r="J148" s="2385">
        <f>(J96-$C$96)*(J5+종합!P49+종합!AV49)*$C$216</f>
        <v>7821300.5117329583</v>
      </c>
      <c r="K148" s="2385">
        <f>(K96-$C$96)*(K5+종합!Q49+종합!AW49)*$C$216</f>
        <v>6198411.4601302436</v>
      </c>
      <c r="L148" s="2385">
        <f>(L96-$C$96)*(L5+종합!R49+종합!AX49)*$C$216</f>
        <v>-11580506.878497362</v>
      </c>
      <c r="M148" s="2385">
        <f>(M96-$C$96)*(M5+종합!S49+종합!AY49)*$C$216</f>
        <v>10907448.731634934</v>
      </c>
      <c r="N148" s="2385">
        <f>(N96-$C$96)*(N5+종합!T49+종합!AZ49)*$C$216</f>
        <v>8264435.4806020083</v>
      </c>
      <c r="O148" s="2385">
        <f>(O96-$C$96)*(O5+종합!U49+종합!BA49)*$C$216</f>
        <v>7712957.5285522481</v>
      </c>
      <c r="P148" s="2385">
        <f>(P96-$C$96)*(P5+종합!V49+종합!BB49)*$C$216</f>
        <v>10997818.461607495</v>
      </c>
      <c r="Q148" s="2385">
        <f>(Q96-$C$96)*(Q5+종합!W49+종합!BC49)*$C$216</f>
        <v>-14678857.835801069</v>
      </c>
      <c r="R148" s="2385"/>
      <c r="S148" s="2385"/>
      <c r="T148" s="2385"/>
      <c r="U148" s="2385"/>
      <c r="V148" s="2385">
        <f>(V96-$C$96)*(V5+종합!X49+종합!BD49)*$C$216</f>
        <v>31644170.641114663</v>
      </c>
    </row>
    <row r="149" spans="1:24" s="479" customFormat="1">
      <c r="A149" s="7291"/>
      <c r="B149" s="477" t="s">
        <v>52</v>
      </c>
      <c r="C149" s="480"/>
      <c r="D149" s="478">
        <f>(D114-C114)*D29/60*E216</f>
        <v>246602683.84770799</v>
      </c>
      <c r="E149" s="2385">
        <f>D149</f>
        <v>246602683.84770799</v>
      </c>
      <c r="F149" s="478">
        <f>(F114-$C$114)*F34/60*$E$216</f>
        <v>17995343.400670338</v>
      </c>
      <c r="G149" s="478">
        <f t="shared" ref="G149:Q149" si="104">(G114-$C$114)*G34/60*$E$216</f>
        <v>1603105.3687836998</v>
      </c>
      <c r="H149" s="478">
        <f t="shared" si="104"/>
        <v>7393083.0445475737</v>
      </c>
      <c r="I149" s="478">
        <f t="shared" si="104"/>
        <v>10253754.363370378</v>
      </c>
      <c r="J149" s="478">
        <f t="shared" si="104"/>
        <v>17808373.049684864</v>
      </c>
      <c r="K149" s="478">
        <f t="shared" si="104"/>
        <v>14376687.145855783</v>
      </c>
      <c r="L149" s="478">
        <f t="shared" si="104"/>
        <v>7927704.3232941991</v>
      </c>
      <c r="M149" s="478">
        <f t="shared" si="104"/>
        <v>-5421956.8723754762</v>
      </c>
      <c r="N149" s="478">
        <f t="shared" si="104"/>
        <v>-4471014.4340685783</v>
      </c>
      <c r="O149" s="478">
        <f t="shared" si="104"/>
        <v>12690811.568039548</v>
      </c>
      <c r="P149" s="478">
        <f t="shared" si="104"/>
        <v>5213774.7603014847</v>
      </c>
      <c r="Q149" s="478">
        <f t="shared" si="104"/>
        <v>-16030892.680291308</v>
      </c>
      <c r="R149" s="478">
        <f t="shared" si="87"/>
        <v>26991531.814001612</v>
      </c>
      <c r="S149" s="478">
        <f t="shared" si="88"/>
        <v>69430346.372912645</v>
      </c>
      <c r="T149" s="478">
        <f t="shared" si="89"/>
        <v>67465079.389762789</v>
      </c>
      <c r="U149" s="478">
        <f t="shared" si="90"/>
        <v>-91573.335100131109</v>
      </c>
      <c r="V149" s="478">
        <f>(V114-$C$114)*V34/60*$E$216</f>
        <v>67172441.440013051</v>
      </c>
    </row>
    <row r="150" spans="1:24" s="479" customFormat="1">
      <c r="A150" s="7291"/>
      <c r="B150" s="477" t="s">
        <v>40</v>
      </c>
      <c r="C150" s="480"/>
      <c r="D150" s="478">
        <f>(D17/C121-D17/D121)*E216</f>
        <v>426148537.29105282</v>
      </c>
      <c r="E150" s="2385">
        <f>D150</f>
        <v>426148537.29105282</v>
      </c>
      <c r="F150" s="478">
        <f>((F17+F23)/$C$121-(F17+F23)/F121)*$E$216</f>
        <v>1113231.6251604569</v>
      </c>
      <c r="G150" s="478">
        <f t="shared" ref="G150:Q150" si="105">((G17+G23)/$C$121-(G17+G23)/G121)*$E$216</f>
        <v>-17084283.593932733</v>
      </c>
      <c r="H150" s="478">
        <f t="shared" si="105"/>
        <v>28900996.523740873</v>
      </c>
      <c r="I150" s="478">
        <f t="shared" si="105"/>
        <v>-4715920.1175723122</v>
      </c>
      <c r="J150" s="478">
        <f t="shared" si="105"/>
        <v>-52649053.79180871</v>
      </c>
      <c r="K150" s="478">
        <f t="shared" si="105"/>
        <v>-24384065.997604426</v>
      </c>
      <c r="L150" s="478">
        <f t="shared" si="105"/>
        <v>3220995.0214657383</v>
      </c>
      <c r="M150" s="478">
        <f t="shared" si="105"/>
        <v>-3878285.1644771053</v>
      </c>
      <c r="N150" s="478">
        <f t="shared" si="105"/>
        <v>-4859764.4513989789</v>
      </c>
      <c r="O150" s="478">
        <f t="shared" si="105"/>
        <v>-29368841.193495367</v>
      </c>
      <c r="P150" s="478">
        <f t="shared" si="105"/>
        <v>-41846337.734836414</v>
      </c>
      <c r="Q150" s="478">
        <f t="shared" si="105"/>
        <v>-44373943.87056224</v>
      </c>
      <c r="R150" s="478">
        <f t="shared" si="87"/>
        <v>12929944.554968597</v>
      </c>
      <c r="S150" s="478">
        <f t="shared" si="88"/>
        <v>-68819095.352016851</v>
      </c>
      <c r="T150" s="478">
        <f t="shared" si="89"/>
        <v>-74336149.946427196</v>
      </c>
      <c r="U150" s="478">
        <f t="shared" si="90"/>
        <v>-121106177.39330436</v>
      </c>
      <c r="V150" s="478">
        <f>((V17+V23)/$C$121-(V17+V23)/V121)*$E$216</f>
        <v>-189925272.7453199</v>
      </c>
    </row>
    <row r="151" spans="1:24" s="479" customFormat="1">
      <c r="A151" s="7293"/>
      <c r="B151" s="5185" t="s">
        <v>1826</v>
      </c>
      <c r="C151" s="5186"/>
      <c r="D151" s="5187">
        <v>426148537.29105282</v>
      </c>
      <c r="E151" s="5187">
        <v>426148537.29105282</v>
      </c>
      <c r="F151" s="478">
        <f>((F17+F23)/$C$122-(F17+F23)/F122)*$E$216</f>
        <v>891248.83227998414</v>
      </c>
      <c r="G151" s="478">
        <f t="shared" ref="G151:Q151" si="106">((G17+G23)/$C$122-(G17+G23)/G122)*$E$216</f>
        <v>13440848.979617486</v>
      </c>
      <c r="H151" s="478">
        <f t="shared" si="106"/>
        <v>51457578.785058834</v>
      </c>
      <c r="I151" s="478">
        <f t="shared" si="106"/>
        <v>43451941.357455015</v>
      </c>
      <c r="J151" s="478">
        <f t="shared" si="106"/>
        <v>23268001.520340182</v>
      </c>
      <c r="K151" s="478">
        <f t="shared" si="106"/>
        <v>54467901.989892952</v>
      </c>
      <c r="L151" s="478">
        <f t="shared" si="106"/>
        <v>63000089.939419314</v>
      </c>
      <c r="M151" s="478">
        <f t="shared" si="106"/>
        <v>11529583.552192446</v>
      </c>
      <c r="N151" s="478">
        <f t="shared" si="106"/>
        <v>18046404.074408263</v>
      </c>
      <c r="O151" s="478">
        <f t="shared" si="106"/>
        <v>19895149.348459814</v>
      </c>
      <c r="P151" s="478">
        <f t="shared" si="106"/>
        <v>28894651.575706892</v>
      </c>
      <c r="Q151" s="478">
        <f t="shared" si="106"/>
        <v>-4465968.9033709625</v>
      </c>
      <c r="R151" s="5187"/>
      <c r="S151" s="5187"/>
      <c r="T151" s="5187"/>
      <c r="U151" s="5187"/>
      <c r="V151" s="5187">
        <f>((V17+V23)/$C$122-(V17+V23)/V122)*$E$216</f>
        <v>315537591.58814543</v>
      </c>
    </row>
    <row r="152" spans="1:24" s="479" customFormat="1">
      <c r="A152" s="7291"/>
      <c r="B152" s="477" t="s">
        <v>58</v>
      </c>
      <c r="C152" s="480"/>
      <c r="D152" s="478"/>
      <c r="E152" s="478">
        <f>SUM(F152:P152)</f>
        <v>0</v>
      </c>
      <c r="F152" s="482"/>
      <c r="G152" s="482"/>
      <c r="H152" s="482"/>
      <c r="I152" s="482"/>
      <c r="J152" s="482"/>
      <c r="K152" s="482"/>
      <c r="L152" s="482"/>
      <c r="M152" s="482"/>
      <c r="N152" s="482"/>
      <c r="O152" s="482"/>
      <c r="P152" s="482"/>
      <c r="Q152" s="482"/>
      <c r="R152" s="478">
        <f>SUM(F152:I152)</f>
        <v>0</v>
      </c>
      <c r="S152" s="478">
        <f t="shared" si="88"/>
        <v>0</v>
      </c>
      <c r="T152" s="478">
        <f t="shared" si="89"/>
        <v>0</v>
      </c>
      <c r="U152" s="478">
        <f t="shared" si="90"/>
        <v>0</v>
      </c>
      <c r="V152" s="478">
        <f>SUM(F152:Q152)</f>
        <v>0</v>
      </c>
      <c r="W152" s="4762" t="s">
        <v>1691</v>
      </c>
    </row>
    <row r="153" spans="1:24" s="479" customFormat="1">
      <c r="A153" s="7291"/>
      <c r="B153" s="481" t="s">
        <v>61</v>
      </c>
      <c r="C153" s="480"/>
      <c r="D153" s="478"/>
      <c r="E153" s="478">
        <f>SUM(F153:K153)</f>
        <v>0</v>
      </c>
      <c r="F153" s="482"/>
      <c r="G153" s="482"/>
      <c r="H153" s="482"/>
      <c r="I153" s="482"/>
      <c r="J153" s="482"/>
      <c r="K153" s="482"/>
      <c r="L153" s="482"/>
      <c r="M153" s="482"/>
      <c r="N153" s="482"/>
      <c r="O153" s="482"/>
      <c r="P153" s="482"/>
      <c r="Q153" s="482"/>
      <c r="R153" s="478">
        <f>SUM(F153:M153)</f>
        <v>0</v>
      </c>
      <c r="S153" s="478">
        <f>SUM(F153:M153)</f>
        <v>0</v>
      </c>
      <c r="T153" s="478">
        <f t="shared" si="89"/>
        <v>0</v>
      </c>
      <c r="U153" s="478">
        <f t="shared" si="90"/>
        <v>0</v>
      </c>
      <c r="V153" s="478">
        <f>SUM(F153:Q153)</f>
        <v>0</v>
      </c>
    </row>
    <row r="154" spans="1:24" s="479" customFormat="1">
      <c r="A154" s="7291"/>
      <c r="B154" s="483" t="s">
        <v>57</v>
      </c>
      <c r="C154" s="484"/>
      <c r="D154" s="485">
        <f t="shared" ref="D154:Q154" si="107">SUM(D147:D153)</f>
        <v>1127158656.4619522</v>
      </c>
      <c r="E154" s="485">
        <f t="shared" si="107"/>
        <v>1127158656.4619522</v>
      </c>
      <c r="F154" s="485">
        <f t="shared" si="107"/>
        <v>-1576667.4449156772</v>
      </c>
      <c r="G154" s="485">
        <f t="shared" si="107"/>
        <v>26420417.579635471</v>
      </c>
      <c r="H154" s="485">
        <f t="shared" si="107"/>
        <v>105958767.80165276</v>
      </c>
      <c r="I154" s="485">
        <f t="shared" si="107"/>
        <v>62686625.656481579</v>
      </c>
      <c r="J154" s="485">
        <f t="shared" si="107"/>
        <v>5982278.9441929534</v>
      </c>
      <c r="K154" s="485">
        <f t="shared" si="107"/>
        <v>61384033.789082989</v>
      </c>
      <c r="L154" s="485">
        <f t="shared" si="107"/>
        <v>53584186.202915445</v>
      </c>
      <c r="M154" s="485">
        <f t="shared" si="107"/>
        <v>28740440.374921791</v>
      </c>
      <c r="N154" s="485">
        <f t="shared" si="107"/>
        <v>29462371.974958807</v>
      </c>
      <c r="O154" s="485">
        <f t="shared" si="107"/>
        <v>20312462.793627758</v>
      </c>
      <c r="P154" s="485">
        <f t="shared" si="107"/>
        <v>15420673.369684331</v>
      </c>
      <c r="Q154" s="485">
        <f t="shared" si="107"/>
        <v>-90651839.798467204</v>
      </c>
      <c r="R154" s="485">
        <f t="shared" si="87"/>
        <v>130802517.93637255</v>
      </c>
      <c r="S154" s="485">
        <f t="shared" si="88"/>
        <v>260855456.32613009</v>
      </c>
      <c r="T154" s="485">
        <f t="shared" si="89"/>
        <v>372642454.87892616</v>
      </c>
      <c r="U154" s="485">
        <f t="shared" si="90"/>
        <v>56868294.91764091</v>
      </c>
      <c r="V154" s="485">
        <f>SUM(F154:Q154)</f>
        <v>317723751.24377102</v>
      </c>
    </row>
    <row r="155" spans="1:24" s="479" customFormat="1">
      <c r="A155" s="7291" t="s">
        <v>62</v>
      </c>
      <c r="B155" s="477" t="s">
        <v>55</v>
      </c>
      <c r="C155" s="480"/>
      <c r="D155" s="478">
        <f>(D91-C91)*D6*C217</f>
        <v>30692805.141862486</v>
      </c>
      <c r="E155" s="478">
        <f>D155</f>
        <v>30692805.141862486</v>
      </c>
      <c r="F155" s="478">
        <f t="shared" ref="F155:Q155" si="108">(F91-$C$91)*F6*$C$217</f>
        <v>9523895.8859179039</v>
      </c>
      <c r="G155" s="478">
        <f t="shared" si="108"/>
        <v>7846869.5285999309</v>
      </c>
      <c r="H155" s="478">
        <f t="shared" si="108"/>
        <v>-1062057.672715032</v>
      </c>
      <c r="I155" s="478">
        <f t="shared" si="108"/>
        <v>8146536.6048092311</v>
      </c>
      <c r="J155" s="478">
        <f t="shared" si="108"/>
        <v>4787540.506809039</v>
      </c>
      <c r="K155" s="478">
        <f t="shared" si="108"/>
        <v>13614582.279781017</v>
      </c>
      <c r="L155" s="478">
        <f t="shared" si="108"/>
        <v>6006438.5410043169</v>
      </c>
      <c r="M155" s="478">
        <f>(M91-$C$91)*M6*$C$217</f>
        <v>-881902.31395132525</v>
      </c>
      <c r="N155" s="478">
        <f t="shared" si="108"/>
        <v>9344640.0813001227</v>
      </c>
      <c r="O155" s="478">
        <f t="shared" si="108"/>
        <v>8943277.8074132688</v>
      </c>
      <c r="P155" s="478">
        <f t="shared" si="108"/>
        <v>9601264.2736668158</v>
      </c>
      <c r="Q155" s="478">
        <f t="shared" si="108"/>
        <v>14697059.717906917</v>
      </c>
      <c r="R155" s="478">
        <f t="shared" si="87"/>
        <v>16308707.741802802</v>
      </c>
      <c r="S155" s="478">
        <f t="shared" si="88"/>
        <v>42857367.133202091</v>
      </c>
      <c r="T155" s="478">
        <f t="shared" si="89"/>
        <v>57326543.441555202</v>
      </c>
      <c r="U155" s="478">
        <f t="shared" si="90"/>
        <v>47710778.107340112</v>
      </c>
      <c r="V155" s="478">
        <f>(V91-$C$91)*V6*$C$217</f>
        <v>90568145.240533367</v>
      </c>
    </row>
    <row r="156" spans="1:24" s="479" customFormat="1">
      <c r="A156" s="7292"/>
      <c r="B156" s="2384" t="s">
        <v>1147</v>
      </c>
      <c r="C156" s="2388"/>
      <c r="D156" s="2385">
        <f>(D97-C97)*D6*C217</f>
        <v>57720251.575596653</v>
      </c>
      <c r="E156" s="2385">
        <f>D156</f>
        <v>57720251.575596653</v>
      </c>
      <c r="F156" s="2385">
        <f>(F97-$C$97)*(F6+종합!L50+종합!AR50)*$C$217</f>
        <v>5614627.7562289722</v>
      </c>
      <c r="G156" s="2385">
        <f>(G97-$C$97)*(G6+종합!M50+종합!AS50)*$C$217</f>
        <v>4898598.5036199689</v>
      </c>
      <c r="H156" s="2385">
        <f>(H97-$C$97)*(H6+종합!N50+종합!AT50)*$C$217</f>
        <v>-13188798.802532036</v>
      </c>
      <c r="I156" s="2385">
        <f>(I97-$C$97)*(I6+종합!O50+종합!AU50)*$C$217</f>
        <v>2020579.1788232871</v>
      </c>
      <c r="J156" s="2385">
        <f>(J97-$C$97)*(J6+종합!P50+종합!AV50)*$C$217</f>
        <v>-7955134.8389522471</v>
      </c>
      <c r="K156" s="2385">
        <f>(K97-$C$97)*(K6+종합!Q50+종합!AW50)*$C$217</f>
        <v>12140102.693976846</v>
      </c>
      <c r="L156" s="2385">
        <f>(L97-$C$97)*(L6+종합!R50+종합!AX50)*$C$217</f>
        <v>2337431.9258357054</v>
      </c>
      <c r="M156" s="2385">
        <f>(M97-$C$97)*(M6+종합!S50+종합!AY50)*$C$217</f>
        <v>-4769251.690222335</v>
      </c>
      <c r="N156" s="2385">
        <f>(N97-$C$97)*(N6+종합!T50+종합!AZ50)*$C$217</f>
        <v>-4386759.936697647</v>
      </c>
      <c r="O156" s="2385">
        <f>(O97-$C$97)*(O6+종합!U50+종합!BA50)*$C$217</f>
        <v>2309604.4627265744</v>
      </c>
      <c r="P156" s="2385">
        <f>(P97-$C$97)*(P6+종합!V50+종합!BB50)*$C$217</f>
        <v>-9988646.8161346614</v>
      </c>
      <c r="Q156" s="2385">
        <f>(Q97-$C$97)*(Q6+종합!W50+종합!BC50)*$C$217</f>
        <v>5787261.7840740616</v>
      </c>
      <c r="R156" s="2385"/>
      <c r="S156" s="2385"/>
      <c r="T156" s="2385"/>
      <c r="U156" s="2385"/>
      <c r="V156" s="2385">
        <f>(V97-$C$97)*(V6+종합!X50+종합!BD50)*$C$217</f>
        <v>-5180385.7792616133</v>
      </c>
    </row>
    <row r="157" spans="1:24" s="479" customFormat="1">
      <c r="A157" s="7291"/>
      <c r="B157" s="477" t="s">
        <v>52</v>
      </c>
      <c r="C157" s="480"/>
      <c r="D157" s="478">
        <f>(D115-C115)*D29/60*E217</f>
        <v>25412919.068280723</v>
      </c>
      <c r="E157" s="2385">
        <f>D157</f>
        <v>25412919.068280723</v>
      </c>
      <c r="F157" s="478">
        <f t="shared" ref="F157:Q157" si="109">(F115-$C$115)*F30/60*$E$217</f>
        <v>33520814.30121829</v>
      </c>
      <c r="G157" s="478">
        <f t="shared" si="109"/>
        <v>38398814.720558561</v>
      </c>
      <c r="H157" s="478">
        <f t="shared" si="109"/>
        <v>-1372397.9293956722</v>
      </c>
      <c r="I157" s="478">
        <f t="shared" si="109"/>
        <v>9150797.6708910838</v>
      </c>
      <c r="J157" s="478">
        <f t="shared" si="109"/>
        <v>8861009.1949843392</v>
      </c>
      <c r="K157" s="478">
        <f t="shared" si="109"/>
        <v>32031868.956285901</v>
      </c>
      <c r="L157" s="478">
        <f t="shared" si="109"/>
        <v>24881855.250914786</v>
      </c>
      <c r="M157" s="478">
        <f t="shared" si="109"/>
        <v>8804252.1998641007</v>
      </c>
      <c r="N157" s="478">
        <f t="shared" si="109"/>
        <v>-4574039.4021595363</v>
      </c>
      <c r="O157" s="478">
        <f t="shared" si="109"/>
        <v>-277564.25388299697</v>
      </c>
      <c r="P157" s="478">
        <f t="shared" si="109"/>
        <v>21950185.912453134</v>
      </c>
      <c r="Q157" s="478">
        <f t="shared" si="109"/>
        <v>17803071.245036349</v>
      </c>
      <c r="R157" s="478">
        <f t="shared" si="87"/>
        <v>70547231.092381179</v>
      </c>
      <c r="S157" s="478">
        <f t="shared" si="88"/>
        <v>120590906.9145425</v>
      </c>
      <c r="T157" s="478">
        <f t="shared" si="89"/>
        <v>149702974.96316183</v>
      </c>
      <c r="U157" s="478">
        <f t="shared" si="90"/>
        <v>68587760.952225834</v>
      </c>
      <c r="V157" s="478">
        <f>(V115-$C$115)*V30/60*$E$217</f>
        <v>189178667.86676878</v>
      </c>
    </row>
    <row r="158" spans="1:24" s="479" customFormat="1">
      <c r="A158" s="7291"/>
      <c r="B158" s="477" t="s">
        <v>40</v>
      </c>
      <c r="C158" s="480"/>
      <c r="D158" s="478">
        <f>(D18/C123-D18/D123)*E217</f>
        <v>116304956.93343122</v>
      </c>
      <c r="E158" s="2385">
        <f>D158</f>
        <v>116304956.93343122</v>
      </c>
      <c r="F158" s="478">
        <f t="shared" ref="F158:Q158" si="110">(F18/$C$123-F18/F123)*$E$217</f>
        <v>29982446.976952035</v>
      </c>
      <c r="G158" s="478">
        <f t="shared" si="110"/>
        <v>78657604.100983247</v>
      </c>
      <c r="H158" s="478">
        <f t="shared" si="110"/>
        <v>35980229.229228139</v>
      </c>
      <c r="I158" s="478">
        <f t="shared" si="110"/>
        <v>25147585.082905196</v>
      </c>
      <c r="J158" s="478">
        <f t="shared" si="110"/>
        <v>-15154061.377782851</v>
      </c>
      <c r="K158" s="478">
        <f t="shared" si="110"/>
        <v>30059394.307427596</v>
      </c>
      <c r="L158" s="478">
        <f t="shared" si="110"/>
        <v>22310445.129262205</v>
      </c>
      <c r="M158" s="478">
        <f t="shared" si="110"/>
        <v>63583861.438013792</v>
      </c>
      <c r="N158" s="478">
        <f t="shared" si="110"/>
        <v>-28721139.306133408</v>
      </c>
      <c r="O158" s="478">
        <f t="shared" si="110"/>
        <v>-46059882.891632475</v>
      </c>
      <c r="P158" s="478">
        <f t="shared" si="110"/>
        <v>-13718174.942483636</v>
      </c>
      <c r="Q158" s="478">
        <f t="shared" si="110"/>
        <v>-42345664.194401264</v>
      </c>
      <c r="R158" s="478">
        <f t="shared" si="87"/>
        <v>144620280.30716342</v>
      </c>
      <c r="S158" s="478">
        <f t="shared" si="88"/>
        <v>184673198.31971335</v>
      </c>
      <c r="T158" s="478">
        <f t="shared" si="89"/>
        <v>241846365.58085594</v>
      </c>
      <c r="U158" s="478">
        <f t="shared" si="90"/>
        <v>-44950554.767374776</v>
      </c>
      <c r="V158" s="478">
        <f>(V18/$C$123-V18/V123)*$E$217</f>
        <v>139709250.8955602</v>
      </c>
    </row>
    <row r="159" spans="1:24" s="479" customFormat="1">
      <c r="A159" s="7291"/>
      <c r="B159" s="477" t="s">
        <v>58</v>
      </c>
      <c r="C159" s="480"/>
      <c r="D159" s="478"/>
      <c r="E159" s="478">
        <f>SUM(F159:K159)</f>
        <v>0</v>
      </c>
      <c r="F159" s="482"/>
      <c r="G159" s="482"/>
      <c r="H159" s="482"/>
      <c r="I159" s="482"/>
      <c r="J159" s="482"/>
      <c r="K159" s="482"/>
      <c r="L159" s="482"/>
      <c r="M159" s="482"/>
      <c r="N159" s="482"/>
      <c r="O159" s="482"/>
      <c r="P159" s="482"/>
      <c r="Q159" s="482"/>
      <c r="R159" s="478">
        <f t="shared" si="87"/>
        <v>0</v>
      </c>
      <c r="S159" s="478">
        <f t="shared" si="88"/>
        <v>0</v>
      </c>
      <c r="T159" s="478">
        <f t="shared" si="89"/>
        <v>0</v>
      </c>
      <c r="U159" s="478">
        <f t="shared" si="90"/>
        <v>0</v>
      </c>
      <c r="V159" s="478">
        <f>SUM(F159:Q159)</f>
        <v>0</v>
      </c>
    </row>
    <row r="160" spans="1:24" s="479" customFormat="1">
      <c r="A160" s="7291"/>
      <c r="B160" s="481" t="s">
        <v>60</v>
      </c>
      <c r="C160" s="480"/>
      <c r="D160" s="487"/>
      <c r="E160" s="478">
        <f>SUM(F160:K160)</f>
        <v>0</v>
      </c>
      <c r="F160" s="482"/>
      <c r="G160" s="482"/>
      <c r="H160" s="482"/>
      <c r="I160" s="482"/>
      <c r="J160" s="482"/>
      <c r="K160" s="482"/>
      <c r="L160" s="482"/>
      <c r="M160" s="482"/>
      <c r="N160" s="482"/>
      <c r="O160" s="482"/>
      <c r="P160" s="482"/>
      <c r="Q160" s="482"/>
      <c r="R160" s="478">
        <f>SUM(F160:M160)</f>
        <v>0</v>
      </c>
      <c r="S160" s="478">
        <f>SUM(F160:M160)</f>
        <v>0</v>
      </c>
      <c r="T160" s="478">
        <f t="shared" si="89"/>
        <v>0</v>
      </c>
      <c r="U160" s="478">
        <f t="shared" si="90"/>
        <v>0</v>
      </c>
      <c r="V160" s="478">
        <f>SUM(F160:Q160)</f>
        <v>0</v>
      </c>
      <c r="W160" s="479">
        <v>319336.86499999999</v>
      </c>
    </row>
    <row r="161" spans="1:24" s="479" customFormat="1">
      <c r="A161" s="7291"/>
      <c r="B161" s="481" t="s">
        <v>63</v>
      </c>
      <c r="C161" s="480"/>
      <c r="D161" s="478"/>
      <c r="E161" s="478">
        <f>SUM(F161:K161)</f>
        <v>0</v>
      </c>
      <c r="F161" s="482"/>
      <c r="G161" s="482"/>
      <c r="H161" s="482"/>
      <c r="I161" s="482"/>
      <c r="J161" s="482"/>
      <c r="K161" s="482"/>
      <c r="L161" s="482"/>
      <c r="M161" s="482"/>
      <c r="N161" s="482"/>
      <c r="O161" s="482"/>
      <c r="P161" s="482"/>
      <c r="Q161" s="482"/>
      <c r="R161" s="478">
        <f>SUM(F161:M161)</f>
        <v>0</v>
      </c>
      <c r="S161" s="478">
        <f>SUM(F161:M161)</f>
        <v>0</v>
      </c>
      <c r="T161" s="478">
        <f t="shared" si="89"/>
        <v>0</v>
      </c>
      <c r="U161" s="478">
        <f t="shared" si="90"/>
        <v>0</v>
      </c>
      <c r="V161" s="478">
        <f>SUM(F161:Q161)</f>
        <v>0</v>
      </c>
      <c r="W161" s="479">
        <v>310955.55</v>
      </c>
    </row>
    <row r="162" spans="1:24" s="479" customFormat="1">
      <c r="A162" s="7291"/>
      <c r="B162" s="483" t="s">
        <v>57</v>
      </c>
      <c r="C162" s="484"/>
      <c r="D162" s="485">
        <f>SUM(D155:D161)</f>
        <v>230130932.71917111</v>
      </c>
      <c r="E162" s="485">
        <f t="shared" ref="E162:Q162" si="111">SUM(E155:E161)</f>
        <v>230130932.71917111</v>
      </c>
      <c r="F162" s="485">
        <f t="shared" si="111"/>
        <v>78641784.920317203</v>
      </c>
      <c r="G162" s="485">
        <f t="shared" si="111"/>
        <v>129801886.8537617</v>
      </c>
      <c r="H162" s="485">
        <f t="shared" si="111"/>
        <v>20356974.824585401</v>
      </c>
      <c r="I162" s="485">
        <f t="shared" si="111"/>
        <v>44465498.537428796</v>
      </c>
      <c r="J162" s="485">
        <f t="shared" si="111"/>
        <v>-9460646.5149417203</v>
      </c>
      <c r="K162" s="485">
        <f t="shared" si="111"/>
        <v>87845948.237471357</v>
      </c>
      <c r="L162" s="485">
        <f t="shared" si="111"/>
        <v>55536170.847017013</v>
      </c>
      <c r="M162" s="485">
        <f t="shared" si="111"/>
        <v>66736959.63370423</v>
      </c>
      <c r="N162" s="485">
        <f t="shared" si="111"/>
        <v>-28337298.563690469</v>
      </c>
      <c r="O162" s="485">
        <f t="shared" si="111"/>
        <v>-35084564.875375628</v>
      </c>
      <c r="P162" s="485">
        <f t="shared" si="111"/>
        <v>7844628.4275016543</v>
      </c>
      <c r="Q162" s="485">
        <f t="shared" si="111"/>
        <v>-4058271.4473839402</v>
      </c>
      <c r="R162" s="485">
        <f t="shared" si="87"/>
        <v>228800646.59866431</v>
      </c>
      <c r="S162" s="485">
        <f t="shared" si="88"/>
        <v>351651446.85862279</v>
      </c>
      <c r="T162" s="485">
        <f t="shared" si="89"/>
        <v>445587278.77565354</v>
      </c>
      <c r="U162" s="485">
        <f t="shared" si="90"/>
        <v>62637624.021772854</v>
      </c>
      <c r="V162" s="485">
        <f>SUM(F162:Q162)</f>
        <v>414289070.88039565</v>
      </c>
    </row>
    <row r="163" spans="1:24" ht="19.2">
      <c r="A163" s="5"/>
      <c r="B163" s="4"/>
      <c r="C163" s="101"/>
      <c r="D163" s="495"/>
      <c r="E163" s="102"/>
      <c r="F163" s="102"/>
      <c r="G163" s="496"/>
      <c r="H163" s="496"/>
      <c r="I163" s="496"/>
      <c r="J163" s="102"/>
      <c r="K163" s="102"/>
      <c r="L163" s="497"/>
      <c r="M163" s="102"/>
      <c r="N163" s="102"/>
      <c r="O163" s="498"/>
      <c r="P163" s="102"/>
      <c r="Q163" s="102"/>
      <c r="R163" s="102"/>
      <c r="S163" s="102"/>
      <c r="T163" s="102"/>
      <c r="U163" s="102"/>
      <c r="V163" s="102"/>
    </row>
    <row r="164" spans="1:24" s="5" customFormat="1">
      <c r="A164" s="7271" t="s">
        <v>0</v>
      </c>
      <c r="B164" s="7271"/>
      <c r="C164" s="2735" t="s">
        <v>1169</v>
      </c>
      <c r="D164" s="2735" t="s">
        <v>1269</v>
      </c>
      <c r="E164" s="2735" t="s">
        <v>1270</v>
      </c>
      <c r="F164" s="208" t="s">
        <v>48</v>
      </c>
      <c r="G164" s="208" t="s">
        <v>5</v>
      </c>
      <c r="H164" s="208" t="s">
        <v>6</v>
      </c>
      <c r="I164" s="208" t="s">
        <v>7</v>
      </c>
      <c r="J164" s="208" t="s">
        <v>8</v>
      </c>
      <c r="K164" s="208" t="s">
        <v>9</v>
      </c>
      <c r="L164" s="208" t="s">
        <v>10</v>
      </c>
      <c r="M164" s="208" t="s">
        <v>11</v>
      </c>
      <c r="N164" s="208" t="s">
        <v>12</v>
      </c>
      <c r="O164" s="208" t="s">
        <v>13</v>
      </c>
      <c r="P164" s="208" t="s">
        <v>14</v>
      </c>
      <c r="Q164" s="208" t="s">
        <v>15</v>
      </c>
      <c r="R164" s="209" t="s">
        <v>19</v>
      </c>
      <c r="S164" s="209" t="s">
        <v>20</v>
      </c>
      <c r="T164" s="209" t="s">
        <v>21</v>
      </c>
      <c r="U164" s="209" t="s">
        <v>178</v>
      </c>
      <c r="V164" s="209" t="s">
        <v>22</v>
      </c>
    </row>
    <row r="165" spans="1:24" s="62" customFormat="1">
      <c r="A165" s="7256" t="s">
        <v>64</v>
      </c>
      <c r="B165" s="210" t="s">
        <v>65</v>
      </c>
      <c r="C165" s="214"/>
      <c r="D165" s="215">
        <f>D181</f>
        <v>17151387.498760357</v>
      </c>
      <c r="E165" s="214">
        <f>D165</f>
        <v>17151387.498760357</v>
      </c>
      <c r="F165" s="214">
        <f>F181</f>
        <v>9622658.3324029781</v>
      </c>
      <c r="G165" s="214">
        <f>G181</f>
        <v>-1474377.8610271015</v>
      </c>
      <c r="H165" s="214">
        <f>H181</f>
        <v>13977111.708165254</v>
      </c>
      <c r="I165" s="214">
        <f>I181</f>
        <v>8314800.6461417684</v>
      </c>
      <c r="J165" s="214">
        <f t="shared" ref="J165:Q165" si="112">J181</f>
        <v>7093356.8830767106</v>
      </c>
      <c r="K165" s="214">
        <f t="shared" si="112"/>
        <v>11911490.695510793</v>
      </c>
      <c r="L165" s="214">
        <f t="shared" si="112"/>
        <v>14384621.11985247</v>
      </c>
      <c r="M165" s="214">
        <f t="shared" si="112"/>
        <v>-6374119.8241239488</v>
      </c>
      <c r="N165" s="214">
        <f t="shared" si="112"/>
        <v>6049978.5651366878</v>
      </c>
      <c r="O165" s="214">
        <f t="shared" si="112"/>
        <v>13078830.225487933</v>
      </c>
      <c r="P165" s="214" t="e">
        <f t="shared" si="112"/>
        <v>#DIV/0!</v>
      </c>
      <c r="Q165" s="214" t="e">
        <f t="shared" si="112"/>
        <v>#DIV/0!</v>
      </c>
      <c r="R165" s="214">
        <f>SUM(F165:H165)</f>
        <v>22125392.179541133</v>
      </c>
      <c r="S165" s="214">
        <f>S181</f>
        <v>117607955.16775419</v>
      </c>
      <c r="T165" s="214">
        <f>T181</f>
        <v>14554258.828831472</v>
      </c>
      <c r="U165" s="213" t="e">
        <f t="shared" ref="U165:U173" si="113">SUM(L165:Q165)</f>
        <v>#DIV/0!</v>
      </c>
      <c r="V165" s="214">
        <f>V181</f>
        <v>75654997.908735529</v>
      </c>
    </row>
    <row r="166" spans="1:24" s="62" customFormat="1">
      <c r="A166" s="7256"/>
      <c r="B166" s="210" t="s">
        <v>66</v>
      </c>
      <c r="C166" s="214"/>
      <c r="D166" s="215">
        <f>D191</f>
        <v>26143932.687001642</v>
      </c>
      <c r="E166" s="214">
        <f>D166</f>
        <v>26143932.687001642</v>
      </c>
      <c r="F166" s="214">
        <f>F191</f>
        <v>5472198.1135117542</v>
      </c>
      <c r="G166" s="214">
        <f t="shared" ref="G166:Q166" si="114">G191</f>
        <v>3507646.3863316751</v>
      </c>
      <c r="H166" s="214">
        <f t="shared" si="114"/>
        <v>5472198.1135117542</v>
      </c>
      <c r="I166" s="214">
        <f t="shared" si="114"/>
        <v>1776223.6193906753</v>
      </c>
      <c r="J166" s="214">
        <f t="shared" si="114"/>
        <v>4240206.6154713947</v>
      </c>
      <c r="K166" s="214">
        <f t="shared" si="114"/>
        <v>5472198.1135117542</v>
      </c>
      <c r="L166" s="214">
        <f t="shared" si="114"/>
        <v>5472198.1135117542</v>
      </c>
      <c r="M166" s="214">
        <f t="shared" si="114"/>
        <v>-4240206.6154713947</v>
      </c>
      <c r="N166" s="214">
        <f t="shared" si="114"/>
        <v>4007077.655232315</v>
      </c>
      <c r="O166" s="214">
        <f t="shared" si="114"/>
        <v>5472198.1135117542</v>
      </c>
      <c r="P166" s="214">
        <f t="shared" si="114"/>
        <v>4240206.6154713947</v>
      </c>
      <c r="Q166" s="214">
        <f t="shared" si="114"/>
        <v>1776223.6193906753</v>
      </c>
      <c r="R166" s="214">
        <f t="shared" ref="R166:R173" si="115">SUM(F166:H166)</f>
        <v>14452042.613355184</v>
      </c>
      <c r="S166" s="214">
        <f>S191</f>
        <v>-13280644.999598354</v>
      </c>
      <c r="T166" s="214">
        <f>T191</f>
        <v>-5955042.7082011551</v>
      </c>
      <c r="U166" s="213">
        <f t="shared" si="113"/>
        <v>16727697.5016465</v>
      </c>
      <c r="V166" s="214">
        <f>V191</f>
        <v>-13280644.999598354</v>
      </c>
    </row>
    <row r="167" spans="1:24" s="62" customFormat="1">
      <c r="A167" s="7256"/>
      <c r="B167" s="210" t="s">
        <v>67</v>
      </c>
      <c r="C167" s="214"/>
      <c r="D167" s="215">
        <f>(고장!AA130+고장!AA140)*1000</f>
        <v>527571000</v>
      </c>
      <c r="E167" s="214">
        <f>D167</f>
        <v>527571000</v>
      </c>
      <c r="F167" s="214">
        <f>고장!AB61</f>
        <v>0</v>
      </c>
      <c r="G167" s="214">
        <f>고장!AC61</f>
        <v>2000</v>
      </c>
      <c r="H167" s="214">
        <f>고장!AD61</f>
        <v>6485</v>
      </c>
      <c r="I167" s="214">
        <f>고장!AE61</f>
        <v>9739</v>
      </c>
      <c r="J167" s="214">
        <f>고장!AF61</f>
        <v>8675</v>
      </c>
      <c r="K167" s="214">
        <f>고장!AG61</f>
        <v>0</v>
      </c>
      <c r="L167" s="214">
        <f>고장!AH61</f>
        <v>1221</v>
      </c>
      <c r="M167" s="214">
        <f>고장!AI61</f>
        <v>11200</v>
      </c>
      <c r="N167" s="214">
        <f>고장!AJ61</f>
        <v>35239</v>
      </c>
      <c r="O167" s="214">
        <f>고장!AK61</f>
        <v>0</v>
      </c>
      <c r="P167" s="214">
        <f>고장!AL61</f>
        <v>0</v>
      </c>
      <c r="Q167" s="214">
        <f>고장!AM61</f>
        <v>0</v>
      </c>
      <c r="R167" s="214">
        <f t="shared" si="115"/>
        <v>8485</v>
      </c>
      <c r="S167" s="214">
        <f>SUM(F167:K167)</f>
        <v>26899</v>
      </c>
      <c r="T167" s="214">
        <f>SUM(L167:N167)</f>
        <v>47660</v>
      </c>
      <c r="U167" s="213">
        <f t="shared" si="113"/>
        <v>47660</v>
      </c>
      <c r="V167" s="214">
        <f>고장!AN61</f>
        <v>74559</v>
      </c>
    </row>
    <row r="168" spans="1:24" s="62" customFormat="1">
      <c r="A168" s="7256"/>
      <c r="B168" s="251" t="s">
        <v>31</v>
      </c>
      <c r="C168" s="252"/>
      <c r="D168" s="253">
        <f t="shared" ref="D168:Q168" si="116">SUM(D165:D167)</f>
        <v>570866320.18576205</v>
      </c>
      <c r="E168" s="252">
        <f>SUM(E165:E167)</f>
        <v>570866320.18576205</v>
      </c>
      <c r="F168" s="252">
        <f t="shared" ref="F168:K168" si="117">SUM(F165:F167)</f>
        <v>15094856.445914732</v>
      </c>
      <c r="G168" s="252">
        <f t="shared" si="117"/>
        <v>2035268.5253045736</v>
      </c>
      <c r="H168" s="252">
        <f t="shared" si="117"/>
        <v>19455794.821677007</v>
      </c>
      <c r="I168" s="252">
        <f t="shared" si="117"/>
        <v>10100763.265532443</v>
      </c>
      <c r="J168" s="252">
        <f t="shared" si="117"/>
        <v>11342238.498548105</v>
      </c>
      <c r="K168" s="252">
        <f t="shared" si="117"/>
        <v>17383688.809022546</v>
      </c>
      <c r="L168" s="252">
        <f t="shared" si="116"/>
        <v>19858040.233364224</v>
      </c>
      <c r="M168" s="252">
        <f t="shared" si="116"/>
        <v>-10603126.439595344</v>
      </c>
      <c r="N168" s="252">
        <f t="shared" si="116"/>
        <v>10092295.220369004</v>
      </c>
      <c r="O168" s="252">
        <f t="shared" si="116"/>
        <v>18551028.338999689</v>
      </c>
      <c r="P168" s="252" t="e">
        <f t="shared" si="116"/>
        <v>#DIV/0!</v>
      </c>
      <c r="Q168" s="252" t="e">
        <f t="shared" si="116"/>
        <v>#DIV/0!</v>
      </c>
      <c r="R168" s="252">
        <f t="shared" si="115"/>
        <v>36585919.792896315</v>
      </c>
      <c r="S168" s="252">
        <f>SUM(S165:S167)</f>
        <v>104354209.16815583</v>
      </c>
      <c r="T168" s="252">
        <f>SUM(T165:T167)</f>
        <v>8646876.1206303164</v>
      </c>
      <c r="U168" s="246" t="e">
        <f t="shared" si="113"/>
        <v>#DIV/0!</v>
      </c>
      <c r="V168" s="252">
        <f>SUM(V165:V167)</f>
        <v>62448911.909137174</v>
      </c>
    </row>
    <row r="169" spans="1:24" s="62" customFormat="1">
      <c r="A169" s="7256" t="s">
        <v>68</v>
      </c>
      <c r="B169" s="210" t="s">
        <v>69</v>
      </c>
      <c r="C169" s="214"/>
      <c r="D169" s="215">
        <f>D187</f>
        <v>8322572.5576991383</v>
      </c>
      <c r="E169" s="214">
        <f>D169</f>
        <v>8322572.5576991383</v>
      </c>
      <c r="F169" s="860">
        <f>F187</f>
        <v>2812382.2383144018</v>
      </c>
      <c r="G169" s="214">
        <f t="shared" ref="G169:Q169" si="118">G187</f>
        <v>6038228.7236324837</v>
      </c>
      <c r="H169" s="214">
        <f t="shared" si="118"/>
        <v>4212863.5379196275</v>
      </c>
      <c r="I169" s="214">
        <f t="shared" si="118"/>
        <v>1428661.0563538906</v>
      </c>
      <c r="J169" s="214">
        <f t="shared" si="118"/>
        <v>2558851.7994586537</v>
      </c>
      <c r="K169" s="214">
        <f t="shared" si="118"/>
        <v>-3486632.7269966952</v>
      </c>
      <c r="L169" s="214">
        <f t="shared" si="118"/>
        <v>-7240079.0648463592</v>
      </c>
      <c r="M169" s="214">
        <f t="shared" si="118"/>
        <v>-10909205.549494108</v>
      </c>
      <c r="N169" s="214">
        <f t="shared" si="118"/>
        <v>-8843543.5302015729</v>
      </c>
      <c r="O169" s="214">
        <f t="shared" si="118"/>
        <v>28236.035799821344</v>
      </c>
      <c r="P169" s="214" t="e">
        <f t="shared" si="118"/>
        <v>#DIV/0!</v>
      </c>
      <c r="Q169" s="214" t="e">
        <f t="shared" si="118"/>
        <v>#DIV/0!</v>
      </c>
      <c r="R169" s="214">
        <f t="shared" si="115"/>
        <v>13063474.499866514</v>
      </c>
      <c r="S169" s="214">
        <f>S187</f>
        <v>-19984349.057886615</v>
      </c>
      <c r="T169" s="214">
        <f>T187</f>
        <v>-74266435.637970045</v>
      </c>
      <c r="U169" s="213" t="e">
        <f t="shared" si="113"/>
        <v>#DIV/0!</v>
      </c>
      <c r="V169" s="214">
        <f>V187</f>
        <v>-19984349.057886615</v>
      </c>
    </row>
    <row r="170" spans="1:24" s="62" customFormat="1">
      <c r="A170" s="7256"/>
      <c r="B170" s="210" t="s">
        <v>66</v>
      </c>
      <c r="C170" s="214"/>
      <c r="D170" s="215">
        <f>D195</f>
        <v>17227128.77054714</v>
      </c>
      <c r="E170" s="214">
        <f>D170</f>
        <v>17227128.77054714</v>
      </c>
      <c r="F170" s="214">
        <f>F195</f>
        <v>3497690.6413428583</v>
      </c>
      <c r="G170" s="214">
        <f t="shared" ref="G170:Q170" si="119">G195</f>
        <v>1236969.3705347686</v>
      </c>
      <c r="H170" s="214">
        <f t="shared" si="119"/>
        <v>504409.14139504859</v>
      </c>
      <c r="I170" s="214">
        <f t="shared" si="119"/>
        <v>4230250.8704825779</v>
      </c>
      <c r="J170" s="214">
        <f t="shared" si="119"/>
        <v>2265699.1433024989</v>
      </c>
      <c r="K170" s="214">
        <f t="shared" si="119"/>
        <v>-1756312.1294130415</v>
      </c>
      <c r="L170" s="214">
        <f t="shared" si="119"/>
        <v>1236969.3705347686</v>
      </c>
      <c r="M170" s="214">
        <f t="shared" si="119"/>
        <v>4230250.8704825779</v>
      </c>
      <c r="N170" s="214">
        <f t="shared" si="119"/>
        <v>-3221432.5876924815</v>
      </c>
      <c r="O170" s="214">
        <f t="shared" si="119"/>
        <v>4230250.8704825779</v>
      </c>
      <c r="P170" s="214">
        <f t="shared" si="119"/>
        <v>4230250.8704825779</v>
      </c>
      <c r="Q170" s="214">
        <f t="shared" si="119"/>
        <v>2998259.3724422189</v>
      </c>
      <c r="R170" s="214">
        <f t="shared" si="115"/>
        <v>5239069.1532726754</v>
      </c>
      <c r="S170" s="214">
        <f>S195</f>
        <v>-22100356.867580451</v>
      </c>
      <c r="T170" s="214">
        <f>T195</f>
        <v>-6464429.7220906122</v>
      </c>
      <c r="U170" s="213">
        <f t="shared" si="113"/>
        <v>13704548.76673224</v>
      </c>
      <c r="V170" s="214">
        <f>V195</f>
        <v>-22100356.867580451</v>
      </c>
    </row>
    <row r="171" spans="1:24" s="62" customFormat="1">
      <c r="A171" s="7256"/>
      <c r="B171" s="210" t="s">
        <v>67</v>
      </c>
      <c r="C171" s="214"/>
      <c r="D171" s="215">
        <f>(고장!AA108+고장!AA119)*1000</f>
        <v>332455000</v>
      </c>
      <c r="E171" s="214">
        <f>D171</f>
        <v>332455000</v>
      </c>
      <c r="F171" s="214">
        <f>고장!AB97</f>
        <v>0</v>
      </c>
      <c r="G171" s="214">
        <f>고장!AC97</f>
        <v>47708</v>
      </c>
      <c r="H171" s="214">
        <f>고장!AD97</f>
        <v>823</v>
      </c>
      <c r="I171" s="214">
        <f>고장!AE97</f>
        <v>43180</v>
      </c>
      <c r="J171" s="214">
        <f>고장!AF97</f>
        <v>0</v>
      </c>
      <c r="K171" s="214">
        <f>고장!AG97</f>
        <v>22372</v>
      </c>
      <c r="L171" s="214">
        <f>고장!AH97</f>
        <v>731</v>
      </c>
      <c r="M171" s="214">
        <f>고장!AI97</f>
        <v>0</v>
      </c>
      <c r="N171" s="214">
        <f>고장!AJ97</f>
        <v>22000</v>
      </c>
      <c r="O171" s="214">
        <f>고장!AK97</f>
        <v>27000</v>
      </c>
      <c r="P171" s="214">
        <f>고장!AL97</f>
        <v>0</v>
      </c>
      <c r="Q171" s="214">
        <f>고장!AM97</f>
        <v>0</v>
      </c>
      <c r="R171" s="214">
        <f t="shared" si="115"/>
        <v>48531</v>
      </c>
      <c r="S171" s="214">
        <f>SUM(F171:K171)</f>
        <v>114083</v>
      </c>
      <c r="T171" s="214">
        <f>SUM(L171:N171)</f>
        <v>22731</v>
      </c>
      <c r="U171" s="213">
        <f t="shared" si="113"/>
        <v>49731</v>
      </c>
      <c r="V171" s="214">
        <f>고장!AN97</f>
        <v>163814</v>
      </c>
    </row>
    <row r="172" spans="1:24" s="62" customFormat="1">
      <c r="A172" s="7256"/>
      <c r="B172" s="210" t="s">
        <v>31</v>
      </c>
      <c r="C172" s="214"/>
      <c r="D172" s="216">
        <f>SUM(D169:D171)</f>
        <v>358004701.3282463</v>
      </c>
      <c r="E172" s="214">
        <f>D172</f>
        <v>358004701.3282463</v>
      </c>
      <c r="F172" s="210">
        <f t="shared" ref="F172:K172" si="120">SUM(F169:F171)</f>
        <v>6310072.8796572601</v>
      </c>
      <c r="G172" s="210">
        <f t="shared" si="120"/>
        <v>7322906.0941672521</v>
      </c>
      <c r="H172" s="210">
        <f t="shared" si="120"/>
        <v>4718095.6793146757</v>
      </c>
      <c r="I172" s="210">
        <f t="shared" si="120"/>
        <v>5702091.9268364683</v>
      </c>
      <c r="J172" s="210">
        <f t="shared" si="120"/>
        <v>4824550.942761153</v>
      </c>
      <c r="K172" s="210">
        <f t="shared" si="120"/>
        <v>-5220572.8564097369</v>
      </c>
      <c r="L172" s="210">
        <f t="shared" ref="L172:Q172" si="121">SUM(L169:L171)</f>
        <v>-6002378.6943115909</v>
      </c>
      <c r="M172" s="210">
        <f t="shared" si="121"/>
        <v>-6678954.6790115302</v>
      </c>
      <c r="N172" s="210">
        <f t="shared" si="121"/>
        <v>-12042976.117894053</v>
      </c>
      <c r="O172" s="210">
        <f t="shared" si="121"/>
        <v>4285486.9062823988</v>
      </c>
      <c r="P172" s="210" t="e">
        <f t="shared" si="121"/>
        <v>#DIV/0!</v>
      </c>
      <c r="Q172" s="210" t="e">
        <f t="shared" si="121"/>
        <v>#DIV/0!</v>
      </c>
      <c r="R172" s="214">
        <f t="shared" si="115"/>
        <v>18351074.653139189</v>
      </c>
      <c r="S172" s="210">
        <f>SUM(S169:S171)</f>
        <v>-41970622.925467066</v>
      </c>
      <c r="T172" s="210">
        <f>SUM(T169:T171)</f>
        <v>-80708134.360060662</v>
      </c>
      <c r="U172" s="213" t="e">
        <f t="shared" si="113"/>
        <v>#DIV/0!</v>
      </c>
      <c r="V172" s="210">
        <f>SUM(V169:V171)</f>
        <v>-41920891.925467066</v>
      </c>
    </row>
    <row r="173" spans="1:24" s="64" customFormat="1">
      <c r="A173" s="7259" t="s">
        <v>70</v>
      </c>
      <c r="B173" s="7259"/>
      <c r="C173" s="254"/>
      <c r="D173" s="255">
        <f>D172+D168</f>
        <v>928871021.51400828</v>
      </c>
      <c r="E173" s="254">
        <f>E172+E168</f>
        <v>928871021.51400828</v>
      </c>
      <c r="F173" s="254">
        <f>F172+F168</f>
        <v>21404929.325571992</v>
      </c>
      <c r="G173" s="254">
        <f t="shared" ref="G173:Q173" si="122">G172+G168</f>
        <v>9358174.6194718257</v>
      </c>
      <c r="H173" s="254">
        <f t="shared" si="122"/>
        <v>24173890.500991683</v>
      </c>
      <c r="I173" s="254">
        <f t="shared" si="122"/>
        <v>15802855.192368912</v>
      </c>
      <c r="J173" s="254">
        <f t="shared" si="122"/>
        <v>16166789.441309258</v>
      </c>
      <c r="K173" s="254">
        <f t="shared" si="122"/>
        <v>12163115.95261281</v>
      </c>
      <c r="L173" s="254">
        <f t="shared" si="122"/>
        <v>13855661.539052634</v>
      </c>
      <c r="M173" s="254">
        <f t="shared" si="122"/>
        <v>-17282081.118606873</v>
      </c>
      <c r="N173" s="254">
        <f t="shared" si="122"/>
        <v>-1950680.8975250497</v>
      </c>
      <c r="O173" s="254">
        <f t="shared" si="122"/>
        <v>22836515.245282087</v>
      </c>
      <c r="P173" s="254" t="e">
        <f t="shared" si="122"/>
        <v>#DIV/0!</v>
      </c>
      <c r="Q173" s="254" t="e">
        <f t="shared" si="122"/>
        <v>#DIV/0!</v>
      </c>
      <c r="R173" s="252">
        <f t="shared" si="115"/>
        <v>54936994.446035504</v>
      </c>
      <c r="S173" s="254">
        <f>S172+S168</f>
        <v>62383586.242688768</v>
      </c>
      <c r="T173" s="254">
        <f>T172+T168</f>
        <v>-72061258.239430338</v>
      </c>
      <c r="U173" s="246" t="e">
        <f t="shared" si="113"/>
        <v>#DIV/0!</v>
      </c>
      <c r="V173" s="254">
        <f>V172+V168</f>
        <v>20528019.983670108</v>
      </c>
      <c r="X173" s="62"/>
    </row>
    <row r="174" spans="1:24" ht="19.2">
      <c r="A174" s="508"/>
      <c r="B174" s="26"/>
      <c r="C174" s="144"/>
      <c r="D174" s="495"/>
      <c r="E174" s="24"/>
      <c r="F174" s="24"/>
      <c r="G174" s="25"/>
      <c r="H174" s="25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X174" s="62"/>
    </row>
    <row r="175" spans="1:24" s="5" customFormat="1">
      <c r="A175" s="7285" t="s">
        <v>0</v>
      </c>
      <c r="B175" s="7286"/>
      <c r="C175" s="2735" t="s">
        <v>1169</v>
      </c>
      <c r="D175" s="2735" t="s">
        <v>1269</v>
      </c>
      <c r="E175" s="2735" t="s">
        <v>1270</v>
      </c>
      <c r="F175" s="41" t="s">
        <v>38</v>
      </c>
      <c r="G175" s="34" t="s">
        <v>5</v>
      </c>
      <c r="H175" s="34" t="s">
        <v>6</v>
      </c>
      <c r="I175" s="34" t="s">
        <v>7</v>
      </c>
      <c r="J175" s="34" t="s">
        <v>8</v>
      </c>
      <c r="K175" s="34" t="s">
        <v>9</v>
      </c>
      <c r="L175" s="34" t="s">
        <v>10</v>
      </c>
      <c r="M175" s="34" t="s">
        <v>11</v>
      </c>
      <c r="N175" s="34" t="s">
        <v>12</v>
      </c>
      <c r="O175" s="34" t="s">
        <v>13</v>
      </c>
      <c r="P175" s="34" t="s">
        <v>14</v>
      </c>
      <c r="Q175" s="23" t="s">
        <v>15</v>
      </c>
      <c r="R175" s="70" t="s">
        <v>19</v>
      </c>
      <c r="S175" s="71" t="s">
        <v>20</v>
      </c>
      <c r="T175" s="71" t="s">
        <v>21</v>
      </c>
      <c r="U175" s="130" t="s">
        <v>178</v>
      </c>
      <c r="V175" s="72" t="s">
        <v>22</v>
      </c>
      <c r="X175" s="62"/>
    </row>
    <row r="176" spans="1:24">
      <c r="A176" s="7283" t="s">
        <v>71</v>
      </c>
      <c r="B176" s="470" t="s">
        <v>39</v>
      </c>
      <c r="C176" s="3086">
        <v>5996745.8995810645</v>
      </c>
      <c r="D176" s="3087">
        <f>($C$76-D76)*D31/60*$E$213</f>
        <v>2293816.4719142076</v>
      </c>
      <c r="E176" s="63">
        <f>D176</f>
        <v>2293816.4719142076</v>
      </c>
      <c r="F176" s="98">
        <f t="shared" ref="F176:Q176" si="123">($C$76-F76)*F31/60*$E$213</f>
        <v>-1046910.5033202271</v>
      </c>
      <c r="G176" s="98">
        <f t="shared" si="123"/>
        <v>-550378.7939952059</v>
      </c>
      <c r="H176" s="98">
        <f t="shared" si="123"/>
        <v>689417.49433367443</v>
      </c>
      <c r="I176" s="98">
        <f t="shared" si="123"/>
        <v>-1297370.745147225</v>
      </c>
      <c r="J176" s="98">
        <f t="shared" si="123"/>
        <v>770149.61877544411</v>
      </c>
      <c r="K176" s="98">
        <f t="shared" si="123"/>
        <v>792010.01494778239</v>
      </c>
      <c r="L176" s="98">
        <f t="shared" si="123"/>
        <v>940761.57240688207</v>
      </c>
      <c r="M176" s="98">
        <f t="shared" si="123"/>
        <v>819227.78075623233</v>
      </c>
      <c r="N176" s="98">
        <f t="shared" si="123"/>
        <v>-5006660.401748755</v>
      </c>
      <c r="O176" s="98">
        <f t="shared" si="123"/>
        <v>-1441292.0002206641</v>
      </c>
      <c r="P176" s="98">
        <f>($C$76-P76)*P31/60*$E$213</f>
        <v>16552.989543816111</v>
      </c>
      <c r="Q176" s="98" t="e">
        <f t="shared" si="123"/>
        <v>#DIV/0!</v>
      </c>
      <c r="R176" s="63">
        <f>SUM(F176:H176)</f>
        <v>-907871.80298175872</v>
      </c>
      <c r="S176" s="98">
        <f>($C$76-S76)*S31/60*$E$213</f>
        <v>2877010.4532938972</v>
      </c>
      <c r="T176" s="98">
        <f>($C$76-T76)*T31/60*$E$213</f>
        <v>-3250526.8242007443</v>
      </c>
      <c r="U176" s="27" t="e">
        <f t="shared" ref="U176:U198" si="124">SUM(L176:Q176)</f>
        <v>#DIV/0!</v>
      </c>
      <c r="V176" s="98">
        <f>($C$76-V76)*V31/60*$E$213</f>
        <v>-5348279.2488043234</v>
      </c>
      <c r="X176" s="62"/>
    </row>
    <row r="177" spans="1:24">
      <c r="A177" s="7260"/>
      <c r="B177" s="100" t="s">
        <v>42</v>
      </c>
      <c r="C177" s="3086">
        <v>13057896.964921698</v>
      </c>
      <c r="D177" s="3088">
        <f>($C$77-D77)*D32/60*$E$214</f>
        <v>1759734.223895797</v>
      </c>
      <c r="E177" s="63">
        <f t="shared" ref="E177:E186" si="125">D177</f>
        <v>1759734.223895797</v>
      </c>
      <c r="F177" s="40">
        <f t="shared" ref="F177:Q177" si="126">($C$77-F77)*F32/60*$E$214</f>
        <v>-272161.90249851305</v>
      </c>
      <c r="G177" s="40">
        <f t="shared" si="126"/>
        <v>-9921807.1541572511</v>
      </c>
      <c r="H177" s="40">
        <f t="shared" si="126"/>
        <v>1381690.0092472539</v>
      </c>
      <c r="I177" s="40">
        <f t="shared" si="126"/>
        <v>1545796.4958097453</v>
      </c>
      <c r="J177" s="40">
        <f t="shared" si="126"/>
        <v>-1548469.9880307734</v>
      </c>
      <c r="K177" s="40">
        <f t="shared" si="126"/>
        <v>158064.094260307</v>
      </c>
      <c r="L177" s="40">
        <f t="shared" si="126"/>
        <v>704659.96000179916</v>
      </c>
      <c r="M177" s="40">
        <f t="shared" si="126"/>
        <v>1254624.7681426287</v>
      </c>
      <c r="N177" s="40">
        <f t="shared" si="126"/>
        <v>1497963.2129506143</v>
      </c>
      <c r="O177" s="40">
        <f t="shared" si="126"/>
        <v>1874955.1842045754</v>
      </c>
      <c r="P177" s="40" t="e">
        <f t="shared" si="126"/>
        <v>#DIV/0!</v>
      </c>
      <c r="Q177" s="40" t="e">
        <f t="shared" si="126"/>
        <v>#DIV/0!</v>
      </c>
      <c r="R177" s="61">
        <f t="shared" ref="R177:R198" si="127">SUM(F177:H177)</f>
        <v>-8812279.04740851</v>
      </c>
      <c r="S177" s="40">
        <f>($C$77-S77)*S32/60*$E$214</f>
        <v>-1934514.1302755086</v>
      </c>
      <c r="T177" s="40">
        <f>($C$77-T77)*T32/60*$E$214</f>
        <v>3459968.8906178325</v>
      </c>
      <c r="U177" s="27" t="e">
        <f t="shared" si="124"/>
        <v>#DIV/0!</v>
      </c>
      <c r="V177" s="40">
        <f>($C$77-V77)*V32/60*$E$214</f>
        <v>-3351065.9486571313</v>
      </c>
      <c r="X177" s="62"/>
    </row>
    <row r="178" spans="1:24">
      <c r="A178" s="7260"/>
      <c r="B178" s="100" t="s">
        <v>43</v>
      </c>
      <c r="C178" s="3086">
        <v>-16982909.421964101</v>
      </c>
      <c r="D178" s="3088">
        <f>($C$78-D78)*D33/60*$E$215</f>
        <v>9076619.6449241955</v>
      </c>
      <c r="E178" s="63">
        <f t="shared" si="125"/>
        <v>9076619.6449241955</v>
      </c>
      <c r="F178" s="40">
        <f t="shared" ref="F178:Q178" si="128">($C$78-F78)*F33/60*$E$215</f>
        <v>8771769.6734535936</v>
      </c>
      <c r="G178" s="40">
        <f t="shared" si="128"/>
        <v>9068696.4222929589</v>
      </c>
      <c r="H178" s="40">
        <f t="shared" si="128"/>
        <v>10005446.37084306</v>
      </c>
      <c r="I178" s="40">
        <f t="shared" si="128"/>
        <v>8301049.3062177291</v>
      </c>
      <c r="J178" s="40">
        <f t="shared" si="128"/>
        <v>8473670.2281338219</v>
      </c>
      <c r="K178" s="40">
        <f t="shared" si="128"/>
        <v>8730725.2966393065</v>
      </c>
      <c r="L178" s="40">
        <f t="shared" si="128"/>
        <v>10466316.087643495</v>
      </c>
      <c r="M178" s="40">
        <f t="shared" si="128"/>
        <v>-9550302.9587447606</v>
      </c>
      <c r="N178" s="40">
        <f t="shared" si="128"/>
        <v>9633701.5865536463</v>
      </c>
      <c r="O178" s="40">
        <f t="shared" si="128"/>
        <v>10448725.64043737</v>
      </c>
      <c r="P178" s="40">
        <f t="shared" si="128"/>
        <v>712999.46008820669</v>
      </c>
      <c r="Q178" s="40" t="e">
        <f t="shared" si="128"/>
        <v>#DIV/0!</v>
      </c>
      <c r="R178" s="61">
        <f t="shared" si="127"/>
        <v>27845912.466589615</v>
      </c>
      <c r="S178" s="40">
        <f>($C$78-S78)*S33/60*$E$215</f>
        <v>94427162.377543613</v>
      </c>
      <c r="T178" s="40">
        <f>($C$78-T78)*T33/60*$E$215</f>
        <v>10310162.246039426</v>
      </c>
      <c r="U178" s="27" t="e">
        <f t="shared" si="124"/>
        <v>#DIV/0!</v>
      </c>
      <c r="V178" s="40">
        <f>($C$78-V78)*V33/60*$E$215</f>
        <v>74782834.582027987</v>
      </c>
      <c r="X178" s="62"/>
    </row>
    <row r="179" spans="1:24">
      <c r="A179" s="7260"/>
      <c r="B179" s="100" t="s">
        <v>45</v>
      </c>
      <c r="C179" s="3086">
        <v>-14945990.517432233</v>
      </c>
      <c r="D179" s="3088">
        <f>($C$79-D79)*D34/60*$E$216</f>
        <v>2001469.6051588659</v>
      </c>
      <c r="E179" s="63">
        <f t="shared" si="125"/>
        <v>2001469.6051588659</v>
      </c>
      <c r="F179" s="40">
        <f t="shared" ref="F179:Q179" si="129">($C$79-F79)*F34/60*$E$216</f>
        <v>1304169.8993321559</v>
      </c>
      <c r="G179" s="40">
        <f t="shared" si="129"/>
        <v>216515.57336350557</v>
      </c>
      <c r="H179" s="40">
        <f t="shared" si="129"/>
        <v>1206348.8949730922</v>
      </c>
      <c r="I179" s="40">
        <f t="shared" si="129"/>
        <v>-1002430.315745377</v>
      </c>
      <c r="J179" s="40">
        <f t="shared" si="129"/>
        <v>-1328734.4081926655</v>
      </c>
      <c r="K179" s="40">
        <f t="shared" si="129"/>
        <v>1345993.519439128</v>
      </c>
      <c r="L179" s="40">
        <f t="shared" si="129"/>
        <v>1427804.7798415278</v>
      </c>
      <c r="M179" s="40">
        <f t="shared" si="129"/>
        <v>1190853.2253636608</v>
      </c>
      <c r="N179" s="40">
        <f t="shared" si="129"/>
        <v>1250155.3732765319</v>
      </c>
      <c r="O179" s="40">
        <f t="shared" si="129"/>
        <v>1361048.5538937887</v>
      </c>
      <c r="P179" s="40">
        <f t="shared" si="129"/>
        <v>-1518350.1217254938</v>
      </c>
      <c r="Q179" s="40">
        <f t="shared" si="129"/>
        <v>-3007010.1167596015</v>
      </c>
      <c r="R179" s="61">
        <f t="shared" si="127"/>
        <v>2727034.3676687535</v>
      </c>
      <c r="S179" s="40">
        <f>($C$79-S79)*S34/60*$E$217</f>
        <v>12028067.933391644</v>
      </c>
      <c r="T179" s="40">
        <f>($C$79-T79)*T34/60*$E$217</f>
        <v>4799388.259007629</v>
      </c>
      <c r="U179" s="27">
        <f t="shared" si="124"/>
        <v>704501.69389041374</v>
      </c>
      <c r="V179" s="40">
        <f>($C$79-V79)*V34/60*$E$217</f>
        <v>2895308.2286484153</v>
      </c>
      <c r="X179" s="62"/>
    </row>
    <row r="180" spans="1:24">
      <c r="A180" s="7260"/>
      <c r="B180" s="100" t="s">
        <v>17</v>
      </c>
      <c r="C180" s="3086">
        <v>-6329298.7789351037</v>
      </c>
      <c r="D180" s="3088">
        <f>($C$80-D80)*D34/60*$E$217</f>
        <v>2019747.5528672908</v>
      </c>
      <c r="E180" s="63">
        <f t="shared" si="125"/>
        <v>2019747.5528672908</v>
      </c>
      <c r="F180" s="40">
        <f t="shared" ref="F180:Q180" si="130">($C$80-F80)*F35/60*$E$217</f>
        <v>865791.16543596727</v>
      </c>
      <c r="G180" s="40">
        <f t="shared" si="130"/>
        <v>-287403.90853110957</v>
      </c>
      <c r="H180" s="40">
        <f t="shared" si="130"/>
        <v>694208.93876817508</v>
      </c>
      <c r="I180" s="40">
        <f t="shared" si="130"/>
        <v>767755.90500689705</v>
      </c>
      <c r="J180" s="40">
        <f t="shared" si="130"/>
        <v>726741.43239088356</v>
      </c>
      <c r="K180" s="40">
        <f t="shared" si="130"/>
        <v>884697.77022426971</v>
      </c>
      <c r="L180" s="40">
        <f t="shared" si="130"/>
        <v>845078.71995876776</v>
      </c>
      <c r="M180" s="40">
        <f t="shared" si="130"/>
        <v>-88522.639641709233</v>
      </c>
      <c r="N180" s="40">
        <f t="shared" si="130"/>
        <v>-1325181.2058953494</v>
      </c>
      <c r="O180" s="40">
        <f t="shared" si="130"/>
        <v>835392.84717286471</v>
      </c>
      <c r="P180" s="40">
        <f t="shared" si="130"/>
        <v>870497.29571612366</v>
      </c>
      <c r="Q180" s="40">
        <f t="shared" si="130"/>
        <v>872303.13640502095</v>
      </c>
      <c r="R180" s="61">
        <f t="shared" si="127"/>
        <v>1272596.1956730327</v>
      </c>
      <c r="S180" s="40">
        <f>($C$80-S80)*S34/60*$E$217</f>
        <v>10210228.533800544</v>
      </c>
      <c r="T180" s="40">
        <f>($C$80-T80)*T34/60*$E$217</f>
        <v>-764733.74263267184</v>
      </c>
      <c r="U180" s="27">
        <f t="shared" si="124"/>
        <v>2009568.1537157185</v>
      </c>
      <c r="V180" s="40">
        <f>($C$80-V80)*V34/60*$E$217</f>
        <v>6676200.2955205953</v>
      </c>
      <c r="X180" s="62"/>
    </row>
    <row r="181" spans="1:24">
      <c r="A181" s="7284"/>
      <c r="B181" s="469" t="s">
        <v>57</v>
      </c>
      <c r="C181" s="3086">
        <v>-19203555.853828676</v>
      </c>
      <c r="D181" s="3089">
        <f>SUM(D176:D180)</f>
        <v>17151387.498760357</v>
      </c>
      <c r="E181" s="63">
        <f t="shared" si="125"/>
        <v>17151387.498760357</v>
      </c>
      <c r="F181" s="46">
        <f t="shared" ref="F181:Q181" si="131">SUM(F176:F180)</f>
        <v>9622658.3324029781</v>
      </c>
      <c r="G181" s="46">
        <f t="shared" si="131"/>
        <v>-1474377.8610271015</v>
      </c>
      <c r="H181" s="46">
        <f t="shared" si="131"/>
        <v>13977111.708165254</v>
      </c>
      <c r="I181" s="46">
        <f t="shared" si="131"/>
        <v>8314800.6461417684</v>
      </c>
      <c r="J181" s="46">
        <f t="shared" si="131"/>
        <v>7093356.8830767106</v>
      </c>
      <c r="K181" s="46">
        <f t="shared" si="131"/>
        <v>11911490.695510793</v>
      </c>
      <c r="L181" s="46">
        <f t="shared" si="131"/>
        <v>14384621.11985247</v>
      </c>
      <c r="M181" s="46">
        <f t="shared" si="131"/>
        <v>-6374119.8241239488</v>
      </c>
      <c r="N181" s="46">
        <f t="shared" si="131"/>
        <v>6049978.5651366878</v>
      </c>
      <c r="O181" s="46">
        <f t="shared" si="131"/>
        <v>13078830.225487933</v>
      </c>
      <c r="P181" s="46" t="e">
        <f t="shared" si="131"/>
        <v>#DIV/0!</v>
      </c>
      <c r="Q181" s="46" t="e">
        <f t="shared" si="131"/>
        <v>#DIV/0!</v>
      </c>
      <c r="R181" s="39">
        <f t="shared" si="127"/>
        <v>22125392.179541133</v>
      </c>
      <c r="S181" s="46">
        <f>SUM(S176:S180)</f>
        <v>117607955.16775419</v>
      </c>
      <c r="T181" s="46">
        <f>SUM(T176:T180)</f>
        <v>14554258.828831472</v>
      </c>
      <c r="U181" s="27" t="e">
        <f t="shared" si="124"/>
        <v>#DIV/0!</v>
      </c>
      <c r="V181" s="46">
        <f>SUM(V176:V180)</f>
        <v>75654997.908735529</v>
      </c>
      <c r="X181" s="62"/>
    </row>
    <row r="182" spans="1:24">
      <c r="A182" s="7283" t="s">
        <v>72</v>
      </c>
      <c r="B182" s="470" t="s">
        <v>39</v>
      </c>
      <c r="C182" s="3086">
        <v>899750.77853422274</v>
      </c>
      <c r="D182" s="3087">
        <f>($C$81-D81)*D31/60*$E$213</f>
        <v>75860.319737681551</v>
      </c>
      <c r="E182" s="63">
        <f t="shared" si="125"/>
        <v>75860.319737681551</v>
      </c>
      <c r="F182" s="98">
        <f t="shared" ref="F182:Q182" si="132">($C$81-F81)*F31/60*$E$213</f>
        <v>84323.346788377516</v>
      </c>
      <c r="G182" s="98">
        <f t="shared" si="132"/>
        <v>-271996.21031602874</v>
      </c>
      <c r="H182" s="98">
        <f t="shared" si="132"/>
        <v>77383.596302759383</v>
      </c>
      <c r="I182" s="98">
        <f t="shared" si="132"/>
        <v>80871.399505958718</v>
      </c>
      <c r="J182" s="98">
        <f t="shared" si="132"/>
        <v>86445.365372753949</v>
      </c>
      <c r="K182" s="98">
        <f t="shared" si="132"/>
        <v>-732228.5836680627</v>
      </c>
      <c r="L182" s="98">
        <f t="shared" si="132"/>
        <v>105595.68669873166</v>
      </c>
      <c r="M182" s="98">
        <f t="shared" si="132"/>
        <v>-8117951.619146009</v>
      </c>
      <c r="N182" s="98">
        <f t="shared" si="132"/>
        <v>93029.816279728402</v>
      </c>
      <c r="O182" s="98">
        <f t="shared" si="132"/>
        <v>106231.31438529603</v>
      </c>
      <c r="P182" s="98">
        <f t="shared" si="132"/>
        <v>1857.9886222650734</v>
      </c>
      <c r="Q182" s="98" t="e">
        <f t="shared" si="132"/>
        <v>#DIV/0!</v>
      </c>
      <c r="R182" s="63">
        <f t="shared" si="127"/>
        <v>-110289.26722489185</v>
      </c>
      <c r="S182" s="98">
        <f>($C$81-S81)*S31/60*$E$213</f>
        <v>-8590971.5124461073</v>
      </c>
      <c r="T182" s="98">
        <f>($C$81-T81)*T31/60*$E$213</f>
        <v>-9198327.1686312016</v>
      </c>
      <c r="U182" s="27" t="e">
        <f t="shared" si="124"/>
        <v>#DIV/0!</v>
      </c>
      <c r="V182" s="98">
        <f>($C$81-V81)*V31/60*$E$213</f>
        <v>-8590971.5124461073</v>
      </c>
      <c r="X182" s="62"/>
    </row>
    <row r="183" spans="1:24">
      <c r="A183" s="7260"/>
      <c r="B183" s="100" t="s">
        <v>42</v>
      </c>
      <c r="C183" s="3086">
        <v>16356988.375394948</v>
      </c>
      <c r="D183" s="3088">
        <f>($C$82-D82)*D32/60*$E$214</f>
        <v>2019380.2157623013</v>
      </c>
      <c r="E183" s="63">
        <f t="shared" si="125"/>
        <v>2019380.2157623013</v>
      </c>
      <c r="F183" s="40">
        <f t="shared" ref="F183:Q183" si="133">($C$82-F82)*F32/60*$E$214</f>
        <v>-2864269.4522231999</v>
      </c>
      <c r="G183" s="40">
        <f t="shared" si="133"/>
        <v>653338.48982012016</v>
      </c>
      <c r="H183" s="40">
        <f t="shared" si="133"/>
        <v>5946.300091825683</v>
      </c>
      <c r="I183" s="40">
        <f t="shared" si="133"/>
        <v>-4101028.6048591807</v>
      </c>
      <c r="J183" s="40">
        <f t="shared" si="133"/>
        <v>1248776.0934614218</v>
      </c>
      <c r="K183" s="40">
        <f t="shared" si="133"/>
        <v>-5173577.3102762103</v>
      </c>
      <c r="L183" s="40">
        <f t="shared" si="133"/>
        <v>-13587088.763787843</v>
      </c>
      <c r="M183" s="40">
        <f t="shared" si="133"/>
        <v>-9077683.549748173</v>
      </c>
      <c r="N183" s="40">
        <f t="shared" si="133"/>
        <v>-8186771.3914073985</v>
      </c>
      <c r="O183" s="40">
        <f t="shared" si="133"/>
        <v>-6823481.4689575275</v>
      </c>
      <c r="P183" s="40" t="e">
        <f t="shared" si="133"/>
        <v>#DIV/0!</v>
      </c>
      <c r="Q183" s="40" t="e">
        <f t="shared" si="133"/>
        <v>#DIV/0!</v>
      </c>
      <c r="R183" s="61">
        <f t="shared" si="127"/>
        <v>-2204984.6623112536</v>
      </c>
      <c r="S183" s="40">
        <f>($C$82-S82)*S32/60*$E$214</f>
        <v>-48077894.476064451</v>
      </c>
      <c r="T183" s="40">
        <f>($C$82-T82)*T32/60*$E$214</f>
        <v>-56581339.802278019</v>
      </c>
      <c r="U183" s="27" t="e">
        <f t="shared" si="124"/>
        <v>#DIV/0!</v>
      </c>
      <c r="V183" s="40">
        <f>($C$82-V82)*V32/60*$E$214</f>
        <v>-48077894.476064451</v>
      </c>
      <c r="X183" s="62"/>
    </row>
    <row r="184" spans="1:24">
      <c r="A184" s="7260"/>
      <c r="B184" s="100" t="s">
        <v>43</v>
      </c>
      <c r="C184" s="3086">
        <v>-14962421.694293654</v>
      </c>
      <c r="D184" s="3088">
        <f>($C$83-D83)*D33/60*$E$215</f>
        <v>5194170.7909971094</v>
      </c>
      <c r="E184" s="63">
        <f t="shared" si="125"/>
        <v>5194170.7909971094</v>
      </c>
      <c r="F184" s="40">
        <f t="shared" ref="F184:Q184" si="134">($C$83-F83)*F33/60*$E$215</f>
        <v>5019717.8691611793</v>
      </c>
      <c r="G184" s="40">
        <f t="shared" si="134"/>
        <v>5007970.5813542418</v>
      </c>
      <c r="H184" s="40">
        <f t="shared" si="134"/>
        <v>3536663.7131764307</v>
      </c>
      <c r="I184" s="40">
        <f t="shared" si="134"/>
        <v>4750344.2391235735</v>
      </c>
      <c r="J184" s="40">
        <f t="shared" si="134"/>
        <v>4849127.9918428948</v>
      </c>
      <c r="K184" s="40">
        <f t="shared" si="134"/>
        <v>1654289.3824620428</v>
      </c>
      <c r="L184" s="40">
        <f t="shared" si="134"/>
        <v>5441591.5733672669</v>
      </c>
      <c r="M184" s="40">
        <f t="shared" si="134"/>
        <v>5616178.4630262144</v>
      </c>
      <c r="N184" s="40">
        <f t="shared" si="134"/>
        <v>5111185.4540280197</v>
      </c>
      <c r="O184" s="40">
        <f t="shared" si="134"/>
        <v>5979369.8147361111</v>
      </c>
      <c r="P184" s="40">
        <f t="shared" si="134"/>
        <v>408019.84818850231</v>
      </c>
      <c r="Q184" s="40" t="e">
        <f t="shared" si="134"/>
        <v>#DIV/0!</v>
      </c>
      <c r="R184" s="61">
        <f t="shared" si="127"/>
        <v>13564352.163691852</v>
      </c>
      <c r="S184" s="40">
        <f>($C$83-S83)*S33/60*$E$215</f>
        <v>47379481.573707387</v>
      </c>
      <c r="T184" s="40">
        <f>($C$83-T83)*T33/60*$E$215</f>
        <v>10475030.205852393</v>
      </c>
      <c r="U184" s="27" t="e">
        <f t="shared" si="124"/>
        <v>#DIV/0!</v>
      </c>
      <c r="V184" s="40">
        <f>($C$83-V83)*V33/60*$E$215</f>
        <v>47379481.573707387</v>
      </c>
      <c r="X184" s="62"/>
    </row>
    <row r="185" spans="1:24">
      <c r="A185" s="7260"/>
      <c r="B185" s="100" t="s">
        <v>45</v>
      </c>
      <c r="C185" s="3086">
        <v>-3210606.9202077808</v>
      </c>
      <c r="D185" s="3088">
        <f>($C$84-D84)*D34/60*$E$216</f>
        <v>974646.82545275381</v>
      </c>
      <c r="E185" s="63">
        <f t="shared" si="125"/>
        <v>974646.82545275381</v>
      </c>
      <c r="F185" s="40">
        <f t="shared" ref="F185:Q185" si="135">($C$84-F84)*F34/60*$E$216</f>
        <v>635085.86338698317</v>
      </c>
      <c r="G185" s="40">
        <f t="shared" si="135"/>
        <v>546717.07275549765</v>
      </c>
      <c r="H185" s="40">
        <f t="shared" si="135"/>
        <v>587450.40036750166</v>
      </c>
      <c r="I185" s="40">
        <f t="shared" si="135"/>
        <v>603507.69983878336</v>
      </c>
      <c r="J185" s="40">
        <f t="shared" si="135"/>
        <v>-1536648.6487698916</v>
      </c>
      <c r="K185" s="40">
        <f t="shared" si="135"/>
        <v>655452.52719298517</v>
      </c>
      <c r="L185" s="40">
        <f t="shared" si="135"/>
        <v>695291.79581438343</v>
      </c>
      <c r="M185" s="40">
        <f t="shared" si="135"/>
        <v>579904.54248678812</v>
      </c>
      <c r="N185" s="40">
        <f t="shared" si="135"/>
        <v>608782.64788335818</v>
      </c>
      <c r="O185" s="40">
        <f t="shared" si="135"/>
        <v>662783.81091595348</v>
      </c>
      <c r="P185" s="40">
        <f t="shared" si="135"/>
        <v>658849.95135728759</v>
      </c>
      <c r="Q185" s="40">
        <f t="shared" si="135"/>
        <v>-5425302.3964572353</v>
      </c>
      <c r="R185" s="61">
        <f t="shared" si="127"/>
        <v>1769253.3365099826</v>
      </c>
      <c r="S185" s="40">
        <f>($C$84-S84)*S34/60*$E$217</f>
        <v>-1160269.4096966095</v>
      </c>
      <c r="T185" s="40">
        <f>($C$84-T84)*T34/60*$E$217</f>
        <v>-8011010.3725934122</v>
      </c>
      <c r="U185" s="27">
        <f t="shared" si="124"/>
        <v>-2219689.6479994645</v>
      </c>
      <c r="V185" s="40">
        <f>($C$84-V84)*V34/60*$E$217</f>
        <v>-1160269.4096966095</v>
      </c>
      <c r="X185" s="62"/>
    </row>
    <row r="186" spans="1:24">
      <c r="A186" s="7260"/>
      <c r="B186" s="100" t="s">
        <v>17</v>
      </c>
      <c r="C186" s="3086">
        <v>-680412.21939613658</v>
      </c>
      <c r="D186" s="3088">
        <f>($C$85-D85)*D34/60*$E$217</f>
        <v>58514.40574929108</v>
      </c>
      <c r="E186" s="63">
        <f t="shared" si="125"/>
        <v>58514.40574929108</v>
      </c>
      <c r="F186" s="40">
        <f t="shared" ref="F186:Q186" si="136">($C$85-F85)*F35/60*$E$217</f>
        <v>-62475.388798938206</v>
      </c>
      <c r="G186" s="40">
        <f t="shared" si="136"/>
        <v>102198.79001865229</v>
      </c>
      <c r="H186" s="40">
        <f t="shared" si="136"/>
        <v>5419.527981109869</v>
      </c>
      <c r="I186" s="40">
        <f t="shared" si="136"/>
        <v>94966.32274475554</v>
      </c>
      <c r="J186" s="40">
        <f t="shared" si="136"/>
        <v>-2088849.002448525</v>
      </c>
      <c r="K186" s="40">
        <f t="shared" si="136"/>
        <v>109431.25729254904</v>
      </c>
      <c r="L186" s="40">
        <f t="shared" si="136"/>
        <v>104530.64306110192</v>
      </c>
      <c r="M186" s="40">
        <f t="shared" si="136"/>
        <v>90346.613887072323</v>
      </c>
      <c r="N186" s="40">
        <f t="shared" si="136"/>
        <v>-6469770.0569852805</v>
      </c>
      <c r="O186" s="40">
        <f t="shared" si="136"/>
        <v>103332.56471998847</v>
      </c>
      <c r="P186" s="40">
        <f t="shared" si="136"/>
        <v>107674.75260600133</v>
      </c>
      <c r="Q186" s="40">
        <f t="shared" si="136"/>
        <v>107898.12314417504</v>
      </c>
      <c r="R186" s="61">
        <f t="shared" si="127"/>
        <v>45142.92920082395</v>
      </c>
      <c r="S186" s="40">
        <f>($C$85-S85)*S34/60*$E$217</f>
        <v>-9534695.2333868388</v>
      </c>
      <c r="T186" s="40">
        <f>($C$85-T85)*T34/60*$E$217</f>
        <v>-10950788.500319799</v>
      </c>
      <c r="U186" s="27">
        <f t="shared" si="124"/>
        <v>-5955987.3595669419</v>
      </c>
      <c r="V186" s="40">
        <f>($C$85-V85)*V34/60*$E$217</f>
        <v>-9534695.2333868388</v>
      </c>
      <c r="X186" s="62"/>
    </row>
    <row r="187" spans="1:24">
      <c r="A187" s="7284"/>
      <c r="B187" s="469" t="s">
        <v>57</v>
      </c>
      <c r="C187" s="3086">
        <v>-1596701.6799684009</v>
      </c>
      <c r="D187" s="3090">
        <f>SUM(D182:D186)</f>
        <v>8322572.5576991383</v>
      </c>
      <c r="E187" s="63">
        <f>D187</f>
        <v>8322572.5576991383</v>
      </c>
      <c r="F187" s="816">
        <f>SUM(F182:F186)</f>
        <v>2812382.2383144018</v>
      </c>
      <c r="G187" s="46">
        <f t="shared" ref="G187:Q187" si="137">SUM(G182:G186)</f>
        <v>6038228.7236324837</v>
      </c>
      <c r="H187" s="46">
        <f t="shared" si="137"/>
        <v>4212863.5379196275</v>
      </c>
      <c r="I187" s="46">
        <f t="shared" si="137"/>
        <v>1428661.0563538906</v>
      </c>
      <c r="J187" s="46">
        <f t="shared" si="137"/>
        <v>2558851.7994586537</v>
      </c>
      <c r="K187" s="46">
        <f t="shared" si="137"/>
        <v>-3486632.7269966952</v>
      </c>
      <c r="L187" s="46">
        <f t="shared" si="137"/>
        <v>-7240079.0648463592</v>
      </c>
      <c r="M187" s="46">
        <f t="shared" si="137"/>
        <v>-10909205.549494108</v>
      </c>
      <c r="N187" s="46">
        <f t="shared" si="137"/>
        <v>-8843543.5302015729</v>
      </c>
      <c r="O187" s="46">
        <f t="shared" si="137"/>
        <v>28236.035799821344</v>
      </c>
      <c r="P187" s="46" t="e">
        <f t="shared" si="137"/>
        <v>#DIV/0!</v>
      </c>
      <c r="Q187" s="46" t="e">
        <f t="shared" si="137"/>
        <v>#DIV/0!</v>
      </c>
      <c r="R187" s="39">
        <f t="shared" si="127"/>
        <v>13063474.499866514</v>
      </c>
      <c r="S187" s="46">
        <f>SUM(S182:S186)</f>
        <v>-19984349.057886615</v>
      </c>
      <c r="T187" s="46">
        <f>SUM(T182:T186)</f>
        <v>-74266435.637970045</v>
      </c>
      <c r="U187" s="27" t="e">
        <f t="shared" si="124"/>
        <v>#DIV/0!</v>
      </c>
      <c r="V187" s="46">
        <f>SUM(V182:V186)</f>
        <v>-19984349.057886615</v>
      </c>
      <c r="X187" s="62"/>
    </row>
    <row r="188" spans="1:24">
      <c r="A188" s="7260" t="s">
        <v>819</v>
      </c>
      <c r="B188" s="100" t="s">
        <v>43</v>
      </c>
      <c r="C188" s="3086">
        <v>-45942300.25</v>
      </c>
      <c r="D188" s="3088">
        <f>($C$42-D42)*$F$215</f>
        <v>23946251.999582481</v>
      </c>
      <c r="E188" s="61">
        <f>D188</f>
        <v>23946251.999582481</v>
      </c>
      <c r="F188" s="40">
        <f t="shared" ref="F188:Q188" si="138">($C$42/12-F42)*$F$215</f>
        <v>4489922.2499217149</v>
      </c>
      <c r="G188" s="40">
        <f t="shared" si="138"/>
        <v>4489922.2499217149</v>
      </c>
      <c r="H188" s="40">
        <f t="shared" si="138"/>
        <v>4489922.2499217149</v>
      </c>
      <c r="I188" s="40">
        <f t="shared" si="138"/>
        <v>4489922.2499217149</v>
      </c>
      <c r="J188" s="40">
        <f t="shared" si="138"/>
        <v>4489922.2499217149</v>
      </c>
      <c r="K188" s="40">
        <f t="shared" si="138"/>
        <v>4489922.2499217149</v>
      </c>
      <c r="L188" s="40">
        <f t="shared" si="138"/>
        <v>4489922.2499217149</v>
      </c>
      <c r="M188" s="40">
        <f t="shared" si="138"/>
        <v>-4489922.2499217149</v>
      </c>
      <c r="N188" s="40">
        <f t="shared" si="138"/>
        <v>4489922.2499217149</v>
      </c>
      <c r="O188" s="40">
        <f t="shared" si="138"/>
        <v>4489922.2499217149</v>
      </c>
      <c r="P188" s="40">
        <f t="shared" si="138"/>
        <v>4489922.2499217149</v>
      </c>
      <c r="Q188" s="40">
        <f t="shared" si="138"/>
        <v>4489922.2499217149</v>
      </c>
      <c r="R188" s="61">
        <f t="shared" si="127"/>
        <v>13469766.749765145</v>
      </c>
      <c r="S188" s="40">
        <f>($C$42/12-S42)*$F$215</f>
        <v>-4489922.2499217149</v>
      </c>
      <c r="T188" s="40">
        <f>($C$42/12-T42)*$F$215</f>
        <v>-4489922.2499217149</v>
      </c>
      <c r="U188" s="27">
        <f t="shared" si="124"/>
        <v>17959688.99968686</v>
      </c>
      <c r="V188" s="40">
        <f>($C$42/12-V42)*$F$215</f>
        <v>-4489922.2499217149</v>
      </c>
    </row>
    <row r="189" spans="1:24">
      <c r="A189" s="7261"/>
      <c r="B189" s="100" t="s">
        <v>45</v>
      </c>
      <c r="C189" s="3086">
        <v>-10702673</v>
      </c>
      <c r="D189" s="3088">
        <f>($C$43-D43)*$F$216</f>
        <v>0</v>
      </c>
      <c r="E189" s="61">
        <f>D189</f>
        <v>0</v>
      </c>
      <c r="F189" s="40">
        <f t="shared" ref="F189:Q189" si="139">($C$43/12-F43)*$F$216</f>
        <v>615995.74902017997</v>
      </c>
      <c r="G189" s="40">
        <f t="shared" si="139"/>
        <v>-615995.74902017997</v>
      </c>
      <c r="H189" s="40">
        <f t="shared" si="139"/>
        <v>615995.74902017997</v>
      </c>
      <c r="I189" s="40">
        <f t="shared" si="139"/>
        <v>-3079978.7451008996</v>
      </c>
      <c r="J189" s="40">
        <f t="shared" si="139"/>
        <v>-615995.74902017997</v>
      </c>
      <c r="K189" s="40">
        <f t="shared" si="139"/>
        <v>615995.74902017997</v>
      </c>
      <c r="L189" s="40">
        <f t="shared" si="139"/>
        <v>615995.74902017997</v>
      </c>
      <c r="M189" s="40">
        <f t="shared" si="139"/>
        <v>615995.74902017997</v>
      </c>
      <c r="N189" s="40">
        <f t="shared" si="139"/>
        <v>615995.74902017997</v>
      </c>
      <c r="O189" s="40">
        <f t="shared" si="139"/>
        <v>615995.74902017997</v>
      </c>
      <c r="P189" s="40">
        <f t="shared" si="139"/>
        <v>-615995.74902017997</v>
      </c>
      <c r="Q189" s="40">
        <f t="shared" si="139"/>
        <v>-3079978.7451008996</v>
      </c>
      <c r="R189" s="61">
        <f t="shared" si="127"/>
        <v>615995.74902017997</v>
      </c>
      <c r="S189" s="40">
        <f>($C$43/12-S43)*$F$217</f>
        <v>-6226761.9476876194</v>
      </c>
      <c r="T189" s="40">
        <f>($C$43/12-T43)*$F$217</f>
        <v>366280.11456985999</v>
      </c>
      <c r="U189" s="27">
        <f t="shared" si="124"/>
        <v>-1231991.4980403597</v>
      </c>
      <c r="V189" s="40">
        <f>($C$43/12-V43)*$F$217</f>
        <v>-6226761.9476876194</v>
      </c>
    </row>
    <row r="190" spans="1:24">
      <c r="A190" s="7262"/>
      <c r="B190" s="469" t="s">
        <v>17</v>
      </c>
      <c r="C190" s="3086">
        <v>-10860065.25</v>
      </c>
      <c r="D190" s="3091">
        <f>($C$44-D44)*$F$217</f>
        <v>2197680.6874191598</v>
      </c>
      <c r="E190" s="61">
        <f>D190</f>
        <v>2197680.6874191598</v>
      </c>
      <c r="F190" s="99">
        <f t="shared" ref="F190:Q190" si="140">($C$44/12-F44)*$F$217</f>
        <v>366280.11456985999</v>
      </c>
      <c r="G190" s="99">
        <f t="shared" si="140"/>
        <v>-366280.11456985999</v>
      </c>
      <c r="H190" s="99">
        <f t="shared" si="140"/>
        <v>366280.11456985999</v>
      </c>
      <c r="I190" s="99">
        <f t="shared" si="140"/>
        <v>366280.11456985999</v>
      </c>
      <c r="J190" s="99">
        <f t="shared" si="140"/>
        <v>366280.11456985999</v>
      </c>
      <c r="K190" s="99">
        <f t="shared" si="140"/>
        <v>366280.11456985999</v>
      </c>
      <c r="L190" s="99">
        <f t="shared" si="140"/>
        <v>366280.11456985999</v>
      </c>
      <c r="M190" s="99">
        <f t="shared" si="140"/>
        <v>-366280.11456985999</v>
      </c>
      <c r="N190" s="99">
        <f t="shared" si="140"/>
        <v>-1098840.3437095799</v>
      </c>
      <c r="O190" s="99">
        <f t="shared" si="140"/>
        <v>366280.11456985999</v>
      </c>
      <c r="P190" s="99">
        <f t="shared" si="140"/>
        <v>366280.11456985999</v>
      </c>
      <c r="Q190" s="99">
        <f t="shared" si="140"/>
        <v>366280.11456985999</v>
      </c>
      <c r="R190" s="39">
        <f t="shared" si="127"/>
        <v>366280.11456985999</v>
      </c>
      <c r="S190" s="99">
        <f>($C$44/12-S44)*$F$217</f>
        <v>-2563960.8019890198</v>
      </c>
      <c r="T190" s="99">
        <f>($C$44/12-T44)*$F$217</f>
        <v>-1831400.5728493</v>
      </c>
      <c r="U190" s="27">
        <f t="shared" si="124"/>
        <v>0</v>
      </c>
      <c r="V190" s="99">
        <f>($C$44/12-V44)*$F$217</f>
        <v>-2563960.8019890198</v>
      </c>
    </row>
    <row r="191" spans="1:24" s="3" customFormat="1">
      <c r="A191" s="7257" t="s">
        <v>57</v>
      </c>
      <c r="B191" s="7258"/>
      <c r="C191" s="3086">
        <v>-67505038.5</v>
      </c>
      <c r="D191" s="3092">
        <f t="shared" ref="D191:Q191" si="141">SUM(D188:D190)</f>
        <v>26143932.687001642</v>
      </c>
      <c r="E191" s="20">
        <f>SUM(E188:E190)</f>
        <v>26143932.687001642</v>
      </c>
      <c r="F191" s="32">
        <f t="shared" si="141"/>
        <v>5472198.1135117542</v>
      </c>
      <c r="G191" s="19">
        <f t="shared" si="141"/>
        <v>3507646.3863316751</v>
      </c>
      <c r="H191" s="19">
        <f t="shared" si="141"/>
        <v>5472198.1135117542</v>
      </c>
      <c r="I191" s="19">
        <f t="shared" si="141"/>
        <v>1776223.6193906753</v>
      </c>
      <c r="J191" s="19">
        <f t="shared" si="141"/>
        <v>4240206.6154713947</v>
      </c>
      <c r="K191" s="19">
        <f t="shared" si="141"/>
        <v>5472198.1135117542</v>
      </c>
      <c r="L191" s="19">
        <f t="shared" si="141"/>
        <v>5472198.1135117542</v>
      </c>
      <c r="M191" s="19">
        <f t="shared" si="141"/>
        <v>-4240206.6154713947</v>
      </c>
      <c r="N191" s="19">
        <f t="shared" si="141"/>
        <v>4007077.655232315</v>
      </c>
      <c r="O191" s="19">
        <f t="shared" si="141"/>
        <v>5472198.1135117542</v>
      </c>
      <c r="P191" s="21">
        <f t="shared" si="141"/>
        <v>4240206.6154713947</v>
      </c>
      <c r="Q191" s="20">
        <f t="shared" si="141"/>
        <v>1776223.6193906753</v>
      </c>
      <c r="R191" s="17">
        <f t="shared" si="127"/>
        <v>14452042.613355184</v>
      </c>
      <c r="S191" s="20">
        <f>SUM(S188:S190)</f>
        <v>-13280644.999598354</v>
      </c>
      <c r="T191" s="20">
        <f>SUM(T188:T190)</f>
        <v>-5955042.7082011551</v>
      </c>
      <c r="U191" s="27">
        <f t="shared" si="124"/>
        <v>16727697.5016465</v>
      </c>
      <c r="V191" s="20">
        <f>SUM(V188:V190)</f>
        <v>-13280644.999598354</v>
      </c>
    </row>
    <row r="192" spans="1:24">
      <c r="A192" s="7260" t="s">
        <v>820</v>
      </c>
      <c r="B192" s="100" t="s">
        <v>43</v>
      </c>
      <c r="C192" s="3086">
        <v>-33042245.5</v>
      </c>
      <c r="D192" s="3088">
        <f>($C$47-D47)*$F$215</f>
        <v>17959688.99968686</v>
      </c>
      <c r="E192" s="61">
        <f>D192</f>
        <v>17959688.99968686</v>
      </c>
      <c r="F192" s="40">
        <f t="shared" ref="F192:Q192" si="142">($C$47/12-F47)*$F$215</f>
        <v>3492161.749939112</v>
      </c>
      <c r="G192" s="40">
        <f t="shared" si="142"/>
        <v>498880.24999130191</v>
      </c>
      <c r="H192" s="40">
        <f t="shared" si="142"/>
        <v>498880.24999130191</v>
      </c>
      <c r="I192" s="40">
        <f t="shared" si="142"/>
        <v>3492161.749939112</v>
      </c>
      <c r="J192" s="40">
        <f t="shared" si="142"/>
        <v>3492161.749939112</v>
      </c>
      <c r="K192" s="40">
        <f t="shared" si="142"/>
        <v>-2494401.2499565082</v>
      </c>
      <c r="L192" s="40">
        <f t="shared" si="142"/>
        <v>498880.24999130191</v>
      </c>
      <c r="M192" s="40">
        <f t="shared" si="142"/>
        <v>3492161.749939112</v>
      </c>
      <c r="N192" s="40">
        <f t="shared" si="142"/>
        <v>-2494401.2499565082</v>
      </c>
      <c r="O192" s="40">
        <f t="shared" si="142"/>
        <v>3492161.749939112</v>
      </c>
      <c r="P192" s="40">
        <f t="shared" si="142"/>
        <v>3492161.749939112</v>
      </c>
      <c r="Q192" s="40">
        <f t="shared" si="142"/>
        <v>3492161.749939112</v>
      </c>
      <c r="R192" s="61">
        <f t="shared" si="127"/>
        <v>4489922.2499217158</v>
      </c>
      <c r="S192" s="40">
        <f>($C$47/12-S47)*$F$215</f>
        <v>-17460808.749695558</v>
      </c>
      <c r="T192" s="40">
        <f>($C$47/12-T47)*$F$215</f>
        <v>-5487682.7499043187</v>
      </c>
      <c r="U192" s="27">
        <f t="shared" si="124"/>
        <v>11973125.999791242</v>
      </c>
      <c r="V192" s="40">
        <f>($C$47/12-V47)*$F$215</f>
        <v>-17460808.749695558</v>
      </c>
    </row>
    <row r="193" spans="1:22">
      <c r="A193" s="7261"/>
      <c r="B193" s="100" t="s">
        <v>45</v>
      </c>
      <c r="C193" s="3086">
        <v>-10387888.5</v>
      </c>
      <c r="D193" s="3088">
        <f>($C$48-D48)*$F$216</f>
        <v>0</v>
      </c>
      <c r="E193" s="61">
        <f>D193</f>
        <v>0</v>
      </c>
      <c r="F193" s="40">
        <f t="shared" ref="F193:Q193" si="143">($C$48/12-F48)*$F$216</f>
        <v>615995.74902017997</v>
      </c>
      <c r="G193" s="40">
        <f t="shared" si="143"/>
        <v>615995.74902017997</v>
      </c>
      <c r="H193" s="40">
        <f t="shared" si="143"/>
        <v>615995.74902017997</v>
      </c>
      <c r="I193" s="40">
        <f t="shared" si="143"/>
        <v>615995.74902017997</v>
      </c>
      <c r="J193" s="40">
        <f t="shared" si="143"/>
        <v>-615995.74902017997</v>
      </c>
      <c r="K193" s="40">
        <f t="shared" si="143"/>
        <v>615995.74902017997</v>
      </c>
      <c r="L193" s="40">
        <f t="shared" si="143"/>
        <v>615995.74902017997</v>
      </c>
      <c r="M193" s="40">
        <f t="shared" si="143"/>
        <v>615995.74902017997</v>
      </c>
      <c r="N193" s="40">
        <f t="shared" si="143"/>
        <v>615995.74902017997</v>
      </c>
      <c r="O193" s="40">
        <f t="shared" si="143"/>
        <v>615995.74902017997</v>
      </c>
      <c r="P193" s="40">
        <f t="shared" si="143"/>
        <v>615995.74902017997</v>
      </c>
      <c r="Q193" s="40">
        <f t="shared" si="143"/>
        <v>-615995.74902017997</v>
      </c>
      <c r="R193" s="61">
        <f t="shared" si="127"/>
        <v>1847987.2470605399</v>
      </c>
      <c r="S193" s="40">
        <f>($C$48/12-S48)*$F$217</f>
        <v>-1098840.3437095799</v>
      </c>
      <c r="T193" s="40">
        <f>($C$48/12-T48)*$F$217</f>
        <v>366280.11456985999</v>
      </c>
      <c r="U193" s="27">
        <f t="shared" si="124"/>
        <v>2463982.9960807199</v>
      </c>
      <c r="V193" s="40">
        <f>($C$48/12-V48)*$F$217</f>
        <v>-1098840.3437095799</v>
      </c>
    </row>
    <row r="194" spans="1:22">
      <c r="A194" s="7262"/>
      <c r="B194" s="469" t="s">
        <v>17</v>
      </c>
      <c r="C194" s="3086">
        <v>-3462629.5</v>
      </c>
      <c r="D194" s="3091">
        <f>($C$49-D49)*$F$217</f>
        <v>-732560.22913971997</v>
      </c>
      <c r="E194" s="39">
        <f>D194</f>
        <v>-732560.22913971997</v>
      </c>
      <c r="F194" s="99">
        <f t="shared" ref="F194:Q194" si="144">($C$49/12-F49)*$F$217</f>
        <v>-610466.85761643329</v>
      </c>
      <c r="G194" s="99">
        <f t="shared" si="144"/>
        <v>122093.37152328665</v>
      </c>
      <c r="H194" s="99">
        <f t="shared" si="144"/>
        <v>-610466.85761643329</v>
      </c>
      <c r="I194" s="99">
        <f t="shared" si="144"/>
        <v>122093.37152328665</v>
      </c>
      <c r="J194" s="99">
        <f t="shared" si="144"/>
        <v>-610466.85761643329</v>
      </c>
      <c r="K194" s="99">
        <f t="shared" si="144"/>
        <v>122093.37152328665</v>
      </c>
      <c r="L194" s="99">
        <f t="shared" si="144"/>
        <v>122093.37152328665</v>
      </c>
      <c r="M194" s="99">
        <f t="shared" si="144"/>
        <v>122093.37152328665</v>
      </c>
      <c r="N194" s="99">
        <f t="shared" si="144"/>
        <v>-1343027.0867561533</v>
      </c>
      <c r="O194" s="99">
        <f t="shared" si="144"/>
        <v>122093.37152328665</v>
      </c>
      <c r="P194" s="99">
        <f t="shared" si="144"/>
        <v>122093.37152328665</v>
      </c>
      <c r="Q194" s="99">
        <f t="shared" si="144"/>
        <v>122093.37152328665</v>
      </c>
      <c r="R194" s="39">
        <f t="shared" si="127"/>
        <v>-1098840.3437095799</v>
      </c>
      <c r="S194" s="99">
        <f>($C$49/12-S49)*$F$217</f>
        <v>-3540707.7741753128</v>
      </c>
      <c r="T194" s="99">
        <f>($C$49/12-T49)*$F$217</f>
        <v>-1343027.0867561533</v>
      </c>
      <c r="U194" s="27">
        <f t="shared" si="124"/>
        <v>-732560.22913971986</v>
      </c>
      <c r="V194" s="99">
        <f>($C$49/12-V49)*$F$217</f>
        <v>-3540707.7741753128</v>
      </c>
    </row>
    <row r="195" spans="1:22" s="3" customFormat="1">
      <c r="A195" s="7257" t="s">
        <v>57</v>
      </c>
      <c r="B195" s="7258"/>
      <c r="C195" s="3086">
        <v>-46892763.5</v>
      </c>
      <c r="D195" s="3092">
        <f t="shared" ref="D195:Q195" si="145">SUM(D192:D194)</f>
        <v>17227128.77054714</v>
      </c>
      <c r="E195" s="20">
        <f>SUM(E192:E194)</f>
        <v>17227128.77054714</v>
      </c>
      <c r="F195" s="32">
        <f t="shared" si="145"/>
        <v>3497690.6413428583</v>
      </c>
      <c r="G195" s="19">
        <f t="shared" si="145"/>
        <v>1236969.3705347686</v>
      </c>
      <c r="H195" s="19">
        <f t="shared" si="145"/>
        <v>504409.14139504859</v>
      </c>
      <c r="I195" s="19">
        <f t="shared" si="145"/>
        <v>4230250.8704825779</v>
      </c>
      <c r="J195" s="19">
        <f t="shared" si="145"/>
        <v>2265699.1433024989</v>
      </c>
      <c r="K195" s="19">
        <f t="shared" si="145"/>
        <v>-1756312.1294130415</v>
      </c>
      <c r="L195" s="19">
        <f t="shared" si="145"/>
        <v>1236969.3705347686</v>
      </c>
      <c r="M195" s="19">
        <f t="shared" si="145"/>
        <v>4230250.8704825779</v>
      </c>
      <c r="N195" s="19">
        <f t="shared" si="145"/>
        <v>-3221432.5876924815</v>
      </c>
      <c r="O195" s="19">
        <f t="shared" si="145"/>
        <v>4230250.8704825779</v>
      </c>
      <c r="P195" s="21">
        <f t="shared" si="145"/>
        <v>4230250.8704825779</v>
      </c>
      <c r="Q195" s="20">
        <f t="shared" si="145"/>
        <v>2998259.3724422189</v>
      </c>
      <c r="R195" s="17">
        <f t="shared" si="127"/>
        <v>5239069.1532726754</v>
      </c>
      <c r="S195" s="20">
        <f>SUM(S192:S194)</f>
        <v>-22100356.867580451</v>
      </c>
      <c r="T195" s="20">
        <f>SUM(T192:T194)</f>
        <v>-6464429.7220906122</v>
      </c>
      <c r="U195" s="27">
        <f t="shared" si="124"/>
        <v>13704548.76673224</v>
      </c>
      <c r="V195" s="20">
        <f>SUM(V192:V194)</f>
        <v>-22100356.867580451</v>
      </c>
    </row>
    <row r="196" spans="1:22">
      <c r="A196" s="7255" t="s">
        <v>73</v>
      </c>
      <c r="B196" s="7255"/>
      <c r="C196" s="3086">
        <v>-86708594.353828669</v>
      </c>
      <c r="D196" s="3093">
        <f>D191+D181</f>
        <v>43295320.185762003</v>
      </c>
      <c r="E196" s="63">
        <f>D196</f>
        <v>43295320.185762003</v>
      </c>
      <c r="F196" s="63">
        <f t="shared" ref="F196:Q196" si="146">F191+F181</f>
        <v>15094856.445914732</v>
      </c>
      <c r="G196" s="63">
        <f t="shared" si="146"/>
        <v>2033268.5253045736</v>
      </c>
      <c r="H196" s="63">
        <f t="shared" si="146"/>
        <v>19449309.821677007</v>
      </c>
      <c r="I196" s="63">
        <f t="shared" si="146"/>
        <v>10091024.265532443</v>
      </c>
      <c r="J196" s="63">
        <f t="shared" si="146"/>
        <v>11333563.498548105</v>
      </c>
      <c r="K196" s="63">
        <f t="shared" si="146"/>
        <v>17383688.809022546</v>
      </c>
      <c r="L196" s="63">
        <f t="shared" si="146"/>
        <v>19856819.233364224</v>
      </c>
      <c r="M196" s="63">
        <f t="shared" si="146"/>
        <v>-10614326.439595344</v>
      </c>
      <c r="N196" s="63">
        <f t="shared" si="146"/>
        <v>10057056.220369004</v>
      </c>
      <c r="O196" s="63">
        <f t="shared" si="146"/>
        <v>18551028.338999689</v>
      </c>
      <c r="P196" s="63" t="e">
        <f t="shared" si="146"/>
        <v>#DIV/0!</v>
      </c>
      <c r="Q196" s="63" t="e">
        <f t="shared" si="146"/>
        <v>#DIV/0!</v>
      </c>
      <c r="R196" s="63">
        <f t="shared" si="127"/>
        <v>36577434.792896315</v>
      </c>
      <c r="S196" s="63">
        <f>S191+S181</f>
        <v>104327310.16815583</v>
      </c>
      <c r="T196" s="63">
        <f>T191+T181</f>
        <v>8599216.1206303164</v>
      </c>
      <c r="U196" s="27" t="e">
        <f t="shared" si="124"/>
        <v>#DIV/0!</v>
      </c>
      <c r="V196" s="63">
        <f>V191+V181</f>
        <v>62374352.909137174</v>
      </c>
    </row>
    <row r="197" spans="1:22">
      <c r="A197" s="7252" t="s">
        <v>74</v>
      </c>
      <c r="B197" s="7252"/>
      <c r="C197" s="3094">
        <v>-48489465.179968402</v>
      </c>
      <c r="D197" s="3089">
        <f>D195+D187</f>
        <v>25549701.328246281</v>
      </c>
      <c r="E197" s="63">
        <f>D197</f>
        <v>25549701.328246281</v>
      </c>
      <c r="F197" s="39">
        <f t="shared" ref="F197:Q197" si="147">F195+F187</f>
        <v>6310072.8796572601</v>
      </c>
      <c r="G197" s="39">
        <f t="shared" si="147"/>
        <v>7275198.0941672521</v>
      </c>
      <c r="H197" s="39">
        <f t="shared" si="147"/>
        <v>4717272.6793146757</v>
      </c>
      <c r="I197" s="39">
        <f t="shared" si="147"/>
        <v>5658911.9268364683</v>
      </c>
      <c r="J197" s="39">
        <f t="shared" si="147"/>
        <v>4824550.942761153</v>
      </c>
      <c r="K197" s="39">
        <f t="shared" si="147"/>
        <v>-5242944.8564097369</v>
      </c>
      <c r="L197" s="39">
        <f t="shared" si="147"/>
        <v>-6003109.6943115909</v>
      </c>
      <c r="M197" s="39">
        <f t="shared" si="147"/>
        <v>-6678954.6790115302</v>
      </c>
      <c r="N197" s="39">
        <f t="shared" si="147"/>
        <v>-12064976.117894053</v>
      </c>
      <c r="O197" s="39">
        <f t="shared" si="147"/>
        <v>4258486.9062823988</v>
      </c>
      <c r="P197" s="39" t="e">
        <f t="shared" si="147"/>
        <v>#DIV/0!</v>
      </c>
      <c r="Q197" s="39" t="e">
        <f t="shared" si="147"/>
        <v>#DIV/0!</v>
      </c>
      <c r="R197" s="39">
        <f t="shared" si="127"/>
        <v>18302543.653139189</v>
      </c>
      <c r="S197" s="39">
        <f>S195+S187</f>
        <v>-42084705.925467066</v>
      </c>
      <c r="T197" s="39">
        <f>T195+T187</f>
        <v>-80730865.360060662</v>
      </c>
      <c r="U197" s="27" t="e">
        <f t="shared" si="124"/>
        <v>#DIV/0!</v>
      </c>
      <c r="V197" s="39">
        <f>V195+V187</f>
        <v>-42084705.925467066</v>
      </c>
    </row>
    <row r="198" spans="1:22">
      <c r="A198" s="7253" t="s">
        <v>57</v>
      </c>
      <c r="B198" s="7254"/>
      <c r="C198" s="3095">
        <v>-135198059.53379709</v>
      </c>
      <c r="D198" s="3096">
        <f>SUM(D196:D197)</f>
        <v>68845021.514008284</v>
      </c>
      <c r="E198" s="18">
        <f>SUM(E196:E197)</f>
        <v>68845021.514008284</v>
      </c>
      <c r="F198" s="33">
        <f t="shared" ref="F198:P198" si="148">SUM(F196:F197)</f>
        <v>21404929.325571992</v>
      </c>
      <c r="G198" s="11">
        <f t="shared" si="148"/>
        <v>9308466.6194718257</v>
      </c>
      <c r="H198" s="11">
        <f t="shared" si="148"/>
        <v>24166582.500991683</v>
      </c>
      <c r="I198" s="11">
        <f t="shared" si="148"/>
        <v>15749936.192368912</v>
      </c>
      <c r="J198" s="11">
        <f t="shared" si="148"/>
        <v>16158114.441309258</v>
      </c>
      <c r="K198" s="11">
        <f t="shared" si="148"/>
        <v>12140743.95261281</v>
      </c>
      <c r="L198" s="11">
        <f t="shared" si="148"/>
        <v>13853709.539052634</v>
      </c>
      <c r="M198" s="11">
        <f t="shared" si="148"/>
        <v>-17293281.118606873</v>
      </c>
      <c r="N198" s="11">
        <f t="shared" si="148"/>
        <v>-2007919.8975250497</v>
      </c>
      <c r="O198" s="11">
        <f t="shared" si="148"/>
        <v>22809515.245282087</v>
      </c>
      <c r="P198" s="12" t="e">
        <f t="shared" si="148"/>
        <v>#DIV/0!</v>
      </c>
      <c r="Q198" s="18" t="e">
        <f>SUM(Q196:Q197)</f>
        <v>#DIV/0!</v>
      </c>
      <c r="R198" s="17">
        <f t="shared" si="127"/>
        <v>54879978.446035504</v>
      </c>
      <c r="S198" s="18">
        <f>SUM(S196:S197)</f>
        <v>62242604.242688768</v>
      </c>
      <c r="T198" s="18">
        <f>SUM(T196:T197)</f>
        <v>-72131649.239430338</v>
      </c>
      <c r="U198" s="27" t="e">
        <f t="shared" si="124"/>
        <v>#DIV/0!</v>
      </c>
      <c r="V198" s="18">
        <f>SUM(V196:V197)</f>
        <v>20289646.983670108</v>
      </c>
    </row>
    <row r="199" spans="1:22">
      <c r="A199" s="5"/>
      <c r="B199" s="5"/>
      <c r="C199" s="521"/>
      <c r="D199" s="522">
        <f t="shared" ref="D199:D206" si="149">D188/1000</f>
        <v>23946.25199958248</v>
      </c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523"/>
      <c r="V199" s="102"/>
    </row>
    <row r="200" spans="1:22">
      <c r="A200" s="5"/>
      <c r="B200" s="5"/>
      <c r="C200" s="521"/>
      <c r="D200" s="522">
        <f t="shared" si="149"/>
        <v>0</v>
      </c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523"/>
      <c r="V200" s="102"/>
    </row>
    <row r="201" spans="1:22">
      <c r="A201" s="5"/>
      <c r="B201" s="5"/>
      <c r="C201" s="521"/>
      <c r="D201" s="522">
        <f t="shared" si="149"/>
        <v>2197.6806874191598</v>
      </c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523"/>
      <c r="V201" s="102"/>
    </row>
    <row r="202" spans="1:22">
      <c r="A202" s="5"/>
      <c r="B202" s="5"/>
      <c r="C202" s="521"/>
      <c r="D202" s="522">
        <f t="shared" si="149"/>
        <v>26143.932687001641</v>
      </c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523"/>
      <c r="V202" s="102"/>
    </row>
    <row r="203" spans="1:22" ht="14.4" customHeight="1">
      <c r="A203" s="5"/>
      <c r="B203" s="5"/>
      <c r="C203" s="521"/>
      <c r="D203" s="522">
        <f t="shared" si="149"/>
        <v>17959.688999686859</v>
      </c>
      <c r="E203" s="102"/>
      <c r="F203" s="102"/>
      <c r="G203" s="102"/>
      <c r="H203" s="102"/>
      <c r="I203" s="102"/>
      <c r="J203" s="102"/>
      <c r="K203" s="102"/>
      <c r="L203" s="102"/>
      <c r="M203" s="7301" t="s">
        <v>1300</v>
      </c>
      <c r="N203" s="2804" t="s">
        <v>1297</v>
      </c>
      <c r="O203" s="2804" t="s">
        <v>1292</v>
      </c>
      <c r="P203" s="2804" t="s">
        <v>1293</v>
      </c>
      <c r="Q203" s="2804" t="s">
        <v>1294</v>
      </c>
      <c r="R203" s="2804" t="s">
        <v>1295</v>
      </c>
      <c r="S203" s="2804" t="s">
        <v>1296</v>
      </c>
      <c r="T203" s="102"/>
      <c r="U203" s="523"/>
      <c r="V203" s="102"/>
    </row>
    <row r="204" spans="1:22" ht="13.2">
      <c r="A204" s="5"/>
      <c r="B204" s="5"/>
      <c r="C204" s="521"/>
      <c r="D204" s="522">
        <f t="shared" si="149"/>
        <v>0</v>
      </c>
      <c r="E204" s="102"/>
      <c r="F204" s="102"/>
      <c r="G204" s="102"/>
      <c r="H204" s="102"/>
      <c r="I204" s="102"/>
      <c r="J204" s="102"/>
      <c r="K204" s="102"/>
      <c r="L204" s="102"/>
      <c r="M204" s="7302"/>
      <c r="N204" s="2805" t="s">
        <v>1289</v>
      </c>
      <c r="O204" s="2803">
        <v>368963.72050266073</v>
      </c>
      <c r="P204" s="2803">
        <v>494378.57449204411</v>
      </c>
      <c r="Q204" s="2803">
        <v>1008152.4272189199</v>
      </c>
      <c r="R204" s="2803">
        <v>522609.05837094138</v>
      </c>
      <c r="S204" s="2803">
        <v>501834.61633180169</v>
      </c>
      <c r="T204" s="102"/>
      <c r="U204" s="523"/>
      <c r="V204" s="102"/>
    </row>
    <row r="205" spans="1:22" ht="13.2">
      <c r="A205" s="5"/>
      <c r="B205" s="5"/>
      <c r="C205" s="521"/>
      <c r="D205" s="522">
        <f t="shared" si="149"/>
        <v>-732.56022913971992</v>
      </c>
      <c r="E205" s="102"/>
      <c r="F205" s="7" t="s">
        <v>210</v>
      </c>
      <c r="G205" s="110" t="s">
        <v>245</v>
      </c>
      <c r="H205" s="118" t="s">
        <v>211</v>
      </c>
      <c r="I205" s="114" t="s">
        <v>210</v>
      </c>
      <c r="J205" s="13" t="s">
        <v>722</v>
      </c>
      <c r="K205" s="8" t="s">
        <v>723</v>
      </c>
      <c r="L205" s="102"/>
      <c r="M205" s="7302"/>
      <c r="N205" s="2805" t="s">
        <v>1290</v>
      </c>
      <c r="O205" s="2803">
        <v>713289.80934813083</v>
      </c>
      <c r="P205" s="2803">
        <v>633799.03050183598</v>
      </c>
      <c r="Q205" s="2803">
        <v>1123747.3179047159</v>
      </c>
      <c r="R205" s="2803">
        <v>529073.78585749806</v>
      </c>
      <c r="S205" s="2803">
        <v>767153.87872781337</v>
      </c>
      <c r="T205" s="102"/>
      <c r="U205" s="523"/>
      <c r="V205" s="102"/>
    </row>
    <row r="206" spans="1:22" ht="13.2">
      <c r="A206" s="5"/>
      <c r="B206" s="5"/>
      <c r="C206" s="521"/>
      <c r="D206" s="522">
        <f t="shared" si="149"/>
        <v>17227.12877054714</v>
      </c>
      <c r="E206" s="102"/>
      <c r="F206" s="106" t="s">
        <v>4</v>
      </c>
      <c r="G206" s="112" t="s">
        <v>246</v>
      </c>
      <c r="H206" s="493">
        <v>493782</v>
      </c>
      <c r="I206" s="116" t="s">
        <v>4</v>
      </c>
      <c r="J206" s="499">
        <v>1617000</v>
      </c>
      <c r="K206" s="22">
        <v>2715801</v>
      </c>
      <c r="L206" s="102"/>
      <c r="M206" s="7303"/>
      <c r="N206" s="2805" t="s">
        <v>1291</v>
      </c>
      <c r="O206" s="2867">
        <v>1082253.5298507917</v>
      </c>
      <c r="P206" s="2867">
        <v>1128177.60499388</v>
      </c>
      <c r="Q206" s="2867">
        <v>2131899.745123636</v>
      </c>
      <c r="R206" s="2867">
        <v>1051682.8442284395</v>
      </c>
      <c r="S206" s="2867">
        <v>1268988.495059615</v>
      </c>
      <c r="T206" s="102"/>
      <c r="U206" s="523"/>
      <c r="V206" s="102"/>
    </row>
    <row r="207" spans="1:22">
      <c r="A207" s="5"/>
      <c r="B207" s="5"/>
      <c r="C207" s="521"/>
      <c r="D207" s="522">
        <f>D184/1000</f>
        <v>5194.1707909971092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523"/>
      <c r="V207" s="102"/>
    </row>
    <row r="208" spans="1:22">
      <c r="A208" s="5"/>
      <c r="B208" s="5"/>
      <c r="C208" s="521"/>
      <c r="D208" s="522">
        <f>D185/1000</f>
        <v>974.64682545275377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>
        <v>1106418.8897122829</v>
      </c>
      <c r="Q208" s="102">
        <v>1125542.8369687139</v>
      </c>
      <c r="R208" s="102">
        <v>2192114.6797475726</v>
      </c>
      <c r="S208" s="102">
        <v>1050760.920481432</v>
      </c>
      <c r="T208" s="102">
        <v>1303502.9430035991</v>
      </c>
      <c r="U208" s="523"/>
      <c r="V208" s="102"/>
    </row>
    <row r="209" spans="1:24">
      <c r="D209" s="522">
        <f>D186/1000</f>
        <v>58.514405749291079</v>
      </c>
      <c r="G209" s="36"/>
      <c r="H209" s="36"/>
      <c r="I209" s="37"/>
      <c r="J209" s="37"/>
      <c r="K209" s="37"/>
      <c r="L209" s="37"/>
      <c r="M209" s="37"/>
      <c r="N209" s="37"/>
      <c r="O209" s="37"/>
      <c r="P209" s="37"/>
      <c r="Q209" s="38"/>
      <c r="R209" s="38"/>
      <c r="S209" s="38"/>
      <c r="T209" s="38"/>
      <c r="U209" s="38"/>
    </row>
    <row r="210" spans="1:24">
      <c r="D210" s="522">
        <f>D187/1000</f>
        <v>8322.572557699139</v>
      </c>
      <c r="F210" s="15" t="s">
        <v>1426</v>
      </c>
      <c r="G210" s="36"/>
      <c r="H210" s="36"/>
      <c r="I210" s="37"/>
      <c r="J210" s="37"/>
      <c r="K210" s="37"/>
      <c r="L210" s="37"/>
      <c r="M210" s="37"/>
      <c r="N210" s="37"/>
      <c r="O210" s="37"/>
      <c r="P210" s="37"/>
      <c r="Q210" s="38"/>
      <c r="R210" s="38"/>
      <c r="S210" s="38"/>
      <c r="T210" s="38"/>
      <c r="U210" s="38"/>
    </row>
    <row r="211" spans="1:24">
      <c r="A211" s="5"/>
      <c r="B211" s="4"/>
      <c r="C211" s="1409" t="s">
        <v>978</v>
      </c>
      <c r="D211" s="1408" t="s">
        <v>75</v>
      </c>
      <c r="E211" s="1410" t="s">
        <v>979</v>
      </c>
      <c r="F211" s="1410" t="s">
        <v>980</v>
      </c>
      <c r="G211" s="36"/>
      <c r="H211" s="36"/>
      <c r="I211" s="97"/>
      <c r="J211" s="2403" t="s">
        <v>1981</v>
      </c>
      <c r="K211" s="37"/>
      <c r="L211" s="3747"/>
      <c r="M211" s="3747"/>
      <c r="N211" s="3747" t="s">
        <v>1517</v>
      </c>
      <c r="O211" s="3748" t="s">
        <v>1518</v>
      </c>
      <c r="Q211" s="37" t="s">
        <v>1514</v>
      </c>
      <c r="R211" s="38" t="s">
        <v>1515</v>
      </c>
      <c r="S211" s="124"/>
      <c r="T211" s="124"/>
      <c r="U211" s="124"/>
      <c r="V211" s="38"/>
    </row>
    <row r="212" spans="1:24" ht="15.6">
      <c r="A212" s="7" t="s">
        <v>210</v>
      </c>
      <c r="B212" s="110" t="s">
        <v>245</v>
      </c>
      <c r="C212" s="118" t="s">
        <v>211</v>
      </c>
      <c r="D212" s="114" t="s">
        <v>210</v>
      </c>
      <c r="E212" s="13" t="s">
        <v>722</v>
      </c>
      <c r="F212" s="8" t="s">
        <v>723</v>
      </c>
      <c r="G212" s="36"/>
      <c r="H212" s="2402" t="s">
        <v>1056</v>
      </c>
      <c r="I212" s="97"/>
      <c r="J212" s="2868" t="s">
        <v>210</v>
      </c>
      <c r="K212" s="2868" t="s">
        <v>245</v>
      </c>
      <c r="L212" s="2869" t="s">
        <v>248</v>
      </c>
      <c r="M212" s="2869" t="s">
        <v>249</v>
      </c>
      <c r="N212" s="2868" t="s">
        <v>211</v>
      </c>
      <c r="O212" s="2868" t="s">
        <v>211</v>
      </c>
      <c r="P212" s="2870" t="s">
        <v>210</v>
      </c>
      <c r="Q212" s="2870" t="s">
        <v>1301</v>
      </c>
      <c r="R212" s="2870" t="s">
        <v>1301</v>
      </c>
      <c r="S212" s="3575" t="s">
        <v>1407</v>
      </c>
      <c r="T212" s="3575"/>
      <c r="U212" s="3575"/>
      <c r="V212" s="3575"/>
      <c r="X212" s="270" t="s">
        <v>550</v>
      </c>
    </row>
    <row r="213" spans="1:24" ht="14.4">
      <c r="A213" s="468" t="s">
        <v>2</v>
      </c>
      <c r="B213" s="111" t="s">
        <v>246</v>
      </c>
      <c r="C213" s="2818">
        <v>433825.23423139862</v>
      </c>
      <c r="D213" s="115" t="s">
        <v>2</v>
      </c>
      <c r="E213" s="803">
        <v>1106418.8897122799</v>
      </c>
      <c r="F213" s="108" t="s">
        <v>139</v>
      </c>
      <c r="G213" s="36"/>
      <c r="H213" s="1943">
        <v>1082253.5298507917</v>
      </c>
      <c r="I213" s="97"/>
      <c r="J213" s="2869" t="s">
        <v>2</v>
      </c>
      <c r="K213" s="2400" t="s">
        <v>1402</v>
      </c>
      <c r="L213" s="3046">
        <v>604548</v>
      </c>
      <c r="M213" s="2401">
        <v>375604.76576860138</v>
      </c>
      <c r="N213" s="2818">
        <v>300762.41409725283</v>
      </c>
      <c r="O213" s="2818">
        <f>L215-M215</f>
        <v>433825.23423139862</v>
      </c>
      <c r="P213" s="2815" t="s">
        <v>2</v>
      </c>
      <c r="Q213" s="2817">
        <v>1082253.5298507917</v>
      </c>
      <c r="R213" s="3697">
        <v>1106418.8897122829</v>
      </c>
      <c r="S213" s="4" t="s">
        <v>1404</v>
      </c>
      <c r="T213" s="269">
        <v>17960.407262636705</v>
      </c>
      <c r="U213" s="2400" t="s">
        <v>1402</v>
      </c>
      <c r="V213" s="2401">
        <v>642441.16963905538</v>
      </c>
      <c r="X213"/>
    </row>
    <row r="214" spans="1:24" ht="15.6">
      <c r="A214" s="106" t="s">
        <v>3</v>
      </c>
      <c r="B214" s="112" t="s">
        <v>246</v>
      </c>
      <c r="C214" s="2818">
        <v>433825.23423139902</v>
      </c>
      <c r="D214" s="116" t="s">
        <v>3</v>
      </c>
      <c r="E214" s="803">
        <v>1125542.8369687099</v>
      </c>
      <c r="F214" s="22" t="s">
        <v>139</v>
      </c>
      <c r="G214" s="36"/>
      <c r="H214" s="1943">
        <v>1128177.60499388</v>
      </c>
      <c r="I214" s="97"/>
      <c r="J214" s="2869" t="s">
        <v>3</v>
      </c>
      <c r="K214" s="2400" t="s">
        <v>1401</v>
      </c>
      <c r="L214" s="3046">
        <v>763982.86212238576</v>
      </c>
      <c r="M214" s="2401">
        <v>375604.76576860138</v>
      </c>
      <c r="N214" s="2818">
        <v>388378.09635378438</v>
      </c>
      <c r="O214" s="2818">
        <f>L215-M215</f>
        <v>433825.23423139862</v>
      </c>
      <c r="P214" s="2815" t="s">
        <v>3</v>
      </c>
      <c r="Q214" s="2817">
        <v>1128177.60499388</v>
      </c>
      <c r="R214" s="3697">
        <v>1125542.8369687139</v>
      </c>
      <c r="S214" s="4" t="s">
        <v>1405</v>
      </c>
      <c r="T214" s="3045">
        <v>24476.585699188538</v>
      </c>
      <c r="U214" s="2400" t="s">
        <v>1401</v>
      </c>
      <c r="V214" s="2401">
        <v>666917.75533824391</v>
      </c>
      <c r="X214" s="270" t="s">
        <v>551</v>
      </c>
    </row>
    <row r="215" spans="1:24" ht="15.6">
      <c r="A215" s="106" t="s">
        <v>4</v>
      </c>
      <c r="B215" s="112" t="s">
        <v>246</v>
      </c>
      <c r="C215" s="2818">
        <v>433825.23423139902</v>
      </c>
      <c r="D215" s="116" t="s">
        <v>4</v>
      </c>
      <c r="E215" s="803">
        <v>2192114.6797475726</v>
      </c>
      <c r="F215" s="22">
        <v>2993281.4999478101</v>
      </c>
      <c r="G215" s="36"/>
      <c r="H215" s="1943">
        <v>2131899.745123636</v>
      </c>
      <c r="I215" s="1942"/>
      <c r="J215" s="2869" t="s">
        <v>4</v>
      </c>
      <c r="K215" s="2400" t="s">
        <v>246</v>
      </c>
      <c r="L215" s="3046">
        <v>809430</v>
      </c>
      <c r="M215" s="2401">
        <v>375604.76576860138</v>
      </c>
      <c r="N215" s="2818">
        <v>468639.26189459168</v>
      </c>
      <c r="O215" s="2818">
        <f>L215-M215</f>
        <v>433825.23423139862</v>
      </c>
      <c r="P215" s="2816" t="s">
        <v>4</v>
      </c>
      <c r="Q215" s="2817">
        <v>2131899.745123636</v>
      </c>
      <c r="R215" s="3697">
        <v>2192114.6797475726</v>
      </c>
      <c r="S215" s="4" t="s">
        <v>1403</v>
      </c>
      <c r="T215" s="3044">
        <v>59353.26763296705</v>
      </c>
      <c r="U215" s="2400" t="s">
        <v>246</v>
      </c>
      <c r="V215" s="2399">
        <v>839718</v>
      </c>
      <c r="X215"/>
    </row>
    <row r="216" spans="1:24" ht="15.6">
      <c r="A216" s="106" t="s">
        <v>193</v>
      </c>
      <c r="B216" s="112" t="s">
        <v>724</v>
      </c>
      <c r="C216" s="2818">
        <v>703178.23423139902</v>
      </c>
      <c r="D216" s="116" t="s">
        <v>193</v>
      </c>
      <c r="E216" s="803">
        <v>1050760.9204814299</v>
      </c>
      <c r="F216" s="22">
        <v>1231991.4980403599</v>
      </c>
      <c r="G216" s="36"/>
      <c r="H216" s="1943">
        <v>1051682.8442284395</v>
      </c>
      <c r="I216" s="97"/>
      <c r="J216" s="2869" t="s">
        <v>193</v>
      </c>
      <c r="K216" s="2400" t="s">
        <v>247</v>
      </c>
      <c r="L216" s="3749">
        <v>1078783</v>
      </c>
      <c r="M216" s="2401">
        <v>375604.76576860138</v>
      </c>
      <c r="N216" s="2818">
        <v>770040.23423139867</v>
      </c>
      <c r="O216" s="2818">
        <f>L216-M216</f>
        <v>703178.23423139867</v>
      </c>
      <c r="P216" s="2816" t="s">
        <v>193</v>
      </c>
      <c r="Q216" s="2817">
        <v>1051682.8442284395</v>
      </c>
      <c r="R216" s="3697">
        <v>1050760.920481432</v>
      </c>
      <c r="S216" s="4" t="s">
        <v>1406</v>
      </c>
      <c r="T216" s="260">
        <v>113446.97702878901</v>
      </c>
      <c r="U216" s="124"/>
      <c r="V216" s="2814"/>
      <c r="X216" s="270" t="s">
        <v>552</v>
      </c>
    </row>
    <row r="217" spans="1:24" ht="14.4">
      <c r="A217" s="107" t="s">
        <v>212</v>
      </c>
      <c r="B217" s="113" t="s">
        <v>724</v>
      </c>
      <c r="C217" s="2818">
        <v>864348.23423139902</v>
      </c>
      <c r="D217" s="117" t="s">
        <v>212</v>
      </c>
      <c r="E217" s="803">
        <v>1303502.9430036</v>
      </c>
      <c r="F217" s="22">
        <v>732560.22913971997</v>
      </c>
      <c r="G217" s="36"/>
      <c r="H217" s="1943">
        <v>1268988.495059615</v>
      </c>
      <c r="I217" s="97"/>
      <c r="J217" s="2869" t="s">
        <v>212</v>
      </c>
      <c r="K217" s="2400" t="s">
        <v>247</v>
      </c>
      <c r="L217" s="2401">
        <v>1239953</v>
      </c>
      <c r="M217" s="2401">
        <v>375604.76576860138</v>
      </c>
      <c r="N217" s="2818">
        <v>1197345.2347561251</v>
      </c>
      <c r="O217" s="2818">
        <f>L217-M217</f>
        <v>864348.23423139867</v>
      </c>
      <c r="P217" s="2816" t="s">
        <v>212</v>
      </c>
      <c r="Q217" s="2817">
        <v>1268988.495059615</v>
      </c>
      <c r="R217" s="3697">
        <v>1303502.9430035991</v>
      </c>
      <c r="T217" s="123"/>
      <c r="U217" s="124"/>
      <c r="V217" s="2814"/>
      <c r="X217"/>
    </row>
    <row r="218" spans="1:24">
      <c r="B218" s="14" t="s">
        <v>1790</v>
      </c>
      <c r="C218" s="5612">
        <f>AVERAGE(C213:C217)</f>
        <v>573800.43423139886</v>
      </c>
      <c r="D218" s="7251" t="s">
        <v>83</v>
      </c>
      <c r="E218" s="7251"/>
      <c r="F218" s="7251"/>
      <c r="G218" s="36"/>
      <c r="H218" s="36"/>
      <c r="I218" s="97"/>
      <c r="J218" s="37"/>
      <c r="K218" s="37"/>
      <c r="L218" s="37"/>
      <c r="M218" s="37"/>
      <c r="N218" s="37"/>
      <c r="R218" s="269"/>
    </row>
    <row r="219" spans="1:24">
      <c r="B219" s="470" t="s">
        <v>27</v>
      </c>
      <c r="C219" s="146">
        <f>D176/1000</f>
        <v>2293.8164719142073</v>
      </c>
      <c r="G219" s="36"/>
      <c r="H219" s="36"/>
      <c r="I219" s="36"/>
      <c r="N219" s="38"/>
    </row>
    <row r="220" spans="1:24">
      <c r="B220" s="100" t="s">
        <v>28</v>
      </c>
      <c r="C220" s="146">
        <f>D177/1000</f>
        <v>1759.734223895797</v>
      </c>
      <c r="F220" s="263">
        <f>608/60*E215</f>
        <v>22213428.754775401</v>
      </c>
      <c r="G220" s="36"/>
      <c r="H220" s="36"/>
      <c r="I220" s="36"/>
      <c r="N220" s="38"/>
    </row>
    <row r="221" spans="1:24">
      <c r="A221" s="5"/>
      <c r="B221" s="100" t="s">
        <v>29</v>
      </c>
      <c r="C221" s="146">
        <f>D178/1000</f>
        <v>9076.6196449241961</v>
      </c>
      <c r="G221" s="36"/>
      <c r="H221" s="36"/>
      <c r="I221" s="36"/>
      <c r="N221" s="38"/>
    </row>
    <row r="222" spans="1:24">
      <c r="A222" s="5"/>
      <c r="B222" s="100" t="s">
        <v>23</v>
      </c>
      <c r="C222" s="146">
        <f>D179/1000</f>
        <v>2001.469605158866</v>
      </c>
      <c r="D222" s="471"/>
      <c r="E222" s="471"/>
      <c r="F222" s="471" t="s">
        <v>104</v>
      </c>
      <c r="G222" s="471" t="s">
        <v>5</v>
      </c>
      <c r="H222" s="471" t="s">
        <v>6</v>
      </c>
      <c r="I222" s="471" t="s">
        <v>7</v>
      </c>
      <c r="J222" s="471" t="s">
        <v>8</v>
      </c>
      <c r="K222" s="471" t="s">
        <v>9</v>
      </c>
      <c r="L222" s="471" t="s">
        <v>10</v>
      </c>
      <c r="M222" s="471" t="s">
        <v>11</v>
      </c>
      <c r="N222" s="471" t="s">
        <v>12</v>
      </c>
      <c r="O222" s="471" t="s">
        <v>13</v>
      </c>
      <c r="P222" s="471" t="s">
        <v>14</v>
      </c>
      <c r="Q222" s="471" t="s">
        <v>15</v>
      </c>
      <c r="R222" s="73" t="s">
        <v>19</v>
      </c>
      <c r="S222" s="73" t="s">
        <v>20</v>
      </c>
      <c r="T222" s="73" t="s">
        <v>21</v>
      </c>
      <c r="U222" s="73"/>
      <c r="V222" s="73" t="s">
        <v>22</v>
      </c>
    </row>
    <row r="223" spans="1:24">
      <c r="A223" s="5"/>
      <c r="B223" s="100" t="s">
        <v>17</v>
      </c>
      <c r="C223" s="146">
        <f>D180/1000</f>
        <v>2019.7475528672908</v>
      </c>
      <c r="D223" s="78" t="s">
        <v>55</v>
      </c>
      <c r="E223" s="78" t="s">
        <v>55</v>
      </c>
      <c r="F223" s="79">
        <f t="shared" ref="F223:T223" si="150">F92</f>
        <v>0.99633813730488796</v>
      </c>
      <c r="G223" s="79">
        <f t="shared" si="150"/>
        <v>0.99612374473672649</v>
      </c>
      <c r="H223" s="79">
        <f t="shared" si="150"/>
        <v>0.99651840446930751</v>
      </c>
      <c r="I223" s="79">
        <f t="shared" si="150"/>
        <v>0.9958414522014728</v>
      </c>
      <c r="J223" s="79">
        <f t="shared" si="150"/>
        <v>0.99565900851830702</v>
      </c>
      <c r="K223" s="79">
        <f t="shared" si="150"/>
        <v>0.99508664530737656</v>
      </c>
      <c r="L223" s="79">
        <f t="shared" si="150"/>
        <v>0.9951165818230433</v>
      </c>
      <c r="M223" s="79">
        <f t="shared" si="150"/>
        <v>0.99494788904133469</v>
      </c>
      <c r="N223" s="79">
        <f t="shared" si="150"/>
        <v>0.99564616359304947</v>
      </c>
      <c r="O223" s="79">
        <f t="shared" si="150"/>
        <v>0.99589479451524499</v>
      </c>
      <c r="P223" s="79">
        <f t="shared" si="150"/>
        <v>1.005097779159845</v>
      </c>
      <c r="Q223" s="79">
        <f t="shared" si="150"/>
        <v>1.0040913222093137</v>
      </c>
      <c r="R223" s="79">
        <f t="shared" si="150"/>
        <v>0.99632153953215941</v>
      </c>
      <c r="S223" s="79">
        <f t="shared" si="150"/>
        <v>0.99591713884307043</v>
      </c>
      <c r="T223" s="79" t="e">
        <f t="shared" si="150"/>
        <v>#DIV/0!</v>
      </c>
      <c r="U223" s="131"/>
      <c r="V223" s="80">
        <f>V92</f>
        <v>0.99601770058959738</v>
      </c>
    </row>
    <row r="224" spans="1:24">
      <c r="A224" s="5"/>
      <c r="B224" s="4"/>
      <c r="C224" s="146">
        <f>SUM(C219:C223)</f>
        <v>17151.387498760356</v>
      </c>
      <c r="D224" s="88">
        <f>C92</f>
        <v>0.99483918463783039</v>
      </c>
      <c r="E224" s="81" t="s">
        <v>191</v>
      </c>
      <c r="F224" s="82">
        <f>(F223-$C$92)/$C$92</f>
        <v>1.5067286152417338E-3</v>
      </c>
      <c r="G224" s="82">
        <f t="shared" ref="G224:V224" si="151">(G223-$C$92)/$C$92</f>
        <v>1.2912238668642167E-3</v>
      </c>
      <c r="H224" s="82">
        <f t="shared" si="151"/>
        <v>1.6879309313579524E-3</v>
      </c>
      <c r="I224" s="82">
        <f t="shared" si="151"/>
        <v>1.007466914370975E-3</v>
      </c>
      <c r="J224" s="82">
        <f t="shared" si="151"/>
        <v>8.2407678862698693E-4</v>
      </c>
      <c r="K224" s="82">
        <f t="shared" si="151"/>
        <v>2.4874439343305628E-4</v>
      </c>
      <c r="L224" s="82">
        <f t="shared" si="151"/>
        <v>2.7883620739556928E-4</v>
      </c>
      <c r="M224" s="82">
        <f t="shared" si="151"/>
        <v>1.0926831711386018E-4</v>
      </c>
      <c r="N224" s="82">
        <f t="shared" si="151"/>
        <v>8.1116522919517258E-4</v>
      </c>
      <c r="O224" s="82">
        <f t="shared" si="151"/>
        <v>1.0610859460656362E-3</v>
      </c>
      <c r="P224" s="82">
        <f t="shared" si="151"/>
        <v>1.0311811879172444E-2</v>
      </c>
      <c r="Q224" s="82">
        <f t="shared" si="151"/>
        <v>9.3001338451013868E-3</v>
      </c>
      <c r="R224" s="82">
        <f t="shared" si="151"/>
        <v>1.4900447401141198E-3</v>
      </c>
      <c r="S224" s="82">
        <f t="shared" si="151"/>
        <v>1.0835461870477758E-3</v>
      </c>
      <c r="T224" s="82" t="e">
        <f t="shared" si="151"/>
        <v>#DIV/0!</v>
      </c>
      <c r="U224" s="132"/>
      <c r="V224" s="83">
        <f t="shared" si="151"/>
        <v>1.1846296064383778E-3</v>
      </c>
    </row>
    <row r="225" spans="1:22">
      <c r="A225" s="5"/>
      <c r="B225" s="470" t="s">
        <v>27</v>
      </c>
      <c r="C225" s="146">
        <f t="shared" ref="C225:C230" si="152">D182/1000</f>
        <v>75.86031973768155</v>
      </c>
      <c r="D225" s="89">
        <f>D92</f>
        <v>0.99638399452019832</v>
      </c>
      <c r="E225" s="84" t="s">
        <v>192</v>
      </c>
      <c r="F225" s="85">
        <f>(F223-$D$92)/$D$92</f>
        <v>-4.6023637034078763E-5</v>
      </c>
      <c r="G225" s="85">
        <f t="shared" ref="G225:V225" si="153">(G223-$D$92)/$D$92</f>
        <v>-2.6119426335943362E-4</v>
      </c>
      <c r="H225" s="85">
        <f t="shared" si="153"/>
        <v>1.3489774007651166E-4</v>
      </c>
      <c r="I225" s="85">
        <f t="shared" si="153"/>
        <v>-5.4451127447785084E-4</v>
      </c>
      <c r="J225" s="85">
        <f t="shared" si="153"/>
        <v>-7.276170692007305E-4</v>
      </c>
      <c r="K225" s="85">
        <f t="shared" si="153"/>
        <v>-1.302057459731168E-3</v>
      </c>
      <c r="L225" s="85">
        <f t="shared" si="153"/>
        <v>-1.2720123006043844E-3</v>
      </c>
      <c r="M225" s="85">
        <f t="shared" si="153"/>
        <v>-1.4413172900827082E-3</v>
      </c>
      <c r="N225" s="85">
        <f t="shared" si="153"/>
        <v>-7.405086103416884E-4</v>
      </c>
      <c r="O225" s="85">
        <f t="shared" si="153"/>
        <v>-4.9097537459833374E-4</v>
      </c>
      <c r="P225" s="85">
        <f t="shared" si="153"/>
        <v>8.7454080831986195E-3</v>
      </c>
      <c r="Q225" s="85">
        <f t="shared" si="153"/>
        <v>7.7352985711365493E-3</v>
      </c>
      <c r="R225" s="85">
        <f t="shared" si="153"/>
        <v>-6.2681645211485739E-5</v>
      </c>
      <c r="S225" s="85">
        <f t="shared" si="153"/>
        <v>-4.6854995633757507E-4</v>
      </c>
      <c r="T225" s="85" t="e">
        <f t="shared" si="153"/>
        <v>#DIV/0!</v>
      </c>
      <c r="U225" s="133"/>
      <c r="V225" s="86">
        <f t="shared" si="153"/>
        <v>-3.6762325831752587E-4</v>
      </c>
    </row>
    <row r="226" spans="1:22">
      <c r="A226" s="5"/>
      <c r="B226" s="100" t="s">
        <v>28</v>
      </c>
      <c r="C226" s="146">
        <f t="shared" si="152"/>
        <v>2019.3802157623013</v>
      </c>
      <c r="D226" s="31" t="s">
        <v>52</v>
      </c>
      <c r="E226" s="31" t="s">
        <v>52</v>
      </c>
      <c r="F226" s="75">
        <f t="shared" ref="F226:T226" si="154">F116</f>
        <v>0.91519003726432246</v>
      </c>
      <c r="G226" s="75">
        <f t="shared" si="154"/>
        <v>0.91426840008414845</v>
      </c>
      <c r="H226" s="75">
        <f t="shared" si="154"/>
        <v>0.91363763499109096</v>
      </c>
      <c r="I226" s="75">
        <f t="shared" si="154"/>
        <v>0.91705905505567364</v>
      </c>
      <c r="J226" s="75">
        <f t="shared" si="154"/>
        <v>0.9172402789070695</v>
      </c>
      <c r="K226" s="75">
        <f t="shared" si="154"/>
        <v>0.91702438362734517</v>
      </c>
      <c r="L226" s="75">
        <f t="shared" si="154"/>
        <v>0.91726438504453112</v>
      </c>
      <c r="M226" s="75">
        <f t="shared" si="154"/>
        <v>0.89952197235642084</v>
      </c>
      <c r="N226" s="75">
        <f t="shared" si="154"/>
        <v>0.90378060119449155</v>
      </c>
      <c r="O226" s="75">
        <f t="shared" si="154"/>
        <v>0.91113968282461699</v>
      </c>
      <c r="P226" s="75" t="e">
        <f t="shared" si="154"/>
        <v>#DIV/0!</v>
      </c>
      <c r="Q226" s="75" t="e">
        <f t="shared" si="154"/>
        <v>#DIV/0!</v>
      </c>
      <c r="R226" s="75">
        <f t="shared" si="154"/>
        <v>0.912119360888482</v>
      </c>
      <c r="S226" s="75">
        <f t="shared" si="154"/>
        <v>0.912119360888482</v>
      </c>
      <c r="T226" s="75">
        <f t="shared" si="154"/>
        <v>0.90716834954933212</v>
      </c>
      <c r="U226" s="134"/>
      <c r="V226" s="76">
        <f>V116</f>
        <v>0.912119360888482</v>
      </c>
    </row>
    <row r="227" spans="1:22">
      <c r="A227" s="5"/>
      <c r="B227" s="100" t="s">
        <v>29</v>
      </c>
      <c r="C227" s="146">
        <f t="shared" si="152"/>
        <v>5194.1707909971092</v>
      </c>
      <c r="D227" s="88">
        <f>C116</f>
        <v>0.90559734263340841</v>
      </c>
      <c r="E227" s="81" t="s">
        <v>191</v>
      </c>
      <c r="F227" s="1">
        <f>(F226-$C$116)/$C$116</f>
        <v>1.059267091378518E-2</v>
      </c>
      <c r="G227" s="1">
        <f t="shared" ref="G227:V227" si="155">(G226-$C$116)/$C$116</f>
        <v>9.5749590270718561E-3</v>
      </c>
      <c r="H227" s="1">
        <f t="shared" si="155"/>
        <v>8.8784407585627348E-3</v>
      </c>
      <c r="I227" s="1">
        <f t="shared" si="155"/>
        <v>1.2656521704155453E-2</v>
      </c>
      <c r="J227" s="1">
        <f t="shared" si="155"/>
        <v>1.285663696826264E-2</v>
      </c>
      <c r="K227" s="1">
        <f t="shared" si="155"/>
        <v>1.2618236003992455E-2</v>
      </c>
      <c r="L227" s="1">
        <f t="shared" si="155"/>
        <v>1.2883256014417879E-2</v>
      </c>
      <c r="M227" s="1">
        <f t="shared" si="155"/>
        <v>-6.7086882778618281E-3</v>
      </c>
      <c r="N227" s="1">
        <f t="shared" si="155"/>
        <v>-2.0061249667914349E-3</v>
      </c>
      <c r="O227" s="1">
        <f t="shared" si="155"/>
        <v>6.1200932581050626E-3</v>
      </c>
      <c r="P227" s="1" t="e">
        <f t="shared" si="155"/>
        <v>#DIV/0!</v>
      </c>
      <c r="Q227" s="1" t="e">
        <f t="shared" si="155"/>
        <v>#DIV/0!</v>
      </c>
      <c r="R227" s="1">
        <f t="shared" si="155"/>
        <v>7.2018964147002214E-3</v>
      </c>
      <c r="S227" s="1">
        <f t="shared" si="155"/>
        <v>7.2018964147002214E-3</v>
      </c>
      <c r="T227" s="1">
        <f t="shared" si="155"/>
        <v>1.7347742114120419E-3</v>
      </c>
      <c r="U227" s="135"/>
      <c r="V227" s="2">
        <f t="shared" si="155"/>
        <v>7.2018964147002214E-3</v>
      </c>
    </row>
    <row r="228" spans="1:22">
      <c r="A228" s="5"/>
      <c r="B228" s="100" t="s">
        <v>23</v>
      </c>
      <c r="C228" s="146">
        <f t="shared" si="152"/>
        <v>974.64682545275377</v>
      </c>
      <c r="D228" s="89">
        <f>D116</f>
        <v>0.91503999999999996</v>
      </c>
      <c r="E228" s="84" t="s">
        <v>192</v>
      </c>
      <c r="F228" s="9">
        <f>(F226-$D$116)/$D$116</f>
        <v>1.6396798426571526E-4</v>
      </c>
      <c r="G228" s="9">
        <f t="shared" ref="G228:V228" si="156">(G226-$D$116)/$D$116</f>
        <v>-8.4324173353243293E-4</v>
      </c>
      <c r="H228" s="9">
        <f t="shared" si="156"/>
        <v>-1.5325723563002723E-3</v>
      </c>
      <c r="I228" s="9">
        <f t="shared" si="156"/>
        <v>2.2065210872461091E-3</v>
      </c>
      <c r="J228" s="9">
        <f t="shared" si="156"/>
        <v>2.4045712832985776E-3</v>
      </c>
      <c r="K228" s="9">
        <f t="shared" si="156"/>
        <v>2.1686304722692011E-3</v>
      </c>
      <c r="L228" s="9">
        <f t="shared" si="156"/>
        <v>2.4309156370553768E-3</v>
      </c>
      <c r="M228" s="9">
        <f t="shared" si="156"/>
        <v>-1.6958851682526584E-2</v>
      </c>
      <c r="N228" s="9">
        <f t="shared" si="156"/>
        <v>-1.2304815970349291E-2</v>
      </c>
      <c r="O228" s="9">
        <f t="shared" si="156"/>
        <v>-4.2624553848825981E-3</v>
      </c>
      <c r="P228" s="9" t="e">
        <f t="shared" si="156"/>
        <v>#DIV/0!</v>
      </c>
      <c r="Q228" s="9" t="e">
        <f t="shared" si="156"/>
        <v>#DIV/0!</v>
      </c>
      <c r="R228" s="9">
        <f t="shared" si="156"/>
        <v>-3.1918157802041051E-3</v>
      </c>
      <c r="S228" s="9">
        <f t="shared" si="156"/>
        <v>-3.1918157802041051E-3</v>
      </c>
      <c r="T228" s="9">
        <f t="shared" si="156"/>
        <v>-8.6025206009221946E-3</v>
      </c>
      <c r="U228" s="136"/>
      <c r="V228" s="10">
        <f t="shared" si="156"/>
        <v>-3.1918157802041051E-3</v>
      </c>
    </row>
    <row r="229" spans="1:22">
      <c r="A229" s="5"/>
      <c r="B229" s="100" t="s">
        <v>17</v>
      </c>
      <c r="C229" s="146">
        <f t="shared" si="152"/>
        <v>58.514405749291079</v>
      </c>
      <c r="D229" s="78" t="s">
        <v>40</v>
      </c>
      <c r="E229" s="78" t="s">
        <v>40</v>
      </c>
      <c r="F229" s="87">
        <f t="shared" ref="F229:T229" si="157">F124</f>
        <v>35.86289204337217</v>
      </c>
      <c r="G229" s="87">
        <f t="shared" si="157"/>
        <v>35.952977261414752</v>
      </c>
      <c r="H229" s="87">
        <f t="shared" si="157"/>
        <v>35.845247018809971</v>
      </c>
      <c r="I229" s="87">
        <f t="shared" si="157"/>
        <v>37.678947849341149</v>
      </c>
      <c r="J229" s="87">
        <f t="shared" si="157"/>
        <v>34.349657961803871</v>
      </c>
      <c r="K229" s="87">
        <f t="shared" si="157"/>
        <v>36.665793616097247</v>
      </c>
      <c r="L229" s="87">
        <f t="shared" si="157"/>
        <v>37.369798175482153</v>
      </c>
      <c r="M229" s="87">
        <f t="shared" si="157"/>
        <v>37.330181842468747</v>
      </c>
      <c r="N229" s="87">
        <f t="shared" si="157"/>
        <v>37.921059312266571</v>
      </c>
      <c r="O229" s="87">
        <f t="shared" si="157"/>
        <v>34.291248904298349</v>
      </c>
      <c r="P229" s="87" t="e">
        <f t="shared" si="157"/>
        <v>#DIV/0!</v>
      </c>
      <c r="Q229" s="87" t="e">
        <f t="shared" si="157"/>
        <v>#DIV/0!</v>
      </c>
      <c r="R229" s="87">
        <f t="shared" si="157"/>
        <v>9.8681438634340619</v>
      </c>
      <c r="S229" s="87">
        <f t="shared" si="157"/>
        <v>19.999798281820453</v>
      </c>
      <c r="T229" s="87">
        <f t="shared" si="157"/>
        <v>37.539763254628369</v>
      </c>
      <c r="U229" s="87"/>
      <c r="V229" s="87">
        <f>V124</f>
        <v>36.224426786039395</v>
      </c>
    </row>
    <row r="230" spans="1:22">
      <c r="A230" s="5"/>
      <c r="B230" s="4"/>
      <c r="C230" s="146">
        <f t="shared" si="152"/>
        <v>8322.572557699139</v>
      </c>
      <c r="D230" s="90">
        <f>C124</f>
        <v>35.431363833866214</v>
      </c>
      <c r="E230" s="81" t="s">
        <v>191</v>
      </c>
      <c r="F230" s="82">
        <f>(F229-$C$124)/$C$124</f>
        <v>1.2179271775406229E-2</v>
      </c>
      <c r="G230" s="82">
        <f t="shared" ref="G230:V230" si="158">(G229-$C$124)/$C$124</f>
        <v>1.4721799307368624E-2</v>
      </c>
      <c r="H230" s="82">
        <f t="shared" si="158"/>
        <v>1.1681265979046403E-2</v>
      </c>
      <c r="I230" s="82">
        <f t="shared" si="158"/>
        <v>6.3434871601714529E-2</v>
      </c>
      <c r="J230" s="82">
        <f t="shared" si="158"/>
        <v>-3.0529614302580731E-2</v>
      </c>
      <c r="K230" s="82">
        <f t="shared" si="158"/>
        <v>3.4840030093652011E-2</v>
      </c>
      <c r="L230" s="82">
        <f t="shared" si="158"/>
        <v>5.4709560453417613E-2</v>
      </c>
      <c r="M230" s="82">
        <f t="shared" si="158"/>
        <v>5.3591445632911058E-2</v>
      </c>
      <c r="N230" s="82">
        <f t="shared" si="158"/>
        <v>7.0268124311394453E-2</v>
      </c>
      <c r="O230" s="82">
        <f t="shared" si="158"/>
        <v>-3.2178127122448323E-2</v>
      </c>
      <c r="P230" s="82" t="e">
        <f t="shared" si="158"/>
        <v>#DIV/0!</v>
      </c>
      <c r="Q230" s="82" t="e">
        <f t="shared" si="158"/>
        <v>#DIV/0!</v>
      </c>
      <c r="R230" s="82">
        <f t="shared" si="158"/>
        <v>-0.72148563318915104</v>
      </c>
      <c r="S230" s="82">
        <f t="shared" si="158"/>
        <v>-0.43553405464160744</v>
      </c>
      <c r="T230" s="82">
        <f t="shared" si="158"/>
        <v>5.9506583789667493E-2</v>
      </c>
      <c r="U230" s="132"/>
      <c r="V230" s="83">
        <f t="shared" si="158"/>
        <v>2.2383077205036916E-2</v>
      </c>
    </row>
    <row r="231" spans="1:22">
      <c r="A231" s="5"/>
      <c r="B231" s="4"/>
      <c r="C231" s="109"/>
      <c r="D231" s="91">
        <f>D124</f>
        <v>36.410000000000004</v>
      </c>
      <c r="E231" s="84" t="s">
        <v>192</v>
      </c>
      <c r="F231" s="85">
        <f>(F229-$D$124)/$D$124</f>
        <v>-1.5026310261681773E-2</v>
      </c>
      <c r="G231" s="85">
        <f t="shared" ref="G231:V231" si="159">(G229-$D$124)/$D$124</f>
        <v>-1.255212135636506E-2</v>
      </c>
      <c r="H231" s="85">
        <f t="shared" si="159"/>
        <v>-1.5510930546279391E-2</v>
      </c>
      <c r="I231" s="85">
        <f t="shared" si="159"/>
        <v>3.4851630028595044E-2</v>
      </c>
      <c r="J231" s="85">
        <f t="shared" si="159"/>
        <v>-5.6587257297339537E-2</v>
      </c>
      <c r="K231" s="85">
        <f t="shared" si="159"/>
        <v>7.0253670996221675E-3</v>
      </c>
      <c r="L231" s="85">
        <f t="shared" si="159"/>
        <v>2.6360839755071377E-2</v>
      </c>
      <c r="M231" s="85">
        <f t="shared" si="159"/>
        <v>2.5272777876098409E-2</v>
      </c>
      <c r="N231" s="85">
        <f t="shared" si="159"/>
        <v>4.1501217035610202E-2</v>
      </c>
      <c r="O231" s="85">
        <f t="shared" si="159"/>
        <v>-5.8191461018996263E-2</v>
      </c>
      <c r="P231" s="85" t="e">
        <f t="shared" si="159"/>
        <v>#DIV/0!</v>
      </c>
      <c r="Q231" s="85" t="e">
        <f t="shared" si="159"/>
        <v>#DIV/0!</v>
      </c>
      <c r="R231" s="85">
        <f t="shared" si="159"/>
        <v>-0.72897160495924029</v>
      </c>
      <c r="S231" s="85">
        <f t="shared" si="159"/>
        <v>-0.4507058972309681</v>
      </c>
      <c r="T231" s="85">
        <f t="shared" si="159"/>
        <v>3.1028927619565091E-2</v>
      </c>
      <c r="U231" s="133"/>
      <c r="V231" s="86">
        <f t="shared" si="159"/>
        <v>-5.0967650085308701E-3</v>
      </c>
    </row>
    <row r="232" spans="1:22">
      <c r="A232" s="5"/>
      <c r="B232" s="4"/>
      <c r="D232" s="77" t="s">
        <v>105</v>
      </c>
      <c r="E232" s="77" t="s">
        <v>105</v>
      </c>
      <c r="F232" s="75" t="e">
        <f>#REF!</f>
        <v>#REF!</v>
      </c>
      <c r="G232" s="75" t="e">
        <f>#REF!</f>
        <v>#REF!</v>
      </c>
      <c r="H232" s="75" t="e">
        <f>#REF!</f>
        <v>#REF!</v>
      </c>
      <c r="I232" s="75" t="e">
        <f>#REF!</f>
        <v>#REF!</v>
      </c>
      <c r="J232" s="75" t="e">
        <f>#REF!</f>
        <v>#REF!</v>
      </c>
      <c r="K232" s="75" t="e">
        <f>#REF!</f>
        <v>#REF!</v>
      </c>
      <c r="L232" s="75" t="e">
        <f>#REF!</f>
        <v>#REF!</v>
      </c>
      <c r="M232" s="75" t="e">
        <f>#REF!</f>
        <v>#REF!</v>
      </c>
      <c r="N232" s="75" t="e">
        <f>#REF!</f>
        <v>#REF!</v>
      </c>
      <c r="O232" s="75" t="e">
        <f>#REF!</f>
        <v>#REF!</v>
      </c>
      <c r="P232" s="75" t="e">
        <f>#REF!</f>
        <v>#REF!</v>
      </c>
      <c r="Q232" s="75" t="e">
        <f>#REF!</f>
        <v>#REF!</v>
      </c>
      <c r="R232" s="75" t="e">
        <f>#REF!</f>
        <v>#REF!</v>
      </c>
      <c r="S232" s="75" t="e">
        <f>#REF!</f>
        <v>#REF!</v>
      </c>
      <c r="T232" s="75" t="e">
        <f>#REF!</f>
        <v>#REF!</v>
      </c>
      <c r="U232" s="75"/>
      <c r="V232" s="75" t="e">
        <f>#REF!</f>
        <v>#REF!</v>
      </c>
    </row>
    <row r="233" spans="1:22">
      <c r="A233" s="5"/>
      <c r="B233" s="4"/>
      <c r="C233" s="109"/>
      <c r="D233" s="88" t="e">
        <f>#REF!</f>
        <v>#REF!</v>
      </c>
      <c r="E233" s="81" t="s">
        <v>191</v>
      </c>
      <c r="F233" s="1" t="e">
        <f>(F232-#REF!)/#REF!</f>
        <v>#REF!</v>
      </c>
      <c r="G233" s="1" t="e">
        <f>(G232-#REF!)/#REF!</f>
        <v>#REF!</v>
      </c>
      <c r="H233" s="1" t="e">
        <f>(H232-#REF!)/#REF!</f>
        <v>#REF!</v>
      </c>
      <c r="I233" s="1" t="e">
        <f>(I232-#REF!)/#REF!</f>
        <v>#REF!</v>
      </c>
      <c r="J233" s="1" t="e">
        <f>(J232-#REF!)/#REF!</f>
        <v>#REF!</v>
      </c>
      <c r="K233" s="1" t="e">
        <f>(K232-#REF!)/#REF!</f>
        <v>#REF!</v>
      </c>
      <c r="L233" s="1" t="e">
        <f>(L232-#REF!)/#REF!</f>
        <v>#REF!</v>
      </c>
      <c r="M233" s="1" t="e">
        <f>(M232-#REF!)/#REF!</f>
        <v>#REF!</v>
      </c>
      <c r="N233" s="1" t="e">
        <f>(N232-#REF!)/#REF!</f>
        <v>#REF!</v>
      </c>
      <c r="O233" s="1" t="e">
        <f>(O232-#REF!)/#REF!</f>
        <v>#REF!</v>
      </c>
      <c r="P233" s="1" t="e">
        <f>(P232-#REF!)/#REF!</f>
        <v>#REF!</v>
      </c>
      <c r="Q233" s="1" t="e">
        <f>(Q232-#REF!)/#REF!</f>
        <v>#REF!</v>
      </c>
      <c r="R233" s="1" t="e">
        <f>(R232-#REF!)/#REF!</f>
        <v>#REF!</v>
      </c>
      <c r="S233" s="1" t="e">
        <f>(S232-#REF!)/#REF!</f>
        <v>#REF!</v>
      </c>
      <c r="T233" s="1" t="e">
        <f>(T232-#REF!)/#REF!</f>
        <v>#REF!</v>
      </c>
      <c r="U233" s="135"/>
      <c r="V233" s="2" t="e">
        <f>(V232-#REF!)/#REF!</f>
        <v>#REF!</v>
      </c>
    </row>
    <row r="234" spans="1:22">
      <c r="A234" s="5"/>
      <c r="B234" s="100" t="s">
        <v>29</v>
      </c>
      <c r="C234" s="146">
        <f>D188/1000</f>
        <v>23946.25199958248</v>
      </c>
      <c r="D234" s="89" t="e">
        <f>#REF!</f>
        <v>#REF!</v>
      </c>
      <c r="E234" s="84" t="s">
        <v>192</v>
      </c>
      <c r="F234" s="9" t="e">
        <f>(F232-#REF!)/#REF!</f>
        <v>#REF!</v>
      </c>
      <c r="G234" s="9" t="e">
        <f>(G232-#REF!)/#REF!</f>
        <v>#REF!</v>
      </c>
      <c r="H234" s="9" t="e">
        <f>(H232-#REF!)/#REF!</f>
        <v>#REF!</v>
      </c>
      <c r="I234" s="9" t="e">
        <f>(I232-#REF!)/#REF!</f>
        <v>#REF!</v>
      </c>
      <c r="J234" s="9" t="e">
        <f>(J232-#REF!)/#REF!</f>
        <v>#REF!</v>
      </c>
      <c r="K234" s="9" t="e">
        <f>(K232-#REF!)/#REF!</f>
        <v>#REF!</v>
      </c>
      <c r="L234" s="9" t="e">
        <f>(L232-#REF!)/#REF!</f>
        <v>#REF!</v>
      </c>
      <c r="M234" s="9" t="e">
        <f>(M232-#REF!)/#REF!</f>
        <v>#REF!</v>
      </c>
      <c r="N234" s="9" t="e">
        <f>(N232-#REF!)/#REF!</f>
        <v>#REF!</v>
      </c>
      <c r="O234" s="9" t="e">
        <f>(O232-#REF!)/#REF!</f>
        <v>#REF!</v>
      </c>
      <c r="P234" s="9" t="e">
        <f>(P232-#REF!)/#REF!</f>
        <v>#REF!</v>
      </c>
      <c r="Q234" s="9" t="e">
        <f>(Q232-#REF!)/#REF!</f>
        <v>#REF!</v>
      </c>
      <c r="R234" s="9" t="e">
        <f>(R232-#REF!)/#REF!</f>
        <v>#REF!</v>
      </c>
      <c r="S234" s="9" t="e">
        <f>(S232-#REF!)/#REF!</f>
        <v>#REF!</v>
      </c>
      <c r="T234" s="9" t="e">
        <f>(T232-#REF!)/#REF!</f>
        <v>#REF!</v>
      </c>
      <c r="U234" s="136"/>
      <c r="V234" s="10" t="e">
        <f>(V232-#REF!)/#REF!</f>
        <v>#REF!</v>
      </c>
    </row>
    <row r="235" spans="1:22">
      <c r="B235" s="100" t="s">
        <v>23</v>
      </c>
      <c r="C235" s="146">
        <f>D189/1000</f>
        <v>0</v>
      </c>
    </row>
    <row r="236" spans="1:22">
      <c r="B236" s="100" t="s">
        <v>17</v>
      </c>
      <c r="C236" s="146">
        <f>D190/1000</f>
        <v>2197.6806874191598</v>
      </c>
    </row>
    <row r="237" spans="1:22">
      <c r="A237" s="5"/>
      <c r="B237" s="4"/>
      <c r="C237" s="146">
        <f>SUM(C234:C236)</f>
        <v>26143.932687001641</v>
      </c>
      <c r="D237" s="471" t="s">
        <v>109</v>
      </c>
      <c r="E237" s="471" t="s">
        <v>108</v>
      </c>
      <c r="F237" s="471" t="s">
        <v>18</v>
      </c>
      <c r="G237" s="471" t="s">
        <v>5</v>
      </c>
      <c r="H237" s="471" t="s">
        <v>6</v>
      </c>
      <c r="I237" s="471" t="s">
        <v>7</v>
      </c>
      <c r="J237" s="471" t="s">
        <v>8</v>
      </c>
      <c r="K237" s="471" t="s">
        <v>9</v>
      </c>
      <c r="L237" s="471" t="s">
        <v>10</v>
      </c>
      <c r="M237" s="471" t="s">
        <v>11</v>
      </c>
      <c r="N237" s="471" t="s">
        <v>12</v>
      </c>
      <c r="O237" s="471" t="s">
        <v>13</v>
      </c>
      <c r="P237" s="471" t="s">
        <v>14</v>
      </c>
      <c r="Q237" s="471" t="s">
        <v>15</v>
      </c>
      <c r="R237" s="73" t="s">
        <v>19</v>
      </c>
      <c r="S237" s="73" t="s">
        <v>20</v>
      </c>
      <c r="T237" s="73" t="s">
        <v>21</v>
      </c>
      <c r="U237" s="73"/>
      <c r="V237" s="73" t="s">
        <v>22</v>
      </c>
    </row>
    <row r="238" spans="1:22">
      <c r="A238" s="5"/>
      <c r="B238" s="100" t="s">
        <v>29</v>
      </c>
      <c r="C238" s="146">
        <f>D192/1000</f>
        <v>17959.688999686859</v>
      </c>
      <c r="D238" s="95">
        <f>(D128+D134+D142+D149+D157)/1000000</f>
        <v>454.01122179484366</v>
      </c>
      <c r="E238" s="92" t="s">
        <v>52</v>
      </c>
      <c r="F238" s="95">
        <f t="shared" ref="F238:Q238" si="160">(F128+F134+F142+F149+F157)/1000000</f>
        <v>55.997417133653727</v>
      </c>
      <c r="G238" s="95">
        <f t="shared" si="160"/>
        <v>46.03869150150836</v>
      </c>
      <c r="H238" s="95">
        <f t="shared" si="160"/>
        <v>36.662131416011611</v>
      </c>
      <c r="I238" s="95">
        <f t="shared" si="160"/>
        <v>47.869276584031184</v>
      </c>
      <c r="J238" s="95">
        <f t="shared" si="160"/>
        <v>42.609612297911511</v>
      </c>
      <c r="K238" s="95">
        <f t="shared" si="160"/>
        <v>54.339471085593154</v>
      </c>
      <c r="L238" s="95">
        <f t="shared" si="160"/>
        <v>60.294531504200577</v>
      </c>
      <c r="M238" s="95">
        <f t="shared" si="160"/>
        <v>-16.42608601440422</v>
      </c>
      <c r="N238" s="95">
        <f t="shared" si="160"/>
        <v>8.8811396074819839</v>
      </c>
      <c r="O238" s="95">
        <f t="shared" si="160"/>
        <v>31.748522260734134</v>
      </c>
      <c r="P238" s="95" t="e">
        <f t="shared" si="160"/>
        <v>#DIV/0!</v>
      </c>
      <c r="Q238" s="95" t="e">
        <f t="shared" si="160"/>
        <v>#DIV/0!</v>
      </c>
      <c r="R238" s="95">
        <f>SUM(F238:H238)</f>
        <v>138.69824005117371</v>
      </c>
      <c r="S238" s="471"/>
      <c r="T238" s="471"/>
      <c r="U238" s="471"/>
      <c r="V238" s="471"/>
    </row>
    <row r="239" spans="1:22">
      <c r="A239" s="5"/>
      <c r="B239" s="100" t="s">
        <v>23</v>
      </c>
      <c r="C239" s="146">
        <f>D193/1000</f>
        <v>0</v>
      </c>
      <c r="D239" s="96">
        <f>(D127+D132+D140+D147+D155)/1000000</f>
        <v>562.78845635761684</v>
      </c>
      <c r="E239" s="94" t="s">
        <v>55</v>
      </c>
      <c r="F239" s="96">
        <f t="shared" ref="F239:Q239" si="161">(F127+F132+F140+F147+F155)/1000000</f>
        <v>66.569739951002546</v>
      </c>
      <c r="G239" s="96">
        <f t="shared" si="161"/>
        <v>86.896408341407323</v>
      </c>
      <c r="H239" s="96">
        <f t="shared" si="161"/>
        <v>55.216200559044708</v>
      </c>
      <c r="I239" s="96">
        <f t="shared" si="161"/>
        <v>46.236603637158161</v>
      </c>
      <c r="J239" s="96">
        <f t="shared" si="161"/>
        <v>45.377040004003895</v>
      </c>
      <c r="K239" s="96">
        <f t="shared" si="161"/>
        <v>40.681081886532084</v>
      </c>
      <c r="L239" s="96">
        <f t="shared" si="161"/>
        <v>22.254194401975106</v>
      </c>
      <c r="M239" s="96">
        <f t="shared" si="161"/>
        <v>17.47714356480283</v>
      </c>
      <c r="N239" s="96">
        <f t="shared" si="161"/>
        <v>58.683346680796184</v>
      </c>
      <c r="O239" s="96">
        <f t="shared" si="161"/>
        <v>73.360047823368191</v>
      </c>
      <c r="P239" s="96" t="e">
        <f t="shared" si="161"/>
        <v>#DIV/0!</v>
      </c>
      <c r="Q239" s="96" t="e">
        <f t="shared" si="161"/>
        <v>#DIV/0!</v>
      </c>
      <c r="R239" s="95">
        <f t="shared" ref="R239:R244" si="162">SUM(F239:H239)</f>
        <v>208.68234885145455</v>
      </c>
      <c r="S239" s="471"/>
      <c r="T239" s="471"/>
      <c r="U239" s="471"/>
      <c r="V239" s="471"/>
    </row>
    <row r="240" spans="1:22">
      <c r="A240" s="5"/>
      <c r="B240" s="100" t="s">
        <v>17</v>
      </c>
      <c r="C240" s="146">
        <f>D194/1000</f>
        <v>-732.56022913971992</v>
      </c>
      <c r="D240" s="95"/>
      <c r="E240" s="471"/>
      <c r="F240" s="471"/>
      <c r="G240" s="93"/>
      <c r="H240" s="93"/>
      <c r="I240" s="471"/>
      <c r="J240" s="471"/>
      <c r="K240" s="471"/>
      <c r="L240" s="471"/>
      <c r="M240" s="471"/>
      <c r="N240" s="471"/>
      <c r="O240" s="471"/>
      <c r="P240" s="471"/>
      <c r="Q240" s="471"/>
      <c r="R240" s="95">
        <f t="shared" si="162"/>
        <v>0</v>
      </c>
      <c r="S240" s="471"/>
      <c r="T240" s="471"/>
      <c r="U240" s="471"/>
      <c r="V240" s="471"/>
    </row>
    <row r="241" spans="1:22">
      <c r="A241" s="5"/>
      <c r="B241" s="4"/>
      <c r="C241" s="146">
        <f>SUM(C238:C240)</f>
        <v>17227.12877054714</v>
      </c>
      <c r="D241" s="95"/>
      <c r="E241" s="471"/>
      <c r="F241" s="471"/>
      <c r="G241" s="93"/>
      <c r="H241" s="93"/>
      <c r="I241" s="471"/>
      <c r="J241" s="471"/>
      <c r="K241" s="471"/>
      <c r="L241" s="471"/>
      <c r="M241" s="471"/>
      <c r="N241" s="471"/>
      <c r="O241" s="471"/>
      <c r="P241" s="471"/>
      <c r="Q241" s="471"/>
      <c r="R241" s="95">
        <f t="shared" si="162"/>
        <v>0</v>
      </c>
      <c r="S241" s="471"/>
      <c r="T241" s="471"/>
      <c r="U241" s="471"/>
      <c r="V241" s="471"/>
    </row>
    <row r="242" spans="1:22">
      <c r="A242" s="5"/>
      <c r="B242" s="4"/>
      <c r="C242" s="146"/>
      <c r="D242" s="96">
        <f>(D129+D135+D143+D150+D158)/1000000</f>
        <v>1173.5479726707463</v>
      </c>
      <c r="E242" s="94" t="s">
        <v>40</v>
      </c>
      <c r="F242" s="96">
        <f t="shared" ref="F242:Q242" si="163">(F129+F135+F143+F150+F158)/1000000</f>
        <v>57.28221966979784</v>
      </c>
      <c r="G242" s="96">
        <f t="shared" si="163"/>
        <v>55.296872121405784</v>
      </c>
      <c r="H242" s="96">
        <f t="shared" si="163"/>
        <v>28.147199865933203</v>
      </c>
      <c r="I242" s="96">
        <f t="shared" si="163"/>
        <v>196.43292153357032</v>
      </c>
      <c r="J242" s="96">
        <f t="shared" si="163"/>
        <v>-129.00518236595542</v>
      </c>
      <c r="K242" s="96">
        <f t="shared" si="163"/>
        <v>109.15756230404425</v>
      </c>
      <c r="L242" s="96">
        <f t="shared" si="163"/>
        <v>217.7056641387498</v>
      </c>
      <c r="M242" s="96">
        <f t="shared" si="163"/>
        <v>180.52318852635389</v>
      </c>
      <c r="N242" s="96">
        <f t="shared" si="163"/>
        <v>210.01411709870226</v>
      </c>
      <c r="O242" s="96">
        <f t="shared" si="163"/>
        <v>-189.32533057325116</v>
      </c>
      <c r="P242" s="96" t="e">
        <f t="shared" si="163"/>
        <v>#DIV/0!</v>
      </c>
      <c r="Q242" s="96" t="e">
        <f t="shared" si="163"/>
        <v>#DIV/0!</v>
      </c>
      <c r="R242" s="95">
        <f t="shared" si="162"/>
        <v>140.72629165713681</v>
      </c>
      <c r="S242" s="471"/>
      <c r="T242" s="471"/>
      <c r="U242" s="471"/>
      <c r="V242" s="471"/>
    </row>
    <row r="243" spans="1:22">
      <c r="A243" s="5"/>
      <c r="B243" s="4"/>
      <c r="C243" s="4"/>
      <c r="D243" s="95" t="e">
        <f>(#REF!)/1000000</f>
        <v>#REF!</v>
      </c>
      <c r="E243" s="471" t="s">
        <v>101</v>
      </c>
      <c r="F243" s="95" t="e">
        <f>#REF!/1000000</f>
        <v>#REF!</v>
      </c>
      <c r="G243" s="95" t="e">
        <f>#REF!/1000000</f>
        <v>#REF!</v>
      </c>
      <c r="H243" s="95" t="e">
        <f>#REF!/1000000</f>
        <v>#REF!</v>
      </c>
      <c r="I243" s="95" t="e">
        <f>#REF!/1000000</f>
        <v>#REF!</v>
      </c>
      <c r="J243" s="95" t="e">
        <f>#REF!/1000000</f>
        <v>#REF!</v>
      </c>
      <c r="K243" s="95" t="e">
        <f>#REF!/1000000</f>
        <v>#REF!</v>
      </c>
      <c r="L243" s="95" t="e">
        <f>#REF!/1000000</f>
        <v>#REF!</v>
      </c>
      <c r="M243" s="95" t="e">
        <f>#REF!/1000000</f>
        <v>#REF!</v>
      </c>
      <c r="N243" s="95" t="e">
        <f>#REF!/1000000</f>
        <v>#REF!</v>
      </c>
      <c r="O243" s="95" t="e">
        <f>#REF!/1000000</f>
        <v>#REF!</v>
      </c>
      <c r="P243" s="95" t="e">
        <f>#REF!/1000000</f>
        <v>#REF!</v>
      </c>
      <c r="Q243" s="95" t="e">
        <f>#REF!/1000000</f>
        <v>#REF!</v>
      </c>
      <c r="R243" s="95" t="e">
        <f t="shared" si="162"/>
        <v>#REF!</v>
      </c>
      <c r="S243" s="471"/>
      <c r="T243" s="471"/>
      <c r="U243" s="471"/>
      <c r="V243" s="471"/>
    </row>
    <row r="244" spans="1:22">
      <c r="A244" s="5"/>
      <c r="B244" s="4"/>
      <c r="C244" s="4"/>
      <c r="D244" s="95"/>
      <c r="E244" s="471"/>
      <c r="F244" s="471"/>
      <c r="G244" s="93"/>
      <c r="H244" s="93"/>
      <c r="I244" s="471"/>
      <c r="J244" s="471"/>
      <c r="K244" s="471"/>
      <c r="L244" s="471"/>
      <c r="M244" s="471"/>
      <c r="N244" s="471"/>
      <c r="O244" s="471"/>
      <c r="P244" s="471"/>
      <c r="Q244" s="471"/>
      <c r="R244" s="95">
        <f t="shared" si="162"/>
        <v>0</v>
      </c>
      <c r="S244" s="471"/>
      <c r="T244" s="471"/>
      <c r="U244" s="471"/>
      <c r="V244" s="471"/>
    </row>
    <row r="247" spans="1:22" ht="19.2">
      <c r="F247" s="500" t="s">
        <v>474</v>
      </c>
      <c r="J247" s="15">
        <v>4238520</v>
      </c>
      <c r="K247" s="15">
        <v>15568972</v>
      </c>
    </row>
    <row r="248" spans="1:22" ht="19.2">
      <c r="E248" s="119">
        <f>70*12/1000000</f>
        <v>8.4000000000000003E-4</v>
      </c>
      <c r="F248" s="500" t="s">
        <v>475</v>
      </c>
      <c r="J248" s="15">
        <v>780000</v>
      </c>
      <c r="M248" s="2446">
        <f>450*420789</f>
        <v>189355050</v>
      </c>
      <c r="T248" s="3"/>
    </row>
    <row r="249" spans="1:22" ht="19.2">
      <c r="F249" s="500" t="s">
        <v>476</v>
      </c>
    </row>
    <row r="251" spans="1:22" s="6" customFormat="1">
      <c r="A251" s="50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</row>
  </sheetData>
  <mergeCells count="62">
    <mergeCell ref="X49:X50"/>
    <mergeCell ref="X39:Y40"/>
    <mergeCell ref="Z39:AA39"/>
    <mergeCell ref="M203:M206"/>
    <mergeCell ref="A155:A162"/>
    <mergeCell ref="A132:A139"/>
    <mergeCell ref="X53:Y53"/>
    <mergeCell ref="A127:A131"/>
    <mergeCell ref="A147:A154"/>
    <mergeCell ref="A93:A97"/>
    <mergeCell ref="A98:B98"/>
    <mergeCell ref="AB39:AC39"/>
    <mergeCell ref="X41:X42"/>
    <mergeCell ref="X43:X44"/>
    <mergeCell ref="X45:X46"/>
    <mergeCell ref="X47:X48"/>
    <mergeCell ref="A2:A6"/>
    <mergeCell ref="A188:A190"/>
    <mergeCell ref="A191:B191"/>
    <mergeCell ref="A176:A181"/>
    <mergeCell ref="A164:B164"/>
    <mergeCell ref="A182:A187"/>
    <mergeCell ref="A124:B124"/>
    <mergeCell ref="A126:B126"/>
    <mergeCell ref="A175:B175"/>
    <mergeCell ref="A45:A49"/>
    <mergeCell ref="A92:B92"/>
    <mergeCell ref="A36:A39"/>
    <mergeCell ref="A140:A146"/>
    <mergeCell ref="A111:A115"/>
    <mergeCell ref="A117:A123"/>
    <mergeCell ref="A116:B116"/>
    <mergeCell ref="A1:B1"/>
    <mergeCell ref="A99:A103"/>
    <mergeCell ref="A104:B104"/>
    <mergeCell ref="A105:A109"/>
    <mergeCell ref="A110:B110"/>
    <mergeCell ref="A81:A85"/>
    <mergeCell ref="A76:A80"/>
    <mergeCell ref="A66:A70"/>
    <mergeCell ref="A71:A75"/>
    <mergeCell ref="A60:B60"/>
    <mergeCell ref="A61:A65"/>
    <mergeCell ref="A50:A54"/>
    <mergeCell ref="A8:A13"/>
    <mergeCell ref="A55:A59"/>
    <mergeCell ref="A86:B86"/>
    <mergeCell ref="A87:A91"/>
    <mergeCell ref="A31:A35"/>
    <mergeCell ref="A26:A30"/>
    <mergeCell ref="A40:A44"/>
    <mergeCell ref="A20:A25"/>
    <mergeCell ref="A14:A19"/>
    <mergeCell ref="D218:F218"/>
    <mergeCell ref="A197:B197"/>
    <mergeCell ref="A198:B198"/>
    <mergeCell ref="A196:B196"/>
    <mergeCell ref="A165:A168"/>
    <mergeCell ref="A169:A172"/>
    <mergeCell ref="A195:B195"/>
    <mergeCell ref="A173:B173"/>
    <mergeCell ref="A192:A194"/>
  </mergeCells>
  <phoneticPr fontId="22" type="noConversion"/>
  <pageMargins left="0.13" right="0.13" top="0.17" bottom="0.17" header="0.5" footer="0.18"/>
  <pageSetup paperSize="9" orientation="landscape" horizontalDpi="300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IV195"/>
  <sheetViews>
    <sheetView topLeftCell="A99" workbookViewId="0">
      <selection activeCell="A115" sqref="A115"/>
    </sheetView>
  </sheetViews>
  <sheetFormatPr defaultRowHeight="14.4"/>
  <cols>
    <col min="1" max="1" width="7" style="53" bestFit="1" customWidth="1"/>
    <col min="2" max="2" width="14.8984375" style="54" bestFit="1" customWidth="1"/>
    <col min="3" max="3" width="10.59765625" style="55" bestFit="1" customWidth="1"/>
    <col min="4" max="4" width="8.59765625" style="55" bestFit="1" customWidth="1"/>
    <col min="5" max="5" width="10.59765625" style="56" bestFit="1" customWidth="1"/>
    <col min="6" max="6" width="10.59765625" style="55" bestFit="1" customWidth="1"/>
    <col min="7" max="7" width="9.59765625" style="53" bestFit="1" customWidth="1"/>
    <col min="8" max="8" width="8.59765625" style="55" bestFit="1" customWidth="1"/>
    <col min="9" max="9" width="6.19921875" style="53" bestFit="1" customWidth="1"/>
    <col min="10" max="10" width="7.69921875" style="55" bestFit="1" customWidth="1"/>
    <col min="11" max="11" width="10.796875" style="53" bestFit="1" customWidth="1"/>
    <col min="12" max="12" width="9.796875" style="55" bestFit="1" customWidth="1"/>
    <col min="13" max="13" width="16.59765625" style="53" bestFit="1" customWidth="1"/>
    <col min="14" max="14" width="12.69921875" style="55" bestFit="1" customWidth="1"/>
    <col min="15" max="15" width="13.796875" style="53" bestFit="1" customWidth="1"/>
    <col min="16" max="16" width="15.296875" style="57" bestFit="1" customWidth="1"/>
    <col min="17" max="17" width="15.8984375" style="57" customWidth="1"/>
    <col min="18" max="18" width="9.59765625" style="57" bestFit="1" customWidth="1"/>
    <col min="19" max="19" width="10.59765625" style="57" bestFit="1" customWidth="1"/>
    <col min="20" max="20" width="15.3984375" style="57" bestFit="1" customWidth="1"/>
    <col min="21" max="21" width="11.3984375" style="57" bestFit="1" customWidth="1"/>
    <col min="22" max="22" width="9.59765625" style="57" bestFit="1" customWidth="1"/>
    <col min="23" max="256" width="5.69921875" style="57" customWidth="1"/>
    <col min="257" max="257" width="0" style="58" hidden="1" customWidth="1"/>
    <col min="258" max="258" width="6.69921875" style="58" customWidth="1"/>
    <col min="259" max="259" width="8.59765625" style="58" customWidth="1"/>
    <col min="260" max="260" width="4.796875" style="58" customWidth="1"/>
    <col min="261" max="262" width="8.59765625" style="58" customWidth="1"/>
    <col min="263" max="263" width="5.19921875" style="58" customWidth="1"/>
    <col min="264" max="264" width="6.69921875" style="58" customWidth="1"/>
    <col min="265" max="265" width="5.19921875" style="58" customWidth="1"/>
    <col min="266" max="266" width="5.69921875" style="58" customWidth="1"/>
    <col min="267" max="267" width="5.19921875" style="58" customWidth="1"/>
    <col min="268" max="268" width="5.69921875" style="58" customWidth="1"/>
    <col min="269" max="269" width="5.19921875" style="58" customWidth="1"/>
    <col min="270" max="270" width="8.59765625" style="58" customWidth="1"/>
    <col min="271" max="271" width="5.19921875" style="58" customWidth="1"/>
    <col min="272" max="512" width="5.69921875" style="58" customWidth="1"/>
    <col min="513" max="513" width="0" style="58" hidden="1" customWidth="1"/>
    <col min="514" max="514" width="6.69921875" style="58" customWidth="1"/>
    <col min="515" max="515" width="8.59765625" style="58" customWidth="1"/>
    <col min="516" max="516" width="4.796875" style="58" customWidth="1"/>
    <col min="517" max="518" width="8.59765625" style="58" customWidth="1"/>
    <col min="519" max="519" width="5.19921875" style="58" customWidth="1"/>
    <col min="520" max="520" width="6.69921875" style="58" customWidth="1"/>
    <col min="521" max="521" width="5.19921875" style="58" customWidth="1"/>
    <col min="522" max="522" width="5.69921875" style="58" customWidth="1"/>
    <col min="523" max="523" width="5.19921875" style="58" customWidth="1"/>
    <col min="524" max="524" width="5.69921875" style="58" customWidth="1"/>
    <col min="525" max="525" width="5.19921875" style="58" customWidth="1"/>
    <col min="526" max="526" width="8.59765625" style="58" customWidth="1"/>
    <col min="527" max="527" width="5.19921875" style="58" customWidth="1"/>
    <col min="528" max="768" width="5.69921875" style="58" customWidth="1"/>
    <col min="769" max="769" width="0" style="58" hidden="1" customWidth="1"/>
    <col min="770" max="770" width="6.69921875" style="58" customWidth="1"/>
    <col min="771" max="771" width="8.59765625" style="58" customWidth="1"/>
    <col min="772" max="772" width="4.796875" style="58" customWidth="1"/>
    <col min="773" max="774" width="8.59765625" style="58" customWidth="1"/>
    <col min="775" max="775" width="5.19921875" style="58" customWidth="1"/>
    <col min="776" max="776" width="6.69921875" style="58" customWidth="1"/>
    <col min="777" max="777" width="5.19921875" style="58" customWidth="1"/>
    <col min="778" max="778" width="5.69921875" style="58" customWidth="1"/>
    <col min="779" max="779" width="5.19921875" style="58" customWidth="1"/>
    <col min="780" max="780" width="5.69921875" style="58" customWidth="1"/>
    <col min="781" max="781" width="5.19921875" style="58" customWidth="1"/>
    <col min="782" max="782" width="8.59765625" style="58" customWidth="1"/>
    <col min="783" max="783" width="5.19921875" style="58" customWidth="1"/>
    <col min="784" max="1024" width="5.69921875" style="58" customWidth="1"/>
    <col min="1025" max="1025" width="0" style="58" hidden="1" customWidth="1"/>
    <col min="1026" max="1026" width="6.69921875" style="58" customWidth="1"/>
    <col min="1027" max="1027" width="8.59765625" style="58" customWidth="1"/>
    <col min="1028" max="1028" width="4.796875" style="58" customWidth="1"/>
    <col min="1029" max="1030" width="8.59765625" style="58" customWidth="1"/>
    <col min="1031" max="1031" width="5.19921875" style="58" customWidth="1"/>
    <col min="1032" max="1032" width="6.69921875" style="58" customWidth="1"/>
    <col min="1033" max="1033" width="5.19921875" style="58" customWidth="1"/>
    <col min="1034" max="1034" width="5.69921875" style="58" customWidth="1"/>
    <col min="1035" max="1035" width="5.19921875" style="58" customWidth="1"/>
    <col min="1036" max="1036" width="5.69921875" style="58" customWidth="1"/>
    <col min="1037" max="1037" width="5.19921875" style="58" customWidth="1"/>
    <col min="1038" max="1038" width="8.59765625" style="58" customWidth="1"/>
    <col min="1039" max="1039" width="5.19921875" style="58" customWidth="1"/>
    <col min="1040" max="1280" width="5.69921875" style="58" customWidth="1"/>
    <col min="1281" max="1281" width="0" style="58" hidden="1" customWidth="1"/>
    <col min="1282" max="1282" width="6.69921875" style="58" customWidth="1"/>
    <col min="1283" max="1283" width="8.59765625" style="58" customWidth="1"/>
    <col min="1284" max="1284" width="4.796875" style="58" customWidth="1"/>
    <col min="1285" max="1286" width="8.59765625" style="58" customWidth="1"/>
    <col min="1287" max="1287" width="5.19921875" style="58" customWidth="1"/>
    <col min="1288" max="1288" width="6.69921875" style="58" customWidth="1"/>
    <col min="1289" max="1289" width="5.19921875" style="58" customWidth="1"/>
    <col min="1290" max="1290" width="5.69921875" style="58" customWidth="1"/>
    <col min="1291" max="1291" width="5.19921875" style="58" customWidth="1"/>
    <col min="1292" max="1292" width="5.69921875" style="58" customWidth="1"/>
    <col min="1293" max="1293" width="5.19921875" style="58" customWidth="1"/>
    <col min="1294" max="1294" width="8.59765625" style="58" customWidth="1"/>
    <col min="1295" max="1295" width="5.19921875" style="58" customWidth="1"/>
    <col min="1296" max="1536" width="5.69921875" style="58" customWidth="1"/>
    <col min="1537" max="1537" width="0" style="58" hidden="1" customWidth="1"/>
    <col min="1538" max="1538" width="6.69921875" style="58" customWidth="1"/>
    <col min="1539" max="1539" width="8.59765625" style="58" customWidth="1"/>
    <col min="1540" max="1540" width="4.796875" style="58" customWidth="1"/>
    <col min="1541" max="1542" width="8.59765625" style="58" customWidth="1"/>
    <col min="1543" max="1543" width="5.19921875" style="58" customWidth="1"/>
    <col min="1544" max="1544" width="6.69921875" style="58" customWidth="1"/>
    <col min="1545" max="1545" width="5.19921875" style="58" customWidth="1"/>
    <col min="1546" max="1546" width="5.69921875" style="58" customWidth="1"/>
    <col min="1547" max="1547" width="5.19921875" style="58" customWidth="1"/>
    <col min="1548" max="1548" width="5.69921875" style="58" customWidth="1"/>
    <col min="1549" max="1549" width="5.19921875" style="58" customWidth="1"/>
    <col min="1550" max="1550" width="8.59765625" style="58" customWidth="1"/>
    <col min="1551" max="1551" width="5.19921875" style="58" customWidth="1"/>
    <col min="1552" max="1792" width="5.69921875" style="58" customWidth="1"/>
    <col min="1793" max="1793" width="0" style="58" hidden="1" customWidth="1"/>
    <col min="1794" max="1794" width="6.69921875" style="58" customWidth="1"/>
    <col min="1795" max="1795" width="8.59765625" style="58" customWidth="1"/>
    <col min="1796" max="1796" width="4.796875" style="58" customWidth="1"/>
    <col min="1797" max="1798" width="8.59765625" style="58" customWidth="1"/>
    <col min="1799" max="1799" width="5.19921875" style="58" customWidth="1"/>
    <col min="1800" max="1800" width="6.69921875" style="58" customWidth="1"/>
    <col min="1801" max="1801" width="5.19921875" style="58" customWidth="1"/>
    <col min="1802" max="1802" width="5.69921875" style="58" customWidth="1"/>
    <col min="1803" max="1803" width="5.19921875" style="58" customWidth="1"/>
    <col min="1804" max="1804" width="5.69921875" style="58" customWidth="1"/>
    <col min="1805" max="1805" width="5.19921875" style="58" customWidth="1"/>
    <col min="1806" max="1806" width="8.59765625" style="58" customWidth="1"/>
    <col min="1807" max="1807" width="5.19921875" style="58" customWidth="1"/>
    <col min="1808" max="2048" width="5.69921875" style="58" customWidth="1"/>
    <col min="2049" max="2049" width="0" style="58" hidden="1" customWidth="1"/>
    <col min="2050" max="2050" width="6.69921875" style="58" customWidth="1"/>
    <col min="2051" max="2051" width="8.59765625" style="58" customWidth="1"/>
    <col min="2052" max="2052" width="4.796875" style="58" customWidth="1"/>
    <col min="2053" max="2054" width="8.59765625" style="58" customWidth="1"/>
    <col min="2055" max="2055" width="5.19921875" style="58" customWidth="1"/>
    <col min="2056" max="2056" width="6.69921875" style="58" customWidth="1"/>
    <col min="2057" max="2057" width="5.19921875" style="58" customWidth="1"/>
    <col min="2058" max="2058" width="5.69921875" style="58" customWidth="1"/>
    <col min="2059" max="2059" width="5.19921875" style="58" customWidth="1"/>
    <col min="2060" max="2060" width="5.69921875" style="58" customWidth="1"/>
    <col min="2061" max="2061" width="5.19921875" style="58" customWidth="1"/>
    <col min="2062" max="2062" width="8.59765625" style="58" customWidth="1"/>
    <col min="2063" max="2063" width="5.19921875" style="58" customWidth="1"/>
    <col min="2064" max="2304" width="5.69921875" style="58" customWidth="1"/>
    <col min="2305" max="2305" width="0" style="58" hidden="1" customWidth="1"/>
    <col min="2306" max="2306" width="6.69921875" style="58" customWidth="1"/>
    <col min="2307" max="2307" width="8.59765625" style="58" customWidth="1"/>
    <col min="2308" max="2308" width="4.796875" style="58" customWidth="1"/>
    <col min="2309" max="2310" width="8.59765625" style="58" customWidth="1"/>
    <col min="2311" max="2311" width="5.19921875" style="58" customWidth="1"/>
    <col min="2312" max="2312" width="6.69921875" style="58" customWidth="1"/>
    <col min="2313" max="2313" width="5.19921875" style="58" customWidth="1"/>
    <col min="2314" max="2314" width="5.69921875" style="58" customWidth="1"/>
    <col min="2315" max="2315" width="5.19921875" style="58" customWidth="1"/>
    <col min="2316" max="2316" width="5.69921875" style="58" customWidth="1"/>
    <col min="2317" max="2317" width="5.19921875" style="58" customWidth="1"/>
    <col min="2318" max="2318" width="8.59765625" style="58" customWidth="1"/>
    <col min="2319" max="2319" width="5.19921875" style="58" customWidth="1"/>
    <col min="2320" max="2560" width="5.69921875" style="58" customWidth="1"/>
    <col min="2561" max="2561" width="0" style="58" hidden="1" customWidth="1"/>
    <col min="2562" max="2562" width="6.69921875" style="58" customWidth="1"/>
    <col min="2563" max="2563" width="8.59765625" style="58" customWidth="1"/>
    <col min="2564" max="2564" width="4.796875" style="58" customWidth="1"/>
    <col min="2565" max="2566" width="8.59765625" style="58" customWidth="1"/>
    <col min="2567" max="2567" width="5.19921875" style="58" customWidth="1"/>
    <col min="2568" max="2568" width="6.69921875" style="58" customWidth="1"/>
    <col min="2569" max="2569" width="5.19921875" style="58" customWidth="1"/>
    <col min="2570" max="2570" width="5.69921875" style="58" customWidth="1"/>
    <col min="2571" max="2571" width="5.19921875" style="58" customWidth="1"/>
    <col min="2572" max="2572" width="5.69921875" style="58" customWidth="1"/>
    <col min="2573" max="2573" width="5.19921875" style="58" customWidth="1"/>
    <col min="2574" max="2574" width="8.59765625" style="58" customWidth="1"/>
    <col min="2575" max="2575" width="5.19921875" style="58" customWidth="1"/>
    <col min="2576" max="2816" width="5.69921875" style="58" customWidth="1"/>
    <col min="2817" max="2817" width="0" style="58" hidden="1" customWidth="1"/>
    <col min="2818" max="2818" width="6.69921875" style="58" customWidth="1"/>
    <col min="2819" max="2819" width="8.59765625" style="58" customWidth="1"/>
    <col min="2820" max="2820" width="4.796875" style="58" customWidth="1"/>
    <col min="2821" max="2822" width="8.59765625" style="58" customWidth="1"/>
    <col min="2823" max="2823" width="5.19921875" style="58" customWidth="1"/>
    <col min="2824" max="2824" width="6.69921875" style="58" customWidth="1"/>
    <col min="2825" max="2825" width="5.19921875" style="58" customWidth="1"/>
    <col min="2826" max="2826" width="5.69921875" style="58" customWidth="1"/>
    <col min="2827" max="2827" width="5.19921875" style="58" customWidth="1"/>
    <col min="2828" max="2828" width="5.69921875" style="58" customWidth="1"/>
    <col min="2829" max="2829" width="5.19921875" style="58" customWidth="1"/>
    <col min="2830" max="2830" width="8.59765625" style="58" customWidth="1"/>
    <col min="2831" max="2831" width="5.19921875" style="58" customWidth="1"/>
    <col min="2832" max="3072" width="5.69921875" style="58" customWidth="1"/>
    <col min="3073" max="3073" width="0" style="58" hidden="1" customWidth="1"/>
    <col min="3074" max="3074" width="6.69921875" style="58" customWidth="1"/>
    <col min="3075" max="3075" width="8.59765625" style="58" customWidth="1"/>
    <col min="3076" max="3076" width="4.796875" style="58" customWidth="1"/>
    <col min="3077" max="3078" width="8.59765625" style="58" customWidth="1"/>
    <col min="3079" max="3079" width="5.19921875" style="58" customWidth="1"/>
    <col min="3080" max="3080" width="6.69921875" style="58" customWidth="1"/>
    <col min="3081" max="3081" width="5.19921875" style="58" customWidth="1"/>
    <col min="3082" max="3082" width="5.69921875" style="58" customWidth="1"/>
    <col min="3083" max="3083" width="5.19921875" style="58" customWidth="1"/>
    <col min="3084" max="3084" width="5.69921875" style="58" customWidth="1"/>
    <col min="3085" max="3085" width="5.19921875" style="58" customWidth="1"/>
    <col min="3086" max="3086" width="8.59765625" style="58" customWidth="1"/>
    <col min="3087" max="3087" width="5.19921875" style="58" customWidth="1"/>
    <col min="3088" max="3328" width="5.69921875" style="58" customWidth="1"/>
    <col min="3329" max="3329" width="0" style="58" hidden="1" customWidth="1"/>
    <col min="3330" max="3330" width="6.69921875" style="58" customWidth="1"/>
    <col min="3331" max="3331" width="8.59765625" style="58" customWidth="1"/>
    <col min="3332" max="3332" width="4.796875" style="58" customWidth="1"/>
    <col min="3333" max="3334" width="8.59765625" style="58" customWidth="1"/>
    <col min="3335" max="3335" width="5.19921875" style="58" customWidth="1"/>
    <col min="3336" max="3336" width="6.69921875" style="58" customWidth="1"/>
    <col min="3337" max="3337" width="5.19921875" style="58" customWidth="1"/>
    <col min="3338" max="3338" width="5.69921875" style="58" customWidth="1"/>
    <col min="3339" max="3339" width="5.19921875" style="58" customWidth="1"/>
    <col min="3340" max="3340" width="5.69921875" style="58" customWidth="1"/>
    <col min="3341" max="3341" width="5.19921875" style="58" customWidth="1"/>
    <col min="3342" max="3342" width="8.59765625" style="58" customWidth="1"/>
    <col min="3343" max="3343" width="5.19921875" style="58" customWidth="1"/>
    <col min="3344" max="3584" width="5.69921875" style="58" customWidth="1"/>
    <col min="3585" max="3585" width="0" style="58" hidden="1" customWidth="1"/>
    <col min="3586" max="3586" width="6.69921875" style="58" customWidth="1"/>
    <col min="3587" max="3587" width="8.59765625" style="58" customWidth="1"/>
    <col min="3588" max="3588" width="4.796875" style="58" customWidth="1"/>
    <col min="3589" max="3590" width="8.59765625" style="58" customWidth="1"/>
    <col min="3591" max="3591" width="5.19921875" style="58" customWidth="1"/>
    <col min="3592" max="3592" width="6.69921875" style="58" customWidth="1"/>
    <col min="3593" max="3593" width="5.19921875" style="58" customWidth="1"/>
    <col min="3594" max="3594" width="5.69921875" style="58" customWidth="1"/>
    <col min="3595" max="3595" width="5.19921875" style="58" customWidth="1"/>
    <col min="3596" max="3596" width="5.69921875" style="58" customWidth="1"/>
    <col min="3597" max="3597" width="5.19921875" style="58" customWidth="1"/>
    <col min="3598" max="3598" width="8.59765625" style="58" customWidth="1"/>
    <col min="3599" max="3599" width="5.19921875" style="58" customWidth="1"/>
    <col min="3600" max="3840" width="5.69921875" style="58" customWidth="1"/>
    <col min="3841" max="3841" width="0" style="58" hidden="1" customWidth="1"/>
    <col min="3842" max="3842" width="6.69921875" style="58" customWidth="1"/>
    <col min="3843" max="3843" width="8.59765625" style="58" customWidth="1"/>
    <col min="3844" max="3844" width="4.796875" style="58" customWidth="1"/>
    <col min="3845" max="3846" width="8.59765625" style="58" customWidth="1"/>
    <col min="3847" max="3847" width="5.19921875" style="58" customWidth="1"/>
    <col min="3848" max="3848" width="6.69921875" style="58" customWidth="1"/>
    <col min="3849" max="3849" width="5.19921875" style="58" customWidth="1"/>
    <col min="3850" max="3850" width="5.69921875" style="58" customWidth="1"/>
    <col min="3851" max="3851" width="5.19921875" style="58" customWidth="1"/>
    <col min="3852" max="3852" width="5.69921875" style="58" customWidth="1"/>
    <col min="3853" max="3853" width="5.19921875" style="58" customWidth="1"/>
    <col min="3854" max="3854" width="8.59765625" style="58" customWidth="1"/>
    <col min="3855" max="3855" width="5.19921875" style="58" customWidth="1"/>
    <col min="3856" max="4096" width="5.69921875" style="58" customWidth="1"/>
    <col min="4097" max="4097" width="0" style="58" hidden="1" customWidth="1"/>
    <col min="4098" max="4098" width="6.69921875" style="58" customWidth="1"/>
    <col min="4099" max="4099" width="8.59765625" style="58" customWidth="1"/>
    <col min="4100" max="4100" width="4.796875" style="58" customWidth="1"/>
    <col min="4101" max="4102" width="8.59765625" style="58" customWidth="1"/>
    <col min="4103" max="4103" width="5.19921875" style="58" customWidth="1"/>
    <col min="4104" max="4104" width="6.69921875" style="58" customWidth="1"/>
    <col min="4105" max="4105" width="5.19921875" style="58" customWidth="1"/>
    <col min="4106" max="4106" width="5.69921875" style="58" customWidth="1"/>
    <col min="4107" max="4107" width="5.19921875" style="58" customWidth="1"/>
    <col min="4108" max="4108" width="5.69921875" style="58" customWidth="1"/>
    <col min="4109" max="4109" width="5.19921875" style="58" customWidth="1"/>
    <col min="4110" max="4110" width="8.59765625" style="58" customWidth="1"/>
    <col min="4111" max="4111" width="5.19921875" style="58" customWidth="1"/>
    <col min="4112" max="4352" width="5.69921875" style="58" customWidth="1"/>
    <col min="4353" max="4353" width="0" style="58" hidden="1" customWidth="1"/>
    <col min="4354" max="4354" width="6.69921875" style="58" customWidth="1"/>
    <col min="4355" max="4355" width="8.59765625" style="58" customWidth="1"/>
    <col min="4356" max="4356" width="4.796875" style="58" customWidth="1"/>
    <col min="4357" max="4358" width="8.59765625" style="58" customWidth="1"/>
    <col min="4359" max="4359" width="5.19921875" style="58" customWidth="1"/>
    <col min="4360" max="4360" width="6.69921875" style="58" customWidth="1"/>
    <col min="4361" max="4361" width="5.19921875" style="58" customWidth="1"/>
    <col min="4362" max="4362" width="5.69921875" style="58" customWidth="1"/>
    <col min="4363" max="4363" width="5.19921875" style="58" customWidth="1"/>
    <col min="4364" max="4364" width="5.69921875" style="58" customWidth="1"/>
    <col min="4365" max="4365" width="5.19921875" style="58" customWidth="1"/>
    <col min="4366" max="4366" width="8.59765625" style="58" customWidth="1"/>
    <col min="4367" max="4367" width="5.19921875" style="58" customWidth="1"/>
    <col min="4368" max="4608" width="5.69921875" style="58" customWidth="1"/>
    <col min="4609" max="4609" width="0" style="58" hidden="1" customWidth="1"/>
    <col min="4610" max="4610" width="6.69921875" style="58" customWidth="1"/>
    <col min="4611" max="4611" width="8.59765625" style="58" customWidth="1"/>
    <col min="4612" max="4612" width="4.796875" style="58" customWidth="1"/>
    <col min="4613" max="4614" width="8.59765625" style="58" customWidth="1"/>
    <col min="4615" max="4615" width="5.19921875" style="58" customWidth="1"/>
    <col min="4616" max="4616" width="6.69921875" style="58" customWidth="1"/>
    <col min="4617" max="4617" width="5.19921875" style="58" customWidth="1"/>
    <col min="4618" max="4618" width="5.69921875" style="58" customWidth="1"/>
    <col min="4619" max="4619" width="5.19921875" style="58" customWidth="1"/>
    <col min="4620" max="4620" width="5.69921875" style="58" customWidth="1"/>
    <col min="4621" max="4621" width="5.19921875" style="58" customWidth="1"/>
    <col min="4622" max="4622" width="8.59765625" style="58" customWidth="1"/>
    <col min="4623" max="4623" width="5.19921875" style="58" customWidth="1"/>
    <col min="4624" max="4864" width="5.69921875" style="58" customWidth="1"/>
    <col min="4865" max="4865" width="0" style="58" hidden="1" customWidth="1"/>
    <col min="4866" max="4866" width="6.69921875" style="58" customWidth="1"/>
    <col min="4867" max="4867" width="8.59765625" style="58" customWidth="1"/>
    <col min="4868" max="4868" width="4.796875" style="58" customWidth="1"/>
    <col min="4869" max="4870" width="8.59765625" style="58" customWidth="1"/>
    <col min="4871" max="4871" width="5.19921875" style="58" customWidth="1"/>
    <col min="4872" max="4872" width="6.69921875" style="58" customWidth="1"/>
    <col min="4873" max="4873" width="5.19921875" style="58" customWidth="1"/>
    <col min="4874" max="4874" width="5.69921875" style="58" customWidth="1"/>
    <col min="4875" max="4875" width="5.19921875" style="58" customWidth="1"/>
    <col min="4876" max="4876" width="5.69921875" style="58" customWidth="1"/>
    <col min="4877" max="4877" width="5.19921875" style="58" customWidth="1"/>
    <col min="4878" max="4878" width="8.59765625" style="58" customWidth="1"/>
    <col min="4879" max="4879" width="5.19921875" style="58" customWidth="1"/>
    <col min="4880" max="5120" width="5.69921875" style="58" customWidth="1"/>
    <col min="5121" max="5121" width="0" style="58" hidden="1" customWidth="1"/>
    <col min="5122" max="5122" width="6.69921875" style="58" customWidth="1"/>
    <col min="5123" max="5123" width="8.59765625" style="58" customWidth="1"/>
    <col min="5124" max="5124" width="4.796875" style="58" customWidth="1"/>
    <col min="5125" max="5126" width="8.59765625" style="58" customWidth="1"/>
    <col min="5127" max="5127" width="5.19921875" style="58" customWidth="1"/>
    <col min="5128" max="5128" width="6.69921875" style="58" customWidth="1"/>
    <col min="5129" max="5129" width="5.19921875" style="58" customWidth="1"/>
    <col min="5130" max="5130" width="5.69921875" style="58" customWidth="1"/>
    <col min="5131" max="5131" width="5.19921875" style="58" customWidth="1"/>
    <col min="5132" max="5132" width="5.69921875" style="58" customWidth="1"/>
    <col min="5133" max="5133" width="5.19921875" style="58" customWidth="1"/>
    <col min="5134" max="5134" width="8.59765625" style="58" customWidth="1"/>
    <col min="5135" max="5135" width="5.19921875" style="58" customWidth="1"/>
    <col min="5136" max="5376" width="5.69921875" style="58" customWidth="1"/>
    <col min="5377" max="5377" width="0" style="58" hidden="1" customWidth="1"/>
    <col min="5378" max="5378" width="6.69921875" style="58" customWidth="1"/>
    <col min="5379" max="5379" width="8.59765625" style="58" customWidth="1"/>
    <col min="5380" max="5380" width="4.796875" style="58" customWidth="1"/>
    <col min="5381" max="5382" width="8.59765625" style="58" customWidth="1"/>
    <col min="5383" max="5383" width="5.19921875" style="58" customWidth="1"/>
    <col min="5384" max="5384" width="6.69921875" style="58" customWidth="1"/>
    <col min="5385" max="5385" width="5.19921875" style="58" customWidth="1"/>
    <col min="5386" max="5386" width="5.69921875" style="58" customWidth="1"/>
    <col min="5387" max="5387" width="5.19921875" style="58" customWidth="1"/>
    <col min="5388" max="5388" width="5.69921875" style="58" customWidth="1"/>
    <col min="5389" max="5389" width="5.19921875" style="58" customWidth="1"/>
    <col min="5390" max="5390" width="8.59765625" style="58" customWidth="1"/>
    <col min="5391" max="5391" width="5.19921875" style="58" customWidth="1"/>
    <col min="5392" max="5632" width="5.69921875" style="58" customWidth="1"/>
    <col min="5633" max="5633" width="0" style="58" hidden="1" customWidth="1"/>
    <col min="5634" max="5634" width="6.69921875" style="58" customWidth="1"/>
    <col min="5635" max="5635" width="8.59765625" style="58" customWidth="1"/>
    <col min="5636" max="5636" width="4.796875" style="58" customWidth="1"/>
    <col min="5637" max="5638" width="8.59765625" style="58" customWidth="1"/>
    <col min="5639" max="5639" width="5.19921875" style="58" customWidth="1"/>
    <col min="5640" max="5640" width="6.69921875" style="58" customWidth="1"/>
    <col min="5641" max="5641" width="5.19921875" style="58" customWidth="1"/>
    <col min="5642" max="5642" width="5.69921875" style="58" customWidth="1"/>
    <col min="5643" max="5643" width="5.19921875" style="58" customWidth="1"/>
    <col min="5644" max="5644" width="5.69921875" style="58" customWidth="1"/>
    <col min="5645" max="5645" width="5.19921875" style="58" customWidth="1"/>
    <col min="5646" max="5646" width="8.59765625" style="58" customWidth="1"/>
    <col min="5647" max="5647" width="5.19921875" style="58" customWidth="1"/>
    <col min="5648" max="5888" width="5.69921875" style="58" customWidth="1"/>
    <col min="5889" max="5889" width="0" style="58" hidden="1" customWidth="1"/>
    <col min="5890" max="5890" width="6.69921875" style="58" customWidth="1"/>
    <col min="5891" max="5891" width="8.59765625" style="58" customWidth="1"/>
    <col min="5892" max="5892" width="4.796875" style="58" customWidth="1"/>
    <col min="5893" max="5894" width="8.59765625" style="58" customWidth="1"/>
    <col min="5895" max="5895" width="5.19921875" style="58" customWidth="1"/>
    <col min="5896" max="5896" width="6.69921875" style="58" customWidth="1"/>
    <col min="5897" max="5897" width="5.19921875" style="58" customWidth="1"/>
    <col min="5898" max="5898" width="5.69921875" style="58" customWidth="1"/>
    <col min="5899" max="5899" width="5.19921875" style="58" customWidth="1"/>
    <col min="5900" max="5900" width="5.69921875" style="58" customWidth="1"/>
    <col min="5901" max="5901" width="5.19921875" style="58" customWidth="1"/>
    <col min="5902" max="5902" width="8.59765625" style="58" customWidth="1"/>
    <col min="5903" max="5903" width="5.19921875" style="58" customWidth="1"/>
    <col min="5904" max="6144" width="5.69921875" style="58" customWidth="1"/>
    <col min="6145" max="6145" width="0" style="58" hidden="1" customWidth="1"/>
    <col min="6146" max="6146" width="6.69921875" style="58" customWidth="1"/>
    <col min="6147" max="6147" width="8.59765625" style="58" customWidth="1"/>
    <col min="6148" max="6148" width="4.796875" style="58" customWidth="1"/>
    <col min="6149" max="6150" width="8.59765625" style="58" customWidth="1"/>
    <col min="6151" max="6151" width="5.19921875" style="58" customWidth="1"/>
    <col min="6152" max="6152" width="6.69921875" style="58" customWidth="1"/>
    <col min="6153" max="6153" width="5.19921875" style="58" customWidth="1"/>
    <col min="6154" max="6154" width="5.69921875" style="58" customWidth="1"/>
    <col min="6155" max="6155" width="5.19921875" style="58" customWidth="1"/>
    <col min="6156" max="6156" width="5.69921875" style="58" customWidth="1"/>
    <col min="6157" max="6157" width="5.19921875" style="58" customWidth="1"/>
    <col min="6158" max="6158" width="8.59765625" style="58" customWidth="1"/>
    <col min="6159" max="6159" width="5.19921875" style="58" customWidth="1"/>
    <col min="6160" max="6400" width="5.69921875" style="58" customWidth="1"/>
    <col min="6401" max="6401" width="0" style="58" hidden="1" customWidth="1"/>
    <col min="6402" max="6402" width="6.69921875" style="58" customWidth="1"/>
    <col min="6403" max="6403" width="8.59765625" style="58" customWidth="1"/>
    <col min="6404" max="6404" width="4.796875" style="58" customWidth="1"/>
    <col min="6405" max="6406" width="8.59765625" style="58" customWidth="1"/>
    <col min="6407" max="6407" width="5.19921875" style="58" customWidth="1"/>
    <col min="6408" max="6408" width="6.69921875" style="58" customWidth="1"/>
    <col min="6409" max="6409" width="5.19921875" style="58" customWidth="1"/>
    <col min="6410" max="6410" width="5.69921875" style="58" customWidth="1"/>
    <col min="6411" max="6411" width="5.19921875" style="58" customWidth="1"/>
    <col min="6412" max="6412" width="5.69921875" style="58" customWidth="1"/>
    <col min="6413" max="6413" width="5.19921875" style="58" customWidth="1"/>
    <col min="6414" max="6414" width="8.59765625" style="58" customWidth="1"/>
    <col min="6415" max="6415" width="5.19921875" style="58" customWidth="1"/>
    <col min="6416" max="6656" width="5.69921875" style="58" customWidth="1"/>
    <col min="6657" max="6657" width="0" style="58" hidden="1" customWidth="1"/>
    <col min="6658" max="6658" width="6.69921875" style="58" customWidth="1"/>
    <col min="6659" max="6659" width="8.59765625" style="58" customWidth="1"/>
    <col min="6660" max="6660" width="4.796875" style="58" customWidth="1"/>
    <col min="6661" max="6662" width="8.59765625" style="58" customWidth="1"/>
    <col min="6663" max="6663" width="5.19921875" style="58" customWidth="1"/>
    <col min="6664" max="6664" width="6.69921875" style="58" customWidth="1"/>
    <col min="6665" max="6665" width="5.19921875" style="58" customWidth="1"/>
    <col min="6666" max="6666" width="5.69921875" style="58" customWidth="1"/>
    <col min="6667" max="6667" width="5.19921875" style="58" customWidth="1"/>
    <col min="6668" max="6668" width="5.69921875" style="58" customWidth="1"/>
    <col min="6669" max="6669" width="5.19921875" style="58" customWidth="1"/>
    <col min="6670" max="6670" width="8.59765625" style="58" customWidth="1"/>
    <col min="6671" max="6671" width="5.19921875" style="58" customWidth="1"/>
    <col min="6672" max="6912" width="5.69921875" style="58" customWidth="1"/>
    <col min="6913" max="6913" width="0" style="58" hidden="1" customWidth="1"/>
    <col min="6914" max="6914" width="6.69921875" style="58" customWidth="1"/>
    <col min="6915" max="6915" width="8.59765625" style="58" customWidth="1"/>
    <col min="6916" max="6916" width="4.796875" style="58" customWidth="1"/>
    <col min="6917" max="6918" width="8.59765625" style="58" customWidth="1"/>
    <col min="6919" max="6919" width="5.19921875" style="58" customWidth="1"/>
    <col min="6920" max="6920" width="6.69921875" style="58" customWidth="1"/>
    <col min="6921" max="6921" width="5.19921875" style="58" customWidth="1"/>
    <col min="6922" max="6922" width="5.69921875" style="58" customWidth="1"/>
    <col min="6923" max="6923" width="5.19921875" style="58" customWidth="1"/>
    <col min="6924" max="6924" width="5.69921875" style="58" customWidth="1"/>
    <col min="6925" max="6925" width="5.19921875" style="58" customWidth="1"/>
    <col min="6926" max="6926" width="8.59765625" style="58" customWidth="1"/>
    <col min="6927" max="6927" width="5.19921875" style="58" customWidth="1"/>
    <col min="6928" max="7168" width="5.69921875" style="58" customWidth="1"/>
    <col min="7169" max="7169" width="0" style="58" hidden="1" customWidth="1"/>
    <col min="7170" max="7170" width="6.69921875" style="58" customWidth="1"/>
    <col min="7171" max="7171" width="8.59765625" style="58" customWidth="1"/>
    <col min="7172" max="7172" width="4.796875" style="58" customWidth="1"/>
    <col min="7173" max="7174" width="8.59765625" style="58" customWidth="1"/>
    <col min="7175" max="7175" width="5.19921875" style="58" customWidth="1"/>
    <col min="7176" max="7176" width="6.69921875" style="58" customWidth="1"/>
    <col min="7177" max="7177" width="5.19921875" style="58" customWidth="1"/>
    <col min="7178" max="7178" width="5.69921875" style="58" customWidth="1"/>
    <col min="7179" max="7179" width="5.19921875" style="58" customWidth="1"/>
    <col min="7180" max="7180" width="5.69921875" style="58" customWidth="1"/>
    <col min="7181" max="7181" width="5.19921875" style="58" customWidth="1"/>
    <col min="7182" max="7182" width="8.59765625" style="58" customWidth="1"/>
    <col min="7183" max="7183" width="5.19921875" style="58" customWidth="1"/>
    <col min="7184" max="7424" width="5.69921875" style="58" customWidth="1"/>
    <col min="7425" max="7425" width="0" style="58" hidden="1" customWidth="1"/>
    <col min="7426" max="7426" width="6.69921875" style="58" customWidth="1"/>
    <col min="7427" max="7427" width="8.59765625" style="58" customWidth="1"/>
    <col min="7428" max="7428" width="4.796875" style="58" customWidth="1"/>
    <col min="7429" max="7430" width="8.59765625" style="58" customWidth="1"/>
    <col min="7431" max="7431" width="5.19921875" style="58" customWidth="1"/>
    <col min="7432" max="7432" width="6.69921875" style="58" customWidth="1"/>
    <col min="7433" max="7433" width="5.19921875" style="58" customWidth="1"/>
    <col min="7434" max="7434" width="5.69921875" style="58" customWidth="1"/>
    <col min="7435" max="7435" width="5.19921875" style="58" customWidth="1"/>
    <col min="7436" max="7436" width="5.69921875" style="58" customWidth="1"/>
    <col min="7437" max="7437" width="5.19921875" style="58" customWidth="1"/>
    <col min="7438" max="7438" width="8.59765625" style="58" customWidth="1"/>
    <col min="7439" max="7439" width="5.19921875" style="58" customWidth="1"/>
    <col min="7440" max="7680" width="5.69921875" style="58" customWidth="1"/>
    <col min="7681" max="7681" width="0" style="58" hidden="1" customWidth="1"/>
    <col min="7682" max="7682" width="6.69921875" style="58" customWidth="1"/>
    <col min="7683" max="7683" width="8.59765625" style="58" customWidth="1"/>
    <col min="7684" max="7684" width="4.796875" style="58" customWidth="1"/>
    <col min="7685" max="7686" width="8.59765625" style="58" customWidth="1"/>
    <col min="7687" max="7687" width="5.19921875" style="58" customWidth="1"/>
    <col min="7688" max="7688" width="6.69921875" style="58" customWidth="1"/>
    <col min="7689" max="7689" width="5.19921875" style="58" customWidth="1"/>
    <col min="7690" max="7690" width="5.69921875" style="58" customWidth="1"/>
    <col min="7691" max="7691" width="5.19921875" style="58" customWidth="1"/>
    <col min="7692" max="7692" width="5.69921875" style="58" customWidth="1"/>
    <col min="7693" max="7693" width="5.19921875" style="58" customWidth="1"/>
    <col min="7694" max="7694" width="8.59765625" style="58" customWidth="1"/>
    <col min="7695" max="7695" width="5.19921875" style="58" customWidth="1"/>
    <col min="7696" max="7936" width="5.69921875" style="58" customWidth="1"/>
    <col min="7937" max="7937" width="0" style="58" hidden="1" customWidth="1"/>
    <col min="7938" max="7938" width="6.69921875" style="58" customWidth="1"/>
    <col min="7939" max="7939" width="8.59765625" style="58" customWidth="1"/>
    <col min="7940" max="7940" width="4.796875" style="58" customWidth="1"/>
    <col min="7941" max="7942" width="8.59765625" style="58" customWidth="1"/>
    <col min="7943" max="7943" width="5.19921875" style="58" customWidth="1"/>
    <col min="7944" max="7944" width="6.69921875" style="58" customWidth="1"/>
    <col min="7945" max="7945" width="5.19921875" style="58" customWidth="1"/>
    <col min="7946" max="7946" width="5.69921875" style="58" customWidth="1"/>
    <col min="7947" max="7947" width="5.19921875" style="58" customWidth="1"/>
    <col min="7948" max="7948" width="5.69921875" style="58" customWidth="1"/>
    <col min="7949" max="7949" width="5.19921875" style="58" customWidth="1"/>
    <col min="7950" max="7950" width="8.59765625" style="58" customWidth="1"/>
    <col min="7951" max="7951" width="5.19921875" style="58" customWidth="1"/>
    <col min="7952" max="8192" width="5.69921875" style="58" customWidth="1"/>
    <col min="8193" max="8193" width="0" style="58" hidden="1" customWidth="1"/>
    <col min="8194" max="8194" width="6.69921875" style="58" customWidth="1"/>
    <col min="8195" max="8195" width="8.59765625" style="58" customWidth="1"/>
    <col min="8196" max="8196" width="4.796875" style="58" customWidth="1"/>
    <col min="8197" max="8198" width="8.59765625" style="58" customWidth="1"/>
    <col min="8199" max="8199" width="5.19921875" style="58" customWidth="1"/>
    <col min="8200" max="8200" width="6.69921875" style="58" customWidth="1"/>
    <col min="8201" max="8201" width="5.19921875" style="58" customWidth="1"/>
    <col min="8202" max="8202" width="5.69921875" style="58" customWidth="1"/>
    <col min="8203" max="8203" width="5.19921875" style="58" customWidth="1"/>
    <col min="8204" max="8204" width="5.69921875" style="58" customWidth="1"/>
    <col min="8205" max="8205" width="5.19921875" style="58" customWidth="1"/>
    <col min="8206" max="8206" width="8.59765625" style="58" customWidth="1"/>
    <col min="8207" max="8207" width="5.19921875" style="58" customWidth="1"/>
    <col min="8208" max="8448" width="5.69921875" style="58" customWidth="1"/>
    <col min="8449" max="8449" width="0" style="58" hidden="1" customWidth="1"/>
    <col min="8450" max="8450" width="6.69921875" style="58" customWidth="1"/>
    <col min="8451" max="8451" width="8.59765625" style="58" customWidth="1"/>
    <col min="8452" max="8452" width="4.796875" style="58" customWidth="1"/>
    <col min="8453" max="8454" width="8.59765625" style="58" customWidth="1"/>
    <col min="8455" max="8455" width="5.19921875" style="58" customWidth="1"/>
    <col min="8456" max="8456" width="6.69921875" style="58" customWidth="1"/>
    <col min="8457" max="8457" width="5.19921875" style="58" customWidth="1"/>
    <col min="8458" max="8458" width="5.69921875" style="58" customWidth="1"/>
    <col min="8459" max="8459" width="5.19921875" style="58" customWidth="1"/>
    <col min="8460" max="8460" width="5.69921875" style="58" customWidth="1"/>
    <col min="8461" max="8461" width="5.19921875" style="58" customWidth="1"/>
    <col min="8462" max="8462" width="8.59765625" style="58" customWidth="1"/>
    <col min="8463" max="8463" width="5.19921875" style="58" customWidth="1"/>
    <col min="8464" max="8704" width="5.69921875" style="58" customWidth="1"/>
    <col min="8705" max="8705" width="0" style="58" hidden="1" customWidth="1"/>
    <col min="8706" max="8706" width="6.69921875" style="58" customWidth="1"/>
    <col min="8707" max="8707" width="8.59765625" style="58" customWidth="1"/>
    <col min="8708" max="8708" width="4.796875" style="58" customWidth="1"/>
    <col min="8709" max="8710" width="8.59765625" style="58" customWidth="1"/>
    <col min="8711" max="8711" width="5.19921875" style="58" customWidth="1"/>
    <col min="8712" max="8712" width="6.69921875" style="58" customWidth="1"/>
    <col min="8713" max="8713" width="5.19921875" style="58" customWidth="1"/>
    <col min="8714" max="8714" width="5.69921875" style="58" customWidth="1"/>
    <col min="8715" max="8715" width="5.19921875" style="58" customWidth="1"/>
    <col min="8716" max="8716" width="5.69921875" style="58" customWidth="1"/>
    <col min="8717" max="8717" width="5.19921875" style="58" customWidth="1"/>
    <col min="8718" max="8718" width="8.59765625" style="58" customWidth="1"/>
    <col min="8719" max="8719" width="5.19921875" style="58" customWidth="1"/>
    <col min="8720" max="8960" width="5.69921875" style="58" customWidth="1"/>
    <col min="8961" max="8961" width="0" style="58" hidden="1" customWidth="1"/>
    <col min="8962" max="8962" width="6.69921875" style="58" customWidth="1"/>
    <col min="8963" max="8963" width="8.59765625" style="58" customWidth="1"/>
    <col min="8964" max="8964" width="4.796875" style="58" customWidth="1"/>
    <col min="8965" max="8966" width="8.59765625" style="58" customWidth="1"/>
    <col min="8967" max="8967" width="5.19921875" style="58" customWidth="1"/>
    <col min="8968" max="8968" width="6.69921875" style="58" customWidth="1"/>
    <col min="8969" max="8969" width="5.19921875" style="58" customWidth="1"/>
    <col min="8970" max="8970" width="5.69921875" style="58" customWidth="1"/>
    <col min="8971" max="8971" width="5.19921875" style="58" customWidth="1"/>
    <col min="8972" max="8972" width="5.69921875" style="58" customWidth="1"/>
    <col min="8973" max="8973" width="5.19921875" style="58" customWidth="1"/>
    <col min="8974" max="8974" width="8.59765625" style="58" customWidth="1"/>
    <col min="8975" max="8975" width="5.19921875" style="58" customWidth="1"/>
    <col min="8976" max="9216" width="5.69921875" style="58" customWidth="1"/>
    <col min="9217" max="9217" width="0" style="58" hidden="1" customWidth="1"/>
    <col min="9218" max="9218" width="6.69921875" style="58" customWidth="1"/>
    <col min="9219" max="9219" width="8.59765625" style="58" customWidth="1"/>
    <col min="9220" max="9220" width="4.796875" style="58" customWidth="1"/>
    <col min="9221" max="9222" width="8.59765625" style="58" customWidth="1"/>
    <col min="9223" max="9223" width="5.19921875" style="58" customWidth="1"/>
    <col min="9224" max="9224" width="6.69921875" style="58" customWidth="1"/>
    <col min="9225" max="9225" width="5.19921875" style="58" customWidth="1"/>
    <col min="9226" max="9226" width="5.69921875" style="58" customWidth="1"/>
    <col min="9227" max="9227" width="5.19921875" style="58" customWidth="1"/>
    <col min="9228" max="9228" width="5.69921875" style="58" customWidth="1"/>
    <col min="9229" max="9229" width="5.19921875" style="58" customWidth="1"/>
    <col min="9230" max="9230" width="8.59765625" style="58" customWidth="1"/>
    <col min="9231" max="9231" width="5.19921875" style="58" customWidth="1"/>
    <col min="9232" max="9472" width="5.69921875" style="58" customWidth="1"/>
    <col min="9473" max="9473" width="0" style="58" hidden="1" customWidth="1"/>
    <col min="9474" max="9474" width="6.69921875" style="58" customWidth="1"/>
    <col min="9475" max="9475" width="8.59765625" style="58" customWidth="1"/>
    <col min="9476" max="9476" width="4.796875" style="58" customWidth="1"/>
    <col min="9477" max="9478" width="8.59765625" style="58" customWidth="1"/>
    <col min="9479" max="9479" width="5.19921875" style="58" customWidth="1"/>
    <col min="9480" max="9480" width="6.69921875" style="58" customWidth="1"/>
    <col min="9481" max="9481" width="5.19921875" style="58" customWidth="1"/>
    <col min="9482" max="9482" width="5.69921875" style="58" customWidth="1"/>
    <col min="9483" max="9483" width="5.19921875" style="58" customWidth="1"/>
    <col min="9484" max="9484" width="5.69921875" style="58" customWidth="1"/>
    <col min="9485" max="9485" width="5.19921875" style="58" customWidth="1"/>
    <col min="9486" max="9486" width="8.59765625" style="58" customWidth="1"/>
    <col min="9487" max="9487" width="5.19921875" style="58" customWidth="1"/>
    <col min="9488" max="9728" width="5.69921875" style="58" customWidth="1"/>
    <col min="9729" max="9729" width="0" style="58" hidden="1" customWidth="1"/>
    <col min="9730" max="9730" width="6.69921875" style="58" customWidth="1"/>
    <col min="9731" max="9731" width="8.59765625" style="58" customWidth="1"/>
    <col min="9732" max="9732" width="4.796875" style="58" customWidth="1"/>
    <col min="9733" max="9734" width="8.59765625" style="58" customWidth="1"/>
    <col min="9735" max="9735" width="5.19921875" style="58" customWidth="1"/>
    <col min="9736" max="9736" width="6.69921875" style="58" customWidth="1"/>
    <col min="9737" max="9737" width="5.19921875" style="58" customWidth="1"/>
    <col min="9738" max="9738" width="5.69921875" style="58" customWidth="1"/>
    <col min="9739" max="9739" width="5.19921875" style="58" customWidth="1"/>
    <col min="9740" max="9740" width="5.69921875" style="58" customWidth="1"/>
    <col min="9741" max="9741" width="5.19921875" style="58" customWidth="1"/>
    <col min="9742" max="9742" width="8.59765625" style="58" customWidth="1"/>
    <col min="9743" max="9743" width="5.19921875" style="58" customWidth="1"/>
    <col min="9744" max="9984" width="5.69921875" style="58" customWidth="1"/>
    <col min="9985" max="9985" width="0" style="58" hidden="1" customWidth="1"/>
    <col min="9986" max="9986" width="6.69921875" style="58" customWidth="1"/>
    <col min="9987" max="9987" width="8.59765625" style="58" customWidth="1"/>
    <col min="9988" max="9988" width="4.796875" style="58" customWidth="1"/>
    <col min="9989" max="9990" width="8.59765625" style="58" customWidth="1"/>
    <col min="9991" max="9991" width="5.19921875" style="58" customWidth="1"/>
    <col min="9992" max="9992" width="6.69921875" style="58" customWidth="1"/>
    <col min="9993" max="9993" width="5.19921875" style="58" customWidth="1"/>
    <col min="9994" max="9994" width="5.69921875" style="58" customWidth="1"/>
    <col min="9995" max="9995" width="5.19921875" style="58" customWidth="1"/>
    <col min="9996" max="9996" width="5.69921875" style="58" customWidth="1"/>
    <col min="9997" max="9997" width="5.19921875" style="58" customWidth="1"/>
    <col min="9998" max="9998" width="8.59765625" style="58" customWidth="1"/>
    <col min="9999" max="9999" width="5.19921875" style="58" customWidth="1"/>
    <col min="10000" max="10240" width="5.69921875" style="58" customWidth="1"/>
    <col min="10241" max="10241" width="0" style="58" hidden="1" customWidth="1"/>
    <col min="10242" max="10242" width="6.69921875" style="58" customWidth="1"/>
    <col min="10243" max="10243" width="8.59765625" style="58" customWidth="1"/>
    <col min="10244" max="10244" width="4.796875" style="58" customWidth="1"/>
    <col min="10245" max="10246" width="8.59765625" style="58" customWidth="1"/>
    <col min="10247" max="10247" width="5.19921875" style="58" customWidth="1"/>
    <col min="10248" max="10248" width="6.69921875" style="58" customWidth="1"/>
    <col min="10249" max="10249" width="5.19921875" style="58" customWidth="1"/>
    <col min="10250" max="10250" width="5.69921875" style="58" customWidth="1"/>
    <col min="10251" max="10251" width="5.19921875" style="58" customWidth="1"/>
    <col min="10252" max="10252" width="5.69921875" style="58" customWidth="1"/>
    <col min="10253" max="10253" width="5.19921875" style="58" customWidth="1"/>
    <col min="10254" max="10254" width="8.59765625" style="58" customWidth="1"/>
    <col min="10255" max="10255" width="5.19921875" style="58" customWidth="1"/>
    <col min="10256" max="10496" width="5.69921875" style="58" customWidth="1"/>
    <col min="10497" max="10497" width="0" style="58" hidden="1" customWidth="1"/>
    <col min="10498" max="10498" width="6.69921875" style="58" customWidth="1"/>
    <col min="10499" max="10499" width="8.59765625" style="58" customWidth="1"/>
    <col min="10500" max="10500" width="4.796875" style="58" customWidth="1"/>
    <col min="10501" max="10502" width="8.59765625" style="58" customWidth="1"/>
    <col min="10503" max="10503" width="5.19921875" style="58" customWidth="1"/>
    <col min="10504" max="10504" width="6.69921875" style="58" customWidth="1"/>
    <col min="10505" max="10505" width="5.19921875" style="58" customWidth="1"/>
    <col min="10506" max="10506" width="5.69921875" style="58" customWidth="1"/>
    <col min="10507" max="10507" width="5.19921875" style="58" customWidth="1"/>
    <col min="10508" max="10508" width="5.69921875" style="58" customWidth="1"/>
    <col min="10509" max="10509" width="5.19921875" style="58" customWidth="1"/>
    <col min="10510" max="10510" width="8.59765625" style="58" customWidth="1"/>
    <col min="10511" max="10511" width="5.19921875" style="58" customWidth="1"/>
    <col min="10512" max="10752" width="5.69921875" style="58" customWidth="1"/>
    <col min="10753" max="10753" width="0" style="58" hidden="1" customWidth="1"/>
    <col min="10754" max="10754" width="6.69921875" style="58" customWidth="1"/>
    <col min="10755" max="10755" width="8.59765625" style="58" customWidth="1"/>
    <col min="10756" max="10756" width="4.796875" style="58" customWidth="1"/>
    <col min="10757" max="10758" width="8.59765625" style="58" customWidth="1"/>
    <col min="10759" max="10759" width="5.19921875" style="58" customWidth="1"/>
    <col min="10760" max="10760" width="6.69921875" style="58" customWidth="1"/>
    <col min="10761" max="10761" width="5.19921875" style="58" customWidth="1"/>
    <col min="10762" max="10762" width="5.69921875" style="58" customWidth="1"/>
    <col min="10763" max="10763" width="5.19921875" style="58" customWidth="1"/>
    <col min="10764" max="10764" width="5.69921875" style="58" customWidth="1"/>
    <col min="10765" max="10765" width="5.19921875" style="58" customWidth="1"/>
    <col min="10766" max="10766" width="8.59765625" style="58" customWidth="1"/>
    <col min="10767" max="10767" width="5.19921875" style="58" customWidth="1"/>
    <col min="10768" max="11008" width="5.69921875" style="58" customWidth="1"/>
    <col min="11009" max="11009" width="0" style="58" hidden="1" customWidth="1"/>
    <col min="11010" max="11010" width="6.69921875" style="58" customWidth="1"/>
    <col min="11011" max="11011" width="8.59765625" style="58" customWidth="1"/>
    <col min="11012" max="11012" width="4.796875" style="58" customWidth="1"/>
    <col min="11013" max="11014" width="8.59765625" style="58" customWidth="1"/>
    <col min="11015" max="11015" width="5.19921875" style="58" customWidth="1"/>
    <col min="11016" max="11016" width="6.69921875" style="58" customWidth="1"/>
    <col min="11017" max="11017" width="5.19921875" style="58" customWidth="1"/>
    <col min="11018" max="11018" width="5.69921875" style="58" customWidth="1"/>
    <col min="11019" max="11019" width="5.19921875" style="58" customWidth="1"/>
    <col min="11020" max="11020" width="5.69921875" style="58" customWidth="1"/>
    <col min="11021" max="11021" width="5.19921875" style="58" customWidth="1"/>
    <col min="11022" max="11022" width="8.59765625" style="58" customWidth="1"/>
    <col min="11023" max="11023" width="5.19921875" style="58" customWidth="1"/>
    <col min="11024" max="11264" width="5.69921875" style="58" customWidth="1"/>
    <col min="11265" max="11265" width="0" style="58" hidden="1" customWidth="1"/>
    <col min="11266" max="11266" width="6.69921875" style="58" customWidth="1"/>
    <col min="11267" max="11267" width="8.59765625" style="58" customWidth="1"/>
    <col min="11268" max="11268" width="4.796875" style="58" customWidth="1"/>
    <col min="11269" max="11270" width="8.59765625" style="58" customWidth="1"/>
    <col min="11271" max="11271" width="5.19921875" style="58" customWidth="1"/>
    <col min="11272" max="11272" width="6.69921875" style="58" customWidth="1"/>
    <col min="11273" max="11273" width="5.19921875" style="58" customWidth="1"/>
    <col min="11274" max="11274" width="5.69921875" style="58" customWidth="1"/>
    <col min="11275" max="11275" width="5.19921875" style="58" customWidth="1"/>
    <col min="11276" max="11276" width="5.69921875" style="58" customWidth="1"/>
    <col min="11277" max="11277" width="5.19921875" style="58" customWidth="1"/>
    <col min="11278" max="11278" width="8.59765625" style="58" customWidth="1"/>
    <col min="11279" max="11279" width="5.19921875" style="58" customWidth="1"/>
    <col min="11280" max="11520" width="5.69921875" style="58" customWidth="1"/>
    <col min="11521" max="11521" width="0" style="58" hidden="1" customWidth="1"/>
    <col min="11522" max="11522" width="6.69921875" style="58" customWidth="1"/>
    <col min="11523" max="11523" width="8.59765625" style="58" customWidth="1"/>
    <col min="11524" max="11524" width="4.796875" style="58" customWidth="1"/>
    <col min="11525" max="11526" width="8.59765625" style="58" customWidth="1"/>
    <col min="11527" max="11527" width="5.19921875" style="58" customWidth="1"/>
    <col min="11528" max="11528" width="6.69921875" style="58" customWidth="1"/>
    <col min="11529" max="11529" width="5.19921875" style="58" customWidth="1"/>
    <col min="11530" max="11530" width="5.69921875" style="58" customWidth="1"/>
    <col min="11531" max="11531" width="5.19921875" style="58" customWidth="1"/>
    <col min="11532" max="11532" width="5.69921875" style="58" customWidth="1"/>
    <col min="11533" max="11533" width="5.19921875" style="58" customWidth="1"/>
    <col min="11534" max="11534" width="8.59765625" style="58" customWidth="1"/>
    <col min="11535" max="11535" width="5.19921875" style="58" customWidth="1"/>
    <col min="11536" max="11776" width="5.69921875" style="58" customWidth="1"/>
    <col min="11777" max="11777" width="0" style="58" hidden="1" customWidth="1"/>
    <col min="11778" max="11778" width="6.69921875" style="58" customWidth="1"/>
    <col min="11779" max="11779" width="8.59765625" style="58" customWidth="1"/>
    <col min="11780" max="11780" width="4.796875" style="58" customWidth="1"/>
    <col min="11781" max="11782" width="8.59765625" style="58" customWidth="1"/>
    <col min="11783" max="11783" width="5.19921875" style="58" customWidth="1"/>
    <col min="11784" max="11784" width="6.69921875" style="58" customWidth="1"/>
    <col min="11785" max="11785" width="5.19921875" style="58" customWidth="1"/>
    <col min="11786" max="11786" width="5.69921875" style="58" customWidth="1"/>
    <col min="11787" max="11787" width="5.19921875" style="58" customWidth="1"/>
    <col min="11788" max="11788" width="5.69921875" style="58" customWidth="1"/>
    <col min="11789" max="11789" width="5.19921875" style="58" customWidth="1"/>
    <col min="11790" max="11790" width="8.59765625" style="58" customWidth="1"/>
    <col min="11791" max="11791" width="5.19921875" style="58" customWidth="1"/>
    <col min="11792" max="12032" width="5.69921875" style="58" customWidth="1"/>
    <col min="12033" max="12033" width="0" style="58" hidden="1" customWidth="1"/>
    <col min="12034" max="12034" width="6.69921875" style="58" customWidth="1"/>
    <col min="12035" max="12035" width="8.59765625" style="58" customWidth="1"/>
    <col min="12036" max="12036" width="4.796875" style="58" customWidth="1"/>
    <col min="12037" max="12038" width="8.59765625" style="58" customWidth="1"/>
    <col min="12039" max="12039" width="5.19921875" style="58" customWidth="1"/>
    <col min="12040" max="12040" width="6.69921875" style="58" customWidth="1"/>
    <col min="12041" max="12041" width="5.19921875" style="58" customWidth="1"/>
    <col min="12042" max="12042" width="5.69921875" style="58" customWidth="1"/>
    <col min="12043" max="12043" width="5.19921875" style="58" customWidth="1"/>
    <col min="12044" max="12044" width="5.69921875" style="58" customWidth="1"/>
    <col min="12045" max="12045" width="5.19921875" style="58" customWidth="1"/>
    <col min="12046" max="12046" width="8.59765625" style="58" customWidth="1"/>
    <col min="12047" max="12047" width="5.19921875" style="58" customWidth="1"/>
    <col min="12048" max="12288" width="5.69921875" style="58" customWidth="1"/>
    <col min="12289" max="12289" width="0" style="58" hidden="1" customWidth="1"/>
    <col min="12290" max="12290" width="6.69921875" style="58" customWidth="1"/>
    <col min="12291" max="12291" width="8.59765625" style="58" customWidth="1"/>
    <col min="12292" max="12292" width="4.796875" style="58" customWidth="1"/>
    <col min="12293" max="12294" width="8.59765625" style="58" customWidth="1"/>
    <col min="12295" max="12295" width="5.19921875" style="58" customWidth="1"/>
    <col min="12296" max="12296" width="6.69921875" style="58" customWidth="1"/>
    <col min="12297" max="12297" width="5.19921875" style="58" customWidth="1"/>
    <col min="12298" max="12298" width="5.69921875" style="58" customWidth="1"/>
    <col min="12299" max="12299" width="5.19921875" style="58" customWidth="1"/>
    <col min="12300" max="12300" width="5.69921875" style="58" customWidth="1"/>
    <col min="12301" max="12301" width="5.19921875" style="58" customWidth="1"/>
    <col min="12302" max="12302" width="8.59765625" style="58" customWidth="1"/>
    <col min="12303" max="12303" width="5.19921875" style="58" customWidth="1"/>
    <col min="12304" max="12544" width="5.69921875" style="58" customWidth="1"/>
    <col min="12545" max="12545" width="0" style="58" hidden="1" customWidth="1"/>
    <col min="12546" max="12546" width="6.69921875" style="58" customWidth="1"/>
    <col min="12547" max="12547" width="8.59765625" style="58" customWidth="1"/>
    <col min="12548" max="12548" width="4.796875" style="58" customWidth="1"/>
    <col min="12549" max="12550" width="8.59765625" style="58" customWidth="1"/>
    <col min="12551" max="12551" width="5.19921875" style="58" customWidth="1"/>
    <col min="12552" max="12552" width="6.69921875" style="58" customWidth="1"/>
    <col min="12553" max="12553" width="5.19921875" style="58" customWidth="1"/>
    <col min="12554" max="12554" width="5.69921875" style="58" customWidth="1"/>
    <col min="12555" max="12555" width="5.19921875" style="58" customWidth="1"/>
    <col min="12556" max="12556" width="5.69921875" style="58" customWidth="1"/>
    <col min="12557" max="12557" width="5.19921875" style="58" customWidth="1"/>
    <col min="12558" max="12558" width="8.59765625" style="58" customWidth="1"/>
    <col min="12559" max="12559" width="5.19921875" style="58" customWidth="1"/>
    <col min="12560" max="12800" width="5.69921875" style="58" customWidth="1"/>
    <col min="12801" max="12801" width="0" style="58" hidden="1" customWidth="1"/>
    <col min="12802" max="12802" width="6.69921875" style="58" customWidth="1"/>
    <col min="12803" max="12803" width="8.59765625" style="58" customWidth="1"/>
    <col min="12804" max="12804" width="4.796875" style="58" customWidth="1"/>
    <col min="12805" max="12806" width="8.59765625" style="58" customWidth="1"/>
    <col min="12807" max="12807" width="5.19921875" style="58" customWidth="1"/>
    <col min="12808" max="12808" width="6.69921875" style="58" customWidth="1"/>
    <col min="12809" max="12809" width="5.19921875" style="58" customWidth="1"/>
    <col min="12810" max="12810" width="5.69921875" style="58" customWidth="1"/>
    <col min="12811" max="12811" width="5.19921875" style="58" customWidth="1"/>
    <col min="12812" max="12812" width="5.69921875" style="58" customWidth="1"/>
    <col min="12813" max="12813" width="5.19921875" style="58" customWidth="1"/>
    <col min="12814" max="12814" width="8.59765625" style="58" customWidth="1"/>
    <col min="12815" max="12815" width="5.19921875" style="58" customWidth="1"/>
    <col min="12816" max="13056" width="5.69921875" style="58" customWidth="1"/>
    <col min="13057" max="13057" width="0" style="58" hidden="1" customWidth="1"/>
    <col min="13058" max="13058" width="6.69921875" style="58" customWidth="1"/>
    <col min="13059" max="13059" width="8.59765625" style="58" customWidth="1"/>
    <col min="13060" max="13060" width="4.796875" style="58" customWidth="1"/>
    <col min="13061" max="13062" width="8.59765625" style="58" customWidth="1"/>
    <col min="13063" max="13063" width="5.19921875" style="58" customWidth="1"/>
    <col min="13064" max="13064" width="6.69921875" style="58" customWidth="1"/>
    <col min="13065" max="13065" width="5.19921875" style="58" customWidth="1"/>
    <col min="13066" max="13066" width="5.69921875" style="58" customWidth="1"/>
    <col min="13067" max="13067" width="5.19921875" style="58" customWidth="1"/>
    <col min="13068" max="13068" width="5.69921875" style="58" customWidth="1"/>
    <col min="13069" max="13069" width="5.19921875" style="58" customWidth="1"/>
    <col min="13070" max="13070" width="8.59765625" style="58" customWidth="1"/>
    <col min="13071" max="13071" width="5.19921875" style="58" customWidth="1"/>
    <col min="13072" max="13312" width="5.69921875" style="58" customWidth="1"/>
    <col min="13313" max="13313" width="0" style="58" hidden="1" customWidth="1"/>
    <col min="13314" max="13314" width="6.69921875" style="58" customWidth="1"/>
    <col min="13315" max="13315" width="8.59765625" style="58" customWidth="1"/>
    <col min="13316" max="13316" width="4.796875" style="58" customWidth="1"/>
    <col min="13317" max="13318" width="8.59765625" style="58" customWidth="1"/>
    <col min="13319" max="13319" width="5.19921875" style="58" customWidth="1"/>
    <col min="13320" max="13320" width="6.69921875" style="58" customWidth="1"/>
    <col min="13321" max="13321" width="5.19921875" style="58" customWidth="1"/>
    <col min="13322" max="13322" width="5.69921875" style="58" customWidth="1"/>
    <col min="13323" max="13323" width="5.19921875" style="58" customWidth="1"/>
    <col min="13324" max="13324" width="5.69921875" style="58" customWidth="1"/>
    <col min="13325" max="13325" width="5.19921875" style="58" customWidth="1"/>
    <col min="13326" max="13326" width="8.59765625" style="58" customWidth="1"/>
    <col min="13327" max="13327" width="5.19921875" style="58" customWidth="1"/>
    <col min="13328" max="13568" width="5.69921875" style="58" customWidth="1"/>
    <col min="13569" max="13569" width="0" style="58" hidden="1" customWidth="1"/>
    <col min="13570" max="13570" width="6.69921875" style="58" customWidth="1"/>
    <col min="13571" max="13571" width="8.59765625" style="58" customWidth="1"/>
    <col min="13572" max="13572" width="4.796875" style="58" customWidth="1"/>
    <col min="13573" max="13574" width="8.59765625" style="58" customWidth="1"/>
    <col min="13575" max="13575" width="5.19921875" style="58" customWidth="1"/>
    <col min="13576" max="13576" width="6.69921875" style="58" customWidth="1"/>
    <col min="13577" max="13577" width="5.19921875" style="58" customWidth="1"/>
    <col min="13578" max="13578" width="5.69921875" style="58" customWidth="1"/>
    <col min="13579" max="13579" width="5.19921875" style="58" customWidth="1"/>
    <col min="13580" max="13580" width="5.69921875" style="58" customWidth="1"/>
    <col min="13581" max="13581" width="5.19921875" style="58" customWidth="1"/>
    <col min="13582" max="13582" width="8.59765625" style="58" customWidth="1"/>
    <col min="13583" max="13583" width="5.19921875" style="58" customWidth="1"/>
    <col min="13584" max="13824" width="5.69921875" style="58" customWidth="1"/>
    <col min="13825" max="13825" width="0" style="58" hidden="1" customWidth="1"/>
    <col min="13826" max="13826" width="6.69921875" style="58" customWidth="1"/>
    <col min="13827" max="13827" width="8.59765625" style="58" customWidth="1"/>
    <col min="13828" max="13828" width="4.796875" style="58" customWidth="1"/>
    <col min="13829" max="13830" width="8.59765625" style="58" customWidth="1"/>
    <col min="13831" max="13831" width="5.19921875" style="58" customWidth="1"/>
    <col min="13832" max="13832" width="6.69921875" style="58" customWidth="1"/>
    <col min="13833" max="13833" width="5.19921875" style="58" customWidth="1"/>
    <col min="13834" max="13834" width="5.69921875" style="58" customWidth="1"/>
    <col min="13835" max="13835" width="5.19921875" style="58" customWidth="1"/>
    <col min="13836" max="13836" width="5.69921875" style="58" customWidth="1"/>
    <col min="13837" max="13837" width="5.19921875" style="58" customWidth="1"/>
    <col min="13838" max="13838" width="8.59765625" style="58" customWidth="1"/>
    <col min="13839" max="13839" width="5.19921875" style="58" customWidth="1"/>
    <col min="13840" max="14080" width="5.69921875" style="58" customWidth="1"/>
    <col min="14081" max="14081" width="0" style="58" hidden="1" customWidth="1"/>
    <col min="14082" max="14082" width="6.69921875" style="58" customWidth="1"/>
    <col min="14083" max="14083" width="8.59765625" style="58" customWidth="1"/>
    <col min="14084" max="14084" width="4.796875" style="58" customWidth="1"/>
    <col min="14085" max="14086" width="8.59765625" style="58" customWidth="1"/>
    <col min="14087" max="14087" width="5.19921875" style="58" customWidth="1"/>
    <col min="14088" max="14088" width="6.69921875" style="58" customWidth="1"/>
    <col min="14089" max="14089" width="5.19921875" style="58" customWidth="1"/>
    <col min="14090" max="14090" width="5.69921875" style="58" customWidth="1"/>
    <col min="14091" max="14091" width="5.19921875" style="58" customWidth="1"/>
    <col min="14092" max="14092" width="5.69921875" style="58" customWidth="1"/>
    <col min="14093" max="14093" width="5.19921875" style="58" customWidth="1"/>
    <col min="14094" max="14094" width="8.59765625" style="58" customWidth="1"/>
    <col min="14095" max="14095" width="5.19921875" style="58" customWidth="1"/>
    <col min="14096" max="14336" width="5.69921875" style="58" customWidth="1"/>
    <col min="14337" max="14337" width="0" style="58" hidden="1" customWidth="1"/>
    <col min="14338" max="14338" width="6.69921875" style="58" customWidth="1"/>
    <col min="14339" max="14339" width="8.59765625" style="58" customWidth="1"/>
    <col min="14340" max="14340" width="4.796875" style="58" customWidth="1"/>
    <col min="14341" max="14342" width="8.59765625" style="58" customWidth="1"/>
    <col min="14343" max="14343" width="5.19921875" style="58" customWidth="1"/>
    <col min="14344" max="14344" width="6.69921875" style="58" customWidth="1"/>
    <col min="14345" max="14345" width="5.19921875" style="58" customWidth="1"/>
    <col min="14346" max="14346" width="5.69921875" style="58" customWidth="1"/>
    <col min="14347" max="14347" width="5.19921875" style="58" customWidth="1"/>
    <col min="14348" max="14348" width="5.69921875" style="58" customWidth="1"/>
    <col min="14349" max="14349" width="5.19921875" style="58" customWidth="1"/>
    <col min="14350" max="14350" width="8.59765625" style="58" customWidth="1"/>
    <col min="14351" max="14351" width="5.19921875" style="58" customWidth="1"/>
    <col min="14352" max="14592" width="5.69921875" style="58" customWidth="1"/>
    <col min="14593" max="14593" width="0" style="58" hidden="1" customWidth="1"/>
    <col min="14594" max="14594" width="6.69921875" style="58" customWidth="1"/>
    <col min="14595" max="14595" width="8.59765625" style="58" customWidth="1"/>
    <col min="14596" max="14596" width="4.796875" style="58" customWidth="1"/>
    <col min="14597" max="14598" width="8.59765625" style="58" customWidth="1"/>
    <col min="14599" max="14599" width="5.19921875" style="58" customWidth="1"/>
    <col min="14600" max="14600" width="6.69921875" style="58" customWidth="1"/>
    <col min="14601" max="14601" width="5.19921875" style="58" customWidth="1"/>
    <col min="14602" max="14602" width="5.69921875" style="58" customWidth="1"/>
    <col min="14603" max="14603" width="5.19921875" style="58" customWidth="1"/>
    <col min="14604" max="14604" width="5.69921875" style="58" customWidth="1"/>
    <col min="14605" max="14605" width="5.19921875" style="58" customWidth="1"/>
    <col min="14606" max="14606" width="8.59765625" style="58" customWidth="1"/>
    <col min="14607" max="14607" width="5.19921875" style="58" customWidth="1"/>
    <col min="14608" max="14848" width="5.69921875" style="58" customWidth="1"/>
    <col min="14849" max="14849" width="0" style="58" hidden="1" customWidth="1"/>
    <col min="14850" max="14850" width="6.69921875" style="58" customWidth="1"/>
    <col min="14851" max="14851" width="8.59765625" style="58" customWidth="1"/>
    <col min="14852" max="14852" width="4.796875" style="58" customWidth="1"/>
    <col min="14853" max="14854" width="8.59765625" style="58" customWidth="1"/>
    <col min="14855" max="14855" width="5.19921875" style="58" customWidth="1"/>
    <col min="14856" max="14856" width="6.69921875" style="58" customWidth="1"/>
    <col min="14857" max="14857" width="5.19921875" style="58" customWidth="1"/>
    <col min="14858" max="14858" width="5.69921875" style="58" customWidth="1"/>
    <col min="14859" max="14859" width="5.19921875" style="58" customWidth="1"/>
    <col min="14860" max="14860" width="5.69921875" style="58" customWidth="1"/>
    <col min="14861" max="14861" width="5.19921875" style="58" customWidth="1"/>
    <col min="14862" max="14862" width="8.59765625" style="58" customWidth="1"/>
    <col min="14863" max="14863" width="5.19921875" style="58" customWidth="1"/>
    <col min="14864" max="15104" width="5.69921875" style="58" customWidth="1"/>
    <col min="15105" max="15105" width="0" style="58" hidden="1" customWidth="1"/>
    <col min="15106" max="15106" width="6.69921875" style="58" customWidth="1"/>
    <col min="15107" max="15107" width="8.59765625" style="58" customWidth="1"/>
    <col min="15108" max="15108" width="4.796875" style="58" customWidth="1"/>
    <col min="15109" max="15110" width="8.59765625" style="58" customWidth="1"/>
    <col min="15111" max="15111" width="5.19921875" style="58" customWidth="1"/>
    <col min="15112" max="15112" width="6.69921875" style="58" customWidth="1"/>
    <col min="15113" max="15113" width="5.19921875" style="58" customWidth="1"/>
    <col min="15114" max="15114" width="5.69921875" style="58" customWidth="1"/>
    <col min="15115" max="15115" width="5.19921875" style="58" customWidth="1"/>
    <col min="15116" max="15116" width="5.69921875" style="58" customWidth="1"/>
    <col min="15117" max="15117" width="5.19921875" style="58" customWidth="1"/>
    <col min="15118" max="15118" width="8.59765625" style="58" customWidth="1"/>
    <col min="15119" max="15119" width="5.19921875" style="58" customWidth="1"/>
    <col min="15120" max="15360" width="5.69921875" style="58" customWidth="1"/>
    <col min="15361" max="15361" width="0" style="58" hidden="1" customWidth="1"/>
    <col min="15362" max="15362" width="6.69921875" style="58" customWidth="1"/>
    <col min="15363" max="15363" width="8.59765625" style="58" customWidth="1"/>
    <col min="15364" max="15364" width="4.796875" style="58" customWidth="1"/>
    <col min="15365" max="15366" width="8.59765625" style="58" customWidth="1"/>
    <col min="15367" max="15367" width="5.19921875" style="58" customWidth="1"/>
    <col min="15368" max="15368" width="6.69921875" style="58" customWidth="1"/>
    <col min="15369" max="15369" width="5.19921875" style="58" customWidth="1"/>
    <col min="15370" max="15370" width="5.69921875" style="58" customWidth="1"/>
    <col min="15371" max="15371" width="5.19921875" style="58" customWidth="1"/>
    <col min="15372" max="15372" width="5.69921875" style="58" customWidth="1"/>
    <col min="15373" max="15373" width="5.19921875" style="58" customWidth="1"/>
    <col min="15374" max="15374" width="8.59765625" style="58" customWidth="1"/>
    <col min="15375" max="15375" width="5.19921875" style="58" customWidth="1"/>
    <col min="15376" max="15616" width="5.69921875" style="58" customWidth="1"/>
    <col min="15617" max="15617" width="0" style="58" hidden="1" customWidth="1"/>
    <col min="15618" max="15618" width="6.69921875" style="58" customWidth="1"/>
    <col min="15619" max="15619" width="8.59765625" style="58" customWidth="1"/>
    <col min="15620" max="15620" width="4.796875" style="58" customWidth="1"/>
    <col min="15621" max="15622" width="8.59765625" style="58" customWidth="1"/>
    <col min="15623" max="15623" width="5.19921875" style="58" customWidth="1"/>
    <col min="15624" max="15624" width="6.69921875" style="58" customWidth="1"/>
    <col min="15625" max="15625" width="5.19921875" style="58" customWidth="1"/>
    <col min="15626" max="15626" width="5.69921875" style="58" customWidth="1"/>
    <col min="15627" max="15627" width="5.19921875" style="58" customWidth="1"/>
    <col min="15628" max="15628" width="5.69921875" style="58" customWidth="1"/>
    <col min="15629" max="15629" width="5.19921875" style="58" customWidth="1"/>
    <col min="15630" max="15630" width="8.59765625" style="58" customWidth="1"/>
    <col min="15631" max="15631" width="5.19921875" style="58" customWidth="1"/>
    <col min="15632" max="15872" width="5.69921875" style="58" customWidth="1"/>
    <col min="15873" max="15873" width="0" style="58" hidden="1" customWidth="1"/>
    <col min="15874" max="15874" width="6.69921875" style="58" customWidth="1"/>
    <col min="15875" max="15875" width="8.59765625" style="58" customWidth="1"/>
    <col min="15876" max="15876" width="4.796875" style="58" customWidth="1"/>
    <col min="15877" max="15878" width="8.59765625" style="58" customWidth="1"/>
    <col min="15879" max="15879" width="5.19921875" style="58" customWidth="1"/>
    <col min="15880" max="15880" width="6.69921875" style="58" customWidth="1"/>
    <col min="15881" max="15881" width="5.19921875" style="58" customWidth="1"/>
    <col min="15882" max="15882" width="5.69921875" style="58" customWidth="1"/>
    <col min="15883" max="15883" width="5.19921875" style="58" customWidth="1"/>
    <col min="15884" max="15884" width="5.69921875" style="58" customWidth="1"/>
    <col min="15885" max="15885" width="5.19921875" style="58" customWidth="1"/>
    <col min="15886" max="15886" width="8.59765625" style="58" customWidth="1"/>
    <col min="15887" max="15887" width="5.19921875" style="58" customWidth="1"/>
    <col min="15888" max="16128" width="5.69921875" style="58" customWidth="1"/>
    <col min="16129" max="16129" width="0" style="58" hidden="1" customWidth="1"/>
    <col min="16130" max="16130" width="6.69921875" style="58" customWidth="1"/>
    <col min="16131" max="16131" width="8.59765625" style="58" customWidth="1"/>
    <col min="16132" max="16132" width="4.796875" style="58" customWidth="1"/>
    <col min="16133" max="16134" width="8.59765625" style="58" customWidth="1"/>
    <col min="16135" max="16135" width="5.19921875" style="58" customWidth="1"/>
    <col min="16136" max="16136" width="6.69921875" style="58" customWidth="1"/>
    <col min="16137" max="16137" width="5.19921875" style="58" customWidth="1"/>
    <col min="16138" max="16138" width="5.69921875" style="58" customWidth="1"/>
    <col min="16139" max="16139" width="5.19921875" style="58" customWidth="1"/>
    <col min="16140" max="16140" width="5.69921875" style="58" customWidth="1"/>
    <col min="16141" max="16141" width="5.19921875" style="58" customWidth="1"/>
    <col min="16142" max="16142" width="8.59765625" style="58" customWidth="1"/>
    <col min="16143" max="16143" width="5.19921875" style="58" customWidth="1"/>
    <col min="16144" max="16384" width="5.69921875" style="58" customWidth="1"/>
  </cols>
  <sheetData>
    <row r="1" spans="1:256" ht="21">
      <c r="A1" s="59" t="s">
        <v>86</v>
      </c>
      <c r="Q1" s="57" t="s">
        <v>111</v>
      </c>
      <c r="R1" s="57">
        <v>253001.489</v>
      </c>
      <c r="S1" s="58">
        <f>R1*1000</f>
        <v>253001489</v>
      </c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</row>
    <row r="2" spans="1:256" s="50" customFormat="1" ht="29.25" customHeight="1">
      <c r="A2" s="50" t="s">
        <v>115</v>
      </c>
      <c r="B2" s="50" t="s">
        <v>116</v>
      </c>
      <c r="C2" s="50" t="s">
        <v>117</v>
      </c>
      <c r="D2" s="50" t="s">
        <v>118</v>
      </c>
      <c r="E2" s="50" t="s">
        <v>119</v>
      </c>
      <c r="F2" s="50" t="s">
        <v>120</v>
      </c>
      <c r="G2" s="50" t="s">
        <v>121</v>
      </c>
      <c r="H2" s="50" t="s">
        <v>122</v>
      </c>
      <c r="I2" s="50" t="s">
        <v>123</v>
      </c>
      <c r="J2" s="50" t="s">
        <v>124</v>
      </c>
      <c r="K2" s="50" t="s">
        <v>125</v>
      </c>
      <c r="L2" s="50" t="s">
        <v>126</v>
      </c>
      <c r="M2" s="50" t="s">
        <v>127</v>
      </c>
      <c r="N2" s="50" t="s">
        <v>128</v>
      </c>
      <c r="O2" s="50" t="s">
        <v>129</v>
      </c>
    </row>
    <row r="3" spans="1:256" s="50" customFormat="1" ht="15" customHeight="1">
      <c r="A3" s="49" t="s">
        <v>741</v>
      </c>
      <c r="B3" s="49" t="s">
        <v>130</v>
      </c>
      <c r="C3" s="49">
        <v>26839.18</v>
      </c>
      <c r="D3" s="49">
        <v>4</v>
      </c>
      <c r="E3" s="49">
        <v>26835.18</v>
      </c>
      <c r="F3" s="49">
        <v>26245.87</v>
      </c>
      <c r="G3" s="49">
        <v>97.8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26245.87</v>
      </c>
      <c r="O3" s="49">
        <v>97.8</v>
      </c>
    </row>
    <row r="4" spans="1:256" s="52" customFormat="1" ht="15" customHeight="1">
      <c r="A4" s="51" t="s">
        <v>742</v>
      </c>
      <c r="B4" s="51" t="s">
        <v>131</v>
      </c>
      <c r="C4" s="51">
        <v>22654.26</v>
      </c>
      <c r="D4" s="51">
        <v>0</v>
      </c>
      <c r="E4" s="51">
        <v>22654.26</v>
      </c>
      <c r="F4" s="51">
        <v>22650.43</v>
      </c>
      <c r="G4" s="51">
        <v>99.98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22650.43</v>
      </c>
      <c r="O4" s="51">
        <v>99.98</v>
      </c>
    </row>
    <row r="5" spans="1:256" s="50" customFormat="1" ht="15" customHeight="1">
      <c r="A5" s="49" t="s">
        <v>743</v>
      </c>
      <c r="B5" s="49" t="s">
        <v>132</v>
      </c>
      <c r="C5" s="49">
        <v>24579.03</v>
      </c>
      <c r="D5" s="49">
        <v>18.940000000000001</v>
      </c>
      <c r="E5" s="49">
        <v>24560.09</v>
      </c>
      <c r="F5" s="49">
        <v>24733.3</v>
      </c>
      <c r="G5" s="49">
        <v>100.71</v>
      </c>
      <c r="H5" s="49">
        <v>4.84</v>
      </c>
      <c r="I5" s="49">
        <v>0.02</v>
      </c>
      <c r="J5" s="49">
        <v>0</v>
      </c>
      <c r="K5" s="49">
        <v>0</v>
      </c>
      <c r="L5" s="49">
        <v>0</v>
      </c>
      <c r="M5" s="49">
        <v>0</v>
      </c>
      <c r="N5" s="49">
        <v>24738.14</v>
      </c>
      <c r="O5" s="49">
        <v>100.72</v>
      </c>
    </row>
    <row r="6" spans="1:256" s="52" customFormat="1" ht="15" customHeight="1">
      <c r="A6" s="51" t="s">
        <v>744</v>
      </c>
      <c r="B6" s="51" t="s">
        <v>133</v>
      </c>
      <c r="C6" s="51">
        <v>13846.633</v>
      </c>
      <c r="D6" s="51">
        <v>183.55</v>
      </c>
      <c r="E6" s="51">
        <v>13663.083000000001</v>
      </c>
      <c r="F6" s="51">
        <v>13712.49</v>
      </c>
      <c r="G6" s="51">
        <v>100.36</v>
      </c>
      <c r="H6" s="51">
        <v>1.82</v>
      </c>
      <c r="I6" s="51">
        <v>0.01</v>
      </c>
      <c r="J6" s="51">
        <v>0</v>
      </c>
      <c r="K6" s="51">
        <v>0</v>
      </c>
      <c r="L6" s="51">
        <v>0</v>
      </c>
      <c r="M6" s="51">
        <v>0</v>
      </c>
      <c r="N6" s="51">
        <v>13714.31</v>
      </c>
      <c r="O6" s="51">
        <v>100.37</v>
      </c>
    </row>
    <row r="7" spans="1:256" s="50" customFormat="1" ht="15" customHeight="1">
      <c r="A7" s="49" t="s">
        <v>745</v>
      </c>
      <c r="B7" s="49" t="s">
        <v>134</v>
      </c>
      <c r="C7" s="49">
        <v>1796.085</v>
      </c>
      <c r="D7" s="49">
        <v>5.31</v>
      </c>
      <c r="E7" s="49">
        <v>1790.7750000000001</v>
      </c>
      <c r="F7" s="49">
        <v>1773.1469999999999</v>
      </c>
      <c r="G7" s="49">
        <v>99.02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s="49">
        <v>0</v>
      </c>
      <c r="N7" s="49">
        <v>1773.1469999999999</v>
      </c>
      <c r="O7" s="49">
        <v>99.02</v>
      </c>
    </row>
    <row r="8" spans="1:256" s="52" customFormat="1" ht="15" customHeight="1">
      <c r="A8" s="51" t="s">
        <v>746</v>
      </c>
      <c r="B8" s="51" t="s">
        <v>135</v>
      </c>
      <c r="C8" s="51">
        <v>338.37400000000002</v>
      </c>
      <c r="D8" s="51">
        <v>3.31</v>
      </c>
      <c r="E8" s="51">
        <v>335.06400000000002</v>
      </c>
      <c r="F8" s="51">
        <v>330.31400000000002</v>
      </c>
      <c r="G8" s="51">
        <v>98.58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330.31400000000002</v>
      </c>
      <c r="O8" s="51">
        <v>98.58</v>
      </c>
    </row>
    <row r="9" spans="1:256" s="50" customFormat="1" ht="15" customHeight="1">
      <c r="A9" s="49" t="s">
        <v>747</v>
      </c>
      <c r="B9" s="49" t="s">
        <v>136</v>
      </c>
      <c r="C9" s="49">
        <v>5418.9530000000004</v>
      </c>
      <c r="D9" s="49">
        <v>305.03800000000001</v>
      </c>
      <c r="E9" s="49">
        <v>5113.915</v>
      </c>
      <c r="F9" s="49">
        <v>5144.5200000000004</v>
      </c>
      <c r="G9" s="49">
        <v>100.6</v>
      </c>
      <c r="H9" s="49">
        <v>0.99</v>
      </c>
      <c r="I9" s="49">
        <v>0.02</v>
      </c>
      <c r="J9" s="49">
        <v>1.3</v>
      </c>
      <c r="K9" s="49">
        <v>0.03</v>
      </c>
      <c r="L9" s="49">
        <v>0</v>
      </c>
      <c r="M9" s="49">
        <v>0</v>
      </c>
      <c r="N9" s="49">
        <v>5146.8100000000004</v>
      </c>
      <c r="O9" s="49">
        <v>100.64</v>
      </c>
    </row>
    <row r="10" spans="1:256">
      <c r="N10" s="141">
        <f>SUM(N3:N9)</f>
        <v>94599.020999999993</v>
      </c>
      <c r="O10" s="53" t="s">
        <v>226</v>
      </c>
      <c r="R10" s="57" t="s">
        <v>182</v>
      </c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</row>
    <row r="11" spans="1:256" ht="21">
      <c r="A11" s="59" t="s">
        <v>85</v>
      </c>
      <c r="N11" s="143">
        <v>423393100</v>
      </c>
      <c r="O11" s="2746">
        <f>N11/N10</f>
        <v>4475.6604827866031</v>
      </c>
      <c r="Q11" s="4714">
        <v>601192382</v>
      </c>
      <c r="R11" s="4715">
        <f>Q11/N10</f>
        <v>6355.164944043132</v>
      </c>
      <c r="S11" s="4716" t="s">
        <v>1687</v>
      </c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</row>
    <row r="12" spans="1:256" s="50" customFormat="1" ht="29.25" customHeight="1">
      <c r="A12" s="50" t="s">
        <v>115</v>
      </c>
      <c r="B12" s="50" t="s">
        <v>116</v>
      </c>
      <c r="C12" s="50" t="s">
        <v>117</v>
      </c>
      <c r="D12" s="50" t="s">
        <v>118</v>
      </c>
      <c r="E12" s="50" t="s">
        <v>119</v>
      </c>
      <c r="F12" s="50" t="s">
        <v>120</v>
      </c>
      <c r="G12" s="50" t="s">
        <v>121</v>
      </c>
      <c r="H12" s="50" t="s">
        <v>122</v>
      </c>
      <c r="I12" s="50" t="s">
        <v>123</v>
      </c>
      <c r="J12" s="50" t="s">
        <v>124</v>
      </c>
      <c r="K12" s="50" t="s">
        <v>125</v>
      </c>
      <c r="L12" s="50" t="s">
        <v>126</v>
      </c>
      <c r="M12" s="50" t="s">
        <v>127</v>
      </c>
      <c r="N12" s="50" t="s">
        <v>128</v>
      </c>
      <c r="O12" s="50" t="s">
        <v>129</v>
      </c>
      <c r="Q12" s="4717">
        <v>635068428</v>
      </c>
      <c r="R12" s="4715">
        <f>Q12/N10</f>
        <v>6713.2663878202293</v>
      </c>
      <c r="S12" s="4718" t="s">
        <v>1688</v>
      </c>
    </row>
    <row r="13" spans="1:256" s="50" customFormat="1" ht="15" customHeight="1">
      <c r="A13" s="49" t="s">
        <v>741</v>
      </c>
      <c r="B13" s="49" t="s">
        <v>130</v>
      </c>
      <c r="C13" s="49">
        <v>29555.758000000002</v>
      </c>
      <c r="D13" s="49">
        <v>3.3</v>
      </c>
      <c r="E13" s="49">
        <v>29552.457999999999</v>
      </c>
      <c r="F13" s="49">
        <v>28930.16</v>
      </c>
      <c r="G13" s="49">
        <v>97.89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28930.16</v>
      </c>
      <c r="O13" s="49">
        <v>97.89</v>
      </c>
    </row>
    <row r="14" spans="1:256" s="52" customFormat="1" ht="15" customHeight="1">
      <c r="A14" s="51" t="s">
        <v>742</v>
      </c>
      <c r="B14" s="51" t="s">
        <v>131</v>
      </c>
      <c r="C14" s="51">
        <v>27041.06</v>
      </c>
      <c r="D14" s="51">
        <v>0</v>
      </c>
      <c r="E14" s="51">
        <v>27041.06</v>
      </c>
      <c r="F14" s="51">
        <v>27040.54</v>
      </c>
      <c r="G14" s="51">
        <v>100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27040.54</v>
      </c>
      <c r="O14" s="51">
        <v>100</v>
      </c>
    </row>
    <row r="15" spans="1:256" s="50" customFormat="1" ht="15" customHeight="1">
      <c r="A15" s="49" t="s">
        <v>743</v>
      </c>
      <c r="B15" s="49" t="s">
        <v>132</v>
      </c>
      <c r="C15" s="49">
        <v>24457.84</v>
      </c>
      <c r="D15" s="49">
        <v>27.59</v>
      </c>
      <c r="E15" s="49">
        <v>24430.25</v>
      </c>
      <c r="F15" s="49">
        <v>24579.49</v>
      </c>
      <c r="G15" s="4845">
        <v>100.61</v>
      </c>
      <c r="H15" s="49">
        <v>41.36</v>
      </c>
      <c r="I15" s="49">
        <v>0.17</v>
      </c>
      <c r="J15" s="49">
        <v>0</v>
      </c>
      <c r="K15" s="49">
        <v>0</v>
      </c>
      <c r="L15" s="2502">
        <v>0</v>
      </c>
      <c r="M15" s="49">
        <v>0</v>
      </c>
      <c r="N15" s="49">
        <v>24620.85</v>
      </c>
      <c r="O15" s="49">
        <v>100.78</v>
      </c>
    </row>
    <row r="16" spans="1:256" s="52" customFormat="1" ht="15" customHeight="1">
      <c r="A16" s="51" t="s">
        <v>744</v>
      </c>
      <c r="B16" s="51" t="s">
        <v>133</v>
      </c>
      <c r="C16" s="51">
        <v>11647.742</v>
      </c>
      <c r="D16" s="51">
        <v>306.58</v>
      </c>
      <c r="E16" s="51">
        <v>11341.162</v>
      </c>
      <c r="F16" s="51">
        <v>11407.24</v>
      </c>
      <c r="G16" s="51">
        <v>100.58</v>
      </c>
      <c r="H16" s="51">
        <v>0</v>
      </c>
      <c r="I16" s="51">
        <v>0</v>
      </c>
      <c r="J16" s="51">
        <v>1.69</v>
      </c>
      <c r="K16" s="51">
        <v>0.01</v>
      </c>
      <c r="L16" s="51">
        <v>0</v>
      </c>
      <c r="M16" s="51">
        <v>0</v>
      </c>
      <c r="N16" s="51">
        <v>11408.93</v>
      </c>
      <c r="O16" s="51">
        <v>100.6</v>
      </c>
    </row>
    <row r="17" spans="1:256" s="50" customFormat="1" ht="15" customHeight="1">
      <c r="A17" s="49" t="s">
        <v>745</v>
      </c>
      <c r="B17" s="49" t="s">
        <v>134</v>
      </c>
      <c r="C17" s="49">
        <v>1975.771</v>
      </c>
      <c r="D17" s="49">
        <v>5.3710000000000004</v>
      </c>
      <c r="E17" s="49">
        <v>1970.4</v>
      </c>
      <c r="F17" s="49">
        <v>1951.7560000000001</v>
      </c>
      <c r="G17" s="49">
        <v>99.05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1951.7560000000001</v>
      </c>
      <c r="O17" s="49">
        <v>99.05</v>
      </c>
    </row>
    <row r="18" spans="1:256" s="52" customFormat="1" ht="15" customHeight="1">
      <c r="A18" s="51" t="s">
        <v>746</v>
      </c>
      <c r="B18" s="51" t="s">
        <v>135</v>
      </c>
      <c r="C18" s="51">
        <v>230.27600000000001</v>
      </c>
      <c r="D18" s="51">
        <v>0.73</v>
      </c>
      <c r="E18" s="51">
        <v>229.54599999999999</v>
      </c>
      <c r="F18" s="51">
        <v>217.28899999999999</v>
      </c>
      <c r="G18" s="51">
        <v>94.66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217.28899999999999</v>
      </c>
      <c r="O18" s="51">
        <v>94.66</v>
      </c>
    </row>
    <row r="19" spans="1:256" s="50" customFormat="1" ht="15" customHeight="1">
      <c r="A19" s="49" t="s">
        <v>747</v>
      </c>
      <c r="B19" s="49" t="s">
        <v>136</v>
      </c>
      <c r="C19" s="49">
        <v>5601.9260000000004</v>
      </c>
      <c r="D19" s="49">
        <v>360.53899999999999</v>
      </c>
      <c r="E19" s="49">
        <v>5241.3869999999997</v>
      </c>
      <c r="F19" s="49">
        <v>5270.54</v>
      </c>
      <c r="G19" s="49">
        <v>100.56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5270.54</v>
      </c>
      <c r="O19" s="49">
        <v>100.56</v>
      </c>
    </row>
    <row r="20" spans="1:256">
      <c r="N20" s="141">
        <f>SUM(N13:N19)</f>
        <v>99440.064999999973</v>
      </c>
      <c r="O20" s="53" t="s">
        <v>226</v>
      </c>
      <c r="R20" s="57" t="s">
        <v>182</v>
      </c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</row>
    <row r="21" spans="1:256" ht="21">
      <c r="A21" s="59" t="s">
        <v>87</v>
      </c>
      <c r="N21" s="143">
        <v>199801245</v>
      </c>
      <c r="O21" s="142">
        <f>N21/N20</f>
        <v>2009.2630168735313</v>
      </c>
      <c r="Q21" s="4719">
        <v>468095423</v>
      </c>
      <c r="R21" s="4715">
        <f>Q21/N20</f>
        <v>4707.3121181085326</v>
      </c>
      <c r="T21" s="271">
        <f>N10+N20</f>
        <v>194039.08599999995</v>
      </c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</row>
    <row r="22" spans="1:256" s="50" customFormat="1" ht="29.25" customHeight="1">
      <c r="A22" s="50" t="s">
        <v>115</v>
      </c>
      <c r="B22" s="50" t="s">
        <v>116</v>
      </c>
      <c r="C22" s="50" t="s">
        <v>117</v>
      </c>
      <c r="D22" s="50" t="s">
        <v>118</v>
      </c>
      <c r="E22" s="50" t="s">
        <v>119</v>
      </c>
      <c r="F22" s="50" t="s">
        <v>120</v>
      </c>
      <c r="G22" s="50" t="s">
        <v>121</v>
      </c>
      <c r="H22" s="50" t="s">
        <v>122</v>
      </c>
      <c r="I22" s="50" t="s">
        <v>123</v>
      </c>
      <c r="J22" s="50" t="s">
        <v>124</v>
      </c>
      <c r="K22" s="50" t="s">
        <v>125</v>
      </c>
      <c r="L22" s="50" t="s">
        <v>126</v>
      </c>
      <c r="M22" s="50" t="s">
        <v>127</v>
      </c>
      <c r="N22" s="50" t="s">
        <v>128</v>
      </c>
      <c r="O22" s="50" t="s">
        <v>129</v>
      </c>
    </row>
    <row r="23" spans="1:256" s="50" customFormat="1" ht="15" customHeight="1">
      <c r="A23" s="49" t="s">
        <v>741</v>
      </c>
      <c r="B23" s="49" t="s">
        <v>130</v>
      </c>
      <c r="C23" s="49">
        <v>24280.151000000002</v>
      </c>
      <c r="D23" s="49">
        <v>0.79</v>
      </c>
      <c r="E23" s="49">
        <v>24279.361000000001</v>
      </c>
      <c r="F23" s="49">
        <v>23803.14</v>
      </c>
      <c r="G23" s="49">
        <v>98.04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23803.14</v>
      </c>
      <c r="O23" s="49">
        <v>98.04</v>
      </c>
    </row>
    <row r="24" spans="1:256" s="52" customFormat="1" ht="15" customHeight="1">
      <c r="A24" s="51" t="s">
        <v>742</v>
      </c>
      <c r="B24" s="51" t="s">
        <v>131</v>
      </c>
      <c r="C24" s="51">
        <v>21718.99</v>
      </c>
      <c r="D24" s="51">
        <v>0.94</v>
      </c>
      <c r="E24" s="51">
        <v>21718.05</v>
      </c>
      <c r="F24" s="51">
        <v>21718.05</v>
      </c>
      <c r="G24" s="51">
        <v>100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21718.05</v>
      </c>
      <c r="O24" s="51">
        <v>100</v>
      </c>
    </row>
    <row r="25" spans="1:256" s="50" customFormat="1" ht="15" customHeight="1">
      <c r="A25" s="49" t="s">
        <v>743</v>
      </c>
      <c r="B25" s="49" t="s">
        <v>132</v>
      </c>
      <c r="C25" s="49">
        <v>26844.63</v>
      </c>
      <c r="D25" s="49">
        <v>12.19</v>
      </c>
      <c r="E25" s="49">
        <v>26832.44</v>
      </c>
      <c r="F25" s="49">
        <v>26905.19</v>
      </c>
      <c r="G25" s="49">
        <v>100.27</v>
      </c>
      <c r="H25" s="49">
        <v>7.31</v>
      </c>
      <c r="I25" s="49">
        <v>0.03</v>
      </c>
      <c r="J25" s="49">
        <v>0</v>
      </c>
      <c r="K25" s="49">
        <v>0</v>
      </c>
      <c r="L25" s="49">
        <v>15.28</v>
      </c>
      <c r="M25" s="49">
        <v>0.06</v>
      </c>
      <c r="N25" s="49">
        <v>26927.78</v>
      </c>
      <c r="O25" s="49">
        <v>100.36</v>
      </c>
    </row>
    <row r="26" spans="1:256" s="52" customFormat="1" ht="15" customHeight="1">
      <c r="A26" s="51" t="s">
        <v>744</v>
      </c>
      <c r="B26" s="51" t="s">
        <v>133</v>
      </c>
      <c r="C26" s="51">
        <v>13442.165999999999</v>
      </c>
      <c r="D26" s="51">
        <v>222.21</v>
      </c>
      <c r="E26" s="51">
        <v>13219.956</v>
      </c>
      <c r="F26" s="51">
        <v>13294.42</v>
      </c>
      <c r="G26" s="51">
        <v>100.56</v>
      </c>
      <c r="H26" s="51">
        <v>2.29</v>
      </c>
      <c r="I26" s="51">
        <v>0.02</v>
      </c>
      <c r="J26" s="51">
        <v>2.37</v>
      </c>
      <c r="K26" s="51">
        <v>0.02</v>
      </c>
      <c r="L26" s="51">
        <v>0</v>
      </c>
      <c r="M26" s="51">
        <v>0</v>
      </c>
      <c r="N26" s="51">
        <v>13299.08</v>
      </c>
      <c r="O26" s="51">
        <v>100.6</v>
      </c>
    </row>
    <row r="27" spans="1:256" s="50" customFormat="1" ht="15" customHeight="1">
      <c r="A27" s="49" t="s">
        <v>745</v>
      </c>
      <c r="B27" s="49" t="s">
        <v>134</v>
      </c>
      <c r="C27" s="49">
        <v>1378.13</v>
      </c>
      <c r="D27" s="49">
        <v>8.2200000000000006</v>
      </c>
      <c r="E27" s="49">
        <v>1369.91</v>
      </c>
      <c r="F27" s="49">
        <v>1350.914</v>
      </c>
      <c r="G27" s="49">
        <v>98.61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1350.914</v>
      </c>
      <c r="O27" s="49">
        <v>98.61</v>
      </c>
    </row>
    <row r="28" spans="1:256" s="52" customFormat="1" ht="15" customHeight="1">
      <c r="A28" s="51" t="s">
        <v>746</v>
      </c>
      <c r="B28" s="51" t="s">
        <v>135</v>
      </c>
      <c r="C28" s="51">
        <v>526.63199999999995</v>
      </c>
      <c r="D28" s="51">
        <v>39.445999999999998</v>
      </c>
      <c r="E28" s="51">
        <v>487.18599999999998</v>
      </c>
      <c r="F28" s="51">
        <v>480.05799999999999</v>
      </c>
      <c r="G28" s="51">
        <v>98.54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480.05799999999999</v>
      </c>
      <c r="O28" s="51">
        <v>98.54</v>
      </c>
    </row>
    <row r="29" spans="1:256" s="50" customFormat="1" ht="15" customHeight="1">
      <c r="A29" s="49" t="s">
        <v>747</v>
      </c>
      <c r="B29" s="49" t="s">
        <v>136</v>
      </c>
      <c r="C29" s="49">
        <v>4574.4160000000002</v>
      </c>
      <c r="D29" s="49">
        <v>383.12599999999998</v>
      </c>
      <c r="E29" s="49">
        <v>4191.29</v>
      </c>
      <c r="F29" s="49">
        <v>4206.1139999999996</v>
      </c>
      <c r="G29" s="49">
        <v>100.35</v>
      </c>
      <c r="H29" s="49">
        <v>4.3099999999999996</v>
      </c>
      <c r="I29" s="49">
        <v>0.1</v>
      </c>
      <c r="J29" s="49">
        <v>2.38</v>
      </c>
      <c r="K29" s="49">
        <v>0.06</v>
      </c>
      <c r="L29" s="49">
        <v>0</v>
      </c>
      <c r="M29" s="49">
        <v>0</v>
      </c>
      <c r="N29" s="49">
        <v>4212.8040000000001</v>
      </c>
      <c r="O29" s="49">
        <v>100.51</v>
      </c>
    </row>
    <row r="30" spans="1:256">
      <c r="N30" s="141">
        <f>SUM(N23:N29)</f>
        <v>91791.826000000015</v>
      </c>
      <c r="O30" s="53" t="s">
        <v>226</v>
      </c>
      <c r="R30" s="57" t="s">
        <v>182</v>
      </c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</row>
    <row r="31" spans="1:256" ht="21">
      <c r="A31" s="59" t="s">
        <v>88</v>
      </c>
      <c r="E31" s="56">
        <f>H25+H15+H5</f>
        <v>53.510000000000005</v>
      </c>
      <c r="F31" s="55">
        <f>J5+J15+J25</f>
        <v>0</v>
      </c>
      <c r="G31" s="55">
        <f>SUM(E31:F31)</f>
        <v>53.510000000000005</v>
      </c>
      <c r="H31" s="55">
        <f>E5+E15+E25</f>
        <v>75822.78</v>
      </c>
      <c r="I31" s="319">
        <f>G31/H31</f>
        <v>7.0572458567201048E-4</v>
      </c>
      <c r="N31" s="143">
        <v>158371409</v>
      </c>
      <c r="O31" s="142">
        <f>N31/N30</f>
        <v>1725.332373276897</v>
      </c>
      <c r="Q31" s="266">
        <v>589046126</v>
      </c>
      <c r="R31" s="267">
        <f>Q31/N30</f>
        <v>6417.1958622982393</v>
      </c>
      <c r="T31" s="271">
        <f>N40+N50+N60</f>
        <v>290354.50900000002</v>
      </c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</row>
    <row r="32" spans="1:256" s="50" customFormat="1" ht="29.25" customHeight="1">
      <c r="A32" s="2257" t="s">
        <v>115</v>
      </c>
      <c r="B32" s="2257" t="s">
        <v>116</v>
      </c>
      <c r="C32" s="2257" t="s">
        <v>117</v>
      </c>
      <c r="D32" s="2257" t="s">
        <v>118</v>
      </c>
      <c r="E32" s="2257" t="s">
        <v>119</v>
      </c>
      <c r="F32" s="2257" t="s">
        <v>120</v>
      </c>
      <c r="G32" s="2257" t="s">
        <v>121</v>
      </c>
      <c r="H32" s="2257" t="s">
        <v>122</v>
      </c>
      <c r="I32" s="2257" t="s">
        <v>123</v>
      </c>
      <c r="J32" s="2257" t="s">
        <v>124</v>
      </c>
      <c r="K32" s="2257" t="s">
        <v>125</v>
      </c>
      <c r="L32" s="2257" t="s">
        <v>126</v>
      </c>
      <c r="M32" s="2257" t="s">
        <v>127</v>
      </c>
      <c r="N32" s="2257" t="s">
        <v>128</v>
      </c>
      <c r="O32" s="2257" t="s">
        <v>129</v>
      </c>
    </row>
    <row r="33" spans="1:256" s="50" customFormat="1" ht="15" customHeight="1">
      <c r="A33" s="2258" t="s">
        <v>741</v>
      </c>
      <c r="B33" s="2259" t="s">
        <v>130</v>
      </c>
      <c r="C33" s="2260">
        <v>26465.505000000001</v>
      </c>
      <c r="D33" s="2260">
        <v>6.43</v>
      </c>
      <c r="E33" s="2261">
        <v>26459.075000000001</v>
      </c>
      <c r="F33" s="2260">
        <v>25935.35</v>
      </c>
      <c r="G33" s="2258">
        <v>98.02</v>
      </c>
      <c r="H33" s="2260">
        <v>0</v>
      </c>
      <c r="I33" s="2258">
        <v>0</v>
      </c>
      <c r="J33" s="2260">
        <v>0</v>
      </c>
      <c r="K33" s="2258">
        <v>0</v>
      </c>
      <c r="L33" s="2260">
        <v>0</v>
      </c>
      <c r="M33" s="2258">
        <v>0</v>
      </c>
      <c r="N33" s="2260">
        <v>25935.35</v>
      </c>
      <c r="O33" s="2258">
        <v>98.02</v>
      </c>
    </row>
    <row r="34" spans="1:256" s="52" customFormat="1" ht="15" customHeight="1">
      <c r="A34" s="2258" t="s">
        <v>742</v>
      </c>
      <c r="B34" s="2259" t="s">
        <v>131</v>
      </c>
      <c r="C34" s="2260">
        <v>26467.64</v>
      </c>
      <c r="D34" s="2260">
        <v>0</v>
      </c>
      <c r="E34" s="2261">
        <v>26467.64</v>
      </c>
      <c r="F34" s="2260">
        <v>26465.74</v>
      </c>
      <c r="G34" s="2258">
        <v>99.99</v>
      </c>
      <c r="H34" s="2260">
        <v>0</v>
      </c>
      <c r="I34" s="2258">
        <v>0</v>
      </c>
      <c r="J34" s="2260">
        <v>0</v>
      </c>
      <c r="K34" s="2258">
        <v>0</v>
      </c>
      <c r="L34" s="2260">
        <v>0</v>
      </c>
      <c r="M34" s="2258">
        <v>0</v>
      </c>
      <c r="N34" s="2260">
        <v>26465.74</v>
      </c>
      <c r="O34" s="2258">
        <v>99.99</v>
      </c>
    </row>
    <row r="35" spans="1:256" s="50" customFormat="1" ht="15" customHeight="1">
      <c r="A35" s="2258" t="s">
        <v>743</v>
      </c>
      <c r="B35" s="2259" t="s">
        <v>132</v>
      </c>
      <c r="C35" s="2260">
        <v>24717.09</v>
      </c>
      <c r="D35" s="2260">
        <v>61.53</v>
      </c>
      <c r="E35" s="2261">
        <v>24655.56</v>
      </c>
      <c r="F35" s="2260">
        <v>24694.04</v>
      </c>
      <c r="G35" s="2258">
        <v>100.16</v>
      </c>
      <c r="H35" s="2260">
        <v>0</v>
      </c>
      <c r="I35" s="2258">
        <v>0</v>
      </c>
      <c r="J35" s="2260">
        <v>0</v>
      </c>
      <c r="K35" s="2258">
        <v>0</v>
      </c>
      <c r="L35" s="2260">
        <v>0</v>
      </c>
      <c r="M35" s="2258">
        <v>0</v>
      </c>
      <c r="N35" s="2260">
        <v>24694.04</v>
      </c>
      <c r="O35" s="2258">
        <v>100.16</v>
      </c>
    </row>
    <row r="36" spans="1:256" s="52" customFormat="1" ht="15" customHeight="1">
      <c r="A36" s="2258" t="s">
        <v>744</v>
      </c>
      <c r="B36" s="2259" t="s">
        <v>133</v>
      </c>
      <c r="C36" s="2260">
        <v>13044.486999999999</v>
      </c>
      <c r="D36" s="2260">
        <v>209.65</v>
      </c>
      <c r="E36" s="2261">
        <v>12834.837</v>
      </c>
      <c r="F36" s="2260">
        <v>12900.39</v>
      </c>
      <c r="G36" s="2258">
        <v>100.51</v>
      </c>
      <c r="H36" s="2260">
        <v>0</v>
      </c>
      <c r="I36" s="2258">
        <v>0</v>
      </c>
      <c r="J36" s="2260">
        <v>4.93</v>
      </c>
      <c r="K36" s="2258">
        <v>0.04</v>
      </c>
      <c r="L36" s="2260">
        <v>0</v>
      </c>
      <c r="M36" s="2258">
        <v>0</v>
      </c>
      <c r="N36" s="2260">
        <v>12905.32</v>
      </c>
      <c r="O36" s="2258">
        <v>100.55</v>
      </c>
    </row>
    <row r="37" spans="1:256" s="50" customFormat="1" ht="15" customHeight="1">
      <c r="A37" s="2258" t="s">
        <v>745</v>
      </c>
      <c r="B37" s="2259" t="s">
        <v>134</v>
      </c>
      <c r="C37" s="2260">
        <v>1986.8</v>
      </c>
      <c r="D37" s="2260">
        <v>0</v>
      </c>
      <c r="E37" s="2261">
        <v>1986.8</v>
      </c>
      <c r="F37" s="2260">
        <v>1957.5889999999999</v>
      </c>
      <c r="G37" s="2258">
        <v>98.53</v>
      </c>
      <c r="H37" s="2260">
        <v>0</v>
      </c>
      <c r="I37" s="2258">
        <v>0</v>
      </c>
      <c r="J37" s="2260">
        <v>0</v>
      </c>
      <c r="K37" s="2258">
        <v>0</v>
      </c>
      <c r="L37" s="2260">
        <v>0</v>
      </c>
      <c r="M37" s="2258">
        <v>0</v>
      </c>
      <c r="N37" s="2260">
        <v>1957.5889999999999</v>
      </c>
      <c r="O37" s="2258">
        <v>98.53</v>
      </c>
    </row>
    <row r="38" spans="1:256" s="52" customFormat="1" ht="15" customHeight="1">
      <c r="A38" s="2258" t="s">
        <v>746</v>
      </c>
      <c r="B38" s="2259" t="s">
        <v>135</v>
      </c>
      <c r="C38" s="2260">
        <v>327.435</v>
      </c>
      <c r="D38" s="2260">
        <v>7.9550000000000001</v>
      </c>
      <c r="E38" s="2261">
        <v>319.48</v>
      </c>
      <c r="F38" s="2260">
        <v>311.38600000000002</v>
      </c>
      <c r="G38" s="2258">
        <v>97.47</v>
      </c>
      <c r="H38" s="2260">
        <v>0</v>
      </c>
      <c r="I38" s="2258">
        <v>0</v>
      </c>
      <c r="J38" s="2260">
        <v>0</v>
      </c>
      <c r="K38" s="2258">
        <v>0</v>
      </c>
      <c r="L38" s="2260">
        <v>0</v>
      </c>
      <c r="M38" s="2258">
        <v>0</v>
      </c>
      <c r="N38" s="2260">
        <v>311.38600000000002</v>
      </c>
      <c r="O38" s="2258">
        <v>97.47</v>
      </c>
    </row>
    <row r="39" spans="1:256" s="50" customFormat="1" ht="15" customHeight="1">
      <c r="A39" s="2258" t="s">
        <v>747</v>
      </c>
      <c r="B39" s="2259" t="s">
        <v>136</v>
      </c>
      <c r="C39" s="2260">
        <v>4888.5870000000004</v>
      </c>
      <c r="D39" s="2260">
        <v>361.738</v>
      </c>
      <c r="E39" s="2261">
        <v>4526.8490000000002</v>
      </c>
      <c r="F39" s="2260">
        <v>4553.6120000000001</v>
      </c>
      <c r="G39" s="2258">
        <v>100.59</v>
      </c>
      <c r="H39" s="2260">
        <v>0</v>
      </c>
      <c r="I39" s="2258">
        <v>0</v>
      </c>
      <c r="J39" s="2260">
        <v>0</v>
      </c>
      <c r="K39" s="2258">
        <v>0</v>
      </c>
      <c r="L39" s="2260">
        <v>0</v>
      </c>
      <c r="M39" s="2258">
        <v>0</v>
      </c>
      <c r="N39" s="2260">
        <v>4553.6120000000001</v>
      </c>
      <c r="O39" s="2258">
        <v>100.59</v>
      </c>
    </row>
    <row r="40" spans="1:256">
      <c r="A40" s="2262"/>
      <c r="B40" s="2263"/>
      <c r="C40" s="2264"/>
      <c r="D40" s="2264"/>
      <c r="E40" s="2265"/>
      <c r="F40" s="2264"/>
      <c r="G40" s="2262"/>
      <c r="H40" s="2264"/>
      <c r="I40" s="2262"/>
      <c r="J40" s="2264"/>
      <c r="K40" s="2262"/>
      <c r="L40" s="2264"/>
      <c r="M40" s="2262"/>
      <c r="N40" s="2266">
        <f>SUM(N33:N39)</f>
        <v>96823.037000000011</v>
      </c>
      <c r="O40" s="2262" t="s">
        <v>226</v>
      </c>
      <c r="R40" s="57" t="s">
        <v>227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</row>
    <row r="41" spans="1:256" ht="21">
      <c r="A41" s="59" t="s">
        <v>1776</v>
      </c>
      <c r="B41" s="2263"/>
      <c r="C41" s="2264"/>
      <c r="D41" s="2264"/>
      <c r="E41" s="2265"/>
      <c r="F41" s="2264"/>
      <c r="G41" s="2262"/>
      <c r="H41" s="2264"/>
      <c r="I41" s="2262"/>
      <c r="J41" s="2264"/>
      <c r="K41" s="2262"/>
      <c r="L41" s="2264"/>
      <c r="M41" s="2262"/>
      <c r="N41" s="2267">
        <v>359343836</v>
      </c>
      <c r="O41" s="2268">
        <f>N41/N40</f>
        <v>3711.3464639618769</v>
      </c>
      <c r="Q41" s="266">
        <v>587000000</v>
      </c>
      <c r="R41" s="267">
        <f>Q41/N40</f>
        <v>6062.6067740469653</v>
      </c>
      <c r="T41" s="103">
        <f>T38/N40*1000</f>
        <v>0</v>
      </c>
      <c r="U41" s="103">
        <f>U38/N40*1000</f>
        <v>0</v>
      </c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</row>
    <row r="42" spans="1:256" s="50" customFormat="1" ht="29.25" customHeight="1">
      <c r="A42" s="1322" t="s">
        <v>115</v>
      </c>
      <c r="B42" s="1322" t="s">
        <v>116</v>
      </c>
      <c r="C42" s="1322" t="s">
        <v>117</v>
      </c>
      <c r="D42" s="1322" t="s">
        <v>118</v>
      </c>
      <c r="E42" s="1322" t="s">
        <v>119</v>
      </c>
      <c r="F42" s="1322" t="s">
        <v>120</v>
      </c>
      <c r="G42" s="1322" t="s">
        <v>121</v>
      </c>
      <c r="H42" s="1322" t="s">
        <v>122</v>
      </c>
      <c r="I42" s="1322" t="s">
        <v>123</v>
      </c>
      <c r="J42" s="1322" t="s">
        <v>124</v>
      </c>
      <c r="K42" s="1322" t="s">
        <v>125</v>
      </c>
      <c r="L42" s="1322" t="s">
        <v>126</v>
      </c>
      <c r="M42" s="1322" t="s">
        <v>127</v>
      </c>
      <c r="N42" s="1322" t="s">
        <v>128</v>
      </c>
      <c r="O42" s="1322" t="s">
        <v>129</v>
      </c>
    </row>
    <row r="43" spans="1:256" s="50" customFormat="1" ht="15" customHeight="1">
      <c r="A43" s="1323" t="s">
        <v>741</v>
      </c>
      <c r="B43" s="1323" t="s">
        <v>130</v>
      </c>
      <c r="C43" s="1323">
        <v>26022.55</v>
      </c>
      <c r="D43" s="1323">
        <v>5.34</v>
      </c>
      <c r="E43" s="1323">
        <v>26017.21</v>
      </c>
      <c r="F43" s="1323">
        <v>25439.66</v>
      </c>
      <c r="G43" s="1323">
        <v>97.78</v>
      </c>
      <c r="H43" s="1323">
        <v>0</v>
      </c>
      <c r="I43" s="1323">
        <v>0</v>
      </c>
      <c r="J43" s="1323">
        <v>0</v>
      </c>
      <c r="K43" s="1323">
        <v>0</v>
      </c>
      <c r="L43" s="1323">
        <v>0</v>
      </c>
      <c r="M43" s="1323">
        <v>0</v>
      </c>
      <c r="N43" s="1323">
        <v>25439.66</v>
      </c>
      <c r="O43" s="1323">
        <v>97.78</v>
      </c>
    </row>
    <row r="44" spans="1:256" s="52" customFormat="1" ht="15" customHeight="1">
      <c r="A44" s="1324" t="s">
        <v>742</v>
      </c>
      <c r="B44" s="1324" t="s">
        <v>131</v>
      </c>
      <c r="C44" s="1324">
        <v>24560.01</v>
      </c>
      <c r="D44" s="1324">
        <v>0.53</v>
      </c>
      <c r="E44" s="1324">
        <v>24559.48</v>
      </c>
      <c r="F44" s="1324">
        <v>24555.22</v>
      </c>
      <c r="G44" s="1324">
        <v>99.98</v>
      </c>
      <c r="H44" s="1324">
        <v>0</v>
      </c>
      <c r="I44" s="1324">
        <v>0</v>
      </c>
      <c r="J44" s="1324">
        <v>0</v>
      </c>
      <c r="K44" s="1324">
        <v>0</v>
      </c>
      <c r="L44" s="1324">
        <v>0</v>
      </c>
      <c r="M44" s="1324">
        <v>0</v>
      </c>
      <c r="N44" s="1324">
        <v>24555.22</v>
      </c>
      <c r="O44" s="1324">
        <v>99.98</v>
      </c>
    </row>
    <row r="45" spans="1:256" s="50" customFormat="1" ht="15" customHeight="1">
      <c r="A45" s="1323" t="s">
        <v>743</v>
      </c>
      <c r="B45" s="1323" t="s">
        <v>132</v>
      </c>
      <c r="C45" s="1323">
        <v>22822.639999999999</v>
      </c>
      <c r="D45" s="1323">
        <v>143.52000000000001</v>
      </c>
      <c r="E45" s="1323">
        <v>22679.119999999999</v>
      </c>
      <c r="F45" s="1323">
        <v>22784.84</v>
      </c>
      <c r="G45" s="1323">
        <v>100.47</v>
      </c>
      <c r="H45" s="1323">
        <v>26.65</v>
      </c>
      <c r="I45" s="1323">
        <v>0.12</v>
      </c>
      <c r="J45" s="1323">
        <v>0</v>
      </c>
      <c r="K45" s="1323">
        <v>0</v>
      </c>
      <c r="L45" s="1323">
        <v>0</v>
      </c>
      <c r="M45" s="1323">
        <v>0</v>
      </c>
      <c r="N45" s="1323">
        <v>22811.49</v>
      </c>
      <c r="O45" s="1323">
        <v>100.58</v>
      </c>
    </row>
    <row r="46" spans="1:256" s="52" customFormat="1" ht="15" customHeight="1">
      <c r="A46" s="1324" t="s">
        <v>744</v>
      </c>
      <c r="B46" s="1324" t="s">
        <v>133</v>
      </c>
      <c r="C46" s="1324">
        <v>12931.013000000001</v>
      </c>
      <c r="D46" s="1324">
        <v>361.846</v>
      </c>
      <c r="E46" s="1324">
        <v>12569.166999999999</v>
      </c>
      <c r="F46" s="1324">
        <v>12634.428</v>
      </c>
      <c r="G46" s="1324">
        <v>100.52</v>
      </c>
      <c r="H46" s="1324">
        <v>0</v>
      </c>
      <c r="I46" s="1324">
        <v>0</v>
      </c>
      <c r="J46" s="1324">
        <v>4.53</v>
      </c>
      <c r="K46" s="1324">
        <v>0.04</v>
      </c>
      <c r="L46" s="1324">
        <v>0</v>
      </c>
      <c r="M46" s="1324">
        <v>0</v>
      </c>
      <c r="N46" s="1324">
        <v>12638.958000000001</v>
      </c>
      <c r="O46" s="1324">
        <v>100.56</v>
      </c>
    </row>
    <row r="47" spans="1:256" s="50" customFormat="1" ht="15" customHeight="1">
      <c r="A47" s="1323" t="s">
        <v>745</v>
      </c>
      <c r="B47" s="1323" t="s">
        <v>134</v>
      </c>
      <c r="C47" s="1323">
        <v>1592.6759999999999</v>
      </c>
      <c r="D47" s="1323">
        <v>3.68</v>
      </c>
      <c r="E47" s="1323">
        <v>1588.9960000000001</v>
      </c>
      <c r="F47" s="1323">
        <v>1570.998</v>
      </c>
      <c r="G47" s="1323">
        <v>98.87</v>
      </c>
      <c r="H47" s="1323">
        <v>0</v>
      </c>
      <c r="I47" s="1323">
        <v>0</v>
      </c>
      <c r="J47" s="1323">
        <v>0</v>
      </c>
      <c r="K47" s="1323">
        <v>0</v>
      </c>
      <c r="L47" s="1323">
        <v>0</v>
      </c>
      <c r="M47" s="1323">
        <v>0</v>
      </c>
      <c r="N47" s="1323">
        <v>1570.998</v>
      </c>
      <c r="O47" s="1323">
        <v>98.87</v>
      </c>
    </row>
    <row r="48" spans="1:256" s="52" customFormat="1" ht="15" customHeight="1">
      <c r="A48" s="1324" t="s">
        <v>746</v>
      </c>
      <c r="B48" s="1324" t="s">
        <v>135</v>
      </c>
      <c r="C48" s="1324">
        <v>408.65800000000002</v>
      </c>
      <c r="D48" s="1324">
        <v>1.905</v>
      </c>
      <c r="E48" s="1324">
        <v>406.75299999999999</v>
      </c>
      <c r="F48" s="1324">
        <v>399.81700000000001</v>
      </c>
      <c r="G48" s="1324">
        <v>98.29</v>
      </c>
      <c r="H48" s="1324">
        <v>0</v>
      </c>
      <c r="I48" s="1324">
        <v>0</v>
      </c>
      <c r="J48" s="1324">
        <v>0</v>
      </c>
      <c r="K48" s="1324">
        <v>0</v>
      </c>
      <c r="L48" s="1324">
        <v>0</v>
      </c>
      <c r="M48" s="1324">
        <v>0</v>
      </c>
      <c r="N48" s="1324">
        <v>399.81700000000001</v>
      </c>
      <c r="O48" s="1324">
        <v>98.29</v>
      </c>
    </row>
    <row r="49" spans="1:256" s="50" customFormat="1" ht="15" customHeight="1">
      <c r="A49" s="1323" t="s">
        <v>747</v>
      </c>
      <c r="B49" s="1323" t="s">
        <v>136</v>
      </c>
      <c r="C49" s="1323">
        <v>4445.46</v>
      </c>
      <c r="D49" s="1323">
        <v>440.49799999999999</v>
      </c>
      <c r="E49" s="1323">
        <v>4004.962</v>
      </c>
      <c r="F49" s="1323">
        <v>4025.84</v>
      </c>
      <c r="G49" s="1323">
        <v>100.52</v>
      </c>
      <c r="H49" s="1323">
        <v>0</v>
      </c>
      <c r="I49" s="1323">
        <v>0</v>
      </c>
      <c r="J49" s="1323">
        <v>4.9000000000000004</v>
      </c>
      <c r="K49" s="1323">
        <v>0.12</v>
      </c>
      <c r="L49" s="1323">
        <v>0</v>
      </c>
      <c r="M49" s="1323">
        <v>0</v>
      </c>
      <c r="N49" s="1323">
        <v>4030.74</v>
      </c>
      <c r="O49" s="1323">
        <v>100.64</v>
      </c>
    </row>
    <row r="50" spans="1:256">
      <c r="N50" s="141">
        <f>SUM(N43:N49)</f>
        <v>91446.883000000016</v>
      </c>
      <c r="O50" s="53" t="s">
        <v>226</v>
      </c>
      <c r="R50" s="57" t="s">
        <v>227</v>
      </c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</row>
    <row r="51" spans="1:256" ht="21">
      <c r="A51" s="59" t="s">
        <v>90</v>
      </c>
      <c r="M51" s="59" t="s">
        <v>89</v>
      </c>
      <c r="N51" s="143">
        <v>514814011</v>
      </c>
      <c r="O51" s="142">
        <f>N51/N50</f>
        <v>5629.6507230322977</v>
      </c>
      <c r="Q51" s="266">
        <v>468542559</v>
      </c>
      <c r="R51" s="267">
        <f>Q51/N50</f>
        <v>5123.6580584162712</v>
      </c>
      <c r="S51" s="58"/>
      <c r="T51" s="272">
        <v>4748</v>
      </c>
      <c r="U51" s="276">
        <f>T51-P56</f>
        <v>4748</v>
      </c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</row>
    <row r="52" spans="1:256" s="50" customFormat="1" ht="29.25" customHeight="1">
      <c r="A52" s="50" t="s">
        <v>115</v>
      </c>
      <c r="B52" s="50" t="s">
        <v>116</v>
      </c>
      <c r="C52" s="50" t="s">
        <v>117</v>
      </c>
      <c r="D52" s="50" t="s">
        <v>118</v>
      </c>
      <c r="E52" s="50" t="s">
        <v>119</v>
      </c>
      <c r="F52" s="50" t="s">
        <v>120</v>
      </c>
      <c r="G52" s="50" t="s">
        <v>121</v>
      </c>
      <c r="H52" s="50" t="s">
        <v>122</v>
      </c>
      <c r="I52" s="50" t="s">
        <v>123</v>
      </c>
      <c r="J52" s="50" t="s">
        <v>124</v>
      </c>
      <c r="K52" s="50" t="s">
        <v>125</v>
      </c>
      <c r="L52" s="50" t="s">
        <v>126</v>
      </c>
      <c r="M52" s="50" t="s">
        <v>127</v>
      </c>
      <c r="N52" s="50" t="s">
        <v>128</v>
      </c>
      <c r="O52" s="50" t="s">
        <v>129</v>
      </c>
    </row>
    <row r="53" spans="1:256" s="50" customFormat="1" ht="15" customHeight="1">
      <c r="A53" s="49" t="s">
        <v>741</v>
      </c>
      <c r="B53" s="49" t="s">
        <v>130</v>
      </c>
      <c r="C53" s="49">
        <v>30125.472000000002</v>
      </c>
      <c r="D53" s="49">
        <v>1.0900000000000001</v>
      </c>
      <c r="E53" s="49">
        <v>30124.382000000001</v>
      </c>
      <c r="F53" s="49">
        <v>29493.7</v>
      </c>
      <c r="G53" s="49">
        <v>97.91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29493.7</v>
      </c>
      <c r="O53" s="49">
        <v>97.91</v>
      </c>
    </row>
    <row r="54" spans="1:256" s="52" customFormat="1" ht="15" customHeight="1">
      <c r="A54" s="51" t="s">
        <v>742</v>
      </c>
      <c r="B54" s="51" t="s">
        <v>131</v>
      </c>
      <c r="C54" s="51">
        <v>26321.43</v>
      </c>
      <c r="D54" s="51">
        <v>0</v>
      </c>
      <c r="E54" s="51">
        <v>26321.43</v>
      </c>
      <c r="F54" s="51">
        <v>26319.439999999999</v>
      </c>
      <c r="G54" s="51">
        <v>99.99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26319.439999999999</v>
      </c>
      <c r="O54" s="51">
        <v>99.99</v>
      </c>
    </row>
    <row r="55" spans="1:256" s="50" customFormat="1" ht="15" customHeight="1">
      <c r="A55" s="49" t="s">
        <v>743</v>
      </c>
      <c r="B55" s="49" t="s">
        <v>132</v>
      </c>
      <c r="C55" s="49">
        <v>24915.05</v>
      </c>
      <c r="D55" s="49">
        <v>0</v>
      </c>
      <c r="E55" s="49">
        <v>24915.05</v>
      </c>
      <c r="F55" s="49">
        <v>24949.61</v>
      </c>
      <c r="G55" s="49">
        <v>100.14</v>
      </c>
      <c r="H55" s="49">
        <v>40.56</v>
      </c>
      <c r="I55" s="49">
        <v>0.05</v>
      </c>
      <c r="J55" s="49">
        <v>0</v>
      </c>
      <c r="K55" s="49">
        <v>0</v>
      </c>
      <c r="L55" s="49">
        <v>0</v>
      </c>
      <c r="M55" s="49">
        <v>0.12</v>
      </c>
      <c r="N55" s="49">
        <v>24990.17</v>
      </c>
      <c r="O55" s="49">
        <v>100.3</v>
      </c>
    </row>
    <row r="56" spans="1:256" s="52" customFormat="1" ht="15" customHeight="1">
      <c r="A56" s="51" t="s">
        <v>744</v>
      </c>
      <c r="B56" s="51" t="s">
        <v>133</v>
      </c>
      <c r="C56" s="51">
        <v>13936.567999999999</v>
      </c>
      <c r="D56" s="51">
        <v>418.44099999999997</v>
      </c>
      <c r="E56" s="51">
        <v>13518.127</v>
      </c>
      <c r="F56" s="51">
        <v>13588.68</v>
      </c>
      <c r="G56" s="51">
        <v>100.52</v>
      </c>
      <c r="H56" s="51">
        <v>0</v>
      </c>
      <c r="I56" s="51">
        <v>0</v>
      </c>
      <c r="J56" s="51">
        <v>3.47</v>
      </c>
      <c r="K56" s="51">
        <v>0.03</v>
      </c>
      <c r="L56" s="51">
        <v>0</v>
      </c>
      <c r="M56" s="51">
        <v>0</v>
      </c>
      <c r="N56" s="51">
        <v>13592.15</v>
      </c>
      <c r="O56" s="51">
        <v>100.55</v>
      </c>
    </row>
    <row r="57" spans="1:256" s="50" customFormat="1" ht="15" customHeight="1">
      <c r="A57" s="49" t="s">
        <v>745</v>
      </c>
      <c r="B57" s="49" t="s">
        <v>134</v>
      </c>
      <c r="C57" s="49">
        <v>2119.61</v>
      </c>
      <c r="D57" s="49">
        <v>3.82</v>
      </c>
      <c r="E57" s="49">
        <v>2115.79</v>
      </c>
      <c r="F57" s="49">
        <v>2096.136</v>
      </c>
      <c r="G57" s="49">
        <v>99.07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2096.136</v>
      </c>
      <c r="O57" s="49">
        <v>99.07</v>
      </c>
    </row>
    <row r="58" spans="1:256" s="52" customFormat="1" ht="15" customHeight="1">
      <c r="A58" s="51" t="s">
        <v>746</v>
      </c>
      <c r="B58" s="51" t="s">
        <v>135</v>
      </c>
      <c r="C58" s="51">
        <v>346.02300000000002</v>
      </c>
      <c r="D58" s="51">
        <v>1.347</v>
      </c>
      <c r="E58" s="51">
        <v>344.67599999999999</v>
      </c>
      <c r="F58" s="51">
        <v>338.03300000000002</v>
      </c>
      <c r="G58" s="51">
        <v>98.07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338.03300000000002</v>
      </c>
      <c r="O58" s="51">
        <v>98.07</v>
      </c>
    </row>
    <row r="59" spans="1:256" s="50" customFormat="1" ht="15" customHeight="1">
      <c r="A59" s="49" t="s">
        <v>747</v>
      </c>
      <c r="B59" s="49" t="s">
        <v>136</v>
      </c>
      <c r="C59" s="49">
        <v>5683.6409999999996</v>
      </c>
      <c r="D59" s="49">
        <v>464.42200000000003</v>
      </c>
      <c r="E59" s="49">
        <v>5219.2190000000001</v>
      </c>
      <c r="F59" s="49">
        <v>5254.96</v>
      </c>
      <c r="G59" s="49">
        <v>100.68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5254.96</v>
      </c>
      <c r="O59" s="49">
        <v>100.68</v>
      </c>
    </row>
    <row r="60" spans="1:256">
      <c r="N60" s="141">
        <f>SUM(N53:N59)</f>
        <v>102084.58899999999</v>
      </c>
      <c r="O60" s="53" t="s">
        <v>226</v>
      </c>
      <c r="R60" s="57" t="s">
        <v>227</v>
      </c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</row>
    <row r="61" spans="1:256" ht="21">
      <c r="A61" s="59" t="s">
        <v>91</v>
      </c>
      <c r="M61" s="59" t="s">
        <v>90</v>
      </c>
      <c r="N61" s="143">
        <v>239721435</v>
      </c>
      <c r="O61" s="142">
        <f>N61/N60</f>
        <v>2348.2627235732912</v>
      </c>
      <c r="Q61" s="266">
        <v>591152945</v>
      </c>
      <c r="R61" s="267">
        <f>Q61/N60</f>
        <v>5790.8147624515595</v>
      </c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</row>
    <row r="62" spans="1:256" s="50" customFormat="1" ht="29.25" customHeight="1">
      <c r="A62" s="50" t="s">
        <v>115</v>
      </c>
      <c r="B62" s="50" t="s">
        <v>116</v>
      </c>
      <c r="C62" s="50" t="s">
        <v>117</v>
      </c>
      <c r="D62" s="50" t="s">
        <v>118</v>
      </c>
      <c r="E62" s="50" t="s">
        <v>119</v>
      </c>
      <c r="F62" s="50" t="s">
        <v>120</v>
      </c>
      <c r="G62" s="50" t="s">
        <v>121</v>
      </c>
      <c r="H62" s="50" t="s">
        <v>122</v>
      </c>
      <c r="I62" s="50" t="s">
        <v>123</v>
      </c>
      <c r="J62" s="50" t="s">
        <v>124</v>
      </c>
      <c r="K62" s="50" t="s">
        <v>125</v>
      </c>
      <c r="L62" s="50" t="s">
        <v>126</v>
      </c>
      <c r="M62" s="50" t="s">
        <v>127</v>
      </c>
      <c r="N62" s="50" t="s">
        <v>128</v>
      </c>
      <c r="O62" s="50" t="s">
        <v>129</v>
      </c>
    </row>
    <row r="63" spans="1:256" s="50" customFormat="1" ht="15" customHeight="1">
      <c r="A63" s="49" t="s">
        <v>741</v>
      </c>
      <c r="B63" s="49" t="s">
        <v>130</v>
      </c>
      <c r="C63" s="49">
        <v>33136.561000000002</v>
      </c>
      <c r="D63" s="49">
        <v>1.94</v>
      </c>
      <c r="E63" s="49">
        <v>33134.620999999999</v>
      </c>
      <c r="F63" s="49">
        <v>32429.67</v>
      </c>
      <c r="G63" s="49">
        <v>97.87</v>
      </c>
      <c r="H63" s="49">
        <v>0</v>
      </c>
      <c r="I63" s="49">
        <v>0</v>
      </c>
      <c r="J63" s="49">
        <v>3.59</v>
      </c>
      <c r="K63" s="49">
        <v>0.01</v>
      </c>
      <c r="L63" s="49">
        <v>0</v>
      </c>
      <c r="M63" s="49">
        <v>0</v>
      </c>
      <c r="N63" s="49">
        <v>32433.26</v>
      </c>
      <c r="O63" s="49">
        <v>97.88</v>
      </c>
    </row>
    <row r="64" spans="1:256" s="52" customFormat="1" ht="15" customHeight="1">
      <c r="A64" s="51" t="s">
        <v>742</v>
      </c>
      <c r="B64" s="51" t="s">
        <v>131</v>
      </c>
      <c r="C64" s="51">
        <v>31026.39</v>
      </c>
      <c r="D64" s="51">
        <v>0.3</v>
      </c>
      <c r="E64" s="51">
        <v>31026.09</v>
      </c>
      <c r="F64" s="51">
        <v>31018.73</v>
      </c>
      <c r="G64" s="51">
        <v>99.98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31018.73</v>
      </c>
      <c r="O64" s="51">
        <v>99.98</v>
      </c>
    </row>
    <row r="65" spans="1:256" s="50" customFormat="1" ht="15" customHeight="1">
      <c r="A65" s="49" t="s">
        <v>743</v>
      </c>
      <c r="B65" s="49" t="s">
        <v>132</v>
      </c>
      <c r="C65" s="49">
        <v>30747.01</v>
      </c>
      <c r="D65" s="49">
        <v>12.91</v>
      </c>
      <c r="E65" s="49">
        <v>30734.1</v>
      </c>
      <c r="F65" s="49">
        <v>30811.07</v>
      </c>
      <c r="G65" s="49">
        <v>100.25</v>
      </c>
      <c r="H65" s="49">
        <v>37.85</v>
      </c>
      <c r="I65" s="49">
        <v>0.12</v>
      </c>
      <c r="J65" s="49">
        <v>0</v>
      </c>
      <c r="K65" s="49">
        <v>0</v>
      </c>
      <c r="L65" s="49">
        <v>0</v>
      </c>
      <c r="M65" s="49">
        <v>0</v>
      </c>
      <c r="N65" s="49">
        <v>30848.92</v>
      </c>
      <c r="O65" s="49">
        <v>100.37</v>
      </c>
    </row>
    <row r="66" spans="1:256" s="52" customFormat="1" ht="15" customHeight="1">
      <c r="A66" s="51" t="s">
        <v>744</v>
      </c>
      <c r="B66" s="51" t="s">
        <v>133</v>
      </c>
      <c r="C66" s="51">
        <v>15530.627</v>
      </c>
      <c r="D66" s="51">
        <v>525.34500000000003</v>
      </c>
      <c r="E66" s="51">
        <v>15005.281999999999</v>
      </c>
      <c r="F66" s="51">
        <v>15053.89</v>
      </c>
      <c r="G66" s="51">
        <v>100.32</v>
      </c>
      <c r="H66" s="51">
        <v>0</v>
      </c>
      <c r="I66" s="51">
        <v>0</v>
      </c>
      <c r="J66" s="51">
        <v>4.5999999999999996</v>
      </c>
      <c r="K66" s="51">
        <v>0.03</v>
      </c>
      <c r="L66" s="51">
        <v>0</v>
      </c>
      <c r="M66" s="51">
        <v>0</v>
      </c>
      <c r="N66" s="51">
        <v>15058.49</v>
      </c>
      <c r="O66" s="51">
        <v>100.35</v>
      </c>
    </row>
    <row r="67" spans="1:256" s="50" customFormat="1" ht="15" customHeight="1">
      <c r="A67" s="49" t="s">
        <v>745</v>
      </c>
      <c r="B67" s="49" t="s">
        <v>134</v>
      </c>
      <c r="C67" s="49">
        <v>1406.626</v>
      </c>
      <c r="D67" s="49">
        <v>0.42</v>
      </c>
      <c r="E67" s="49">
        <v>1406.2059999999999</v>
      </c>
      <c r="F67" s="49">
        <v>1391.4</v>
      </c>
      <c r="G67" s="49">
        <v>98.95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1391.4</v>
      </c>
      <c r="O67" s="49">
        <v>98.95</v>
      </c>
    </row>
    <row r="68" spans="1:256" s="52" customFormat="1" ht="15" customHeight="1">
      <c r="A68" s="51" t="s">
        <v>746</v>
      </c>
      <c r="B68" s="51" t="s">
        <v>135</v>
      </c>
      <c r="C68" s="51">
        <v>338.58699999999999</v>
      </c>
      <c r="D68" s="51">
        <v>41.06</v>
      </c>
      <c r="E68" s="51">
        <v>297.52699999999999</v>
      </c>
      <c r="F68" s="51">
        <v>297.24200000000002</v>
      </c>
      <c r="G68" s="51">
        <v>99.9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297.24200000000002</v>
      </c>
      <c r="O68" s="51">
        <v>99.9</v>
      </c>
    </row>
    <row r="69" spans="1:256" s="50" customFormat="1" ht="15" customHeight="1">
      <c r="A69" s="49" t="s">
        <v>747</v>
      </c>
      <c r="B69" s="49" t="s">
        <v>136</v>
      </c>
      <c r="C69" s="49">
        <v>5527.35</v>
      </c>
      <c r="D69" s="49">
        <v>581.452</v>
      </c>
      <c r="E69" s="49">
        <v>4945.8980000000001</v>
      </c>
      <c r="F69" s="49">
        <v>4971.79</v>
      </c>
      <c r="G69" s="49">
        <v>100.52</v>
      </c>
      <c r="H69" s="49">
        <v>1.97</v>
      </c>
      <c r="I69" s="49">
        <v>0.04</v>
      </c>
      <c r="J69" s="49">
        <v>0</v>
      </c>
      <c r="K69" s="49">
        <v>0</v>
      </c>
      <c r="L69" s="49">
        <v>0</v>
      </c>
      <c r="M69" s="49">
        <v>0</v>
      </c>
      <c r="N69" s="49">
        <v>4973.76</v>
      </c>
      <c r="O69" s="49">
        <v>100.56</v>
      </c>
    </row>
    <row r="70" spans="1:256">
      <c r="N70" s="141">
        <f>SUM(N63:N69)</f>
        <v>116021.802</v>
      </c>
      <c r="O70" s="53" t="s">
        <v>226</v>
      </c>
      <c r="R70" s="57" t="s">
        <v>227</v>
      </c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</row>
    <row r="71" spans="1:256" ht="21">
      <c r="A71" s="59" t="s">
        <v>92</v>
      </c>
      <c r="M71" s="59" t="s">
        <v>91</v>
      </c>
      <c r="N71" s="143">
        <v>670114542</v>
      </c>
      <c r="O71" s="142">
        <f>N71/N70</f>
        <v>5775.7639551228485</v>
      </c>
      <c r="Q71" s="266">
        <v>563524931</v>
      </c>
      <c r="R71" s="267">
        <f>Q71/N70</f>
        <v>4857.060666925342</v>
      </c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</row>
    <row r="72" spans="1:256" s="50" customFormat="1" ht="29.4" customHeight="1">
      <c r="A72" s="50" t="s">
        <v>115</v>
      </c>
      <c r="B72" s="50" t="s">
        <v>116</v>
      </c>
      <c r="C72" s="50" t="s">
        <v>117</v>
      </c>
      <c r="D72" s="50" t="s">
        <v>118</v>
      </c>
      <c r="E72" s="50" t="s">
        <v>119</v>
      </c>
      <c r="F72" s="50" t="s">
        <v>120</v>
      </c>
      <c r="G72" s="50" t="s">
        <v>121</v>
      </c>
      <c r="H72" s="50" t="s">
        <v>122</v>
      </c>
      <c r="I72" s="50" t="s">
        <v>123</v>
      </c>
      <c r="J72" s="50" t="s">
        <v>124</v>
      </c>
      <c r="K72" s="50" t="s">
        <v>125</v>
      </c>
      <c r="L72" s="50" t="s">
        <v>126</v>
      </c>
      <c r="M72" s="50" t="s">
        <v>127</v>
      </c>
      <c r="N72" s="50" t="s">
        <v>128</v>
      </c>
      <c r="O72" s="50" t="s">
        <v>129</v>
      </c>
    </row>
    <row r="73" spans="1:256" s="50" customFormat="1" ht="15" customHeight="1">
      <c r="A73" s="5879" t="s">
        <v>741</v>
      </c>
      <c r="B73" s="5879" t="s">
        <v>130</v>
      </c>
      <c r="C73" s="5879">
        <v>29245.234</v>
      </c>
      <c r="D73" s="5879">
        <v>1</v>
      </c>
      <c r="E73" s="5879">
        <v>29244.234</v>
      </c>
      <c r="F73" s="5879">
        <v>28566.633000000002</v>
      </c>
      <c r="G73" s="5879">
        <v>97.68</v>
      </c>
      <c r="H73" s="5879">
        <v>0</v>
      </c>
      <c r="I73" s="5879">
        <v>0</v>
      </c>
      <c r="J73" s="5879">
        <v>5</v>
      </c>
      <c r="K73" s="5879">
        <v>0.02</v>
      </c>
      <c r="L73" s="5879">
        <v>0</v>
      </c>
      <c r="M73" s="5879">
        <v>0</v>
      </c>
      <c r="N73" s="5879">
        <v>28571.633000000002</v>
      </c>
      <c r="O73" s="5879">
        <v>97.7</v>
      </c>
    </row>
    <row r="74" spans="1:256" s="52" customFormat="1" ht="15" customHeight="1">
      <c r="A74" s="5880" t="s">
        <v>742</v>
      </c>
      <c r="B74" s="5880" t="s">
        <v>131</v>
      </c>
      <c r="C74" s="5880">
        <v>28361.613000000001</v>
      </c>
      <c r="D74" s="5880">
        <v>1.1100000000000001</v>
      </c>
      <c r="E74" s="5880">
        <v>28360.503000000001</v>
      </c>
      <c r="F74" s="5880">
        <v>28360.402999999998</v>
      </c>
      <c r="G74" s="5880">
        <v>100</v>
      </c>
      <c r="H74" s="5880">
        <v>0</v>
      </c>
      <c r="I74" s="5880">
        <v>0</v>
      </c>
      <c r="J74" s="5880">
        <v>0</v>
      </c>
      <c r="K74" s="5880">
        <v>0</v>
      </c>
      <c r="L74" s="5880">
        <v>0</v>
      </c>
      <c r="M74" s="5880">
        <v>0</v>
      </c>
      <c r="N74" s="5880">
        <v>28360.402999999998</v>
      </c>
      <c r="O74" s="5880">
        <v>100</v>
      </c>
    </row>
    <row r="75" spans="1:256" s="50" customFormat="1" ht="15" customHeight="1">
      <c r="A75" s="5879" t="s">
        <v>743</v>
      </c>
      <c r="B75" s="5879" t="s">
        <v>132</v>
      </c>
      <c r="C75" s="5879">
        <v>27752.953000000001</v>
      </c>
      <c r="D75" s="5879">
        <v>101.85</v>
      </c>
      <c r="E75" s="5879">
        <v>27651.102999999999</v>
      </c>
      <c r="F75" s="5879">
        <v>27723.32</v>
      </c>
      <c r="G75" s="5879">
        <v>100.26</v>
      </c>
      <c r="H75" s="5879">
        <v>7.47</v>
      </c>
      <c r="I75" s="5879">
        <v>0.03</v>
      </c>
      <c r="J75" s="5879">
        <v>0</v>
      </c>
      <c r="K75" s="5879">
        <v>0</v>
      </c>
      <c r="L75" s="5879">
        <v>0</v>
      </c>
      <c r="M75" s="5879">
        <v>0</v>
      </c>
      <c r="N75" s="5879">
        <v>27730.79</v>
      </c>
      <c r="O75" s="5879">
        <v>100.29</v>
      </c>
    </row>
    <row r="76" spans="1:256" s="52" customFormat="1" ht="15" customHeight="1">
      <c r="A76" s="5880" t="s">
        <v>744</v>
      </c>
      <c r="B76" s="5880" t="s">
        <v>133</v>
      </c>
      <c r="C76" s="5880">
        <v>12593.991</v>
      </c>
      <c r="D76" s="5880">
        <v>256.512</v>
      </c>
      <c r="E76" s="5880">
        <v>12337.478999999999</v>
      </c>
      <c r="F76" s="5880">
        <v>12410.14</v>
      </c>
      <c r="G76" s="5880">
        <v>100.59</v>
      </c>
      <c r="H76" s="5880">
        <v>2.2999999999999998</v>
      </c>
      <c r="I76" s="5880">
        <v>0.02</v>
      </c>
      <c r="J76" s="5880">
        <v>2.5299999999999998</v>
      </c>
      <c r="K76" s="5880">
        <v>0.02</v>
      </c>
      <c r="L76" s="5880">
        <v>0</v>
      </c>
      <c r="M76" s="5880">
        <v>0</v>
      </c>
      <c r="N76" s="5880">
        <v>12414.97</v>
      </c>
      <c r="O76" s="5880">
        <v>100.63</v>
      </c>
    </row>
    <row r="77" spans="1:256" s="50" customFormat="1" ht="15" customHeight="1">
      <c r="A77" s="5879" t="s">
        <v>745</v>
      </c>
      <c r="B77" s="5879" t="s">
        <v>134</v>
      </c>
      <c r="C77" s="5879">
        <v>1691.9739999999999</v>
      </c>
      <c r="D77" s="5879">
        <v>3.36</v>
      </c>
      <c r="E77" s="5879">
        <v>1688.614</v>
      </c>
      <c r="F77" s="5879">
        <v>1672.1559999999999</v>
      </c>
      <c r="G77" s="5879">
        <v>99.03</v>
      </c>
      <c r="H77" s="5879">
        <v>0</v>
      </c>
      <c r="I77" s="5879">
        <v>0</v>
      </c>
      <c r="J77" s="5879">
        <v>0</v>
      </c>
      <c r="K77" s="5879">
        <v>0</v>
      </c>
      <c r="L77" s="5879">
        <v>0</v>
      </c>
      <c r="M77" s="5879">
        <v>0</v>
      </c>
      <c r="N77" s="5879">
        <v>1672.1559999999999</v>
      </c>
      <c r="O77" s="5879">
        <v>99.03</v>
      </c>
    </row>
    <row r="78" spans="1:256" s="52" customFormat="1" ht="15" customHeight="1">
      <c r="A78" s="5880" t="s">
        <v>746</v>
      </c>
      <c r="B78" s="5880" t="s">
        <v>135</v>
      </c>
      <c r="C78" s="5880">
        <v>162.94800000000001</v>
      </c>
      <c r="D78" s="5880">
        <v>9.98</v>
      </c>
      <c r="E78" s="5880">
        <v>152.96799999999999</v>
      </c>
      <c r="F78" s="5880">
        <v>150.72999999999999</v>
      </c>
      <c r="G78" s="5880">
        <v>98.54</v>
      </c>
      <c r="H78" s="5880">
        <v>0</v>
      </c>
      <c r="I78" s="5880">
        <v>0</v>
      </c>
      <c r="J78" s="5880">
        <v>0</v>
      </c>
      <c r="K78" s="5880">
        <v>0</v>
      </c>
      <c r="L78" s="5880">
        <v>0</v>
      </c>
      <c r="M78" s="5880">
        <v>0</v>
      </c>
      <c r="N78" s="5880">
        <v>150.72999999999999</v>
      </c>
      <c r="O78" s="5880">
        <v>98.54</v>
      </c>
    </row>
    <row r="79" spans="1:256" s="50" customFormat="1" ht="15" customHeight="1">
      <c r="A79" s="5879" t="s">
        <v>747</v>
      </c>
      <c r="B79" s="5879" t="s">
        <v>136</v>
      </c>
      <c r="C79" s="5879">
        <v>5102.0029999999997</v>
      </c>
      <c r="D79" s="5879">
        <v>509.52199999999999</v>
      </c>
      <c r="E79" s="5879">
        <v>4592.4809999999998</v>
      </c>
      <c r="F79" s="5879">
        <v>4609.05</v>
      </c>
      <c r="G79" s="5879">
        <v>100.36</v>
      </c>
      <c r="H79" s="5879">
        <v>6.4</v>
      </c>
      <c r="I79" s="5879">
        <v>0.14000000000000001</v>
      </c>
      <c r="J79" s="5879">
        <v>1.99</v>
      </c>
      <c r="K79" s="5879">
        <v>0.04</v>
      </c>
      <c r="L79" s="5879">
        <v>0</v>
      </c>
      <c r="M79" s="5879">
        <v>0</v>
      </c>
      <c r="N79" s="5879">
        <v>4617.4399999999996</v>
      </c>
      <c r="O79" s="5879">
        <v>100.54</v>
      </c>
    </row>
    <row r="80" spans="1:256">
      <c r="N80" s="141">
        <f>SUM(N73:N79)</f>
        <v>103518.122</v>
      </c>
      <c r="O80" s="53" t="s">
        <v>226</v>
      </c>
      <c r="R80" s="57" t="s">
        <v>182</v>
      </c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</row>
    <row r="81" spans="1:256" ht="21">
      <c r="A81" s="59" t="s">
        <v>93</v>
      </c>
      <c r="M81" s="59" t="s">
        <v>92</v>
      </c>
      <c r="N81" s="143"/>
      <c r="O81" s="142">
        <f>N81/N80</f>
        <v>0</v>
      </c>
      <c r="Q81" s="266"/>
      <c r="R81" s="267">
        <f>Q81/N80</f>
        <v>0</v>
      </c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</row>
    <row r="82" spans="1:256" s="50" customFormat="1" ht="29.25" customHeight="1">
      <c r="A82" s="733" t="s">
        <v>115</v>
      </c>
      <c r="B82" s="733" t="s">
        <v>116</v>
      </c>
      <c r="C82" s="733" t="s">
        <v>117</v>
      </c>
      <c r="D82" s="733" t="s">
        <v>118</v>
      </c>
      <c r="E82" s="733" t="s">
        <v>119</v>
      </c>
      <c r="F82" s="733" t="s">
        <v>120</v>
      </c>
      <c r="G82" s="733" t="s">
        <v>121</v>
      </c>
      <c r="H82" s="733" t="s">
        <v>122</v>
      </c>
      <c r="I82" s="733" t="s">
        <v>123</v>
      </c>
      <c r="J82" s="733" t="s">
        <v>124</v>
      </c>
      <c r="K82" s="733" t="s">
        <v>125</v>
      </c>
      <c r="L82" s="733" t="s">
        <v>126</v>
      </c>
      <c r="M82" s="733" t="s">
        <v>127</v>
      </c>
      <c r="N82" s="733" t="s">
        <v>128</v>
      </c>
      <c r="O82" s="733" t="s">
        <v>129</v>
      </c>
    </row>
    <row r="83" spans="1:256" s="50" customFormat="1" ht="15" customHeight="1">
      <c r="A83" s="734" t="s">
        <v>741</v>
      </c>
      <c r="B83" s="734" t="s">
        <v>130</v>
      </c>
      <c r="C83" s="734">
        <v>30217.431</v>
      </c>
      <c r="D83" s="734">
        <v>2.96</v>
      </c>
      <c r="E83" s="734">
        <v>30214.471000000001</v>
      </c>
      <c r="F83" s="734">
        <v>29580.91</v>
      </c>
      <c r="G83" s="734">
        <v>97.9</v>
      </c>
      <c r="H83" s="734">
        <v>0</v>
      </c>
      <c r="I83" s="734">
        <v>0</v>
      </c>
      <c r="J83" s="734">
        <v>0</v>
      </c>
      <c r="K83" s="734">
        <v>0</v>
      </c>
      <c r="L83" s="734">
        <v>0</v>
      </c>
      <c r="M83" s="734">
        <v>0</v>
      </c>
      <c r="N83" s="734">
        <v>29580.91</v>
      </c>
      <c r="O83" s="734">
        <v>97.9</v>
      </c>
    </row>
    <row r="84" spans="1:256" s="52" customFormat="1" ht="15" customHeight="1">
      <c r="A84" s="735" t="s">
        <v>742</v>
      </c>
      <c r="B84" s="735" t="s">
        <v>131</v>
      </c>
      <c r="C84" s="735">
        <v>26501.919999999998</v>
      </c>
      <c r="D84" s="735">
        <v>0</v>
      </c>
      <c r="E84" s="735">
        <v>26501.919999999998</v>
      </c>
      <c r="F84" s="735">
        <v>26496.3</v>
      </c>
      <c r="G84" s="735">
        <v>99.98</v>
      </c>
      <c r="H84" s="735">
        <v>0</v>
      </c>
      <c r="I84" s="735">
        <v>0</v>
      </c>
      <c r="J84" s="735">
        <v>0</v>
      </c>
      <c r="K84" s="735">
        <v>0</v>
      </c>
      <c r="L84" s="735">
        <v>0</v>
      </c>
      <c r="M84" s="735">
        <v>0</v>
      </c>
      <c r="N84" s="735">
        <v>26496.3</v>
      </c>
      <c r="O84" s="735">
        <v>99.98</v>
      </c>
    </row>
    <row r="85" spans="1:256" s="50" customFormat="1" ht="15" customHeight="1">
      <c r="A85" s="734" t="s">
        <v>743</v>
      </c>
      <c r="B85" s="734" t="s">
        <v>132</v>
      </c>
      <c r="C85" s="734">
        <v>29186.28</v>
      </c>
      <c r="D85" s="734">
        <v>13.98</v>
      </c>
      <c r="E85" s="734">
        <v>29172.3</v>
      </c>
      <c r="F85" s="734">
        <v>29266.38</v>
      </c>
      <c r="G85" s="734">
        <v>100.32</v>
      </c>
      <c r="H85" s="734">
        <v>0</v>
      </c>
      <c r="I85" s="734">
        <v>0</v>
      </c>
      <c r="J85" s="734">
        <v>0</v>
      </c>
      <c r="K85" s="734">
        <v>0</v>
      </c>
      <c r="L85" s="734">
        <v>0</v>
      </c>
      <c r="M85" s="734">
        <v>0</v>
      </c>
      <c r="N85" s="734">
        <v>29266.38</v>
      </c>
      <c r="O85" s="734">
        <v>100.32</v>
      </c>
    </row>
    <row r="86" spans="1:256" s="52" customFormat="1" ht="15" customHeight="1">
      <c r="A86" s="735" t="s">
        <v>744</v>
      </c>
      <c r="B86" s="735" t="s">
        <v>133</v>
      </c>
      <c r="C86" s="735">
        <v>13541.776</v>
      </c>
      <c r="D86" s="735">
        <v>596.62400000000002</v>
      </c>
      <c r="E86" s="735">
        <v>12945.152</v>
      </c>
      <c r="F86" s="735">
        <v>13015.86</v>
      </c>
      <c r="G86" s="735">
        <v>100.55</v>
      </c>
      <c r="H86" s="735">
        <v>0</v>
      </c>
      <c r="I86" s="735">
        <v>0</v>
      </c>
      <c r="J86" s="735">
        <v>0</v>
      </c>
      <c r="K86" s="735">
        <v>0</v>
      </c>
      <c r="L86" s="735">
        <v>0</v>
      </c>
      <c r="M86" s="735">
        <v>0</v>
      </c>
      <c r="N86" s="735">
        <v>13015.86</v>
      </c>
      <c r="O86" s="735">
        <v>100.55</v>
      </c>
    </row>
    <row r="87" spans="1:256" s="50" customFormat="1" ht="15" customHeight="1">
      <c r="A87" s="734" t="s">
        <v>745</v>
      </c>
      <c r="B87" s="734" t="s">
        <v>134</v>
      </c>
      <c r="C87" s="734">
        <v>1848.1389999999999</v>
      </c>
      <c r="D87" s="734">
        <v>0.50700000000000001</v>
      </c>
      <c r="E87" s="734">
        <v>1847.6320000000001</v>
      </c>
      <c r="F87" s="734">
        <v>1802.615</v>
      </c>
      <c r="G87" s="734">
        <v>97.56</v>
      </c>
      <c r="H87" s="734">
        <v>25.544</v>
      </c>
      <c r="I87" s="734">
        <v>1.38</v>
      </c>
      <c r="J87" s="734">
        <v>0</v>
      </c>
      <c r="K87" s="734">
        <v>0</v>
      </c>
      <c r="L87" s="734">
        <v>0</v>
      </c>
      <c r="M87" s="734">
        <v>0</v>
      </c>
      <c r="N87" s="734">
        <v>1828.1590000000001</v>
      </c>
      <c r="O87" s="734">
        <v>98.95</v>
      </c>
    </row>
    <row r="88" spans="1:256" s="52" customFormat="1" ht="15" customHeight="1">
      <c r="A88" s="735" t="s">
        <v>746</v>
      </c>
      <c r="B88" s="735" t="s">
        <v>135</v>
      </c>
      <c r="C88" s="735">
        <v>227.958</v>
      </c>
      <c r="D88" s="735">
        <v>4.3899999999999997</v>
      </c>
      <c r="E88" s="735">
        <v>223.56800000000001</v>
      </c>
      <c r="F88" s="735">
        <v>218.22</v>
      </c>
      <c r="G88" s="735">
        <v>97.61</v>
      </c>
      <c r="H88" s="735">
        <v>0</v>
      </c>
      <c r="I88" s="735">
        <v>0</v>
      </c>
      <c r="J88" s="735">
        <v>0</v>
      </c>
      <c r="K88" s="735">
        <v>0</v>
      </c>
      <c r="L88" s="735">
        <v>0</v>
      </c>
      <c r="M88" s="735">
        <v>0</v>
      </c>
      <c r="N88" s="735">
        <v>218.22</v>
      </c>
      <c r="O88" s="735">
        <v>97.61</v>
      </c>
    </row>
    <row r="89" spans="1:256" s="50" customFormat="1" ht="15" customHeight="1">
      <c r="A89" s="734" t="s">
        <v>747</v>
      </c>
      <c r="B89" s="734" t="s">
        <v>136</v>
      </c>
      <c r="C89" s="734">
        <v>4494.4390000000003</v>
      </c>
      <c r="D89" s="734">
        <v>428.45800000000003</v>
      </c>
      <c r="E89" s="734">
        <v>4065.9810000000002</v>
      </c>
      <c r="F89" s="734">
        <v>4092.3649999999998</v>
      </c>
      <c r="G89" s="734">
        <v>100.65</v>
      </c>
      <c r="H89" s="734">
        <v>3.05</v>
      </c>
      <c r="I89" s="734">
        <v>0.08</v>
      </c>
      <c r="J89" s="734">
        <v>3.62</v>
      </c>
      <c r="K89" s="734">
        <v>0.09</v>
      </c>
      <c r="L89" s="734">
        <v>0</v>
      </c>
      <c r="M89" s="734">
        <v>0</v>
      </c>
      <c r="N89" s="734">
        <v>4099.0349999999999</v>
      </c>
      <c r="O89" s="734">
        <v>100.81</v>
      </c>
    </row>
    <row r="90" spans="1:256">
      <c r="N90" s="141">
        <f>SUM(N83:N89)</f>
        <v>104504.864</v>
      </c>
      <c r="O90" s="53" t="s">
        <v>226</v>
      </c>
      <c r="R90" s="57" t="s">
        <v>227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</row>
    <row r="91" spans="1:256" ht="21">
      <c r="A91" s="59" t="s">
        <v>94</v>
      </c>
      <c r="M91" s="59" t="s">
        <v>93</v>
      </c>
      <c r="N91" s="143"/>
      <c r="O91" s="142">
        <f>N91/N90</f>
        <v>0</v>
      </c>
      <c r="Q91" s="266"/>
      <c r="R91" s="267">
        <f>Q91/N90</f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</row>
    <row r="92" spans="1:256" s="50" customFormat="1" ht="29.25" customHeight="1">
      <c r="A92" s="50" t="s">
        <v>115</v>
      </c>
      <c r="B92" s="50" t="s">
        <v>116</v>
      </c>
      <c r="C92" s="50" t="s">
        <v>117</v>
      </c>
      <c r="D92" s="50" t="s">
        <v>118</v>
      </c>
      <c r="E92" s="50" t="s">
        <v>119</v>
      </c>
      <c r="F92" s="50" t="s">
        <v>120</v>
      </c>
      <c r="G92" s="50" t="s">
        <v>121</v>
      </c>
      <c r="H92" s="50" t="s">
        <v>122</v>
      </c>
      <c r="I92" s="50" t="s">
        <v>123</v>
      </c>
      <c r="J92" s="50" t="s">
        <v>124</v>
      </c>
      <c r="K92" s="50" t="s">
        <v>125</v>
      </c>
      <c r="L92" s="50" t="s">
        <v>126</v>
      </c>
      <c r="M92" s="50" t="s">
        <v>127</v>
      </c>
      <c r="N92" s="50" t="s">
        <v>128</v>
      </c>
      <c r="O92" s="50" t="s">
        <v>129</v>
      </c>
    </row>
    <row r="93" spans="1:256" s="50" customFormat="1" ht="15" customHeight="1">
      <c r="A93" s="49" t="s">
        <v>741</v>
      </c>
      <c r="B93" s="49" t="s">
        <v>130</v>
      </c>
      <c r="C93" s="2502">
        <v>31304.052</v>
      </c>
      <c r="D93" s="49">
        <v>0</v>
      </c>
      <c r="E93" s="2502">
        <v>31304.052</v>
      </c>
      <c r="F93" s="49">
        <v>30626.621999999999</v>
      </c>
      <c r="G93" s="2502">
        <v>97.84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30626.621999999999</v>
      </c>
      <c r="O93" s="2502">
        <v>97.84</v>
      </c>
    </row>
    <row r="94" spans="1:256" s="52" customFormat="1" ht="15" customHeight="1">
      <c r="A94" s="51" t="s">
        <v>742</v>
      </c>
      <c r="B94" s="51" t="s">
        <v>131</v>
      </c>
      <c r="C94" s="51">
        <v>29949.892</v>
      </c>
      <c r="D94" s="51">
        <v>8.01</v>
      </c>
      <c r="E94" s="51">
        <v>29941.882000000001</v>
      </c>
      <c r="F94" s="51">
        <v>29912.322</v>
      </c>
      <c r="G94" s="51">
        <v>99.9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29912.322</v>
      </c>
      <c r="O94" s="51">
        <v>99.9</v>
      </c>
    </row>
    <row r="95" spans="1:256" s="50" customFormat="1" ht="15" customHeight="1">
      <c r="A95" s="49" t="s">
        <v>743</v>
      </c>
      <c r="B95" s="49" t="s">
        <v>132</v>
      </c>
      <c r="C95" s="49">
        <v>27022.983</v>
      </c>
      <c r="D95" s="49">
        <v>13.76</v>
      </c>
      <c r="E95" s="49">
        <v>27009.223000000002</v>
      </c>
      <c r="F95" s="49">
        <v>27184.1</v>
      </c>
      <c r="G95" s="49">
        <v>100.65</v>
      </c>
      <c r="H95" s="49">
        <v>24.21</v>
      </c>
      <c r="I95" s="49">
        <v>0.09</v>
      </c>
      <c r="J95" s="49">
        <v>0</v>
      </c>
      <c r="K95" s="49">
        <v>0</v>
      </c>
      <c r="L95" s="49">
        <v>0</v>
      </c>
      <c r="M95" s="49">
        <v>0</v>
      </c>
      <c r="N95" s="49">
        <v>27208.31</v>
      </c>
      <c r="O95" s="49">
        <v>100.74</v>
      </c>
    </row>
    <row r="96" spans="1:256" s="52" customFormat="1" ht="15" customHeight="1">
      <c r="A96" s="51" t="s">
        <v>744</v>
      </c>
      <c r="B96" s="51" t="s">
        <v>133</v>
      </c>
      <c r="C96" s="51">
        <v>13929.948</v>
      </c>
      <c r="D96" s="51">
        <v>360.61099999999999</v>
      </c>
      <c r="E96" s="51">
        <v>13569.337</v>
      </c>
      <c r="F96" s="51">
        <v>13638.19</v>
      </c>
      <c r="G96" s="51">
        <v>100.51</v>
      </c>
      <c r="H96" s="51">
        <v>2.2799999999999998</v>
      </c>
      <c r="I96" s="51">
        <v>0.02</v>
      </c>
      <c r="J96" s="51">
        <v>0</v>
      </c>
      <c r="K96" s="51">
        <v>0</v>
      </c>
      <c r="L96" s="51">
        <v>0</v>
      </c>
      <c r="M96" s="51">
        <v>0</v>
      </c>
      <c r="N96" s="51">
        <v>13640.47</v>
      </c>
      <c r="O96" s="51">
        <v>100.52</v>
      </c>
    </row>
    <row r="97" spans="1:256" s="50" customFormat="1" ht="15" customHeight="1">
      <c r="A97" s="49" t="s">
        <v>745</v>
      </c>
      <c r="B97" s="49" t="s">
        <v>134</v>
      </c>
      <c r="C97" s="49">
        <v>1895.106</v>
      </c>
      <c r="D97" s="49">
        <v>4.99</v>
      </c>
      <c r="E97" s="49">
        <v>1890.116</v>
      </c>
      <c r="F97" s="49">
        <v>1870.7139999999999</v>
      </c>
      <c r="G97" s="49">
        <v>98.97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1870.7139999999999</v>
      </c>
      <c r="O97" s="49">
        <v>98.97</v>
      </c>
    </row>
    <row r="98" spans="1:256" s="52" customFormat="1" ht="15" customHeight="1">
      <c r="A98" s="51" t="s">
        <v>746</v>
      </c>
      <c r="B98" s="51" t="s">
        <v>135</v>
      </c>
      <c r="C98" s="51">
        <v>329.25400000000002</v>
      </c>
      <c r="D98" s="51">
        <v>13.47</v>
      </c>
      <c r="E98" s="51">
        <v>315.78399999999999</v>
      </c>
      <c r="F98" s="51">
        <v>307.85000000000002</v>
      </c>
      <c r="G98" s="51">
        <v>97.49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307.85000000000002</v>
      </c>
      <c r="O98" s="51">
        <v>97.49</v>
      </c>
    </row>
    <row r="99" spans="1:256" s="50" customFormat="1" ht="15" customHeight="1">
      <c r="A99" s="49" t="s">
        <v>747</v>
      </c>
      <c r="B99" s="49" t="s">
        <v>136</v>
      </c>
      <c r="C99" s="49">
        <v>4847.1009999999997</v>
      </c>
      <c r="D99" s="49">
        <v>448.654</v>
      </c>
      <c r="E99" s="49">
        <v>4398.4470000000001</v>
      </c>
      <c r="F99" s="49">
        <v>4425.6400000000003</v>
      </c>
      <c r="G99" s="49">
        <v>100.62</v>
      </c>
      <c r="H99" s="49">
        <v>2.2400000000000002</v>
      </c>
      <c r="I99" s="49">
        <v>0.05</v>
      </c>
      <c r="J99" s="49">
        <v>0</v>
      </c>
      <c r="K99" s="49">
        <v>0</v>
      </c>
      <c r="L99" s="49">
        <v>0</v>
      </c>
      <c r="M99" s="49">
        <v>0</v>
      </c>
      <c r="N99" s="49">
        <v>4427.88</v>
      </c>
      <c r="O99" s="49">
        <v>100.67</v>
      </c>
    </row>
    <row r="100" spans="1:256">
      <c r="N100" s="141">
        <f>SUM(N93:N99)</f>
        <v>107994.16800000001</v>
      </c>
      <c r="O100" s="53" t="s">
        <v>226</v>
      </c>
      <c r="R100" s="57" t="s">
        <v>227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</row>
    <row r="101" spans="1:256" ht="21">
      <c r="A101" s="59" t="s">
        <v>95</v>
      </c>
      <c r="M101" s="59" t="s">
        <v>94</v>
      </c>
      <c r="N101" s="143"/>
      <c r="O101" s="142">
        <f>N101/N100</f>
        <v>0</v>
      </c>
      <c r="Q101" s="266"/>
      <c r="R101" s="267">
        <f>Q101/N100</f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</row>
    <row r="102" spans="1:256" s="50" customFormat="1" ht="29.25" customHeight="1">
      <c r="A102" s="50" t="s">
        <v>115</v>
      </c>
      <c r="B102" s="50" t="s">
        <v>116</v>
      </c>
      <c r="C102" s="50" t="s">
        <v>117</v>
      </c>
      <c r="D102" s="50" t="s">
        <v>118</v>
      </c>
      <c r="E102" s="50" t="s">
        <v>119</v>
      </c>
      <c r="F102" s="50" t="s">
        <v>120</v>
      </c>
      <c r="G102" s="50" t="s">
        <v>121</v>
      </c>
      <c r="H102" s="50" t="s">
        <v>122</v>
      </c>
      <c r="I102" s="50" t="s">
        <v>123</v>
      </c>
      <c r="J102" s="50" t="s">
        <v>124</v>
      </c>
      <c r="K102" s="50" t="s">
        <v>125</v>
      </c>
      <c r="L102" s="50" t="s">
        <v>126</v>
      </c>
      <c r="M102" s="50" t="s">
        <v>127</v>
      </c>
      <c r="N102" s="50" t="s">
        <v>128</v>
      </c>
      <c r="O102" s="50" t="s">
        <v>129</v>
      </c>
    </row>
    <row r="103" spans="1:256" s="50" customFormat="1" ht="15" customHeight="1">
      <c r="A103" s="49" t="s">
        <v>741</v>
      </c>
      <c r="B103" s="49" t="s">
        <v>130</v>
      </c>
      <c r="C103" s="49">
        <v>663.96</v>
      </c>
      <c r="D103" s="49">
        <v>0</v>
      </c>
      <c r="E103" s="49">
        <v>663.96</v>
      </c>
      <c r="F103" s="49">
        <v>652.48</v>
      </c>
      <c r="G103" s="49">
        <v>98.27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652.48</v>
      </c>
      <c r="O103" s="49">
        <v>98.27</v>
      </c>
    </row>
    <row r="104" spans="1:256" s="52" customFormat="1" ht="15" customHeight="1">
      <c r="A104" s="51" t="s">
        <v>742</v>
      </c>
      <c r="B104" s="51" t="s">
        <v>131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</row>
    <row r="105" spans="1:256" s="50" customFormat="1" ht="15" customHeight="1">
      <c r="A105" s="51" t="s">
        <v>743</v>
      </c>
      <c r="B105" s="51" t="s">
        <v>132</v>
      </c>
      <c r="C105" s="51">
        <v>1351.22</v>
      </c>
      <c r="D105" s="51">
        <v>30.36</v>
      </c>
      <c r="E105" s="51">
        <v>1320.86</v>
      </c>
      <c r="F105" s="51">
        <v>1333.4739999999999</v>
      </c>
      <c r="G105" s="51">
        <v>100.95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1333.4739999999999</v>
      </c>
      <c r="O105" s="51">
        <v>100.95</v>
      </c>
    </row>
    <row r="106" spans="1:256" s="52" customFormat="1" ht="15" customHeight="1">
      <c r="A106" s="49" t="s">
        <v>744</v>
      </c>
      <c r="B106" s="49" t="s">
        <v>133</v>
      </c>
      <c r="C106" s="49">
        <v>13885.967000000001</v>
      </c>
      <c r="D106" s="49">
        <v>681.38900000000001</v>
      </c>
      <c r="E106" s="49">
        <v>13204.578</v>
      </c>
      <c r="F106" s="49">
        <v>13275.89</v>
      </c>
      <c r="G106" s="49">
        <v>100.54</v>
      </c>
      <c r="H106" s="49">
        <v>0</v>
      </c>
      <c r="I106" s="49">
        <v>0</v>
      </c>
      <c r="J106" s="49">
        <v>5.16</v>
      </c>
      <c r="K106" s="49">
        <v>0.04</v>
      </c>
      <c r="L106" s="49">
        <v>0</v>
      </c>
      <c r="M106" s="49">
        <v>0</v>
      </c>
      <c r="N106" s="49">
        <v>13281.05</v>
      </c>
      <c r="O106" s="49">
        <v>100.58</v>
      </c>
    </row>
    <row r="107" spans="1:256" s="50" customFormat="1" ht="15" customHeight="1">
      <c r="A107" s="51" t="s">
        <v>745</v>
      </c>
      <c r="B107" s="51" t="s">
        <v>134</v>
      </c>
      <c r="C107" s="51">
        <v>3099.8919999999998</v>
      </c>
      <c r="D107" s="51">
        <v>6.06</v>
      </c>
      <c r="E107" s="51">
        <v>3093.8319999999999</v>
      </c>
      <c r="F107" s="51">
        <v>3059.482</v>
      </c>
      <c r="G107" s="51">
        <v>98.89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3059.482</v>
      </c>
      <c r="O107" s="51">
        <v>98.89</v>
      </c>
    </row>
    <row r="108" spans="1:256" s="52" customFormat="1" ht="15" customHeight="1">
      <c r="A108" s="49" t="s">
        <v>746</v>
      </c>
      <c r="B108" s="49" t="s">
        <v>135</v>
      </c>
      <c r="C108" s="49">
        <v>126.648</v>
      </c>
      <c r="D108" s="49">
        <v>0</v>
      </c>
      <c r="E108" s="49">
        <v>126.648</v>
      </c>
      <c r="F108" s="49">
        <v>125.512</v>
      </c>
      <c r="G108" s="49">
        <v>99.1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125.512</v>
      </c>
      <c r="O108" s="49">
        <v>99.1</v>
      </c>
    </row>
    <row r="109" spans="1:256" s="50" customFormat="1" ht="15" customHeight="1">
      <c r="A109" s="51" t="s">
        <v>747</v>
      </c>
      <c r="B109" s="51" t="s">
        <v>136</v>
      </c>
      <c r="C109" s="51">
        <v>5487.85</v>
      </c>
      <c r="D109" s="51">
        <v>658.923</v>
      </c>
      <c r="E109" s="51">
        <v>4828.9269999999997</v>
      </c>
      <c r="F109" s="51">
        <v>4858.53</v>
      </c>
      <c r="G109" s="51">
        <v>100.61</v>
      </c>
      <c r="H109" s="51">
        <v>1.46</v>
      </c>
      <c r="I109" s="51">
        <v>0.03</v>
      </c>
      <c r="J109" s="51">
        <v>0</v>
      </c>
      <c r="K109" s="51">
        <v>0</v>
      </c>
      <c r="L109" s="51">
        <v>0</v>
      </c>
      <c r="M109" s="51">
        <v>0</v>
      </c>
      <c r="N109" s="51">
        <v>4859.99</v>
      </c>
      <c r="O109" s="51">
        <v>100.64</v>
      </c>
    </row>
    <row r="110" spans="1:256">
      <c r="N110" s="141">
        <f>SUM(N103:N109)</f>
        <v>23311.987999999998</v>
      </c>
      <c r="O110" s="53" t="s">
        <v>226</v>
      </c>
      <c r="R110" s="57" t="s">
        <v>227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</row>
    <row r="111" spans="1:256" ht="21">
      <c r="A111" s="59" t="s">
        <v>96</v>
      </c>
      <c r="M111" s="59" t="s">
        <v>95</v>
      </c>
      <c r="N111" s="143"/>
      <c r="O111" s="142">
        <f>N111/N110</f>
        <v>0</v>
      </c>
      <c r="Q111" s="266"/>
      <c r="R111" s="267">
        <f>Q111/N110</f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</row>
    <row r="112" spans="1:256" s="48" customFormat="1" ht="29.25" customHeight="1">
      <c r="A112" s="48" t="s">
        <v>115</v>
      </c>
      <c r="B112" s="48" t="s">
        <v>116</v>
      </c>
      <c r="C112" s="48" t="s">
        <v>117</v>
      </c>
      <c r="D112" s="48" t="s">
        <v>118</v>
      </c>
      <c r="E112" s="48" t="s">
        <v>119</v>
      </c>
      <c r="F112" s="48" t="s">
        <v>120</v>
      </c>
      <c r="G112" s="48" t="s">
        <v>121</v>
      </c>
      <c r="H112" s="48" t="s">
        <v>122</v>
      </c>
      <c r="I112" s="48" t="s">
        <v>123</v>
      </c>
      <c r="J112" s="48" t="s">
        <v>124</v>
      </c>
      <c r="K112" s="48" t="s">
        <v>125</v>
      </c>
      <c r="L112" s="48" t="s">
        <v>126</v>
      </c>
      <c r="M112" s="48" t="s">
        <v>127</v>
      </c>
      <c r="N112" s="48" t="s">
        <v>128</v>
      </c>
      <c r="O112" s="48" t="s">
        <v>129</v>
      </c>
    </row>
    <row r="113" spans="1:18" s="50" customFormat="1" ht="15" customHeight="1">
      <c r="A113" s="49"/>
      <c r="B113" s="49"/>
      <c r="C113" s="49"/>
      <c r="D113" s="49"/>
      <c r="E113" s="49"/>
      <c r="F113" s="49"/>
      <c r="G113" s="279"/>
      <c r="H113" s="49"/>
      <c r="I113" s="49"/>
      <c r="J113" s="49"/>
      <c r="K113" s="49"/>
      <c r="L113" s="49"/>
      <c r="M113" s="49"/>
      <c r="N113" s="49"/>
      <c r="O113" s="49"/>
    </row>
    <row r="114" spans="1:18" s="52" customFormat="1" ht="15" customHeight="1">
      <c r="A114" s="51"/>
      <c r="B114" s="51"/>
      <c r="C114" s="49"/>
      <c r="D114" s="49"/>
      <c r="E114" s="49"/>
      <c r="F114" s="49"/>
      <c r="G114" s="279"/>
      <c r="H114" s="49"/>
      <c r="I114" s="49"/>
      <c r="J114" s="49"/>
      <c r="K114" s="49"/>
      <c r="L114" s="49"/>
      <c r="M114" s="49"/>
      <c r="N114" s="49"/>
      <c r="O114" s="49"/>
    </row>
    <row r="115" spans="1:18" s="50" customFormat="1" ht="15" customHeight="1">
      <c r="A115" s="49"/>
      <c r="B115" s="49"/>
      <c r="C115" s="49"/>
      <c r="D115" s="49"/>
      <c r="E115" s="49"/>
      <c r="F115" s="49"/>
      <c r="G115" s="279"/>
      <c r="H115" s="49"/>
      <c r="I115" s="49"/>
      <c r="J115" s="49"/>
      <c r="K115" s="49"/>
      <c r="L115" s="49"/>
      <c r="M115" s="49"/>
      <c r="N115" s="49"/>
      <c r="O115" s="49"/>
    </row>
    <row r="116" spans="1:18" s="52" customFormat="1" ht="15" customHeight="1">
      <c r="A116" s="51" t="s">
        <v>744</v>
      </c>
      <c r="B116" s="51" t="s">
        <v>133</v>
      </c>
      <c r="C116" s="49">
        <v>13368.384</v>
      </c>
      <c r="D116" s="49">
        <v>754.49699999999996</v>
      </c>
      <c r="E116" s="49">
        <v>12613.887000000001</v>
      </c>
      <c r="F116" s="49">
        <v>12649.7</v>
      </c>
      <c r="G116" s="279">
        <v>100.28</v>
      </c>
      <c r="H116" s="49">
        <v>9.27</v>
      </c>
      <c r="I116" s="49">
        <v>7.0000000000000007E-2</v>
      </c>
      <c r="J116" s="49">
        <v>2.93</v>
      </c>
      <c r="K116" s="49">
        <v>0.02</v>
      </c>
      <c r="L116" s="49">
        <v>0</v>
      </c>
      <c r="M116" s="49">
        <v>0</v>
      </c>
      <c r="N116" s="49">
        <v>12661.9</v>
      </c>
      <c r="O116" s="49">
        <v>100.38</v>
      </c>
    </row>
    <row r="117" spans="1:18" s="50" customFormat="1" ht="15" customHeight="1">
      <c r="A117" s="49" t="s">
        <v>745</v>
      </c>
      <c r="B117" s="49" t="s">
        <v>134</v>
      </c>
      <c r="C117" s="49">
        <v>1820.75</v>
      </c>
      <c r="D117" s="49">
        <v>0.28999999999999998</v>
      </c>
      <c r="E117" s="49">
        <v>1820.46</v>
      </c>
      <c r="F117" s="49">
        <v>1786.049</v>
      </c>
      <c r="G117" s="279">
        <v>98.11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1786.049</v>
      </c>
      <c r="O117" s="49">
        <v>98.11</v>
      </c>
    </row>
    <row r="118" spans="1:18" s="52" customFormat="1" ht="15" customHeight="1">
      <c r="A118" s="51" t="s">
        <v>746</v>
      </c>
      <c r="B118" s="51" t="s">
        <v>135</v>
      </c>
      <c r="C118" s="49">
        <v>168.94399999999999</v>
      </c>
      <c r="D118" s="49">
        <v>7.8</v>
      </c>
      <c r="E118" s="49">
        <v>161.14400000000001</v>
      </c>
      <c r="F118" s="49">
        <v>158.57</v>
      </c>
      <c r="G118" s="279">
        <v>98.4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158.57</v>
      </c>
      <c r="O118" s="49">
        <v>98.4</v>
      </c>
    </row>
    <row r="119" spans="1:18" s="50" customFormat="1" ht="15" customHeight="1">
      <c r="A119" s="49" t="s">
        <v>747</v>
      </c>
      <c r="B119" s="49" t="s">
        <v>136</v>
      </c>
      <c r="C119" s="49">
        <v>5241.3649999999998</v>
      </c>
      <c r="D119" s="49">
        <v>613.88199999999995</v>
      </c>
      <c r="E119" s="49">
        <v>4627.4830000000002</v>
      </c>
      <c r="F119" s="49">
        <v>4662.21</v>
      </c>
      <c r="G119" s="279">
        <v>100.75</v>
      </c>
      <c r="H119" s="49">
        <v>2.56</v>
      </c>
      <c r="I119" s="49">
        <v>0.06</v>
      </c>
      <c r="J119" s="49">
        <v>0</v>
      </c>
      <c r="K119" s="49">
        <v>0</v>
      </c>
      <c r="L119" s="49">
        <v>0</v>
      </c>
      <c r="M119" s="49">
        <v>0</v>
      </c>
      <c r="N119" s="49">
        <v>4664.7700000000004</v>
      </c>
      <c r="O119" s="49">
        <v>100.81</v>
      </c>
    </row>
    <row r="120" spans="1:18" s="52" customForma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141">
        <f>SUM(N113:N119)</f>
        <v>19271.289000000001</v>
      </c>
      <c r="O120" s="53" t="s">
        <v>226</v>
      </c>
      <c r="P120" s="57"/>
      <c r="Q120" s="57"/>
      <c r="R120" s="57" t="s">
        <v>227</v>
      </c>
    </row>
    <row r="121" spans="1:18" s="50" customFormat="1" ht="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59" t="s">
        <v>96</v>
      </c>
      <c r="N121" s="143"/>
      <c r="O121" s="142">
        <f>N121/N120</f>
        <v>0</v>
      </c>
      <c r="P121" s="57"/>
      <c r="Q121" s="266"/>
      <c r="R121" s="267">
        <f>Q121/N120</f>
        <v>0</v>
      </c>
    </row>
    <row r="122" spans="1:18" s="58" customFormat="1" ht="21">
      <c r="A122" s="59" t="s">
        <v>19</v>
      </c>
      <c r="B122" s="54"/>
      <c r="C122" s="55"/>
      <c r="D122" s="55"/>
      <c r="E122" s="56"/>
      <c r="F122" s="55"/>
      <c r="G122" s="53"/>
      <c r="H122" s="55"/>
      <c r="I122" s="53"/>
      <c r="J122" s="55"/>
      <c r="K122" s="53"/>
      <c r="L122" s="55"/>
      <c r="M122" s="53"/>
      <c r="N122" s="55"/>
      <c r="O122" s="53"/>
      <c r="P122" s="57"/>
      <c r="Q122" s="57"/>
      <c r="R122" s="57"/>
    </row>
    <row r="123" spans="1:18" s="48" customFormat="1" ht="29.25" customHeight="1">
      <c r="A123" s="48" t="s">
        <v>115</v>
      </c>
      <c r="B123" s="48" t="s">
        <v>116</v>
      </c>
      <c r="C123" s="48" t="s">
        <v>117</v>
      </c>
      <c r="D123" s="48" t="s">
        <v>118</v>
      </c>
      <c r="E123" s="48" t="s">
        <v>119</v>
      </c>
      <c r="F123" s="48" t="s">
        <v>120</v>
      </c>
      <c r="G123" s="48" t="s">
        <v>121</v>
      </c>
      <c r="H123" s="48" t="s">
        <v>122</v>
      </c>
      <c r="I123" s="48" t="s">
        <v>123</v>
      </c>
      <c r="J123" s="48" t="s">
        <v>124</v>
      </c>
      <c r="K123" s="48" t="s">
        <v>125</v>
      </c>
      <c r="L123" s="48" t="s">
        <v>126</v>
      </c>
      <c r="M123" s="48" t="s">
        <v>127</v>
      </c>
      <c r="N123" s="48" t="s">
        <v>128</v>
      </c>
      <c r="O123" s="48" t="s">
        <v>129</v>
      </c>
    </row>
    <row r="124" spans="1:18" s="50" customFormat="1" ht="15" customHeight="1" thickBot="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</row>
    <row r="125" spans="1:18" s="52" customFormat="1" ht="15" customHeight="1" thickBo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Q125" s="264"/>
      <c r="R125" s="264"/>
    </row>
    <row r="126" spans="1:18" s="50" customFormat="1" ht="15" customHeight="1" thickBot="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Q126" s="264"/>
      <c r="R126" s="264"/>
    </row>
    <row r="127" spans="1:18" s="52" customFormat="1" ht="15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</row>
    <row r="128" spans="1:18" s="50" customFormat="1" ht="15" customHeight="1">
      <c r="A128" s="49"/>
      <c r="B128" s="49"/>
      <c r="C128" s="7" t="s">
        <v>210</v>
      </c>
      <c r="D128" s="110" t="s">
        <v>245</v>
      </c>
      <c r="E128" s="118" t="s">
        <v>211</v>
      </c>
      <c r="F128" s="114" t="s">
        <v>210</v>
      </c>
      <c r="G128" s="13" t="s">
        <v>722</v>
      </c>
      <c r="H128" s="8" t="s">
        <v>723</v>
      </c>
      <c r="I128" s="49"/>
      <c r="J128" s="49"/>
      <c r="K128" s="49"/>
      <c r="L128" s="49"/>
      <c r="M128" s="49"/>
      <c r="N128" s="49"/>
      <c r="O128" s="49"/>
    </row>
    <row r="129" spans="1:256" s="52" customFormat="1" ht="15" customHeight="1">
      <c r="A129" s="51"/>
      <c r="B129" s="51"/>
      <c r="C129" s="106" t="s">
        <v>4</v>
      </c>
      <c r="D129" s="112" t="s">
        <v>246</v>
      </c>
      <c r="E129" s="493">
        <v>493782</v>
      </c>
      <c r="F129" s="116" t="s">
        <v>4</v>
      </c>
      <c r="G129" s="499">
        <v>1617000</v>
      </c>
      <c r="H129" s="22">
        <v>2715801</v>
      </c>
      <c r="I129" s="51"/>
      <c r="J129" s="51"/>
      <c r="K129" s="51"/>
      <c r="L129" s="51"/>
      <c r="M129" s="51"/>
      <c r="N129" s="51"/>
      <c r="O129" s="51"/>
    </row>
    <row r="130" spans="1:256" s="50" customFormat="1" ht="15" customHeight="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</row>
    <row r="131" spans="1:256">
      <c r="M131" s="53">
        <f>N131*6800</f>
        <v>0</v>
      </c>
      <c r="N131" s="55">
        <f>SUM(N124:N130)</f>
        <v>0</v>
      </c>
      <c r="O131" s="53">
        <v>4748</v>
      </c>
      <c r="Q131" s="57">
        <f>O131-O132</f>
        <v>2078</v>
      </c>
      <c r="S131" s="57" t="s">
        <v>202</v>
      </c>
      <c r="T131" s="57" t="s">
        <v>203</v>
      </c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</row>
    <row r="132" spans="1:256" ht="21">
      <c r="A132" s="59" t="s">
        <v>20</v>
      </c>
      <c r="F132" s="120"/>
      <c r="G132" s="121"/>
      <c r="L132" s="55">
        <f>M132/(N131+N40)</f>
        <v>6062.6067740469653</v>
      </c>
      <c r="M132" s="268">
        <f>M131+Q41</f>
        <v>587000000</v>
      </c>
      <c r="N132" s="120">
        <v>106</v>
      </c>
      <c r="O132" s="53">
        <v>2670</v>
      </c>
      <c r="Q132" s="265">
        <f>Q131*N131</f>
        <v>0</v>
      </c>
      <c r="S132" s="57">
        <v>106</v>
      </c>
      <c r="T132" s="57">
        <v>926</v>
      </c>
      <c r="U132" s="265">
        <f>(62-62.53)*S132*N131</f>
        <v>0</v>
      </c>
      <c r="V132" s="265">
        <f>(17-17.36)*T132*N131</f>
        <v>0</v>
      </c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</row>
    <row r="133" spans="1:256" s="48" customFormat="1" ht="29.25" customHeight="1">
      <c r="A133" s="48" t="s">
        <v>115</v>
      </c>
      <c r="B133" s="48" t="s">
        <v>116</v>
      </c>
      <c r="C133" s="48" t="s">
        <v>117</v>
      </c>
      <c r="D133" s="48" t="s">
        <v>118</v>
      </c>
      <c r="E133" s="48" t="s">
        <v>119</v>
      </c>
      <c r="F133" s="48" t="s">
        <v>120</v>
      </c>
      <c r="G133" s="48" t="s">
        <v>121</v>
      </c>
      <c r="H133" s="48" t="s">
        <v>122</v>
      </c>
      <c r="I133" s="48" t="s">
        <v>123</v>
      </c>
      <c r="J133" s="48" t="s">
        <v>124</v>
      </c>
      <c r="K133" s="48" t="s">
        <v>125</v>
      </c>
      <c r="L133" s="48" t="s">
        <v>126</v>
      </c>
      <c r="M133" s="48" t="s">
        <v>127</v>
      </c>
      <c r="N133" s="48" t="s">
        <v>128</v>
      </c>
      <c r="O133" s="48" t="s">
        <v>129</v>
      </c>
    </row>
    <row r="134" spans="1:256" s="50" customFormat="1" ht="15" customHeight="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</row>
    <row r="135" spans="1:256" s="52" customFormat="1" ht="15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</row>
    <row r="136" spans="1:256" s="50" customFormat="1" ht="15" customHeight="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</row>
    <row r="137" spans="1:256" s="52" customFormat="1" ht="15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</row>
    <row r="138" spans="1:256" s="50" customFormat="1" ht="15" customHeight="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</row>
    <row r="139" spans="1:256" s="52" customFormat="1" ht="15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</row>
    <row r="140" spans="1:256" s="50" customFormat="1" ht="15" customHeight="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</row>
    <row r="141" spans="1:256">
      <c r="E141" s="55"/>
      <c r="G141" s="55"/>
      <c r="I141" s="55"/>
      <c r="K141" s="55"/>
      <c r="M141" s="55"/>
      <c r="N141" s="141">
        <f>SUM(N134:N140)</f>
        <v>0</v>
      </c>
      <c r="O141" s="53" t="s">
        <v>226</v>
      </c>
      <c r="R141" s="57" t="s">
        <v>227</v>
      </c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</row>
    <row r="142" spans="1:256" ht="21">
      <c r="A142" s="59" t="s">
        <v>102</v>
      </c>
      <c r="F142" s="56">
        <f>SUM(F134+F135+F137+F140)</f>
        <v>0</v>
      </c>
      <c r="G142" s="122" t="e">
        <f>F63+F64+F65+F66+F69+F74+F75+F76+F77+#REF!</f>
        <v>#REF!</v>
      </c>
      <c r="H142" s="56" t="e">
        <f>SUM(F142:G142)</f>
        <v>#REF!</v>
      </c>
      <c r="I142" s="56"/>
      <c r="J142" s="56"/>
      <c r="N142" s="143">
        <f>N11+N21+N31+N41+N51+N61</f>
        <v>1895445036</v>
      </c>
      <c r="O142" s="143" t="e">
        <f>N142/N141</f>
        <v>#DIV/0!</v>
      </c>
      <c r="Q142" s="143">
        <f>Q11+Q21+Q31+Q41+Q51+Q61</f>
        <v>3305029435</v>
      </c>
      <c r="R142" s="267" t="e">
        <f>Q142/N141</f>
        <v>#DIV/0!</v>
      </c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</row>
    <row r="143" spans="1:256" s="48" customFormat="1" ht="29.25" customHeight="1">
      <c r="M143" s="48">
        <v>790</v>
      </c>
      <c r="N143" s="48">
        <f>N140-N130</f>
        <v>0</v>
      </c>
      <c r="O143" s="274" t="e">
        <f>Q134-O142</f>
        <v>#DIV/0!</v>
      </c>
      <c r="P143" s="274" t="e">
        <f>O143*N141</f>
        <v>#DIV/0!</v>
      </c>
      <c r="Q143" s="275" t="e">
        <f>Q135-R142</f>
        <v>#DIV/0!</v>
      </c>
      <c r="R143" s="274" t="e">
        <f>Q143*N141</f>
        <v>#DIV/0!</v>
      </c>
    </row>
    <row r="144" spans="1:256" s="50" customFormat="1" ht="15" customHeight="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</row>
    <row r="145" spans="1:17" s="52" customFormat="1" ht="15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</row>
    <row r="146" spans="1:17" s="50" customFormat="1" ht="15" customHeight="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>
        <v>60.55</v>
      </c>
      <c r="O146" s="49"/>
    </row>
    <row r="147" spans="1:17" s="52" customFormat="1" ht="15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>
        <v>60</v>
      </c>
      <c r="O147" s="51"/>
    </row>
    <row r="148" spans="1:17" s="50" customFormat="1" ht="15" customHeight="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277">
        <f>1*115*N141</f>
        <v>0</v>
      </c>
      <c r="O148" s="49"/>
    </row>
    <row r="149" spans="1:17" s="52" customFormat="1" ht="15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</row>
    <row r="150" spans="1:17" s="50" customFormat="1" ht="15" customHeight="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</row>
    <row r="151" spans="1:17" s="58" customFormat="1">
      <c r="A151" s="53"/>
      <c r="B151" s="54"/>
      <c r="C151" s="55"/>
      <c r="D151" s="55"/>
      <c r="E151" s="56"/>
      <c r="F151" s="55"/>
      <c r="G151" s="53"/>
      <c r="H151" s="55"/>
      <c r="I151" s="53"/>
      <c r="J151" s="55"/>
      <c r="K151" s="55"/>
      <c r="L151" s="55"/>
      <c r="M151" s="53"/>
      <c r="N151" s="55">
        <f>SUM(N144:N150)</f>
        <v>120.55</v>
      </c>
      <c r="O151" s="53"/>
    </row>
    <row r="152" spans="1:17" s="58" customFormat="1" ht="21">
      <c r="A152" s="59" t="s">
        <v>177</v>
      </c>
      <c r="B152" s="54"/>
      <c r="C152" s="55"/>
      <c r="D152" s="55"/>
      <c r="E152" s="56"/>
      <c r="F152" s="56"/>
      <c r="G152" s="122"/>
      <c r="H152" s="56"/>
      <c r="I152" s="56"/>
      <c r="J152" s="56"/>
      <c r="K152" s="53"/>
      <c r="L152" s="55"/>
      <c r="M152" s="53"/>
      <c r="N152" s="55">
        <f>N141+N70</f>
        <v>116021.802</v>
      </c>
      <c r="O152" s="53"/>
      <c r="Q152" s="276">
        <f>Q142+Q71</f>
        <v>3868554366</v>
      </c>
    </row>
    <row r="153" spans="1:17" s="48" customFormat="1" ht="29.25" customHeight="1">
      <c r="N153" s="55">
        <f>N142+N71</f>
        <v>2565559578</v>
      </c>
      <c r="O153" s="48">
        <f>N153/N152</f>
        <v>22112.736863025108</v>
      </c>
      <c r="Q153" s="273">
        <f>Q152/N152</f>
        <v>33343.339780225098</v>
      </c>
    </row>
    <row r="154" spans="1:17" s="50" customFormat="1" ht="15" customHeight="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</row>
    <row r="155" spans="1:17" s="52" customFormat="1" ht="15" customHeight="1">
      <c r="A155" s="51"/>
      <c r="B155" s="51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</row>
    <row r="156" spans="1:17" s="50" customFormat="1" ht="15" customHeight="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</row>
    <row r="157" spans="1:17" s="52" customFormat="1" ht="15" customHeight="1">
      <c r="A157" s="51"/>
      <c r="B157" s="51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</row>
    <row r="158" spans="1:17" s="50" customFormat="1" ht="15" customHeight="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</row>
    <row r="159" spans="1:17" s="52" customFormat="1" ht="15" customHeight="1">
      <c r="A159" s="51"/>
      <c r="B159" s="51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</row>
    <row r="160" spans="1:17" s="50" customFormat="1" ht="15" customHeight="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</row>
    <row r="161" spans="1:256">
      <c r="K161" s="55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</row>
    <row r="162" spans="1:256" ht="21">
      <c r="A162" s="59" t="s">
        <v>103</v>
      </c>
      <c r="K162" s="120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</row>
    <row r="163" spans="1:256" s="48" customFormat="1" ht="10.8">
      <c r="A163" s="281" t="s">
        <v>115</v>
      </c>
      <c r="B163" s="281" t="s">
        <v>116</v>
      </c>
      <c r="C163" s="281" t="s">
        <v>117</v>
      </c>
      <c r="D163" s="281" t="s">
        <v>118</v>
      </c>
      <c r="E163" s="281" t="s">
        <v>119</v>
      </c>
      <c r="F163" s="281" t="s">
        <v>120</v>
      </c>
      <c r="G163" s="281" t="s">
        <v>121</v>
      </c>
      <c r="H163" s="281" t="s">
        <v>122</v>
      </c>
      <c r="I163" s="281" t="s">
        <v>123</v>
      </c>
      <c r="J163" s="281" t="s">
        <v>124</v>
      </c>
      <c r="K163" s="281" t="s">
        <v>125</v>
      </c>
      <c r="L163" s="281" t="s">
        <v>126</v>
      </c>
      <c r="M163" s="281" t="s">
        <v>127</v>
      </c>
      <c r="N163" s="281" t="s">
        <v>128</v>
      </c>
      <c r="O163" s="281" t="s">
        <v>129</v>
      </c>
    </row>
    <row r="164" spans="1:256" s="50" customFormat="1" ht="15" customHeight="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</row>
    <row r="165" spans="1:256" s="52" customFormat="1" ht="15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</row>
    <row r="166" spans="1:256" s="50" customFormat="1" ht="15" customHeight="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</row>
    <row r="167" spans="1:256" s="52" customFormat="1" ht="15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</row>
    <row r="168" spans="1:256" s="50" customFormat="1" ht="15" customHeight="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Q168" s="270"/>
    </row>
    <row r="169" spans="1:256" s="52" customFormat="1" ht="15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Q169"/>
    </row>
    <row r="170" spans="1:256" s="50" customFormat="1" ht="15" customHeight="1" thickBot="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Q170" s="270"/>
    </row>
    <row r="171" spans="1:256" ht="15" customHeight="1" thickBot="1">
      <c r="A171" s="282"/>
      <c r="B171" s="282"/>
      <c r="C171" s="282"/>
      <c r="D171" s="282"/>
      <c r="E171" s="282"/>
      <c r="F171" s="282"/>
      <c r="G171" s="282"/>
      <c r="H171" s="282"/>
      <c r="I171" s="282"/>
      <c r="J171" s="282"/>
      <c r="K171" s="282"/>
      <c r="L171" s="282"/>
      <c r="M171" s="282"/>
      <c r="N171" s="282">
        <f>SUM(N164:N170)</f>
        <v>0</v>
      </c>
      <c r="O171" s="282"/>
      <c r="Q171" s="289"/>
      <c r="R171" s="290"/>
      <c r="S171" s="291"/>
      <c r="T171" s="265"/>
    </row>
    <row r="172" spans="1:256" ht="15" customHeight="1" thickBot="1">
      <c r="A172" s="7308" t="s">
        <v>997</v>
      </c>
      <c r="B172" s="7308"/>
      <c r="C172" s="7308"/>
      <c r="D172" s="734"/>
      <c r="E172" s="734"/>
      <c r="F172" s="734"/>
      <c r="G172" s="734"/>
      <c r="H172" s="734"/>
      <c r="I172" s="734"/>
      <c r="J172" s="734"/>
      <c r="K172" s="734"/>
      <c r="L172" s="734"/>
      <c r="M172" s="734"/>
      <c r="N172" s="734"/>
      <c r="O172" s="734"/>
      <c r="Q172" s="289"/>
      <c r="R172" s="290"/>
      <c r="S172" s="291"/>
      <c r="T172" s="265"/>
    </row>
    <row r="173" spans="1:256" ht="15" customHeight="1" thickBot="1">
      <c r="A173" s="50" t="s">
        <v>115</v>
      </c>
      <c r="B173" s="734" t="s">
        <v>116</v>
      </c>
      <c r="C173" s="734" t="s">
        <v>117</v>
      </c>
      <c r="D173" s="734" t="s">
        <v>118</v>
      </c>
      <c r="E173" s="734" t="s">
        <v>119</v>
      </c>
      <c r="F173" s="734" t="s">
        <v>120</v>
      </c>
      <c r="G173" s="734" t="s">
        <v>121</v>
      </c>
      <c r="H173" s="734" t="s">
        <v>122</v>
      </c>
      <c r="I173" s="734" t="s">
        <v>123</v>
      </c>
      <c r="J173" s="734" t="s">
        <v>124</v>
      </c>
      <c r="K173" s="734" t="s">
        <v>125</v>
      </c>
      <c r="L173" s="734" t="s">
        <v>126</v>
      </c>
      <c r="M173" s="734" t="s">
        <v>127</v>
      </c>
      <c r="N173" s="734" t="s">
        <v>128</v>
      </c>
      <c r="O173" s="734" t="s">
        <v>129</v>
      </c>
      <c r="Q173" s="289"/>
      <c r="R173" s="290"/>
      <c r="S173" s="291"/>
      <c r="T173" s="265"/>
    </row>
    <row r="174" spans="1:256" ht="15" customHeight="1" thickBot="1">
      <c r="A174" s="49" t="s">
        <v>741</v>
      </c>
      <c r="B174" s="734" t="s">
        <v>130</v>
      </c>
      <c r="C174" s="734">
        <v>337898.63699999999</v>
      </c>
      <c r="D174" s="734">
        <v>28.39</v>
      </c>
      <c r="E174" s="734">
        <v>337870.24699999997</v>
      </c>
      <c r="F174" s="734">
        <v>331013.49099999998</v>
      </c>
      <c r="G174" s="734">
        <v>97.97</v>
      </c>
      <c r="H174" s="734">
        <v>0</v>
      </c>
      <c r="I174" s="734">
        <v>0</v>
      </c>
      <c r="J174" s="734">
        <v>8.3800000000000008</v>
      </c>
      <c r="K174" s="734">
        <v>0</v>
      </c>
      <c r="L174" s="734">
        <v>0</v>
      </c>
      <c r="M174" s="734">
        <v>0</v>
      </c>
      <c r="N174" s="734">
        <v>331021.87099999998</v>
      </c>
      <c r="O174" s="734">
        <v>97.97</v>
      </c>
      <c r="Q174" s="289"/>
      <c r="R174" s="290"/>
      <c r="S174" s="291"/>
      <c r="T174" s="265"/>
    </row>
    <row r="175" spans="1:256" ht="15" customHeight="1" thickBot="1">
      <c r="A175" s="51" t="s">
        <v>742</v>
      </c>
      <c r="B175" s="734" t="s">
        <v>131</v>
      </c>
      <c r="C175" s="734">
        <v>314510.47100000002</v>
      </c>
      <c r="D175" s="734">
        <v>105.83</v>
      </c>
      <c r="E175" s="734">
        <v>314404.641</v>
      </c>
      <c r="F175" s="734">
        <v>314352.38900000002</v>
      </c>
      <c r="G175" s="734">
        <v>99.98</v>
      </c>
      <c r="H175" s="734">
        <v>0</v>
      </c>
      <c r="I175" s="734">
        <v>0</v>
      </c>
      <c r="J175" s="734">
        <v>12.39</v>
      </c>
      <c r="K175" s="734">
        <v>0</v>
      </c>
      <c r="L175" s="734">
        <v>0</v>
      </c>
      <c r="M175" s="734">
        <v>0</v>
      </c>
      <c r="N175" s="734">
        <v>314364.77899999998</v>
      </c>
      <c r="O175" s="734">
        <v>99.99</v>
      </c>
      <c r="Q175" s="289"/>
      <c r="R175" s="290"/>
      <c r="S175" s="291"/>
      <c r="T175" s="265"/>
    </row>
    <row r="176" spans="1:256" ht="15" customHeight="1" thickBot="1">
      <c r="A176" s="49" t="s">
        <v>743</v>
      </c>
      <c r="B176" s="734" t="s">
        <v>132</v>
      </c>
      <c r="C176" s="734">
        <v>308809.02899999998</v>
      </c>
      <c r="D176" s="734">
        <v>276.95999999999998</v>
      </c>
      <c r="E176" s="734">
        <v>308532.06900000002</v>
      </c>
      <c r="F176" s="734">
        <v>309091.09000000003</v>
      </c>
      <c r="G176" s="734">
        <v>100.18</v>
      </c>
      <c r="H176" s="734">
        <v>304.32</v>
      </c>
      <c r="I176" s="734">
        <v>0.1</v>
      </c>
      <c r="J176" s="734">
        <v>3.17</v>
      </c>
      <c r="K176" s="734">
        <v>0</v>
      </c>
      <c r="L176" s="734">
        <v>0</v>
      </c>
      <c r="M176" s="734">
        <v>0</v>
      </c>
      <c r="N176" s="734">
        <v>309398.58</v>
      </c>
      <c r="O176" s="734">
        <v>100.28</v>
      </c>
      <c r="Q176" s="289"/>
      <c r="R176" s="290"/>
      <c r="S176" s="291"/>
      <c r="T176" s="265"/>
    </row>
    <row r="177" spans="1:256" ht="15" customHeight="1" thickBot="1">
      <c r="A177" s="51" t="s">
        <v>744</v>
      </c>
      <c r="B177" s="734" t="s">
        <v>133</v>
      </c>
      <c r="C177" s="734">
        <v>149039.40299999999</v>
      </c>
      <c r="D177" s="734">
        <v>6204.3670000000002</v>
      </c>
      <c r="E177" s="734">
        <v>142835.03599999999</v>
      </c>
      <c r="F177" s="734">
        <v>143597.557</v>
      </c>
      <c r="G177" s="734">
        <v>100.53</v>
      </c>
      <c r="H177" s="734">
        <v>75.739999999999995</v>
      </c>
      <c r="I177" s="734">
        <v>0.05</v>
      </c>
      <c r="J177" s="734">
        <v>16.908000000000001</v>
      </c>
      <c r="K177" s="734">
        <v>0.01</v>
      </c>
      <c r="L177" s="734">
        <v>0</v>
      </c>
      <c r="M177" s="734">
        <v>0</v>
      </c>
      <c r="N177" s="734">
        <v>143690.20499999999</v>
      </c>
      <c r="O177" s="734">
        <v>100.6</v>
      </c>
      <c r="Q177" s="289"/>
      <c r="R177" s="290"/>
      <c r="S177" s="291"/>
      <c r="T177" s="265"/>
    </row>
    <row r="178" spans="1:256" ht="15" customHeight="1" thickBot="1">
      <c r="A178" s="49" t="s">
        <v>745</v>
      </c>
      <c r="B178" s="734" t="s">
        <v>134</v>
      </c>
      <c r="C178" s="734">
        <v>23889.978999999999</v>
      </c>
      <c r="D178" s="734">
        <v>18.18</v>
      </c>
      <c r="E178" s="734">
        <v>23871.798999999999</v>
      </c>
      <c r="F178" s="734">
        <v>23463.137999999999</v>
      </c>
      <c r="G178" s="734">
        <v>98.29</v>
      </c>
      <c r="H178" s="734">
        <v>36.770000000000003</v>
      </c>
      <c r="I178" s="734">
        <v>0.15</v>
      </c>
      <c r="J178" s="734">
        <v>0</v>
      </c>
      <c r="K178" s="734">
        <v>0</v>
      </c>
      <c r="L178" s="734">
        <v>0</v>
      </c>
      <c r="M178" s="734">
        <v>0</v>
      </c>
      <c r="N178" s="734">
        <v>23499.907999999999</v>
      </c>
      <c r="O178" s="734">
        <v>98.44</v>
      </c>
      <c r="Q178" s="289"/>
      <c r="R178" s="290"/>
      <c r="S178" s="291"/>
      <c r="T178" s="265"/>
    </row>
    <row r="179" spans="1:256" ht="15" customHeight="1" thickBot="1">
      <c r="A179" s="51" t="s">
        <v>746</v>
      </c>
      <c r="B179" s="734" t="s">
        <v>135</v>
      </c>
      <c r="C179" s="734">
        <v>4176.049</v>
      </c>
      <c r="D179" s="734">
        <v>108.733</v>
      </c>
      <c r="E179" s="734">
        <v>4067.3159999999998</v>
      </c>
      <c r="F179" s="734">
        <v>3960.2020000000002</v>
      </c>
      <c r="G179" s="734">
        <v>97.37</v>
      </c>
      <c r="H179" s="734">
        <v>0</v>
      </c>
      <c r="I179" s="734">
        <v>0</v>
      </c>
      <c r="J179" s="734">
        <v>0</v>
      </c>
      <c r="K179" s="734">
        <v>0</v>
      </c>
      <c r="L179" s="734">
        <v>0</v>
      </c>
      <c r="M179" s="734">
        <v>0</v>
      </c>
      <c r="N179" s="734">
        <v>3960.2020000000002</v>
      </c>
      <c r="O179" s="734">
        <v>97.37</v>
      </c>
      <c r="Q179" s="289"/>
      <c r="R179" s="290"/>
      <c r="S179" s="291"/>
      <c r="T179" s="265"/>
    </row>
    <row r="180" spans="1:256" ht="15" customHeight="1" thickBot="1">
      <c r="A180" s="49" t="s">
        <v>747</v>
      </c>
      <c r="B180" s="734" t="s">
        <v>136</v>
      </c>
      <c r="C180" s="734">
        <v>59740.862999999998</v>
      </c>
      <c r="D180" s="734">
        <v>5354.6149999999998</v>
      </c>
      <c r="E180" s="734">
        <v>54386.248</v>
      </c>
      <c r="F180" s="734">
        <v>54573.96</v>
      </c>
      <c r="G180" s="734">
        <v>100.35</v>
      </c>
      <c r="H180" s="734">
        <v>55.77</v>
      </c>
      <c r="I180" s="734">
        <v>0.1</v>
      </c>
      <c r="J180" s="734">
        <v>17.98</v>
      </c>
      <c r="K180" s="734">
        <v>0.03</v>
      </c>
      <c r="L180" s="734">
        <v>0</v>
      </c>
      <c r="M180" s="734">
        <v>0</v>
      </c>
      <c r="N180" s="734">
        <v>54647.71</v>
      </c>
      <c r="O180" s="734">
        <v>100.48</v>
      </c>
      <c r="Q180" s="289"/>
      <c r="R180" s="290"/>
      <c r="S180" s="291"/>
      <c r="T180" s="265"/>
    </row>
    <row r="181" spans="1:256" ht="15" customHeight="1" thickBot="1">
      <c r="A181" s="734"/>
      <c r="B181" s="734"/>
      <c r="C181" s="734"/>
      <c r="D181" s="734"/>
      <c r="E181" s="734"/>
      <c r="F181" s="55">
        <f>SUM(F174:F180)</f>
        <v>1180051.827</v>
      </c>
      <c r="G181" s="734"/>
      <c r="H181" s="55">
        <f>SUM(H174:H180)</f>
        <v>472.59999999999997</v>
      </c>
      <c r="I181" s="734"/>
      <c r="J181" s="55">
        <f>SUM(J174:J180)</f>
        <v>58.828000000000003</v>
      </c>
      <c r="K181" s="734"/>
      <c r="L181" s="734"/>
      <c r="M181" s="734"/>
      <c r="N181" s="55">
        <f>SUM(N174:N180)</f>
        <v>1180583.2550000001</v>
      </c>
      <c r="O181" s="734"/>
      <c r="Q181" s="289"/>
      <c r="R181" s="290"/>
      <c r="S181" s="291"/>
      <c r="T181" s="265"/>
    </row>
    <row r="182" spans="1:256" ht="15" customHeight="1" thickBot="1">
      <c r="A182" s="734"/>
      <c r="B182" s="734"/>
      <c r="C182" s="734"/>
      <c r="D182" s="734"/>
      <c r="E182" s="734"/>
      <c r="F182" s="734"/>
      <c r="G182" s="734"/>
      <c r="H182" s="734"/>
      <c r="I182" s="734"/>
      <c r="J182" s="734"/>
      <c r="K182" s="734"/>
      <c r="L182" s="734"/>
      <c r="M182" s="734"/>
      <c r="N182" s="734"/>
      <c r="O182" s="734"/>
      <c r="Q182" s="289"/>
      <c r="R182" s="290"/>
      <c r="S182" s="291"/>
      <c r="T182" s="265"/>
    </row>
    <row r="183" spans="1:256" ht="15" customHeight="1" thickBot="1">
      <c r="A183" s="734"/>
      <c r="B183" s="734"/>
      <c r="C183" s="734"/>
      <c r="D183" s="734"/>
      <c r="E183" s="734"/>
      <c r="F183" s="734"/>
      <c r="G183" s="734"/>
      <c r="H183" s="734"/>
      <c r="I183" s="734"/>
      <c r="J183" s="734"/>
      <c r="K183" s="734"/>
      <c r="L183" s="734"/>
      <c r="M183" s="734"/>
      <c r="N183" s="734"/>
      <c r="O183" s="734"/>
      <c r="Q183" s="289"/>
      <c r="R183" s="290"/>
      <c r="S183" s="291"/>
      <c r="T183" s="265"/>
    </row>
    <row r="184" spans="1:256" ht="15" customHeight="1" thickBot="1">
      <c r="A184" s="734"/>
      <c r="B184" s="734"/>
      <c r="C184" s="734"/>
      <c r="D184" s="734"/>
      <c r="E184" s="734"/>
      <c r="F184" s="734"/>
      <c r="G184" s="734"/>
      <c r="H184" s="734"/>
      <c r="I184" s="734"/>
      <c r="J184" s="734"/>
      <c r="K184" s="734"/>
      <c r="L184" s="734"/>
      <c r="M184" s="734"/>
      <c r="N184" s="734"/>
      <c r="O184" s="734"/>
      <c r="Q184" s="289"/>
      <c r="R184" s="290"/>
      <c r="S184" s="291"/>
      <c r="T184" s="265"/>
    </row>
    <row r="185" spans="1:256" ht="15" customHeight="1" thickBot="1">
      <c r="A185" s="734"/>
      <c r="B185" s="734"/>
      <c r="C185" s="734"/>
      <c r="D185" s="734"/>
      <c r="E185" s="734"/>
      <c r="F185" s="734"/>
      <c r="G185" s="734"/>
      <c r="H185" s="734"/>
      <c r="I185" s="734"/>
      <c r="J185" s="734"/>
      <c r="K185" s="734"/>
      <c r="L185" s="734"/>
      <c r="M185" s="734"/>
      <c r="N185" s="734"/>
      <c r="O185" s="734"/>
      <c r="Q185" s="289"/>
      <c r="R185" s="290"/>
      <c r="S185" s="291"/>
      <c r="T185" s="265"/>
    </row>
    <row r="186" spans="1:256" ht="15" customHeight="1" thickBot="1">
      <c r="A186" s="7308" t="s">
        <v>1040</v>
      </c>
      <c r="B186" s="7308"/>
      <c r="C186" s="7308"/>
      <c r="P186" s="58"/>
      <c r="Q186" s="289"/>
      <c r="R186" s="290"/>
      <c r="S186" s="292"/>
      <c r="T186" s="293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</row>
    <row r="187" spans="1:256" s="50" customFormat="1" ht="15" customHeight="1">
      <c r="A187" s="50" t="s">
        <v>115</v>
      </c>
      <c r="B187" s="50" t="s">
        <v>116</v>
      </c>
      <c r="C187" s="50" t="s">
        <v>117</v>
      </c>
      <c r="D187" s="50" t="s">
        <v>118</v>
      </c>
      <c r="E187" s="50" t="s">
        <v>119</v>
      </c>
      <c r="F187" s="50" t="s">
        <v>120</v>
      </c>
      <c r="G187" s="50" t="s">
        <v>121</v>
      </c>
      <c r="H187" s="50" t="s">
        <v>122</v>
      </c>
      <c r="I187" s="50" t="s">
        <v>123</v>
      </c>
      <c r="J187" s="50" t="s">
        <v>124</v>
      </c>
      <c r="K187" s="50" t="s">
        <v>125</v>
      </c>
      <c r="L187" s="50" t="s">
        <v>126</v>
      </c>
      <c r="M187" s="50" t="s">
        <v>127</v>
      </c>
      <c r="N187" s="50" t="s">
        <v>128</v>
      </c>
      <c r="O187" s="50" t="s">
        <v>129</v>
      </c>
    </row>
    <row r="188" spans="1:256" s="50" customFormat="1" ht="15" customHeight="1">
      <c r="A188" s="49" t="s">
        <v>741</v>
      </c>
      <c r="B188" s="49" t="s">
        <v>130</v>
      </c>
      <c r="C188" s="49">
        <v>335477.22100000002</v>
      </c>
      <c r="D188" s="49">
        <v>0</v>
      </c>
      <c r="E188" s="49">
        <v>335477.22100000002</v>
      </c>
      <c r="F188" s="49">
        <v>328691.58299999998</v>
      </c>
      <c r="G188" s="49">
        <v>97.977317810200887</v>
      </c>
      <c r="H188" s="49">
        <v>0</v>
      </c>
      <c r="I188" s="49">
        <v>0</v>
      </c>
      <c r="J188" s="49">
        <v>32.369999999999997</v>
      </c>
      <c r="K188" s="49">
        <v>0.01</v>
      </c>
      <c r="L188" s="49">
        <v>0</v>
      </c>
      <c r="M188" s="49">
        <v>0</v>
      </c>
      <c r="N188" s="49">
        <v>328723.95299999998</v>
      </c>
      <c r="O188" s="49">
        <v>195.97</v>
      </c>
    </row>
    <row r="189" spans="1:256" s="52" customFormat="1" ht="15" customHeight="1">
      <c r="A189" s="51" t="s">
        <v>742</v>
      </c>
      <c r="B189" s="51" t="s">
        <v>131</v>
      </c>
      <c r="C189" s="51">
        <v>316848.39300000004</v>
      </c>
      <c r="D189" s="51">
        <v>166.45</v>
      </c>
      <c r="E189" s="51">
        <v>316681.94299999997</v>
      </c>
      <c r="F189" s="51">
        <v>316592.50300000003</v>
      </c>
      <c r="G189" s="51">
        <v>99.971757151938419</v>
      </c>
      <c r="H189" s="51">
        <v>24.9</v>
      </c>
      <c r="I189" s="51">
        <v>0.02</v>
      </c>
      <c r="J189" s="51">
        <v>7.03</v>
      </c>
      <c r="K189" s="51">
        <v>0</v>
      </c>
      <c r="L189" s="51">
        <v>0</v>
      </c>
      <c r="M189" s="51">
        <v>0</v>
      </c>
      <c r="N189" s="51">
        <v>316624.43300000002</v>
      </c>
      <c r="O189" s="51">
        <v>199.96</v>
      </c>
    </row>
    <row r="190" spans="1:256" s="50" customFormat="1" ht="15" customHeight="1">
      <c r="A190" s="49" t="s">
        <v>743</v>
      </c>
      <c r="B190" s="49" t="s">
        <v>132</v>
      </c>
      <c r="C190" s="49">
        <v>313986.38299999997</v>
      </c>
      <c r="D190" s="49">
        <v>271.44</v>
      </c>
      <c r="E190" s="49">
        <v>313714.94299999997</v>
      </c>
      <c r="F190" s="49">
        <v>313187.71999999997</v>
      </c>
      <c r="G190" s="49">
        <v>99.831942018777227</v>
      </c>
      <c r="H190" s="49">
        <v>273.66000000000003</v>
      </c>
      <c r="I190" s="49">
        <v>0.17</v>
      </c>
      <c r="J190" s="49">
        <v>45.980000000000004</v>
      </c>
      <c r="K190" s="49">
        <v>0.03</v>
      </c>
      <c r="L190" s="49">
        <v>0</v>
      </c>
      <c r="M190" s="49">
        <v>0</v>
      </c>
      <c r="N190" s="49">
        <v>313507.36</v>
      </c>
      <c r="O190" s="49">
        <v>199.86</v>
      </c>
    </row>
    <row r="191" spans="1:256" s="52" customFormat="1" ht="15" customHeight="1">
      <c r="A191" s="51" t="s">
        <v>744</v>
      </c>
      <c r="B191" s="51" t="s">
        <v>133</v>
      </c>
      <c r="C191" s="51">
        <v>131085.85399999999</v>
      </c>
      <c r="D191" s="51">
        <v>5668.7190000000001</v>
      </c>
      <c r="E191" s="51">
        <v>125417.13499999999</v>
      </c>
      <c r="F191" s="51">
        <v>125824.109</v>
      </c>
      <c r="G191" s="51">
        <v>100.32449632978779</v>
      </c>
      <c r="H191" s="51">
        <v>87.259999999999991</v>
      </c>
      <c r="I191" s="51">
        <v>0.13</v>
      </c>
      <c r="J191" s="51">
        <v>38.65</v>
      </c>
      <c r="K191" s="51">
        <v>6.0000000000000005E-2</v>
      </c>
      <c r="L191" s="51">
        <v>0</v>
      </c>
      <c r="M191" s="51">
        <v>0</v>
      </c>
      <c r="N191" s="51">
        <v>125950.019</v>
      </c>
      <c r="O191" s="51">
        <v>200.86</v>
      </c>
    </row>
    <row r="192" spans="1:256" s="50" customFormat="1" ht="15" customHeight="1">
      <c r="A192" s="49" t="s">
        <v>745</v>
      </c>
      <c r="B192" s="49" t="s">
        <v>134</v>
      </c>
      <c r="C192" s="49">
        <v>18895.874</v>
      </c>
      <c r="D192" s="49">
        <v>11.1</v>
      </c>
      <c r="E192" s="49">
        <v>18884.773999999998</v>
      </c>
      <c r="F192" s="49">
        <v>18459.987000000001</v>
      </c>
      <c r="G192" s="49">
        <v>97.750637630082323</v>
      </c>
      <c r="H192" s="49">
        <v>31.994</v>
      </c>
      <c r="I192" s="49">
        <v>0.31000000000000005</v>
      </c>
      <c r="J192" s="49">
        <v>0</v>
      </c>
      <c r="K192" s="49">
        <v>0</v>
      </c>
      <c r="L192" s="49">
        <v>0</v>
      </c>
      <c r="M192" s="49">
        <v>0</v>
      </c>
      <c r="N192" s="49">
        <v>18491.981</v>
      </c>
      <c r="O192" s="49">
        <v>195.82</v>
      </c>
    </row>
    <row r="193" spans="1:15" s="52" customFormat="1" ht="15" customHeight="1">
      <c r="A193" s="51" t="s">
        <v>746</v>
      </c>
      <c r="B193" s="51" t="s">
        <v>135</v>
      </c>
      <c r="C193" s="51">
        <v>3480.0060000000003</v>
      </c>
      <c r="D193" s="51">
        <v>64.960999999999999</v>
      </c>
      <c r="E193" s="51">
        <v>3415.0450000000001</v>
      </c>
      <c r="F193" s="51">
        <v>3258.5159999999996</v>
      </c>
      <c r="G193" s="51">
        <v>95.416487923292365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3258.5159999999996</v>
      </c>
      <c r="O193" s="51">
        <v>191.28</v>
      </c>
    </row>
    <row r="194" spans="1:15" s="50" customFormat="1" ht="15" customHeight="1">
      <c r="A194" s="49" t="s">
        <v>747</v>
      </c>
      <c r="B194" s="49" t="s">
        <v>136</v>
      </c>
      <c r="C194" s="49">
        <v>48822.96</v>
      </c>
      <c r="D194" s="49">
        <v>3657.3250000000003</v>
      </c>
      <c r="E194" s="49">
        <v>45165.635000000002</v>
      </c>
      <c r="F194" s="49">
        <v>45086.7</v>
      </c>
      <c r="G194" s="49">
        <v>99.825232170432216</v>
      </c>
      <c r="H194" s="49">
        <v>69.06</v>
      </c>
      <c r="I194" s="49">
        <v>0.31</v>
      </c>
      <c r="J194" s="49">
        <v>25.91</v>
      </c>
      <c r="K194" s="49">
        <v>0.12</v>
      </c>
      <c r="L194" s="49">
        <v>0</v>
      </c>
      <c r="M194" s="49">
        <v>0</v>
      </c>
      <c r="N194" s="49">
        <v>45181.67</v>
      </c>
      <c r="O194" s="49">
        <v>199.98000000000002</v>
      </c>
    </row>
    <row r="195" spans="1:15">
      <c r="F195" s="55">
        <f>SUM(F188:F194)</f>
        <v>1151101.118</v>
      </c>
      <c r="H195" s="55">
        <f>SUM(H188:H194)</f>
        <v>486.87399999999997</v>
      </c>
      <c r="J195" s="55">
        <f>SUM(J188:J194)</f>
        <v>149.94</v>
      </c>
      <c r="N195" s="55">
        <f>SUM(N188:N194)</f>
        <v>1151737.9319999998</v>
      </c>
    </row>
  </sheetData>
  <mergeCells count="2">
    <mergeCell ref="A186:C186"/>
    <mergeCell ref="A172:C172"/>
  </mergeCells>
  <phoneticPr fontId="2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84"/>
  <sheetViews>
    <sheetView zoomScale="90" zoomScaleNormal="90" workbookViewId="0">
      <pane xSplit="3" ySplit="2" topLeftCell="D54" activePane="bottomRight" state="frozen"/>
      <selection pane="topRight" activeCell="D1" sqref="D1"/>
      <selection pane="bottomLeft" activeCell="A3" sqref="A3"/>
      <selection pane="bottomRight" activeCell="AF119" sqref="AF119"/>
    </sheetView>
  </sheetViews>
  <sheetFormatPr defaultRowHeight="14.4"/>
  <cols>
    <col min="1" max="1" width="13" customWidth="1"/>
    <col min="2" max="2" width="13" style="299" customWidth="1"/>
    <col min="3" max="3" width="7.296875" customWidth="1"/>
    <col min="4" max="6" width="7.3984375" style="299" customWidth="1"/>
    <col min="7" max="7" width="8.8984375" style="299" customWidth="1"/>
    <col min="8" max="8" width="7.796875" customWidth="1"/>
    <col min="9" max="9" width="9.3984375" customWidth="1"/>
    <col min="10" max="10" width="9.5" style="299" customWidth="1"/>
    <col min="11" max="16" width="6.8984375" style="69" customWidth="1"/>
    <col min="17" max="17" width="6.8984375" style="706" customWidth="1"/>
    <col min="18" max="23" width="6.8984375" style="69" customWidth="1"/>
    <col min="24" max="24" width="8.796875" customWidth="1"/>
    <col min="31" max="31" width="5.19921875" bestFit="1" customWidth="1"/>
    <col min="32" max="32" width="7.59765625" bestFit="1" customWidth="1"/>
    <col min="33" max="33" width="5.19921875" bestFit="1" customWidth="1"/>
    <col min="38" max="38" width="8.69921875" customWidth="1"/>
    <col min="57" max="57" width="8.796875" customWidth="1"/>
    <col min="58" max="58" width="11" bestFit="1" customWidth="1"/>
    <col min="60" max="60" width="15" customWidth="1"/>
    <col min="61" max="62" width="9" bestFit="1" customWidth="1"/>
  </cols>
  <sheetData>
    <row r="1" spans="1:63" ht="21.6" thickBot="1">
      <c r="A1" s="7019" t="s">
        <v>1347</v>
      </c>
      <c r="B1" s="7019"/>
      <c r="C1" s="7019"/>
      <c r="D1" s="7019"/>
      <c r="E1" s="7019"/>
      <c r="F1" s="7019"/>
      <c r="G1" s="7019"/>
      <c r="H1" s="7019"/>
      <c r="I1" s="7019"/>
      <c r="J1" s="7019"/>
      <c r="K1" s="7019"/>
      <c r="L1" s="7019"/>
      <c r="M1" s="7019"/>
      <c r="N1" s="7019"/>
      <c r="O1" s="7019"/>
      <c r="P1" s="7019"/>
      <c r="Q1" s="7019"/>
      <c r="R1" s="7019"/>
      <c r="S1" s="7019"/>
      <c r="T1" s="7019"/>
      <c r="U1" s="7019"/>
      <c r="V1" s="7019"/>
      <c r="W1" s="7019"/>
      <c r="AA1" s="299"/>
      <c r="AB1" s="299"/>
      <c r="AC1" s="299"/>
    </row>
    <row r="2" spans="1:63" ht="34.799999999999997">
      <c r="A2" s="7321" t="s">
        <v>560</v>
      </c>
      <c r="B2" s="7321"/>
      <c r="C2" s="648" t="s">
        <v>1038</v>
      </c>
      <c r="D2" s="1750" t="s">
        <v>1037</v>
      </c>
      <c r="E2" s="1750" t="s">
        <v>1036</v>
      </c>
      <c r="F2" s="3083" t="s">
        <v>1415</v>
      </c>
      <c r="G2" s="4236" t="s">
        <v>1348</v>
      </c>
      <c r="H2" s="649" t="s">
        <v>2029</v>
      </c>
      <c r="I2" s="649" t="s">
        <v>2030</v>
      </c>
      <c r="J2" s="649" t="s">
        <v>2031</v>
      </c>
      <c r="K2" s="4236" t="s">
        <v>18</v>
      </c>
      <c r="L2" s="4236" t="s">
        <v>5</v>
      </c>
      <c r="M2" s="4236" t="s">
        <v>6</v>
      </c>
      <c r="N2" s="4236" t="s">
        <v>7</v>
      </c>
      <c r="O2" s="4236" t="s">
        <v>8</v>
      </c>
      <c r="P2" s="5715" t="s">
        <v>9</v>
      </c>
      <c r="Q2" s="2442" t="s">
        <v>1349</v>
      </c>
      <c r="R2" s="4236" t="s">
        <v>10</v>
      </c>
      <c r="S2" s="4236" t="s">
        <v>11</v>
      </c>
      <c r="T2" s="5915" t="s">
        <v>12</v>
      </c>
      <c r="U2" s="4240" t="s">
        <v>13</v>
      </c>
      <c r="V2" s="6699" t="s">
        <v>14</v>
      </c>
      <c r="W2" s="2724" t="s">
        <v>15</v>
      </c>
      <c r="X2" s="1501" t="s">
        <v>2033</v>
      </c>
      <c r="Y2" s="7020" t="s">
        <v>2032</v>
      </c>
    </row>
    <row r="3" spans="1:63" s="299" customFormat="1" ht="22.5" customHeight="1">
      <c r="A3" s="7327" t="s">
        <v>1140</v>
      </c>
      <c r="B3" s="7327"/>
      <c r="C3" s="3097">
        <f>종합!E22/12</f>
        <v>204.33333333333334</v>
      </c>
      <c r="D3" s="1751">
        <f>종합!F22/12</f>
        <v>96.064166666666651</v>
      </c>
      <c r="E3" s="1751">
        <f>종합!G22/12</f>
        <v>50.409166666666664</v>
      </c>
      <c r="F3" s="1751">
        <f>종합!H22/12</f>
        <v>42.083166666666671</v>
      </c>
      <c r="G3" s="4237">
        <f>종합!I22/12</f>
        <v>48.073333333333345</v>
      </c>
      <c r="H3" s="543">
        <f>AVERAGE(E3:G3)</f>
        <v>46.855222222222231</v>
      </c>
      <c r="I3" s="543">
        <v>28.49666666666667</v>
      </c>
      <c r="J3" s="543">
        <v>21.746666666666666</v>
      </c>
      <c r="K3" s="4238">
        <f>종합!L22</f>
        <v>8.9499999999999993</v>
      </c>
      <c r="L3" s="4238">
        <f>종합!M22</f>
        <v>43.05</v>
      </c>
      <c r="M3" s="4238">
        <f>종합!N22</f>
        <v>33.94</v>
      </c>
      <c r="N3" s="4238">
        <f>종합!O22</f>
        <v>4.93</v>
      </c>
      <c r="O3" s="4238">
        <f>종합!P22</f>
        <v>36.08</v>
      </c>
      <c r="P3" s="4578">
        <f>종합!Q22</f>
        <v>44.03</v>
      </c>
      <c r="Q3" s="2443">
        <f>AVERAGE(K3:P3)</f>
        <v>28.49666666666667</v>
      </c>
      <c r="R3" s="4238">
        <f>종합!R22</f>
        <v>48.01</v>
      </c>
      <c r="S3" s="4238">
        <f>종합!S22</f>
        <v>25.689999999999998</v>
      </c>
      <c r="T3" s="5916">
        <f>종합!T22</f>
        <v>6.67</v>
      </c>
      <c r="U3" s="4241">
        <f>종합!U22</f>
        <v>28.730000000000004</v>
      </c>
      <c r="V3" s="6700">
        <f>종합!V22</f>
        <v>6.62</v>
      </c>
      <c r="W3" s="2240">
        <f>종합!W22</f>
        <v>14.76</v>
      </c>
      <c r="X3" s="1502">
        <f>종합!K22</f>
        <v>28.9</v>
      </c>
      <c r="Y3" s="7021">
        <f>AVERAGE(R3:W3)</f>
        <v>21.746666666666666</v>
      </c>
      <c r="BD3" s="299">
        <v>19.001744698885588</v>
      </c>
      <c r="BG3" s="706" t="s">
        <v>1668</v>
      </c>
      <c r="BH3" s="706">
        <v>21434.394999999997</v>
      </c>
      <c r="BI3" s="706">
        <v>329927.99199999997</v>
      </c>
      <c r="BJ3" s="299">
        <v>351766.38199999998</v>
      </c>
      <c r="BK3" s="299">
        <f>BJ3/12</f>
        <v>29313.865166666666</v>
      </c>
    </row>
    <row r="4" spans="1:63" s="299" customFormat="1" ht="22.5" customHeight="1">
      <c r="A4" s="7326" t="s">
        <v>1121</v>
      </c>
      <c r="B4" s="7326"/>
      <c r="C4" s="1749">
        <f>(종합!E51+종합!E58)/12</f>
        <v>128</v>
      </c>
      <c r="D4" s="1749">
        <f>(종합!F51+종합!F58)/12</f>
        <v>430.05891666666668</v>
      </c>
      <c r="E4" s="1749">
        <f>(종합!G51+종합!G58)/12</f>
        <v>205.41499999999999</v>
      </c>
      <c r="F4" s="1749">
        <f>(종합!H51+종합!H58)/12</f>
        <v>134.05775</v>
      </c>
      <c r="G4" s="4237">
        <f>(종합!I51+종합!I58)/12</f>
        <v>110.26900000000001</v>
      </c>
      <c r="H4" s="543">
        <f>AVERAGE(E4:G4)</f>
        <v>149.91391666666667</v>
      </c>
      <c r="I4" s="543">
        <v>79.964833333333331</v>
      </c>
      <c r="J4" s="543">
        <v>77.182000000000002</v>
      </c>
      <c r="K4" s="4238">
        <f>종합!L51+종합!L58</f>
        <v>70.322000000000003</v>
      </c>
      <c r="L4" s="4238">
        <f>종합!M51+종합!M58</f>
        <v>64.539000000000001</v>
      </c>
      <c r="M4" s="4238">
        <f>종합!N51+종합!N58</f>
        <v>111.50999999999999</v>
      </c>
      <c r="N4" s="4238">
        <f>종합!O51+종합!O58</f>
        <v>73.018000000000001</v>
      </c>
      <c r="O4" s="4238">
        <f>종합!P51+종합!P58</f>
        <v>85.221999999999994</v>
      </c>
      <c r="P4" s="4578">
        <f>종합!Q51+종합!Q58</f>
        <v>75.177999999999997</v>
      </c>
      <c r="Q4" s="2443">
        <f t="shared" ref="Q4:Q22" si="0">AVERAGE(K4:P4)</f>
        <v>79.964833333333331</v>
      </c>
      <c r="R4" s="4238">
        <f>종합!R51+종합!R58</f>
        <v>62.766000000000005</v>
      </c>
      <c r="S4" s="4238">
        <f>종합!S51+종합!S58</f>
        <v>129.31299999999999</v>
      </c>
      <c r="T4" s="5916">
        <f>종합!T51+종합!T58</f>
        <v>77.111999999999995</v>
      </c>
      <c r="U4" s="4241">
        <f>종합!U51+종합!U58</f>
        <v>96.396000000000001</v>
      </c>
      <c r="V4" s="6700">
        <f>종합!V51+종합!V58</f>
        <v>47.2</v>
      </c>
      <c r="W4" s="2443">
        <f>종합!W51+종합!W58</f>
        <v>50.305</v>
      </c>
      <c r="X4" s="2725">
        <f>종합!K51+종합!K58</f>
        <v>89.658848484848477</v>
      </c>
      <c r="Y4" s="7021">
        <f t="shared" ref="Y4:Y22" si="1">AVERAGE(R4:W4)</f>
        <v>77.182000000000002</v>
      </c>
      <c r="BD4" s="299">
        <v>18.256128382076991</v>
      </c>
      <c r="BG4" s="706" t="s">
        <v>1669</v>
      </c>
      <c r="BH4" s="706">
        <v>17000.244999999999</v>
      </c>
      <c r="BI4" s="706">
        <v>307718.61499999999</v>
      </c>
      <c r="BJ4" s="299">
        <v>346353.45400000003</v>
      </c>
      <c r="BK4" s="299">
        <f>BJ4/12</f>
        <v>28862.787833333336</v>
      </c>
    </row>
    <row r="5" spans="1:63" s="299" customFormat="1" ht="22.5" customHeight="1">
      <c r="A5" s="7324" t="s">
        <v>1119</v>
      </c>
      <c r="B5" s="7325"/>
      <c r="C5" s="3098"/>
      <c r="D5" s="3098"/>
      <c r="E5" s="3098"/>
      <c r="F5" s="3099"/>
      <c r="G5" s="4237">
        <v>73</v>
      </c>
      <c r="H5" s="3100"/>
      <c r="I5" s="1749">
        <v>10.451666666666666</v>
      </c>
      <c r="J5" s="1749">
        <v>33.13283333333333</v>
      </c>
      <c r="K5" s="4238">
        <f>종합!L69</f>
        <v>26.77</v>
      </c>
      <c r="L5" s="4238">
        <f>종합!M69</f>
        <v>27.57</v>
      </c>
      <c r="M5" s="4238">
        <f>종합!N69</f>
        <v>4.26</v>
      </c>
      <c r="N5" s="4238">
        <f>종합!O69</f>
        <v>8.3800000000000008</v>
      </c>
      <c r="O5" s="4238">
        <f>종합!P69</f>
        <v>0</v>
      </c>
      <c r="P5" s="4578">
        <f>종합!Q69</f>
        <v>0</v>
      </c>
      <c r="Q5" s="2443">
        <f t="shared" si="0"/>
        <v>11.163333333333334</v>
      </c>
      <c r="R5" s="4238">
        <f>종합!R69</f>
        <v>20.46</v>
      </c>
      <c r="S5" s="4238">
        <f>종합!S69</f>
        <v>3</v>
      </c>
      <c r="T5" s="5916">
        <f>종합!T69</f>
        <v>131.15</v>
      </c>
      <c r="U5" s="4241">
        <f>종합!U69</f>
        <v>17.14</v>
      </c>
      <c r="V5" s="6700">
        <f>종합!V69</f>
        <v>0</v>
      </c>
      <c r="W5" s="2240">
        <f>종합!W69</f>
        <v>38.324999999999996</v>
      </c>
      <c r="X5" s="2037">
        <f>종합!K69</f>
        <v>29.396000000000001</v>
      </c>
      <c r="Y5" s="7021">
        <f t="shared" si="1"/>
        <v>35.012499999999996</v>
      </c>
      <c r="BD5" s="299">
        <v>3.3374206712577461</v>
      </c>
      <c r="BG5" s="706" t="s">
        <v>718</v>
      </c>
      <c r="BH5" s="706">
        <v>15407.464999999998</v>
      </c>
      <c r="BI5" s="706">
        <v>319796.21900000004</v>
      </c>
      <c r="BJ5" s="299">
        <v>362116.027</v>
      </c>
      <c r="BK5" s="299">
        <f>BJ5/12</f>
        <v>30176.335583333333</v>
      </c>
    </row>
    <row r="6" spans="1:63" s="299" customFormat="1" ht="22.5" customHeight="1">
      <c r="A6" s="7324" t="s">
        <v>1120</v>
      </c>
      <c r="B6" s="7325"/>
      <c r="C6" s="3098"/>
      <c r="D6" s="3098"/>
      <c r="E6" s="3098"/>
      <c r="F6" s="3099"/>
      <c r="G6" s="4237">
        <f>종합!I63/12</f>
        <v>68.370666666666665</v>
      </c>
      <c r="H6" s="3100"/>
      <c r="I6" s="1749">
        <v>39.151666666666664</v>
      </c>
      <c r="J6" s="1749">
        <v>71.418999999999997</v>
      </c>
      <c r="K6" s="4238">
        <f>종합!L63</f>
        <v>37.11</v>
      </c>
      <c r="L6" s="4238">
        <f>종합!M63</f>
        <v>23.46</v>
      </c>
      <c r="M6" s="4238">
        <f>종합!N63</f>
        <v>94.52</v>
      </c>
      <c r="N6" s="4238">
        <f>종합!O63</f>
        <v>55.29</v>
      </c>
      <c r="O6" s="4238">
        <f>종합!P63</f>
        <v>9.74</v>
      </c>
      <c r="P6" s="4578">
        <f>종합!Q63</f>
        <v>14.780000000000001</v>
      </c>
      <c r="Q6" s="2443">
        <f t="shared" si="0"/>
        <v>39.15</v>
      </c>
      <c r="R6" s="4238">
        <f>종합!R63</f>
        <v>50.87</v>
      </c>
      <c r="S6" s="4238">
        <f>종합!S63</f>
        <v>86.573999999999998</v>
      </c>
      <c r="T6" s="5916">
        <f>종합!T63</f>
        <v>81.703000000000003</v>
      </c>
      <c r="U6" s="4241">
        <f>종합!U63</f>
        <v>57.692</v>
      </c>
      <c r="V6" s="6700">
        <f>종합!V63</f>
        <v>98.00500000000001</v>
      </c>
      <c r="W6" s="2240">
        <f>종합!W63</f>
        <v>53.67</v>
      </c>
      <c r="X6" s="2037">
        <f>종합!K63</f>
        <v>38.16117426655277</v>
      </c>
      <c r="Y6" s="7021">
        <f t="shared" si="1"/>
        <v>71.418999999999997</v>
      </c>
      <c r="BD6" s="299">
        <v>5.4775131817827143</v>
      </c>
      <c r="BG6" s="706" t="s">
        <v>1032</v>
      </c>
      <c r="BH6" s="706">
        <v>14678.220000000001</v>
      </c>
      <c r="BI6" s="706">
        <v>321542.93400000001</v>
      </c>
      <c r="BJ6" s="299">
        <v>355817.74099999998</v>
      </c>
      <c r="BK6" s="299">
        <f>BJ6/12</f>
        <v>29651.478416666665</v>
      </c>
    </row>
    <row r="7" spans="1:63" s="299" customFormat="1" ht="22.5" customHeight="1" thickBot="1">
      <c r="A7" s="7326" t="s">
        <v>1122</v>
      </c>
      <c r="B7" s="7326"/>
      <c r="C7" s="1749">
        <f>SUM(C4:C6)</f>
        <v>128</v>
      </c>
      <c r="D7" s="1749">
        <f>SUM(D4:D6)</f>
        <v>430.05891666666668</v>
      </c>
      <c r="E7" s="1749">
        <f>SUM(E4:E6)</f>
        <v>205.41499999999999</v>
      </c>
      <c r="F7" s="1749">
        <f>SUM(F4:F6)</f>
        <v>134.05775</v>
      </c>
      <c r="G7" s="4238">
        <f>(종합!I51+종합!I58+종합!I63+종합!I69)/12</f>
        <v>230.67258333333334</v>
      </c>
      <c r="H7" s="543">
        <f>AVERAGE(E7:G7)</f>
        <v>190.04844444444447</v>
      </c>
      <c r="I7" s="1749">
        <v>129.56816666666666</v>
      </c>
      <c r="J7" s="1749">
        <v>181.73383333333334</v>
      </c>
      <c r="K7" s="4238">
        <f>SUM(K4:K6)</f>
        <v>134.202</v>
      </c>
      <c r="L7" s="4238">
        <f t="shared" ref="L7:W7" si="2">SUM(L4:L6)</f>
        <v>115.56900000000002</v>
      </c>
      <c r="M7" s="4238">
        <f t="shared" si="2"/>
        <v>210.29</v>
      </c>
      <c r="N7" s="4238">
        <f t="shared" si="2"/>
        <v>136.68799999999999</v>
      </c>
      <c r="O7" s="4238">
        <f>SUM(O4:O6)</f>
        <v>94.961999999999989</v>
      </c>
      <c r="P7" s="4578">
        <f t="shared" si="2"/>
        <v>89.957999999999998</v>
      </c>
      <c r="Q7" s="2443">
        <f t="shared" si="2"/>
        <v>130.27816666666666</v>
      </c>
      <c r="R7" s="4238">
        <f t="shared" si="2"/>
        <v>134.096</v>
      </c>
      <c r="S7" s="4238">
        <f t="shared" si="2"/>
        <v>218.887</v>
      </c>
      <c r="T7" s="5916">
        <f t="shared" si="2"/>
        <v>289.96500000000003</v>
      </c>
      <c r="U7" s="4241">
        <f>SUM(U4:U6)</f>
        <v>171.22800000000001</v>
      </c>
      <c r="V7" s="6700">
        <f>SUM(V4:V6)</f>
        <v>145.20500000000001</v>
      </c>
      <c r="W7" s="2240">
        <f t="shared" si="2"/>
        <v>142.30000000000001</v>
      </c>
      <c r="X7" s="2037">
        <f>X4+X5+X6</f>
        <v>157.21602275140125</v>
      </c>
      <c r="Y7" s="7021">
        <f t="shared" si="1"/>
        <v>183.61350000000004</v>
      </c>
      <c r="BD7" s="299">
        <v>11.546987385240101</v>
      </c>
      <c r="BF7" s="299" t="s">
        <v>1783</v>
      </c>
    </row>
    <row r="8" spans="1:63" s="299" customFormat="1" ht="22.5" customHeight="1" thickBot="1">
      <c r="A8" s="7326" t="s">
        <v>563</v>
      </c>
      <c r="B8" s="7326"/>
      <c r="C8" s="4578">
        <f>종합!E75/12</f>
        <v>682.85416666666663</v>
      </c>
      <c r="D8" s="4578">
        <f>종합!F75/12</f>
        <v>788.26833333333332</v>
      </c>
      <c r="E8" s="4578">
        <f>종합!G75/12</f>
        <v>654.91999999999996</v>
      </c>
      <c r="F8" s="4578">
        <f>종합!H75/12</f>
        <v>599.01583333333326</v>
      </c>
      <c r="G8" s="4238">
        <f>종합!I75/12</f>
        <v>581.51374999999996</v>
      </c>
      <c r="H8" s="543">
        <f>AVERAGE(E8:G8)</f>
        <v>611.81652777777765</v>
      </c>
      <c r="I8" s="4578">
        <v>566.81666666666672</v>
      </c>
      <c r="J8" s="4578">
        <v>451.13166666666672</v>
      </c>
      <c r="K8" s="4238">
        <f>종합!L75</f>
        <v>566.36</v>
      </c>
      <c r="L8" s="4238">
        <f>종합!M75</f>
        <v>584.7299999999999</v>
      </c>
      <c r="M8" s="4238">
        <f>종합!N75</f>
        <v>611.78000000000009</v>
      </c>
      <c r="N8" s="4238">
        <f>종합!O75</f>
        <v>549.29</v>
      </c>
      <c r="O8" s="4238">
        <f>종합!P75</f>
        <v>491.36000000000007</v>
      </c>
      <c r="P8" s="4578">
        <f>종합!Q75</f>
        <v>597.38</v>
      </c>
      <c r="Q8" s="2443">
        <f t="shared" si="0"/>
        <v>566.81666666666672</v>
      </c>
      <c r="R8" s="4238">
        <f>종합!R75</f>
        <v>678.85</v>
      </c>
      <c r="S8" s="4238">
        <f>종합!S75</f>
        <v>619.64</v>
      </c>
      <c r="T8" s="5916">
        <f>종합!T75</f>
        <v>606.07000000000016</v>
      </c>
      <c r="U8" s="4241">
        <f>종합!U75</f>
        <v>636.62</v>
      </c>
      <c r="V8" s="5714">
        <f>종합!V75</f>
        <v>109.02000000000001</v>
      </c>
      <c r="W8" s="2239">
        <f>종합!W75</f>
        <v>56.589999999999996</v>
      </c>
      <c r="X8" s="4711">
        <f>종합!K75</f>
        <v>602.66392121212118</v>
      </c>
      <c r="Y8" s="7021">
        <f t="shared" si="1"/>
        <v>451.13166666666672</v>
      </c>
      <c r="BD8" s="3891" t="s">
        <v>1108</v>
      </c>
      <c r="BE8" s="3892" t="s">
        <v>1107</v>
      </c>
      <c r="BF8" s="3892" t="s">
        <v>1103</v>
      </c>
      <c r="BG8" s="3893" t="s">
        <v>1104</v>
      </c>
      <c r="BH8" s="5210" t="s">
        <v>1766</v>
      </c>
    </row>
    <row r="9" spans="1:63" s="299" customFormat="1" ht="22.5" customHeight="1" thickTop="1">
      <c r="A9" s="7311" t="s">
        <v>754</v>
      </c>
      <c r="B9" s="7311"/>
      <c r="C9" s="543">
        <f>(고장!G41+고장!G77)/12</f>
        <v>41.318055555555553</v>
      </c>
      <c r="D9" s="543">
        <f>(고장!H41+고장!H77)/12</f>
        <v>38.69444444444445</v>
      </c>
      <c r="E9" s="543">
        <f>(고장!I41+고장!I77)/12</f>
        <v>25.170833333333334</v>
      </c>
      <c r="F9" s="543">
        <f>(고장!J41+고장!J77)/12</f>
        <v>14.806944444444445</v>
      </c>
      <c r="G9" s="4237">
        <f>(고장!K41+고장!K77)/12</f>
        <v>12.60138888888889</v>
      </c>
      <c r="H9" s="543">
        <f t="shared" ref="H9:H22" si="3">AVERAGE(E9:G9)</f>
        <v>17.526388888888892</v>
      </c>
      <c r="I9" s="543">
        <v>9.0111111111111111</v>
      </c>
      <c r="J9" s="543">
        <v>15.208333333333336</v>
      </c>
      <c r="K9" s="4238">
        <f>고장!N41+고장!N77</f>
        <v>7.3333333333333339</v>
      </c>
      <c r="L9" s="4238">
        <f>고장!O41+고장!O77</f>
        <v>15.416666666666668</v>
      </c>
      <c r="M9" s="4238">
        <f>고장!P41+고장!P77</f>
        <v>2.083333333333333</v>
      </c>
      <c r="N9" s="4238">
        <f>고장!Q41+고장!Q77</f>
        <v>9.1833333333333336</v>
      </c>
      <c r="O9" s="4238">
        <f>고장!R41+고장!R77</f>
        <v>10.3</v>
      </c>
      <c r="P9" s="4578">
        <f>고장!S41+고장!S77</f>
        <v>9.75</v>
      </c>
      <c r="Q9" s="2443">
        <f t="shared" si="0"/>
        <v>9.0111111111111111</v>
      </c>
      <c r="R9" s="4238">
        <f>고장!T41+고장!T77</f>
        <v>15.333333333333334</v>
      </c>
      <c r="S9" s="4238">
        <f>고장!U41+고장!U77</f>
        <v>27.583333333333336</v>
      </c>
      <c r="T9" s="5916">
        <f>고장!V41+고장!V77</f>
        <v>23.35</v>
      </c>
      <c r="U9" s="4241">
        <f>고장!W41+고장!W77</f>
        <v>10</v>
      </c>
      <c r="V9" s="6700">
        <f>고장!X41+고장!X77</f>
        <v>3.15</v>
      </c>
      <c r="W9" s="2240">
        <f>고장!Y41+고장!Y77</f>
        <v>11.833333333333334</v>
      </c>
      <c r="X9" s="1502">
        <f>고장!M16</f>
        <v>11.748535353535349</v>
      </c>
      <c r="Y9" s="7021">
        <f t="shared" si="1"/>
        <v>15.208333333333336</v>
      </c>
      <c r="BD9" s="3889" t="s">
        <v>259</v>
      </c>
      <c r="BE9" s="4580">
        <f>BH3/12</f>
        <v>1786.1995833333331</v>
      </c>
      <c r="BF9" s="4581">
        <f>BK3</f>
        <v>29313.865166666666</v>
      </c>
      <c r="BG9" s="5208">
        <f t="shared" ref="BG9:BG25" si="4">BE9/BF9*1000</f>
        <v>60.933608487919685</v>
      </c>
    </row>
    <row r="10" spans="1:63" s="299" customFormat="1" ht="22.5" customHeight="1">
      <c r="A10" s="7311" t="s">
        <v>66</v>
      </c>
      <c r="B10" s="7311"/>
      <c r="C10" s="543">
        <f>(고장!G51+고장!G87)/12</f>
        <v>25.916666666666668</v>
      </c>
      <c r="D10" s="543">
        <f>(고장!H51+고장!H87)/12</f>
        <v>22.833333333333332</v>
      </c>
      <c r="E10" s="543">
        <f>(고장!I51+고장!I87)/12</f>
        <v>13.166666666666666</v>
      </c>
      <c r="F10" s="543">
        <f>(고장!J51+고장!J87)/12</f>
        <v>9.25</v>
      </c>
      <c r="G10" s="4237">
        <f>(고장!K51+고장!K87)/12</f>
        <v>5.916666666666667</v>
      </c>
      <c r="H10" s="543">
        <f t="shared" si="3"/>
        <v>9.4444444444444446</v>
      </c>
      <c r="I10" s="543">
        <v>5.666666666666667</v>
      </c>
      <c r="J10" s="543">
        <v>6.333333333333333</v>
      </c>
      <c r="K10" s="4238">
        <f>고장!N51+고장!N87</f>
        <v>5</v>
      </c>
      <c r="L10" s="4238">
        <f>고장!O51+고장!O87</f>
        <v>9</v>
      </c>
      <c r="M10" s="4238">
        <f>고장!P51+고장!P87</f>
        <v>3</v>
      </c>
      <c r="N10" s="4238">
        <f>고장!Q51+고장!Q87</f>
        <v>6</v>
      </c>
      <c r="O10" s="4238">
        <f>고장!R51+고장!R87</f>
        <v>4</v>
      </c>
      <c r="P10" s="4578">
        <f>고장!S51+고장!S87</f>
        <v>7</v>
      </c>
      <c r="Q10" s="2443">
        <f t="shared" si="0"/>
        <v>5.666666666666667</v>
      </c>
      <c r="R10" s="4238">
        <f>고장!T51+고장!T87</f>
        <v>6</v>
      </c>
      <c r="S10" s="6701">
        <f>고장!U51+고장!U87</f>
        <v>11</v>
      </c>
      <c r="T10" s="6099">
        <f>고장!V51+고장!V87</f>
        <v>12</v>
      </c>
      <c r="U10" s="5912">
        <f>고장!W51+고장!W87</f>
        <v>4</v>
      </c>
      <c r="V10" s="5908">
        <f>고장!X51+고장!X87</f>
        <v>1</v>
      </c>
      <c r="W10" s="5908">
        <f>고장!Y51+고장!Y87</f>
        <v>4</v>
      </c>
      <c r="X10" s="1502">
        <f>고장!M26</f>
        <v>5.0999999999999996</v>
      </c>
      <c r="Y10" s="7021">
        <f t="shared" si="1"/>
        <v>6.333333333333333</v>
      </c>
      <c r="BD10" s="3888" t="s">
        <v>716</v>
      </c>
      <c r="BE10" s="4580">
        <f>BH4/12</f>
        <v>1416.6870833333332</v>
      </c>
      <c r="BF10" s="4581">
        <f>BK4</f>
        <v>28862.787833333336</v>
      </c>
      <c r="BG10" s="3912">
        <f t="shared" si="4"/>
        <v>49.083515130760027</v>
      </c>
    </row>
    <row r="11" spans="1:63" s="299" customFormat="1" ht="22.5" customHeight="1">
      <c r="A11" s="7322" t="s">
        <v>1093</v>
      </c>
      <c r="B11" s="7323"/>
      <c r="C11" s="1749">
        <f>172/12</f>
        <v>14.333333333333334</v>
      </c>
      <c r="D11" s="1749">
        <f>종합!AO201/12</f>
        <v>4.75</v>
      </c>
      <c r="E11" s="1749">
        <f>종합!AP201/12</f>
        <v>2.9166666666666665</v>
      </c>
      <c r="F11" s="1749">
        <f>종합!AQ201/12</f>
        <v>2.5</v>
      </c>
      <c r="G11" s="4237">
        <f>종합!AR201/12</f>
        <v>4.416666666666667</v>
      </c>
      <c r="H11" s="543">
        <f t="shared" si="3"/>
        <v>3.2777777777777772</v>
      </c>
      <c r="I11" s="1749">
        <v>1.8333333333333333</v>
      </c>
      <c r="J11" s="1749">
        <v>2.3333333333333335</v>
      </c>
      <c r="K11" s="4238">
        <f>종합!AT204</f>
        <v>5</v>
      </c>
      <c r="L11" s="4238">
        <f>종합!AU201</f>
        <v>0</v>
      </c>
      <c r="M11" s="4238">
        <f>종합!AV201</f>
        <v>1</v>
      </c>
      <c r="N11" s="4238">
        <f>종합!AW201</f>
        <v>1</v>
      </c>
      <c r="O11" s="4238">
        <f>종합!AX201</f>
        <v>2</v>
      </c>
      <c r="P11" s="4578">
        <f>종합!AY201</f>
        <v>2</v>
      </c>
      <c r="Q11" s="2443">
        <f t="shared" si="0"/>
        <v>1.8333333333333333</v>
      </c>
      <c r="R11" s="4238">
        <f>종합!AZ201</f>
        <v>4</v>
      </c>
      <c r="S11" s="6702">
        <f>종합!BA201</f>
        <v>2</v>
      </c>
      <c r="T11" s="6100">
        <f>종합!BB201</f>
        <v>2</v>
      </c>
      <c r="U11" s="5913">
        <f>종합!BC201</f>
        <v>1</v>
      </c>
      <c r="V11" s="5911">
        <f>종합!BD201</f>
        <v>3</v>
      </c>
      <c r="W11" s="5910">
        <f>종합!BE201</f>
        <v>2</v>
      </c>
      <c r="X11" s="2037">
        <f>종합!BI201/12</f>
        <v>3.9750000000000001</v>
      </c>
      <c r="Y11" s="7021">
        <f t="shared" si="1"/>
        <v>2.3333333333333335</v>
      </c>
      <c r="BD11" s="3884" t="s">
        <v>1180</v>
      </c>
      <c r="BE11" s="3890">
        <f>15407.465/12</f>
        <v>1283.9554166666667</v>
      </c>
      <c r="BF11" s="4581">
        <f>BK5</f>
        <v>30176.335583333333</v>
      </c>
      <c r="BG11" s="3912">
        <f t="shared" si="4"/>
        <v>42.54842053704516</v>
      </c>
      <c r="BH11" s="299" t="s">
        <v>1575</v>
      </c>
    </row>
    <row r="12" spans="1:63" s="299" customFormat="1" ht="22.5" customHeight="1" thickBot="1">
      <c r="A12" s="7311" t="s">
        <v>564</v>
      </c>
      <c r="B12" s="7311"/>
      <c r="C12" s="543"/>
      <c r="D12" s="543">
        <f>종합!AO202/12</f>
        <v>80.583333333333329</v>
      </c>
      <c r="E12" s="543">
        <f>종합!AP202/12</f>
        <v>20.166666666666668</v>
      </c>
      <c r="F12" s="543">
        <f>종합!AQ202/12</f>
        <v>18.574749999999998</v>
      </c>
      <c r="G12" s="4237">
        <f>종합!AR202/12</f>
        <v>50.498333333333335</v>
      </c>
      <c r="H12" s="543">
        <f t="shared" si="3"/>
        <v>29.746583333333334</v>
      </c>
      <c r="I12" s="543">
        <v>18.976333333333333</v>
      </c>
      <c r="J12" s="543">
        <v>11.558833333333334</v>
      </c>
      <c r="K12" s="4238">
        <f>종합!AS231</f>
        <v>31.07</v>
      </c>
      <c r="L12" s="4238">
        <f>종합!AT231</f>
        <v>15.41</v>
      </c>
      <c r="M12" s="4238">
        <f>종합!AU231</f>
        <v>21.61</v>
      </c>
      <c r="N12" s="4238">
        <f>종합!AV231</f>
        <v>4.32</v>
      </c>
      <c r="O12" s="4238">
        <f>종합!AW231</f>
        <v>23.19</v>
      </c>
      <c r="P12" s="4578">
        <f>종합!AX231</f>
        <v>18.257999999999999</v>
      </c>
      <c r="Q12" s="2443">
        <f t="shared" si="0"/>
        <v>18.976333333333333</v>
      </c>
      <c r="R12" s="4238">
        <f>종합!AY231</f>
        <v>2.12</v>
      </c>
      <c r="S12" s="6703">
        <f>종합!AZ231</f>
        <v>0</v>
      </c>
      <c r="T12" s="6101">
        <f>종합!BA231</f>
        <v>4.83</v>
      </c>
      <c r="U12" s="5914">
        <f>종합!BB231</f>
        <v>0</v>
      </c>
      <c r="V12" s="5911">
        <f>종합!BC231</f>
        <v>19.873000000000001</v>
      </c>
      <c r="W12" s="5910">
        <f>종합!BD231</f>
        <v>42.53</v>
      </c>
      <c r="X12" s="4577">
        <f>종합!BI202/12</f>
        <v>45.448500000000003</v>
      </c>
      <c r="Y12" s="7021">
        <f t="shared" si="1"/>
        <v>11.558833333333334</v>
      </c>
      <c r="AE12" s="299" t="s">
        <v>258</v>
      </c>
      <c r="AF12" s="299" t="s">
        <v>565</v>
      </c>
      <c r="AG12" s="299" t="s">
        <v>259</v>
      </c>
      <c r="BD12" s="3894" t="s">
        <v>1574</v>
      </c>
      <c r="BE12" s="3895">
        <f>14665.7/12</f>
        <v>1222.1416666666667</v>
      </c>
      <c r="BF12" s="4581">
        <f>BK6</f>
        <v>29651.478416666665</v>
      </c>
      <c r="BG12" s="5209">
        <f t="shared" si="4"/>
        <v>41.216888058428772</v>
      </c>
      <c r="BH12" s="299" t="s">
        <v>1575</v>
      </c>
    </row>
    <row r="13" spans="1:63" s="299" customFormat="1" ht="22.5" customHeight="1">
      <c r="A13" s="7309" t="s">
        <v>1101</v>
      </c>
      <c r="B13" s="7310"/>
      <c r="C13" s="542">
        <f>종합!E45</f>
        <v>17.972756755519075</v>
      </c>
      <c r="D13" s="542">
        <f>종합!F45</f>
        <v>17.724799471759283</v>
      </c>
      <c r="E13" s="542">
        <f>종합!G45</f>
        <v>14.066627028849823</v>
      </c>
      <c r="F13" s="542">
        <f>종합!H45</f>
        <v>12.461254043779764</v>
      </c>
      <c r="G13" s="1752">
        <f>종합!I45</f>
        <v>12.385736463675421</v>
      </c>
      <c r="H13" s="543">
        <f t="shared" si="3"/>
        <v>12.971205845435003</v>
      </c>
      <c r="I13" s="542">
        <v>11.153294880542903</v>
      </c>
      <c r="J13" s="542">
        <v>10.405929742899234</v>
      </c>
      <c r="K13" s="4239">
        <f>종합!L45</f>
        <v>10.951006451775244</v>
      </c>
      <c r="L13" s="4239">
        <f>종합!M45</f>
        <v>11.218704049800884</v>
      </c>
      <c r="M13" s="5107">
        <f>종합!N45</f>
        <v>11.276656661054007</v>
      </c>
      <c r="N13" s="5107">
        <f>종합!O45</f>
        <v>10.700503615115984</v>
      </c>
      <c r="O13" s="5107">
        <f>종합!P45</f>
        <v>11.133374788210933</v>
      </c>
      <c r="P13" s="4239">
        <f>종합!Q45</f>
        <v>11.5671145018137</v>
      </c>
      <c r="Q13" s="2230">
        <v>11.153294880542903</v>
      </c>
      <c r="R13" s="5107">
        <f>종합!R45</f>
        <v>10.334665196842943</v>
      </c>
      <c r="S13" s="5107">
        <f>종합!S45</f>
        <v>12.166273392486781</v>
      </c>
      <c r="T13" s="5107">
        <f>종합!T45</f>
        <v>10.5802640186151</v>
      </c>
      <c r="U13" s="5107">
        <f>종합!U45</f>
        <v>11.659979025442649</v>
      </c>
      <c r="V13" s="4239">
        <f>종합!V45</f>
        <v>8.098611828968501</v>
      </c>
      <c r="W13" s="5909">
        <f>종합!W45</f>
        <v>9.5957849950394376</v>
      </c>
      <c r="X13" s="4579">
        <v>11.230784779022311</v>
      </c>
      <c r="Y13" s="7021">
        <f t="shared" si="1"/>
        <v>10.405929742899234</v>
      </c>
      <c r="BD13" s="3887" t="s">
        <v>1105</v>
      </c>
      <c r="BE13" s="3905">
        <v>1199.6300000000001</v>
      </c>
      <c r="BF13" s="3906">
        <v>29678.242999999999</v>
      </c>
      <c r="BG13" s="4748">
        <f t="shared" si="4"/>
        <v>40.42119339746629</v>
      </c>
      <c r="BH13" s="299" t="s">
        <v>1576</v>
      </c>
      <c r="BJ13" s="706" t="s">
        <v>1765</v>
      </c>
    </row>
    <row r="14" spans="1:63" s="299" customFormat="1" ht="22.5" customHeight="1">
      <c r="A14" s="7309" t="s">
        <v>1102</v>
      </c>
      <c r="B14" s="7310"/>
      <c r="C14" s="1664">
        <v>66.931939976537919</v>
      </c>
      <c r="D14" s="1664">
        <f>BG9</f>
        <v>60.933608487919685</v>
      </c>
      <c r="E14" s="1664">
        <f>BG10</f>
        <v>49.083515130760027</v>
      </c>
      <c r="F14" s="1664">
        <f>BG11</f>
        <v>42.54842053704516</v>
      </c>
      <c r="G14" s="1664">
        <f>BG12</f>
        <v>41.216888058428772</v>
      </c>
      <c r="H14" s="543">
        <f t="shared" si="3"/>
        <v>44.282941242077982</v>
      </c>
      <c r="I14" s="1664">
        <v>38.572962643821121</v>
      </c>
      <c r="J14" s="1664">
        <v>35.381540612003768</v>
      </c>
      <c r="K14" s="1664">
        <v>43.790674831524385</v>
      </c>
      <c r="L14" s="1664">
        <v>41.632175073768899</v>
      </c>
      <c r="M14" s="2177">
        <v>40.181068843373204</v>
      </c>
      <c r="N14" s="2177">
        <v>35.332461767656802</v>
      </c>
      <c r="O14" s="2177">
        <v>38.782637841308279</v>
      </c>
      <c r="P14" s="2438">
        <v>37.266202624760041</v>
      </c>
      <c r="Q14" s="2230">
        <v>38.572962643821121</v>
      </c>
      <c r="R14" s="2177">
        <v>34.2485277883112</v>
      </c>
      <c r="S14" s="2177">
        <v>35.79671521295618</v>
      </c>
      <c r="T14" s="2177">
        <v>33.096100959398314</v>
      </c>
      <c r="U14" s="2177">
        <v>38.384818487349378</v>
      </c>
      <c r="V14" s="2886"/>
      <c r="W14" s="2722"/>
      <c r="X14" s="2053"/>
      <c r="Y14" s="7021">
        <f t="shared" si="1"/>
        <v>35.381540612003768</v>
      </c>
      <c r="BD14" s="3884" t="s">
        <v>1106</v>
      </c>
      <c r="BE14" s="3900">
        <v>1159.2499999999998</v>
      </c>
      <c r="BF14" s="3907">
        <v>28600.431</v>
      </c>
      <c r="BG14" s="3912">
        <f t="shared" si="4"/>
        <v>40.532605959679408</v>
      </c>
      <c r="BH14" s="299">
        <v>28522.650999999765</v>
      </c>
      <c r="BJ14" s="706">
        <v>26574.859999999964</v>
      </c>
      <c r="BK14" s="299">
        <v>28600.431</v>
      </c>
    </row>
    <row r="15" spans="1:63" ht="22.5" customHeight="1">
      <c r="A15" s="7315" t="s">
        <v>561</v>
      </c>
      <c r="B15" s="7316"/>
      <c r="C15" s="541">
        <f>종합!E40</f>
        <v>20.282416117193858</v>
      </c>
      <c r="D15" s="541">
        <f>종합!F40</f>
        <v>18.464997227375001</v>
      </c>
      <c r="E15" s="541">
        <f>종합!G40</f>
        <v>19.12</v>
      </c>
      <c r="F15" s="3085"/>
      <c r="G15" s="1752">
        <f>종합!I40</f>
        <v>19.001744698885588</v>
      </c>
      <c r="H15" s="543">
        <f t="shared" si="3"/>
        <v>19.060872349442796</v>
      </c>
      <c r="I15" s="542">
        <v>16.708993046535877</v>
      </c>
      <c r="J15" s="542" t="e">
        <v>#DIV/0!</v>
      </c>
      <c r="K15" s="542">
        <f>종합!L40</f>
        <v>16.117583452177431</v>
      </c>
      <c r="L15" s="542">
        <f>종합!M40</f>
        <v>15.810144154059294</v>
      </c>
      <c r="M15" s="2177">
        <f>종합!N40</f>
        <v>16.691915436366799</v>
      </c>
      <c r="N15" s="2177">
        <f>종합!O40</f>
        <v>15.989759151119998</v>
      </c>
      <c r="O15" s="2177">
        <f>종합!P40</f>
        <v>17.495595460002217</v>
      </c>
      <c r="P15" s="2438">
        <f>종합!Q40</f>
        <v>18.148960625489512</v>
      </c>
      <c r="Q15" s="2443">
        <f t="shared" si="0"/>
        <v>16.708993046535877</v>
      </c>
      <c r="R15" s="2177">
        <f>종합!R40</f>
        <v>15.613293267466792</v>
      </c>
      <c r="S15" s="2177">
        <f>종합!S40</f>
        <v>19.668914268918403</v>
      </c>
      <c r="T15" s="2177">
        <f>종합!T40</f>
        <v>15.874494733258715</v>
      </c>
      <c r="U15" s="2177">
        <f>종합!U40</f>
        <v>17.37671232563617</v>
      </c>
      <c r="V15" s="2886">
        <f>종합!V40</f>
        <v>16.09244727807749</v>
      </c>
      <c r="W15" s="2722">
        <v>0</v>
      </c>
      <c r="X15" s="1760">
        <v>17.5</v>
      </c>
      <c r="Y15" s="7021">
        <f t="shared" si="1"/>
        <v>14.104310312226261</v>
      </c>
      <c r="BD15" s="3884" t="s">
        <v>6</v>
      </c>
      <c r="BE15" s="3900">
        <v>1175.2200000000003</v>
      </c>
      <c r="BF15" s="3907">
        <v>29633.292000000001</v>
      </c>
      <c r="BG15" s="3912">
        <f t="shared" si="4"/>
        <v>39.658772977366141</v>
      </c>
      <c r="BJ15" s="706">
        <v>27808.23400000015</v>
      </c>
      <c r="BK15">
        <v>29633.292000000001</v>
      </c>
    </row>
    <row r="16" spans="1:63" ht="22.5" customHeight="1">
      <c r="A16" s="7317" t="s">
        <v>562</v>
      </c>
      <c r="B16" s="7318"/>
      <c r="C16" s="542">
        <f>종합!E41</f>
        <v>27.953627734723693</v>
      </c>
      <c r="D16" s="542">
        <f>종합!F41</f>
        <v>26.702169609769701</v>
      </c>
      <c r="E16" s="542">
        <f>종합!G41</f>
        <v>21.666749896835039</v>
      </c>
      <c r="F16" s="2886"/>
      <c r="G16" s="1752">
        <f>종합!I41</f>
        <v>18.256128382076991</v>
      </c>
      <c r="H16" s="543">
        <f t="shared" si="3"/>
        <v>19.961439139456015</v>
      </c>
      <c r="I16" s="542">
        <v>17.7176952699396</v>
      </c>
      <c r="J16" s="542" t="e">
        <v>#DIV/0!</v>
      </c>
      <c r="K16" s="542">
        <f>종합!L41</f>
        <v>17.213096861768914</v>
      </c>
      <c r="L16" s="542">
        <f>종합!M41</f>
        <v>18.388073523050586</v>
      </c>
      <c r="M16" s="2177">
        <f>종합!N41</f>
        <v>18.569670429571246</v>
      </c>
      <c r="N16" s="2177">
        <f>종합!O41</f>
        <v>17.50057908709956</v>
      </c>
      <c r="O16" s="2177">
        <f>종합!P41</f>
        <v>16.821347487603838</v>
      </c>
      <c r="P16" s="2438">
        <f>종합!Q41</f>
        <v>17.813404230543448</v>
      </c>
      <c r="Q16" s="2443">
        <f t="shared" si="0"/>
        <v>17.7176952699396</v>
      </c>
      <c r="R16" s="2177">
        <f>종합!R41</f>
        <v>16.945487880937161</v>
      </c>
      <c r="S16" s="2177">
        <f>종합!S41</f>
        <v>17.706311287922194</v>
      </c>
      <c r="T16" s="2177">
        <f>종합!T41</f>
        <v>15.912798234697972</v>
      </c>
      <c r="U16" s="2177">
        <f>종합!U41</f>
        <v>18.353951421459108</v>
      </c>
      <c r="V16" s="2886">
        <f>종합!V41</f>
        <v>34.556354304620861</v>
      </c>
      <c r="W16" s="2722">
        <v>0</v>
      </c>
      <c r="X16" s="1760">
        <v>15</v>
      </c>
      <c r="Y16" s="7021">
        <f t="shared" si="1"/>
        <v>17.245817188272884</v>
      </c>
      <c r="BD16" s="3884" t="s">
        <v>7</v>
      </c>
      <c r="BE16" s="3900">
        <v>1162.1199999999999</v>
      </c>
      <c r="BF16" s="3907">
        <v>32891</v>
      </c>
      <c r="BG16" s="3912">
        <f t="shared" si="4"/>
        <v>35.332461767656802</v>
      </c>
      <c r="BI16">
        <f>BI19*BJ17</f>
        <v>-105.91895678354449</v>
      </c>
      <c r="BJ16">
        <f>BI19*BI17</f>
        <v>1248.9489567835446</v>
      </c>
    </row>
    <row r="17" spans="1:62" ht="22.5" customHeight="1">
      <c r="A17" s="7319" t="s">
        <v>29</v>
      </c>
      <c r="B17" s="4325" t="s">
        <v>527</v>
      </c>
      <c r="C17" s="543">
        <f>종합!E19/12</f>
        <v>164.49</v>
      </c>
      <c r="D17" s="543">
        <f>종합!F19/12</f>
        <v>68.384999999999977</v>
      </c>
      <c r="E17" s="543">
        <f>종합!G19/12</f>
        <v>26.666666666666668</v>
      </c>
      <c r="F17" s="3084"/>
      <c r="G17" s="543">
        <f>종합!I19/12</f>
        <v>30.270000000000007</v>
      </c>
      <c r="H17" s="543">
        <f t="shared" si="3"/>
        <v>28.468333333333337</v>
      </c>
      <c r="I17" s="543">
        <v>22.666666666666668</v>
      </c>
      <c r="J17" s="543">
        <v>11.588333333333333</v>
      </c>
      <c r="K17" s="647">
        <f>종합!L19</f>
        <v>4.84</v>
      </c>
      <c r="L17" s="647">
        <f>종합!M19</f>
        <v>41.36</v>
      </c>
      <c r="M17" s="2239">
        <f>종합!N19</f>
        <v>22.59</v>
      </c>
      <c r="N17" s="2239">
        <f>종합!O19</f>
        <v>0</v>
      </c>
      <c r="O17" s="2239">
        <f>종합!P19</f>
        <v>26.65</v>
      </c>
      <c r="P17" s="2437">
        <f>종합!Q19</f>
        <v>40.56</v>
      </c>
      <c r="Q17" s="2443">
        <f t="shared" si="0"/>
        <v>22.666666666666668</v>
      </c>
      <c r="R17" s="2239">
        <f>종합!R19</f>
        <v>37.85</v>
      </c>
      <c r="S17" s="2239">
        <f>종합!S19</f>
        <v>7.47</v>
      </c>
      <c r="T17" s="2239">
        <f>종합!T19</f>
        <v>0</v>
      </c>
      <c r="U17" s="2239">
        <f>종합!U19</f>
        <v>24.21</v>
      </c>
      <c r="V17" s="2988">
        <f>종합!V19</f>
        <v>0</v>
      </c>
      <c r="W17" s="2240">
        <f>종합!W19</f>
        <v>0</v>
      </c>
      <c r="X17" s="1502">
        <v>15</v>
      </c>
      <c r="Y17" s="7021">
        <f t="shared" si="1"/>
        <v>11.588333333333333</v>
      </c>
      <c r="BD17" s="3884" t="s">
        <v>8</v>
      </c>
      <c r="BE17" s="3900">
        <v>1018.9300000000001</v>
      </c>
      <c r="BF17" s="3907">
        <v>26272.839</v>
      </c>
      <c r="BG17" s="3912">
        <f t="shared" si="4"/>
        <v>38.782637841308279</v>
      </c>
      <c r="BI17">
        <f>BF18/BI18</f>
        <v>1.0926650715935229</v>
      </c>
      <c r="BJ17">
        <f>1-BI17</f>
        <v>-9.2665071593522885E-2</v>
      </c>
    </row>
    <row r="18" spans="1:62" ht="22.5" customHeight="1">
      <c r="A18" s="7320"/>
      <c r="B18" s="4325" t="s">
        <v>528</v>
      </c>
      <c r="C18" s="543" t="e">
        <f>종합!#REF!/12</f>
        <v>#REF!</v>
      </c>
      <c r="D18" s="543" t="e">
        <f>종합!#REF!/12</f>
        <v>#REF!</v>
      </c>
      <c r="E18" s="543" t="e">
        <f>종합!#REF!/12</f>
        <v>#REF!</v>
      </c>
      <c r="F18" s="3084"/>
      <c r="G18" s="543">
        <f>종합!I54/12</f>
        <v>46.737333333333332</v>
      </c>
      <c r="H18" s="543" t="e">
        <f t="shared" si="3"/>
        <v>#REF!</v>
      </c>
      <c r="I18" s="543">
        <f>AVERAGE([1]종합!$J$46:$O$46)</f>
        <v>63.126666666666672</v>
      </c>
      <c r="J18" s="543" t="e">
        <v>#REF!</v>
      </c>
      <c r="K18" s="647" t="e">
        <f>종합!#REF!</f>
        <v>#REF!</v>
      </c>
      <c r="L18" s="647" t="e">
        <f>종합!#REF!</f>
        <v>#REF!</v>
      </c>
      <c r="M18" s="2239" t="e">
        <f>종합!#REF!</f>
        <v>#REF!</v>
      </c>
      <c r="N18" s="2239" t="e">
        <f>종합!#REF!</f>
        <v>#REF!</v>
      </c>
      <c r="O18" s="2239" t="e">
        <f>종합!#REF!</f>
        <v>#REF!</v>
      </c>
      <c r="P18" s="2437" t="e">
        <f>종합!#REF!</f>
        <v>#REF!</v>
      </c>
      <c r="Q18" s="2443" t="e">
        <f t="shared" si="0"/>
        <v>#REF!</v>
      </c>
      <c r="R18" s="2239" t="e">
        <f>종합!#REF!</f>
        <v>#REF!</v>
      </c>
      <c r="S18" s="2239" t="e">
        <f>종합!#REF!</f>
        <v>#REF!</v>
      </c>
      <c r="T18" s="2239" t="e">
        <f>종합!#REF!</f>
        <v>#REF!</v>
      </c>
      <c r="U18" s="2239" t="e">
        <f>종합!#REF!</f>
        <v>#REF!</v>
      </c>
      <c r="V18" s="2988" t="e">
        <f>종합!#REF!</f>
        <v>#REF!</v>
      </c>
      <c r="W18" s="2240" t="e">
        <f>종합!#REF!</f>
        <v>#REF!</v>
      </c>
      <c r="X18" s="1502">
        <v>40</v>
      </c>
      <c r="Y18" s="7021" t="e">
        <f t="shared" si="1"/>
        <v>#REF!</v>
      </c>
      <c r="BD18" s="3884" t="s">
        <v>9</v>
      </c>
      <c r="BE18" s="3900">
        <v>1197.77</v>
      </c>
      <c r="BF18" s="3907">
        <v>32140.919000000002</v>
      </c>
      <c r="BG18" s="3912">
        <f t="shared" si="4"/>
        <v>37.266202624760041</v>
      </c>
      <c r="BH18" t="s">
        <v>1152</v>
      </c>
      <c r="BI18" s="2406">
        <f>AVERAGE(BF13:BF17)</f>
        <v>29415.161</v>
      </c>
    </row>
    <row r="19" spans="1:62" ht="22.5" customHeight="1" thickBot="1">
      <c r="A19" s="7313" t="s">
        <v>610</v>
      </c>
      <c r="B19" s="4325" t="s">
        <v>608</v>
      </c>
      <c r="C19" s="543" t="e">
        <f>종합!#REF!/12</f>
        <v>#REF!</v>
      </c>
      <c r="D19" s="543" t="e">
        <f>종합!#REF!/12</f>
        <v>#REF!</v>
      </c>
      <c r="E19" s="543" t="e">
        <f>종합!#REF!/12</f>
        <v>#REF!</v>
      </c>
      <c r="F19" s="3084"/>
      <c r="G19" s="543">
        <f>종합!I49/12</f>
        <v>1.8108333333333333</v>
      </c>
      <c r="H19" s="543" t="e">
        <f t="shared" si="3"/>
        <v>#REF!</v>
      </c>
      <c r="I19" s="543">
        <f>AVERAGE([1]종합!$J$49:$O$49)</f>
        <v>6.6749999999999998</v>
      </c>
      <c r="J19" s="543" t="e">
        <v>#REF!</v>
      </c>
      <c r="K19" s="647" t="e">
        <f>종합!#REF!</f>
        <v>#REF!</v>
      </c>
      <c r="L19" s="647" t="e">
        <f>종합!#REF!</f>
        <v>#REF!</v>
      </c>
      <c r="M19" s="2239" t="e">
        <f>종합!#REF!</f>
        <v>#REF!</v>
      </c>
      <c r="N19" s="2239" t="e">
        <f>종합!#REF!</f>
        <v>#REF!</v>
      </c>
      <c r="O19" s="2239" t="e">
        <f>종합!#REF!</f>
        <v>#REF!</v>
      </c>
      <c r="P19" s="2437" t="e">
        <f>종합!#REF!</f>
        <v>#REF!</v>
      </c>
      <c r="Q19" s="2443" t="e">
        <f t="shared" si="0"/>
        <v>#REF!</v>
      </c>
      <c r="R19" s="2239" t="e">
        <f>종합!#REF!</f>
        <v>#REF!</v>
      </c>
      <c r="S19" s="2239" t="e">
        <f>종합!#REF!</f>
        <v>#REF!</v>
      </c>
      <c r="T19" s="2239" t="e">
        <f>종합!#REF!</f>
        <v>#REF!</v>
      </c>
      <c r="U19" s="2239" t="e">
        <f>종합!#REF!</f>
        <v>#REF!</v>
      </c>
      <c r="V19" s="2988" t="e">
        <f>종합!#REF!</f>
        <v>#REF!</v>
      </c>
      <c r="W19" s="2240" t="e">
        <f>종합!#REF!</f>
        <v>#REF!</v>
      </c>
      <c r="X19" s="1502">
        <v>2.5</v>
      </c>
      <c r="Y19" s="7021" t="e">
        <f t="shared" si="1"/>
        <v>#REF!</v>
      </c>
      <c r="BD19" s="5580" t="s">
        <v>1985</v>
      </c>
      <c r="BE19" s="3901">
        <f>SUM(BE13:BE18)/6</f>
        <v>1152.1533333333334</v>
      </c>
      <c r="BF19" s="3908">
        <f>SUM(BF13:BF18)/6</f>
        <v>29869.453999999998</v>
      </c>
      <c r="BG19" s="5209">
        <f t="shared" si="4"/>
        <v>38.572962643821121</v>
      </c>
      <c r="BH19" t="s">
        <v>1153</v>
      </c>
      <c r="BI19" s="783">
        <f>AVERAGE(BE13:BE17)</f>
        <v>1143.0300000000002</v>
      </c>
      <c r="BJ19" s="2407">
        <f>BI19/BI18</f>
        <v>3.8858532849777715E-2</v>
      </c>
    </row>
    <row r="20" spans="1:62" ht="22.5" customHeight="1">
      <c r="A20" s="7314"/>
      <c r="B20" s="4325" t="s">
        <v>609</v>
      </c>
      <c r="C20" s="543">
        <f>스크!R12/12</f>
        <v>60.00333333333333</v>
      </c>
      <c r="D20" s="1749">
        <f>스크!R13/12</f>
        <v>61.870000000000005</v>
      </c>
      <c r="E20" s="1749">
        <f>스크!R14/12</f>
        <v>45.211666666666666</v>
      </c>
      <c r="F20" s="3084"/>
      <c r="G20" s="543">
        <f>스크!R16/12</f>
        <v>36.456250000000004</v>
      </c>
      <c r="H20" s="543">
        <f t="shared" si="3"/>
        <v>40.833958333333335</v>
      </c>
      <c r="I20" s="543">
        <f>(SUM([1]스크!$O$16:$O$18,[1]스크!$O$20:$O$22)/6)</f>
        <v>39.173333333333339</v>
      </c>
      <c r="J20" s="543">
        <v>40.046666666666674</v>
      </c>
      <c r="K20" s="647">
        <f>스크!R18</f>
        <v>50.5</v>
      </c>
      <c r="L20" s="647">
        <f>스크!R19</f>
        <v>29.68</v>
      </c>
      <c r="M20" s="2239">
        <f>스크!R20</f>
        <v>34.93</v>
      </c>
      <c r="N20" s="2239">
        <f>스크!R22</f>
        <v>39.979999999999997</v>
      </c>
      <c r="O20" s="2239">
        <f>스크!R23</f>
        <v>32.44</v>
      </c>
      <c r="P20" s="2437">
        <f>스크!R24</f>
        <v>37.299999999999997</v>
      </c>
      <c r="Q20" s="2443">
        <f t="shared" si="0"/>
        <v>37.471666666666664</v>
      </c>
      <c r="R20" s="2239">
        <f>스크!R27</f>
        <v>50.38</v>
      </c>
      <c r="S20" s="2239">
        <f>스크!R28</f>
        <v>25.17</v>
      </c>
      <c r="T20" s="2239">
        <f>스크!R29</f>
        <v>40.65</v>
      </c>
      <c r="U20" s="2239">
        <f>스크!R31</f>
        <v>23.59</v>
      </c>
      <c r="V20" s="2988">
        <f>스크!R32</f>
        <v>36.479999999999997</v>
      </c>
      <c r="W20" s="2240">
        <f>스크!R33</f>
        <v>64.010000000000005</v>
      </c>
      <c r="X20" s="1502">
        <v>31.083333333333332</v>
      </c>
      <c r="Y20" s="7021">
        <f t="shared" si="1"/>
        <v>40.046666666666674</v>
      </c>
      <c r="BD20" s="3889" t="s">
        <v>10</v>
      </c>
      <c r="BE20" s="3902">
        <v>1281.9599999999998</v>
      </c>
      <c r="BF20" s="3909">
        <v>37431.097999999998</v>
      </c>
      <c r="BG20" s="5918">
        <f t="shared" si="4"/>
        <v>34.2485277883112</v>
      </c>
      <c r="BH20" s="2408" t="s">
        <v>1154</v>
      </c>
      <c r="BI20" s="2409">
        <f>BE18+BI21</f>
        <v>1091.8510432164555</v>
      </c>
      <c r="BJ20" s="2414">
        <f>BI20/BI18*1000</f>
        <v>37.118649230458253</v>
      </c>
    </row>
    <row r="21" spans="1:62" ht="22.5" customHeight="1">
      <c r="A21" s="7313" t="s">
        <v>492</v>
      </c>
      <c r="B21" s="4325" t="s">
        <v>608</v>
      </c>
      <c r="C21" s="543" t="e">
        <f>종합!#REF!/12</f>
        <v>#REF!</v>
      </c>
      <c r="D21" s="543" t="e">
        <f>종합!#REF!/12</f>
        <v>#REF!</v>
      </c>
      <c r="E21" s="543" t="e">
        <f>종합!#REF!/12</f>
        <v>#REF!</v>
      </c>
      <c r="F21" s="3084"/>
      <c r="G21" s="543">
        <f>종합!I50/12</f>
        <v>7.7751666666666663</v>
      </c>
      <c r="H21" s="543" t="e">
        <f t="shared" si="3"/>
        <v>#REF!</v>
      </c>
      <c r="I21" s="543">
        <f>SUM([1]종합!$J$50:$O$50)/6</f>
        <v>11.7735</v>
      </c>
      <c r="J21" s="543" t="e">
        <v>#REF!</v>
      </c>
      <c r="K21" s="647" t="e">
        <f>종합!#REF!</f>
        <v>#REF!</v>
      </c>
      <c r="L21" s="647" t="e">
        <f>종합!#REF!</f>
        <v>#REF!</v>
      </c>
      <c r="M21" s="2239" t="e">
        <f>종합!#REF!</f>
        <v>#REF!</v>
      </c>
      <c r="N21" s="2239" t="e">
        <f>종합!#REF!</f>
        <v>#REF!</v>
      </c>
      <c r="O21" s="2239" t="e">
        <f>종합!#REF!</f>
        <v>#REF!</v>
      </c>
      <c r="P21" s="2437" t="e">
        <f>종합!#REF!</f>
        <v>#REF!</v>
      </c>
      <c r="Q21" s="2443" t="e">
        <f t="shared" si="0"/>
        <v>#REF!</v>
      </c>
      <c r="R21" s="2239" t="e">
        <f>종합!#REF!</f>
        <v>#REF!</v>
      </c>
      <c r="S21" s="2239" t="e">
        <f>종합!#REF!</f>
        <v>#REF!</v>
      </c>
      <c r="T21" s="2239" t="e">
        <f>종합!#REF!</f>
        <v>#REF!</v>
      </c>
      <c r="U21" s="2239" t="e">
        <f>종합!#REF!</f>
        <v>#REF!</v>
      </c>
      <c r="V21" s="2988" t="e">
        <f>종합!#REF!</f>
        <v>#REF!</v>
      </c>
      <c r="W21" s="2240" t="e">
        <f>종합!#REF!</f>
        <v>#REF!</v>
      </c>
      <c r="X21" s="1502">
        <v>10</v>
      </c>
      <c r="Y21" s="7021" t="e">
        <f t="shared" si="1"/>
        <v>#REF!</v>
      </c>
      <c r="BD21" s="3884" t="s">
        <v>11</v>
      </c>
      <c r="BE21" s="3903">
        <v>1268.21</v>
      </c>
      <c r="BF21" s="3910">
        <v>35428.110999999997</v>
      </c>
      <c r="BG21" s="5918">
        <f t="shared" si="4"/>
        <v>35.79671521295618</v>
      </c>
      <c r="BH21" s="2406">
        <f>BI18-BF18</f>
        <v>-2725.7580000000016</v>
      </c>
      <c r="BI21">
        <f>BH21*BJ19</f>
        <v>-105.91895678354447</v>
      </c>
    </row>
    <row r="22" spans="1:62" ht="22.5" customHeight="1">
      <c r="A22" s="7314"/>
      <c r="B22" s="4325" t="s">
        <v>609</v>
      </c>
      <c r="C22" s="543">
        <f>스크!X12/12</f>
        <v>38.225416666666668</v>
      </c>
      <c r="D22" s="543">
        <f>스크!X13/12</f>
        <v>34.907083333333333</v>
      </c>
      <c r="E22" s="543">
        <f>스크!X14/12</f>
        <v>19.597916666666666</v>
      </c>
      <c r="F22" s="3084"/>
      <c r="G22" s="543">
        <f>스크!X16/12</f>
        <v>22.681666666666661</v>
      </c>
      <c r="H22" s="543">
        <f t="shared" si="3"/>
        <v>21.139791666666664</v>
      </c>
      <c r="I22" s="543">
        <f>SUM([1]스크!$T$16:$T$18,[1]스크!$T$20:$T$22)/6</f>
        <v>29.266666666666666</v>
      </c>
      <c r="J22" s="543">
        <v>29.306666666666668</v>
      </c>
      <c r="K22" s="647">
        <f>스크!X18</f>
        <v>28.58</v>
      </c>
      <c r="L22" s="647">
        <f>스크!X19</f>
        <v>17.829999999999998</v>
      </c>
      <c r="M22" s="2239">
        <f>스크!X20</f>
        <v>7.32</v>
      </c>
      <c r="N22" s="2239">
        <f>스크!X22</f>
        <v>27.1</v>
      </c>
      <c r="O22" s="2239">
        <f>스크!X23</f>
        <v>27.73</v>
      </c>
      <c r="P22" s="2437">
        <f>스크!X24</f>
        <v>22.67</v>
      </c>
      <c r="Q22" s="2443">
        <f t="shared" si="0"/>
        <v>21.87166666666667</v>
      </c>
      <c r="R22" s="2239">
        <f>스크!X27</f>
        <v>24.31</v>
      </c>
      <c r="S22" s="2239">
        <f>스크!X28</f>
        <v>20.59</v>
      </c>
      <c r="T22" s="2239">
        <f>스크!X29</f>
        <v>10.119999999999999</v>
      </c>
      <c r="U22" s="2239">
        <f>스크!X31</f>
        <v>44.02</v>
      </c>
      <c r="V22" s="2988">
        <f>스크!X32</f>
        <v>38.43</v>
      </c>
      <c r="W22" s="2240">
        <f>스크!X33</f>
        <v>38.369999999999997</v>
      </c>
      <c r="X22" s="1502">
        <v>30.416666666666668</v>
      </c>
      <c r="Y22" s="7021">
        <f t="shared" si="1"/>
        <v>29.306666666666668</v>
      </c>
      <c r="BB22" s="299"/>
      <c r="BD22" s="3884" t="s">
        <v>12</v>
      </c>
      <c r="BE22" s="3900">
        <v>1211.8700000000001</v>
      </c>
      <c r="BF22" s="3907">
        <v>36616.699999999997</v>
      </c>
      <c r="BG22" s="3912">
        <f t="shared" si="4"/>
        <v>33.096100959398314</v>
      </c>
    </row>
    <row r="23" spans="1:62">
      <c r="BD23" s="3884" t="s">
        <v>13</v>
      </c>
      <c r="BE23" s="3900">
        <v>1307.9999999999998</v>
      </c>
      <c r="BF23" s="3907">
        <v>34075.972000000002</v>
      </c>
      <c r="BG23" s="3912">
        <f t="shared" si="4"/>
        <v>38.384818487349378</v>
      </c>
    </row>
    <row r="24" spans="1:62">
      <c r="A24" t="s">
        <v>616</v>
      </c>
      <c r="B24" t="s">
        <v>751</v>
      </c>
      <c r="C24" s="69">
        <v>38</v>
      </c>
      <c r="D24" s="706"/>
      <c r="E24" s="706"/>
      <c r="F24" s="706"/>
      <c r="G24" s="706">
        <v>38</v>
      </c>
      <c r="H24" s="706">
        <v>38</v>
      </c>
      <c r="I24" s="706">
        <v>38</v>
      </c>
      <c r="J24" s="706">
        <v>38</v>
      </c>
      <c r="K24" s="706">
        <v>38</v>
      </c>
      <c r="L24" s="706">
        <v>38</v>
      </c>
      <c r="M24" s="706">
        <v>38</v>
      </c>
      <c r="N24" s="706">
        <v>38</v>
      </c>
      <c r="O24" s="706">
        <v>38</v>
      </c>
      <c r="P24" s="706">
        <v>38</v>
      </c>
      <c r="R24" s="706">
        <v>38</v>
      </c>
      <c r="S24" s="706">
        <v>38</v>
      </c>
      <c r="T24" s="706">
        <v>38</v>
      </c>
      <c r="U24" s="706">
        <v>38</v>
      </c>
      <c r="V24" s="706">
        <v>38</v>
      </c>
      <c r="W24" s="706">
        <v>38</v>
      </c>
      <c r="X24" s="2415">
        <f>AVERAGE(년간!F13:J13)</f>
        <v>92751.512800000011</v>
      </c>
      <c r="Y24" s="2417">
        <f>X24-년간!K13</f>
        <v>-6898.9071999999869</v>
      </c>
      <c r="BD24" s="3884" t="s">
        <v>14</v>
      </c>
      <c r="BE24" s="3903">
        <v>219.98999999999998</v>
      </c>
      <c r="BF24" s="3910">
        <v>21018.455999999998</v>
      </c>
      <c r="BG24" s="3885">
        <f t="shared" si="4"/>
        <v>10.466515713618545</v>
      </c>
    </row>
    <row r="25" spans="1:62" ht="15" thickBot="1">
      <c r="A25" t="s">
        <v>752</v>
      </c>
      <c r="B25" s="299" t="s">
        <v>751</v>
      </c>
      <c r="C25" s="706">
        <v>83</v>
      </c>
      <c r="D25" s="706"/>
      <c r="E25" s="706"/>
      <c r="F25" s="706"/>
      <c r="G25" s="706">
        <v>83</v>
      </c>
      <c r="H25" s="706">
        <v>83</v>
      </c>
      <c r="I25" s="706">
        <v>83</v>
      </c>
      <c r="J25" s="706">
        <v>83</v>
      </c>
      <c r="K25" s="706">
        <v>83</v>
      </c>
      <c r="L25" s="706">
        <v>83</v>
      </c>
      <c r="M25" s="706">
        <v>83</v>
      </c>
      <c r="N25" s="706">
        <v>83</v>
      </c>
      <c r="O25" s="706">
        <v>83</v>
      </c>
      <c r="P25" s="706">
        <v>83</v>
      </c>
      <c r="Q25" s="706" t="s">
        <v>1158</v>
      </c>
      <c r="R25" s="706">
        <v>83</v>
      </c>
      <c r="S25" s="706">
        <v>83</v>
      </c>
      <c r="T25" s="706">
        <v>83</v>
      </c>
      <c r="U25" s="706">
        <v>83</v>
      </c>
      <c r="V25" s="706">
        <v>83</v>
      </c>
      <c r="W25" s="706">
        <v>83</v>
      </c>
      <c r="X25" s="2416">
        <f>AVERAGE(K7:O7)</f>
        <v>138.34219999999999</v>
      </c>
      <c r="Y25" s="2416">
        <f>Y26+P7</f>
        <v>79.668033067580993</v>
      </c>
      <c r="BD25" s="3896" t="s">
        <v>15</v>
      </c>
      <c r="BE25" s="3904">
        <v>220</v>
      </c>
      <c r="BF25" s="3911">
        <v>18300</v>
      </c>
      <c r="BG25" s="3913">
        <f t="shared" si="4"/>
        <v>12.021857923497269</v>
      </c>
    </row>
    <row r="26" spans="1:62" ht="15" thickBot="1">
      <c r="A26" t="s">
        <v>753</v>
      </c>
      <c r="B26" s="299" t="s">
        <v>751</v>
      </c>
      <c r="C26" s="69">
        <v>83</v>
      </c>
      <c r="D26" s="706"/>
      <c r="E26" s="706"/>
      <c r="F26" s="706"/>
      <c r="G26" s="866">
        <v>644.33333333333337</v>
      </c>
      <c r="H26" s="866" t="e">
        <f>CPL!M11+CRM!M11+CGL!M11+'#1CCL'!#REF!+'#2CCL'!#REF!</f>
        <v>#REF!</v>
      </c>
      <c r="I26" s="866">
        <v>644.33333333333337</v>
      </c>
      <c r="J26" s="866">
        <v>644.33333333333337</v>
      </c>
      <c r="K26" s="866">
        <v>644.33333333333337</v>
      </c>
      <c r="L26" s="866">
        <v>644.33333333333337</v>
      </c>
      <c r="M26" s="866">
        <v>644.33333333333337</v>
      </c>
      <c r="N26" s="866">
        <v>644.33333333333337</v>
      </c>
      <c r="O26" s="866">
        <v>644.33333333333337</v>
      </c>
      <c r="P26" s="866">
        <v>644.33333333333337</v>
      </c>
      <c r="Q26" s="866"/>
      <c r="R26" s="866">
        <v>644.33333333333337</v>
      </c>
      <c r="S26" s="866">
        <v>644.33333333333337</v>
      </c>
      <c r="T26" s="866">
        <v>644.33333333333337</v>
      </c>
      <c r="U26" s="866">
        <v>644.33333333333337</v>
      </c>
      <c r="V26" s="866">
        <v>644.33333333333337</v>
      </c>
      <c r="W26" s="866">
        <v>644.33333333333337</v>
      </c>
      <c r="X26">
        <f>X25/X24</f>
        <v>1.4915357801042785E-3</v>
      </c>
      <c r="Y26">
        <f>Y24*X26</f>
        <v>-10.289966932419004</v>
      </c>
      <c r="BD26" s="3897" t="s">
        <v>1350</v>
      </c>
      <c r="BE26" s="3898">
        <f>SUM(BE13:BE18,BE20:BE25)</f>
        <v>12422.95</v>
      </c>
      <c r="BF26" s="3898">
        <f>SUM(BF13:BF18,BF20:BF25)</f>
        <v>362087.06099999999</v>
      </c>
      <c r="BG26" s="3899">
        <f>BE26/BF26*1000</f>
        <v>34.309290052206535</v>
      </c>
    </row>
    <row r="27" spans="1:62" ht="17.399999999999999">
      <c r="A27" t="s">
        <v>617</v>
      </c>
      <c r="B27" s="299" t="s">
        <v>751</v>
      </c>
      <c r="C27" s="69">
        <v>698</v>
      </c>
      <c r="D27" s="706"/>
      <c r="E27" s="706"/>
      <c r="F27" s="706"/>
      <c r="G27" s="706">
        <v>698</v>
      </c>
      <c r="H27" s="69">
        <v>698</v>
      </c>
      <c r="I27" s="69">
        <v>698</v>
      </c>
      <c r="J27" s="706">
        <v>698</v>
      </c>
      <c r="K27" s="69">
        <v>698</v>
      </c>
      <c r="L27" s="69">
        <v>698</v>
      </c>
      <c r="M27" s="69">
        <v>698</v>
      </c>
      <c r="N27" s="69">
        <v>698</v>
      </c>
      <c r="O27" s="69">
        <v>698</v>
      </c>
      <c r="P27" s="69">
        <v>698</v>
      </c>
      <c r="Q27" s="706" t="s">
        <v>1159</v>
      </c>
      <c r="R27" s="69">
        <v>698</v>
      </c>
      <c r="S27" s="69">
        <v>698</v>
      </c>
      <c r="T27" s="69">
        <v>698</v>
      </c>
      <c r="U27" s="69">
        <v>698</v>
      </c>
      <c r="V27" s="69">
        <v>698</v>
      </c>
      <c r="W27" s="69">
        <v>698</v>
      </c>
      <c r="X27" s="2416">
        <f>AVERAGE(K8:O8)</f>
        <v>560.70399999999995</v>
      </c>
      <c r="Y27" s="2416">
        <f>Y28+P8</f>
        <v>555.67453616557304</v>
      </c>
      <c r="BE27" s="6213" t="s">
        <v>1954</v>
      </c>
      <c r="BF27" s="6212">
        <f>AVERAGE(BF13:BF18,BF20:BF25)</f>
        <v>30173.921749999998</v>
      </c>
      <c r="BG27" s="2473"/>
    </row>
    <row r="28" spans="1:62">
      <c r="X28">
        <f>X27/X24</f>
        <v>6.0452275447953653E-3</v>
      </c>
      <c r="Y28">
        <f>Y24*X28</f>
        <v>-41.705463834426986</v>
      </c>
      <c r="BG28" s="2989"/>
    </row>
    <row r="29" spans="1:62">
      <c r="B29" s="299" t="s">
        <v>638</v>
      </c>
      <c r="C29" s="695">
        <v>98.51</v>
      </c>
      <c r="D29" s="695"/>
      <c r="E29" s="695"/>
      <c r="F29" s="695"/>
      <c r="G29" s="706"/>
      <c r="H29" s="695">
        <v>98.53</v>
      </c>
      <c r="I29" s="695">
        <v>99.13</v>
      </c>
      <c r="J29" s="706"/>
      <c r="K29" s="657">
        <v>99.400616048384023</v>
      </c>
      <c r="L29" s="657">
        <v>99.258689398871198</v>
      </c>
      <c r="M29" s="657">
        <v>99.31164195132834</v>
      </c>
      <c r="N29" s="657">
        <v>99.354389845418495</v>
      </c>
      <c r="O29" s="657">
        <v>99.466806425193852</v>
      </c>
    </row>
    <row r="34" spans="22:23">
      <c r="V34" s="779"/>
      <c r="W34" s="781"/>
    </row>
    <row r="54" spans="11:23" s="299" customFormat="1">
      <c r="K54" s="706"/>
      <c r="L54" s="706"/>
      <c r="M54" s="706"/>
      <c r="N54" s="706"/>
      <c r="O54" s="706"/>
      <c r="P54" s="706"/>
      <c r="Q54" s="706"/>
      <c r="R54" s="706"/>
      <c r="S54" s="706"/>
      <c r="T54" s="706"/>
      <c r="U54" s="706"/>
      <c r="V54" s="706"/>
      <c r="W54" s="706"/>
    </row>
    <row r="55" spans="11:23" s="299" customFormat="1">
      <c r="K55" s="706"/>
      <c r="L55" s="706"/>
      <c r="M55" s="706"/>
      <c r="N55" s="706"/>
      <c r="O55" s="706"/>
      <c r="P55" s="706"/>
      <c r="Q55" s="706"/>
      <c r="R55" s="706"/>
      <c r="S55" s="706"/>
      <c r="T55" s="706"/>
      <c r="U55" s="706"/>
      <c r="V55" s="706"/>
      <c r="W55" s="706"/>
    </row>
    <row r="56" spans="11:23" s="299" customFormat="1">
      <c r="K56" s="706"/>
      <c r="L56" s="706"/>
      <c r="M56" s="706"/>
      <c r="N56" s="706"/>
      <c r="O56" s="706"/>
      <c r="P56" s="706"/>
      <c r="Q56" s="706"/>
      <c r="R56" s="706"/>
      <c r="S56" s="706"/>
      <c r="T56" s="706"/>
      <c r="U56" s="706"/>
      <c r="V56" s="706"/>
      <c r="W56" s="706"/>
    </row>
    <row r="57" spans="11:23" s="299" customFormat="1">
      <c r="K57" s="706"/>
      <c r="L57" s="706"/>
      <c r="M57" s="706"/>
      <c r="N57" s="706"/>
      <c r="O57" s="706"/>
      <c r="P57" s="706"/>
      <c r="Q57" s="706"/>
      <c r="R57" s="706"/>
      <c r="S57" s="706"/>
      <c r="T57" s="706"/>
      <c r="U57" s="706"/>
      <c r="V57" s="706"/>
      <c r="W57" s="706"/>
    </row>
    <row r="58" spans="11:23" s="299" customFormat="1">
      <c r="K58" s="706"/>
      <c r="L58" s="706"/>
      <c r="M58" s="706"/>
      <c r="N58" s="706"/>
      <c r="O58" s="706"/>
      <c r="P58" s="706"/>
      <c r="Q58" s="706"/>
      <c r="R58" s="706"/>
      <c r="S58" s="706"/>
      <c r="T58" s="706"/>
      <c r="U58" s="706"/>
      <c r="V58" s="706"/>
      <c r="W58" s="706"/>
    </row>
    <row r="59" spans="11:23" s="299" customFormat="1">
      <c r="K59" s="706"/>
      <c r="L59" s="706"/>
      <c r="M59" s="706"/>
      <c r="N59" s="706"/>
      <c r="O59" s="706"/>
      <c r="P59" s="706"/>
      <c r="Q59" s="706"/>
      <c r="R59" s="706"/>
      <c r="S59" s="706"/>
      <c r="T59" s="706"/>
      <c r="U59" s="706"/>
      <c r="V59" s="706"/>
      <c r="W59" s="706"/>
    </row>
    <row r="60" spans="11:23" s="299" customFormat="1">
      <c r="K60" s="706"/>
      <c r="L60" s="706"/>
      <c r="M60" s="706"/>
      <c r="N60" s="706"/>
      <c r="O60" s="706"/>
      <c r="P60" s="706"/>
      <c r="Q60" s="706"/>
      <c r="R60" s="706"/>
      <c r="S60" s="706"/>
      <c r="T60" s="706"/>
      <c r="U60" s="706"/>
      <c r="V60" s="706"/>
      <c r="W60" s="706"/>
    </row>
    <row r="61" spans="11:23" s="299" customFormat="1">
      <c r="K61" s="706"/>
      <c r="L61" s="706"/>
      <c r="M61" s="706"/>
      <c r="N61" s="706"/>
      <c r="O61" s="706"/>
      <c r="P61" s="706"/>
      <c r="Q61" s="706"/>
      <c r="R61" s="706"/>
      <c r="S61" s="706"/>
      <c r="T61" s="706"/>
      <c r="U61" s="706"/>
      <c r="V61" s="706"/>
      <c r="W61" s="706"/>
    </row>
    <row r="62" spans="11:23" s="299" customFormat="1">
      <c r="K62" s="706"/>
      <c r="L62" s="706"/>
      <c r="M62" s="706"/>
      <c r="N62" s="706"/>
      <c r="O62" s="706"/>
      <c r="P62" s="706"/>
      <c r="Q62" s="706"/>
      <c r="R62" s="706"/>
      <c r="S62" s="706"/>
      <c r="T62" s="706"/>
      <c r="U62" s="706"/>
      <c r="V62" s="706"/>
      <c r="W62" s="706"/>
    </row>
    <row r="63" spans="11:23" s="299" customFormat="1">
      <c r="K63" s="706"/>
      <c r="L63" s="706"/>
      <c r="M63" s="706"/>
      <c r="N63" s="706"/>
      <c r="O63" s="706"/>
      <c r="P63" s="706"/>
      <c r="Q63" s="706"/>
      <c r="R63" s="706"/>
      <c r="S63" s="706"/>
      <c r="T63" s="706"/>
      <c r="U63" s="706"/>
      <c r="V63" s="706"/>
      <c r="W63" s="706"/>
    </row>
    <row r="64" spans="11:23" s="299" customFormat="1">
      <c r="K64" s="706"/>
      <c r="L64" s="706"/>
      <c r="M64" s="706"/>
      <c r="N64" s="706"/>
      <c r="O64" s="706"/>
      <c r="P64" s="706"/>
      <c r="Q64" s="706"/>
      <c r="R64" s="706"/>
      <c r="S64" s="706"/>
      <c r="T64" s="706"/>
      <c r="U64" s="706"/>
      <c r="V64" s="706"/>
      <c r="W64" s="706"/>
    </row>
    <row r="65" spans="2:23" s="299" customFormat="1">
      <c r="K65" s="706"/>
      <c r="L65" s="706"/>
      <c r="M65" s="706"/>
      <c r="N65" s="706"/>
      <c r="O65" s="706"/>
      <c r="P65" s="706"/>
      <c r="Q65" s="706"/>
      <c r="R65" s="706"/>
      <c r="S65" s="706"/>
      <c r="T65" s="706"/>
      <c r="U65" s="706"/>
      <c r="V65" s="706"/>
      <c r="W65" s="706"/>
    </row>
    <row r="66" spans="2:23" s="299" customFormat="1">
      <c r="K66" s="706"/>
      <c r="L66" s="706"/>
      <c r="M66" s="706"/>
      <c r="N66" s="706"/>
      <c r="O66" s="706"/>
      <c r="P66" s="706"/>
      <c r="Q66" s="706"/>
      <c r="R66" s="706"/>
      <c r="S66" s="706"/>
      <c r="T66" s="706"/>
      <c r="U66" s="706"/>
      <c r="V66" s="706"/>
      <c r="W66" s="706"/>
    </row>
    <row r="67" spans="2:23" s="299" customFormat="1">
      <c r="K67" s="706"/>
      <c r="L67" s="706"/>
      <c r="M67" s="706"/>
      <c r="N67" s="706"/>
      <c r="O67" s="706"/>
      <c r="P67" s="706"/>
      <c r="Q67" s="706"/>
      <c r="R67" s="706"/>
      <c r="S67" s="706"/>
      <c r="T67" s="706"/>
      <c r="U67" s="706"/>
      <c r="V67" s="706"/>
      <c r="W67" s="706"/>
    </row>
    <row r="68" spans="2:23" s="299" customFormat="1">
      <c r="K68" s="706"/>
      <c r="L68" s="706"/>
      <c r="M68" s="706"/>
      <c r="N68" s="706"/>
      <c r="O68" s="706"/>
      <c r="P68" s="706"/>
      <c r="Q68" s="706"/>
      <c r="R68" s="706"/>
      <c r="S68" s="706"/>
      <c r="T68" s="706"/>
      <c r="U68" s="706"/>
      <c r="V68" s="706"/>
      <c r="W68" s="706"/>
    </row>
    <row r="69" spans="2:23" s="299" customFormat="1">
      <c r="K69" s="706"/>
      <c r="L69" s="706"/>
      <c r="M69" s="706"/>
      <c r="N69" s="706"/>
      <c r="O69" s="706"/>
      <c r="P69" s="706"/>
      <c r="Q69" s="706"/>
      <c r="R69" s="706"/>
      <c r="S69" s="706"/>
      <c r="T69" s="706"/>
      <c r="U69" s="706"/>
      <c r="V69" s="706"/>
      <c r="W69" s="706"/>
    </row>
    <row r="71" spans="2:23" ht="19.2">
      <c r="B71" s="712" t="s">
        <v>222</v>
      </c>
      <c r="C71" s="713" t="s">
        <v>679</v>
      </c>
      <c r="D71" s="713"/>
      <c r="E71" s="713"/>
      <c r="F71" s="713"/>
      <c r="G71" s="713"/>
      <c r="H71" s="713" t="s">
        <v>430</v>
      </c>
      <c r="J71" s="713"/>
      <c r="K71" s="714"/>
    </row>
    <row r="72" spans="2:23" ht="19.2">
      <c r="B72" s="715" t="s">
        <v>641</v>
      </c>
      <c r="C72" s="716">
        <v>27600</v>
      </c>
      <c r="D72" s="716"/>
      <c r="E72" s="716"/>
      <c r="F72" s="716"/>
      <c r="G72" s="716"/>
      <c r="H72" s="716">
        <v>30639.356</v>
      </c>
      <c r="J72" s="716"/>
      <c r="K72" s="721"/>
    </row>
    <row r="73" spans="2:23" ht="15.6">
      <c r="B73" s="713" t="s">
        <v>642</v>
      </c>
      <c r="C73" s="716">
        <v>26100</v>
      </c>
      <c r="D73" s="716"/>
      <c r="E73" s="716"/>
      <c r="F73" s="716"/>
      <c r="G73" s="716"/>
      <c r="H73" s="716">
        <v>27911.596000000001</v>
      </c>
      <c r="J73" s="716"/>
      <c r="K73" s="721"/>
    </row>
    <row r="74" spans="2:23" ht="15.6">
      <c r="B74" s="717" t="s">
        <v>643</v>
      </c>
      <c r="C74" s="716">
        <v>25500</v>
      </c>
      <c r="D74" s="716"/>
      <c r="E74" s="716"/>
      <c r="F74" s="716"/>
      <c r="G74" s="716"/>
      <c r="H74" s="716">
        <v>26667.8</v>
      </c>
      <c r="J74" s="716"/>
      <c r="K74" s="721"/>
    </row>
    <row r="75" spans="2:23" ht="15.6">
      <c r="B75" s="717" t="s">
        <v>644</v>
      </c>
      <c r="C75" s="716">
        <v>8750</v>
      </c>
      <c r="D75" s="716"/>
      <c r="E75" s="716"/>
      <c r="F75" s="716"/>
      <c r="G75" s="778"/>
      <c r="H75" s="716">
        <v>9117.4699999999993</v>
      </c>
      <c r="J75" s="778"/>
      <c r="K75" s="7312"/>
    </row>
    <row r="76" spans="2:23" ht="15.6">
      <c r="B76" s="717" t="s">
        <v>645</v>
      </c>
      <c r="C76" s="716">
        <v>4000</v>
      </c>
      <c r="D76" s="716"/>
      <c r="E76" s="716"/>
      <c r="F76" s="716"/>
      <c r="G76" s="778"/>
      <c r="H76" s="716">
        <v>3843.67</v>
      </c>
      <c r="J76" s="778"/>
      <c r="K76" s="7312"/>
    </row>
    <row r="77" spans="2:23">
      <c r="H77" s="299"/>
    </row>
    <row r="78" spans="2:23" ht="15.6">
      <c r="H78" s="713" t="s">
        <v>430</v>
      </c>
    </row>
    <row r="79" spans="2:23" ht="15.6">
      <c r="H79" s="716">
        <v>30639.356</v>
      </c>
    </row>
    <row r="80" spans="2:23" ht="15" customHeight="1">
      <c r="H80" s="716">
        <v>27911.596000000001</v>
      </c>
    </row>
    <row r="81" spans="2:9" ht="15.6">
      <c r="H81" s="716">
        <v>26667.8</v>
      </c>
    </row>
    <row r="82" spans="2:9" ht="15.6">
      <c r="H82" s="716">
        <v>9117.4699999999993</v>
      </c>
    </row>
    <row r="83" spans="2:9" ht="15.6">
      <c r="H83" s="716">
        <v>3843.67</v>
      </c>
    </row>
    <row r="84" spans="2:9" ht="17.399999999999999">
      <c r="B84" s="798"/>
      <c r="C84" s="798"/>
      <c r="D84" s="798"/>
      <c r="E84" s="798"/>
      <c r="F84" s="3079"/>
      <c r="H84" s="798"/>
      <c r="I84" s="798"/>
    </row>
  </sheetData>
  <mergeCells count="19">
    <mergeCell ref="A2:B2"/>
    <mergeCell ref="A11:B11"/>
    <mergeCell ref="A5:B5"/>
    <mergeCell ref="A6:B6"/>
    <mergeCell ref="A7:B7"/>
    <mergeCell ref="A10:B10"/>
    <mergeCell ref="A9:B9"/>
    <mergeCell ref="A8:B8"/>
    <mergeCell ref="A4:B4"/>
    <mergeCell ref="A3:B3"/>
    <mergeCell ref="A13:B13"/>
    <mergeCell ref="A12:B12"/>
    <mergeCell ref="A14:B14"/>
    <mergeCell ref="K75:K76"/>
    <mergeCell ref="A19:A20"/>
    <mergeCell ref="A21:A22"/>
    <mergeCell ref="A15:B15"/>
    <mergeCell ref="A16:B16"/>
    <mergeCell ref="A17:A18"/>
  </mergeCells>
  <phoneticPr fontId="22" type="noConversion"/>
  <pageMargins left="0" right="0" top="0.74803149606299213" bottom="0.74803149606299213" header="0.31496062992125984" footer="0.31496062992125984"/>
  <pageSetup paperSize="9" scale="95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activeCell="E18" sqref="E18"/>
    </sheetView>
  </sheetViews>
  <sheetFormatPr defaultColWidth="8.8984375" defaultRowHeight="17.399999999999999"/>
  <cols>
    <col min="1" max="1" width="9.59765625" style="314" customWidth="1"/>
    <col min="2" max="3" width="11.19921875" style="314" bestFit="1" customWidth="1"/>
    <col min="4" max="4" width="15.19921875" style="314" bestFit="1" customWidth="1"/>
    <col min="5" max="5" width="11.19921875" style="314" customWidth="1"/>
    <col min="6" max="6" width="9.8984375" style="314" customWidth="1"/>
    <col min="7" max="7" width="12.796875" style="314" customWidth="1"/>
    <col min="8" max="8" width="8.8984375" style="314"/>
    <col min="9" max="9" width="11.19921875" style="314" bestFit="1" customWidth="1"/>
    <col min="10" max="10" width="11.8984375" style="314" bestFit="1" customWidth="1"/>
    <col min="11" max="11" width="17" style="314" customWidth="1"/>
    <col min="12" max="12" width="11.19921875" style="314" customWidth="1"/>
    <col min="13" max="14" width="10.09765625" style="314" customWidth="1"/>
    <col min="15" max="16384" width="8.8984375" style="314"/>
  </cols>
  <sheetData>
    <row r="1" spans="1:16" ht="21">
      <c r="A1" s="741" t="s">
        <v>993</v>
      </c>
      <c r="H1" s="741" t="s">
        <v>994</v>
      </c>
    </row>
    <row r="2" spans="1:16" ht="19.2">
      <c r="A2" s="742" t="s">
        <v>695</v>
      </c>
      <c r="B2" s="742" t="s">
        <v>696</v>
      </c>
      <c r="C2" s="742" t="s">
        <v>697</v>
      </c>
      <c r="D2" s="742" t="s">
        <v>698</v>
      </c>
      <c r="E2" s="742" t="s">
        <v>699</v>
      </c>
      <c r="F2" s="742" t="s">
        <v>700</v>
      </c>
      <c r="G2" s="742" t="s">
        <v>701</v>
      </c>
      <c r="H2" s="742" t="s">
        <v>695</v>
      </c>
      <c r="I2" s="742" t="s">
        <v>696</v>
      </c>
      <c r="J2" s="742" t="s">
        <v>697</v>
      </c>
      <c r="K2" s="742" t="s">
        <v>499</v>
      </c>
      <c r="L2" s="742" t="s">
        <v>547</v>
      </c>
      <c r="M2" s="742" t="s">
        <v>40</v>
      </c>
      <c r="N2" s="742" t="s">
        <v>701</v>
      </c>
    </row>
    <row r="3" spans="1:16" ht="19.2">
      <c r="A3" s="1486" t="s">
        <v>702</v>
      </c>
      <c r="B3" s="1487">
        <v>1</v>
      </c>
      <c r="C3" s="1488">
        <f>SUM(D3:G3)</f>
        <v>67.922184309729658</v>
      </c>
      <c r="D3" s="1488">
        <f>E11</f>
        <v>15.587676686511559</v>
      </c>
      <c r="E3" s="1489">
        <f>E19</f>
        <v>2.3345076232181032</v>
      </c>
      <c r="F3" s="1489">
        <f>E27</f>
        <v>25</v>
      </c>
      <c r="G3" s="1488">
        <f>E35</f>
        <v>25</v>
      </c>
      <c r="H3" s="743" t="s">
        <v>97</v>
      </c>
      <c r="I3" s="744">
        <v>5</v>
      </c>
      <c r="J3" s="745" t="e">
        <f>SUM(K3:N3)</f>
        <v>#DIV/0!</v>
      </c>
      <c r="K3" s="745" t="e">
        <f>L11</f>
        <v>#DIV/0!</v>
      </c>
      <c r="L3" s="746">
        <f>L19</f>
        <v>1.7524061056803062</v>
      </c>
      <c r="M3" s="746" t="e">
        <f>L27</f>
        <v>#DIV/0!</v>
      </c>
      <c r="N3" s="745">
        <f>L35</f>
        <v>-0.19544337726155941</v>
      </c>
    </row>
    <row r="4" spans="1:16" ht="19.2">
      <c r="A4" s="743" t="s">
        <v>703</v>
      </c>
      <c r="B4" s="744">
        <v>2</v>
      </c>
      <c r="C4" s="745" t="e">
        <f>SUM(D4:G4)</f>
        <v>#VALUE!</v>
      </c>
      <c r="D4" s="745">
        <f>E12</f>
        <v>25</v>
      </c>
      <c r="E4" s="746">
        <f>E20</f>
        <v>1.002444445179826</v>
      </c>
      <c r="F4" s="746">
        <f>E28</f>
        <v>25</v>
      </c>
      <c r="G4" s="745" t="e">
        <f>E36</f>
        <v>#VALUE!</v>
      </c>
      <c r="H4" s="743" t="s">
        <v>185</v>
      </c>
      <c r="I4" s="744">
        <v>3</v>
      </c>
      <c r="J4" s="745" t="e">
        <f>SUM(K4:N4)</f>
        <v>#DIV/0!</v>
      </c>
      <c r="K4" s="745" t="e">
        <f>L12</f>
        <v>#DIV/0!</v>
      </c>
      <c r="L4" s="746">
        <f>L20</f>
        <v>4.8217282823281264</v>
      </c>
      <c r="M4" s="746" t="e">
        <f>L28</f>
        <v>#DIV/0!</v>
      </c>
      <c r="N4" s="745">
        <f>L36</f>
        <v>6.7393361192146992</v>
      </c>
    </row>
    <row r="5" spans="1:16" ht="19.2">
      <c r="A5" s="1483" t="s">
        <v>29</v>
      </c>
      <c r="B5" s="1484">
        <v>5</v>
      </c>
      <c r="C5" s="1485">
        <f>SUM(D5:G5)</f>
        <v>20.306998132564409</v>
      </c>
      <c r="D5" s="1485">
        <f>E13</f>
        <v>9.5684295882511989</v>
      </c>
      <c r="E5" s="1482">
        <f>E21</f>
        <v>6.8887177829432513</v>
      </c>
      <c r="F5" s="1482">
        <f>E29</f>
        <v>-21.150149238630043</v>
      </c>
      <c r="G5" s="1485">
        <f>E37</f>
        <v>25</v>
      </c>
      <c r="H5" s="1483" t="s">
        <v>29</v>
      </c>
      <c r="I5" s="1484">
        <v>2</v>
      </c>
      <c r="J5" s="1485" t="e">
        <f>SUM(K5:N5)</f>
        <v>#DIV/0!</v>
      </c>
      <c r="K5" s="1485" t="e">
        <f>L13</f>
        <v>#DIV/0!</v>
      </c>
      <c r="L5" s="1482">
        <f>L21</f>
        <v>-0.84125806284840088</v>
      </c>
      <c r="M5" s="1482" t="e">
        <f>L29</f>
        <v>#DIV/0!</v>
      </c>
      <c r="N5" s="1485">
        <f>L37</f>
        <v>6.3128357891377194</v>
      </c>
    </row>
    <row r="6" spans="1:16" ht="19.2">
      <c r="A6" s="743" t="s">
        <v>442</v>
      </c>
      <c r="B6" s="744">
        <v>4</v>
      </c>
      <c r="C6" s="745">
        <f>SUM(D6:G6)</f>
        <v>7.3187154456051857</v>
      </c>
      <c r="D6" s="745">
        <f>E14</f>
        <v>8.6916242279770284</v>
      </c>
      <c r="E6" s="746">
        <f>E22</f>
        <v>2.3091782354615238</v>
      </c>
      <c r="F6" s="746">
        <f>E30</f>
        <v>-18.494793494793498</v>
      </c>
      <c r="G6" s="745">
        <f>E38</f>
        <v>14.812706476960132</v>
      </c>
      <c r="H6" s="1486" t="s">
        <v>442</v>
      </c>
      <c r="I6" s="1487">
        <v>1</v>
      </c>
      <c r="J6" s="1488" t="e">
        <f>SUM(K6:N6)</f>
        <v>#DIV/0!</v>
      </c>
      <c r="K6" s="1488" t="e">
        <f>L14</f>
        <v>#DIV/0!</v>
      </c>
      <c r="L6" s="1489">
        <f>L22</f>
        <v>3.2073137142131394</v>
      </c>
      <c r="M6" s="1489" t="e">
        <f>L30</f>
        <v>#DIV/0!</v>
      </c>
      <c r="N6" s="1488">
        <f>L38</f>
        <v>16.720779220779221</v>
      </c>
    </row>
    <row r="7" spans="1:16" ht="19.2">
      <c r="A7" s="743" t="s">
        <v>443</v>
      </c>
      <c r="B7" s="744">
        <v>3</v>
      </c>
      <c r="C7" s="745">
        <f>SUM(D7:G7)</f>
        <v>-33.761738661443928</v>
      </c>
      <c r="D7" s="745">
        <f>E15</f>
        <v>11.207792207792206</v>
      </c>
      <c r="E7" s="746">
        <f>E23</f>
        <v>1.0321661784860132</v>
      </c>
      <c r="F7" s="746">
        <f>E31</f>
        <v>-71.001697047722146</v>
      </c>
      <c r="G7" s="745">
        <f>E39</f>
        <v>25</v>
      </c>
      <c r="H7" s="743" t="s">
        <v>443</v>
      </c>
      <c r="I7" s="744">
        <v>4</v>
      </c>
      <c r="J7" s="745" t="e">
        <f>SUM(K7:N7)</f>
        <v>#DIV/0!</v>
      </c>
      <c r="K7" s="745" t="e">
        <f>L15</f>
        <v>#DIV/0!</v>
      </c>
      <c r="L7" s="746">
        <f>L23</f>
        <v>-5.7002480200043646</v>
      </c>
      <c r="M7" s="746" t="e">
        <f>L31</f>
        <v>#DIV/0!</v>
      </c>
      <c r="N7" s="745">
        <f>L39</f>
        <v>6.2762890094979653</v>
      </c>
    </row>
    <row r="9" spans="1:16" ht="21">
      <c r="A9" s="741" t="s">
        <v>704</v>
      </c>
      <c r="H9" s="741" t="s">
        <v>988</v>
      </c>
    </row>
    <row r="10" spans="1:16" ht="57.6">
      <c r="A10" s="742" t="s">
        <v>527</v>
      </c>
      <c r="B10" s="747" t="s">
        <v>715</v>
      </c>
      <c r="C10" s="747" t="s">
        <v>986</v>
      </c>
      <c r="D10" s="742" t="s">
        <v>987</v>
      </c>
      <c r="E10" s="742" t="s">
        <v>705</v>
      </c>
      <c r="F10" s="7330" t="s">
        <v>251</v>
      </c>
      <c r="G10" s="7331"/>
      <c r="H10" s="742" t="s">
        <v>527</v>
      </c>
      <c r="I10" s="747" t="s">
        <v>715</v>
      </c>
      <c r="J10" s="747" t="s">
        <v>986</v>
      </c>
      <c r="K10" s="742" t="s">
        <v>992</v>
      </c>
      <c r="L10" s="742" t="s">
        <v>705</v>
      </c>
      <c r="M10" s="7330" t="s">
        <v>251</v>
      </c>
      <c r="N10" s="7331"/>
    </row>
    <row r="11" spans="1:16" ht="17.25" customHeight="1">
      <c r="A11" s="743" t="s">
        <v>97</v>
      </c>
      <c r="B11" s="744">
        <f>년간!C20/12</f>
        <v>2.0741666666666663</v>
      </c>
      <c r="C11" s="744">
        <f>년간!V20/11</f>
        <v>0.78090909090909089</v>
      </c>
      <c r="D11" s="744">
        <f>B11-C11</f>
        <v>1.2932575757575755</v>
      </c>
      <c r="E11" s="745">
        <f>D11/B11*25</f>
        <v>15.587676686511559</v>
      </c>
      <c r="F11" s="7328" t="s">
        <v>989</v>
      </c>
      <c r="G11" s="7329"/>
      <c r="H11" s="743" t="s">
        <v>97</v>
      </c>
      <c r="I11" s="746">
        <f>종합!G5</f>
        <v>97.977320000000006</v>
      </c>
      <c r="J11" s="746">
        <f>종합!AN5</f>
        <v>0</v>
      </c>
      <c r="K11" s="746">
        <f>J11-I11</f>
        <v>-97.977320000000006</v>
      </c>
      <c r="L11" s="745" t="e">
        <f>K11/J11*25*100</f>
        <v>#DIV/0!</v>
      </c>
      <c r="M11" s="7328" t="s">
        <v>995</v>
      </c>
      <c r="N11" s="7329"/>
      <c r="P11" s="314">
        <f>K11*25</f>
        <v>-2449.433</v>
      </c>
    </row>
    <row r="12" spans="1:16" ht="19.2">
      <c r="A12" s="743" t="s">
        <v>28</v>
      </c>
      <c r="B12" s="744">
        <f>년간!C21/12</f>
        <v>2.4525000000000001</v>
      </c>
      <c r="C12" s="744">
        <f>년간!V21/11</f>
        <v>0</v>
      </c>
      <c r="D12" s="744">
        <f>B12-C12</f>
        <v>2.4525000000000001</v>
      </c>
      <c r="E12" s="745">
        <f>D12/B12*25</f>
        <v>25</v>
      </c>
      <c r="F12" s="7328"/>
      <c r="G12" s="7329"/>
      <c r="H12" s="743" t="s">
        <v>28</v>
      </c>
      <c r="I12" s="746">
        <f>종합!G6</f>
        <v>99.935723738135536</v>
      </c>
      <c r="J12" s="746">
        <f>종합!AN6</f>
        <v>0</v>
      </c>
      <c r="K12" s="746">
        <f>J12-I12</f>
        <v>-99.935723738135536</v>
      </c>
      <c r="L12" s="745" t="e">
        <f>K12/J12*25*100</f>
        <v>#DIV/0!</v>
      </c>
      <c r="M12" s="7328"/>
      <c r="N12" s="7329"/>
      <c r="P12" s="314">
        <f>K12*25</f>
        <v>-2498.3930934533882</v>
      </c>
    </row>
    <row r="13" spans="1:16" ht="19.2">
      <c r="A13" s="743" t="s">
        <v>29</v>
      </c>
      <c r="B13" s="744">
        <f>년간!C22/12</f>
        <v>30.270000000000007</v>
      </c>
      <c r="C13" s="744">
        <f>년간!V22/11</f>
        <v>18.684545454545454</v>
      </c>
      <c r="D13" s="744">
        <f>B13-C13</f>
        <v>11.585454545454553</v>
      </c>
      <c r="E13" s="745">
        <f>D13/B13*25</f>
        <v>9.5684295882511989</v>
      </c>
      <c r="F13" s="7328"/>
      <c r="G13" s="7329"/>
      <c r="H13" s="743" t="s">
        <v>29</v>
      </c>
      <c r="I13" s="746">
        <f>종합!G7</f>
        <v>99.457557004637763</v>
      </c>
      <c r="J13" s="746">
        <f>종합!AN7</f>
        <v>0</v>
      </c>
      <c r="K13" s="746">
        <f>J13-I13</f>
        <v>-99.457557004637763</v>
      </c>
      <c r="L13" s="745" t="e">
        <f>K13/J13*25*100</f>
        <v>#DIV/0!</v>
      </c>
      <c r="M13" s="7328"/>
      <c r="N13" s="7329"/>
      <c r="P13" s="314">
        <f>K13*25</f>
        <v>-2486.4389251159441</v>
      </c>
    </row>
    <row r="14" spans="1:16" ht="19.2">
      <c r="A14" s="743" t="s">
        <v>442</v>
      </c>
      <c r="B14" s="744">
        <f>년간!C23/12</f>
        <v>6.9916666666666671</v>
      </c>
      <c r="C14" s="744">
        <f>년간!V23/11</f>
        <v>4.5609090909090915</v>
      </c>
      <c r="D14" s="744">
        <f>B14-C14</f>
        <v>2.4307575757575757</v>
      </c>
      <c r="E14" s="745">
        <f>D14/B14*25</f>
        <v>8.6916242279770284</v>
      </c>
      <c r="F14" s="7328"/>
      <c r="G14" s="7329"/>
      <c r="H14" s="743" t="s">
        <v>442</v>
      </c>
      <c r="I14" s="746">
        <f>종합!G8</f>
        <v>100.29005853372483</v>
      </c>
      <c r="J14" s="746">
        <f>종합!AN8</f>
        <v>0</v>
      </c>
      <c r="K14" s="746">
        <f>J14-I14</f>
        <v>-100.29005853372483</v>
      </c>
      <c r="L14" s="745" t="e">
        <f>K14/J14*25*100</f>
        <v>#DIV/0!</v>
      </c>
      <c r="M14" s="7328"/>
      <c r="N14" s="7329"/>
      <c r="P14" s="314">
        <f>K14*25</f>
        <v>-2507.2514633431206</v>
      </c>
    </row>
    <row r="15" spans="1:16" ht="19.2">
      <c r="A15" s="743" t="s">
        <v>443</v>
      </c>
      <c r="B15" s="744">
        <f>년간!C24/12</f>
        <v>6.125</v>
      </c>
      <c r="C15" s="744">
        <f>년간!V24/11</f>
        <v>3.3790909090909098</v>
      </c>
      <c r="D15" s="744">
        <f>B15-C15</f>
        <v>2.7459090909090902</v>
      </c>
      <c r="E15" s="745">
        <f>D15/B15*25</f>
        <v>11.207792207792206</v>
      </c>
      <c r="F15" s="7328"/>
      <c r="G15" s="7329"/>
      <c r="H15" s="743" t="s">
        <v>443</v>
      </c>
      <c r="I15" s="746">
        <f>종합!G9</f>
        <v>99.484261349212545</v>
      </c>
      <c r="J15" s="746">
        <f>종합!AN9</f>
        <v>0</v>
      </c>
      <c r="K15" s="746">
        <f>J15-I15</f>
        <v>-99.484261349212545</v>
      </c>
      <c r="L15" s="745" t="e">
        <f>K15/J15*25*100</f>
        <v>#DIV/0!</v>
      </c>
      <c r="M15" s="7328"/>
      <c r="N15" s="7329"/>
      <c r="P15" s="314">
        <f>K15*25</f>
        <v>-2487.1065337303135</v>
      </c>
    </row>
    <row r="17" spans="1:14" ht="21">
      <c r="A17" s="741" t="s">
        <v>706</v>
      </c>
      <c r="H17" s="741" t="s">
        <v>706</v>
      </c>
    </row>
    <row r="18" spans="1:14" ht="57.6">
      <c r="A18" s="742" t="s">
        <v>527</v>
      </c>
      <c r="B18" s="747" t="s">
        <v>715</v>
      </c>
      <c r="C18" s="747" t="s">
        <v>986</v>
      </c>
      <c r="D18" s="742" t="s">
        <v>987</v>
      </c>
      <c r="E18" s="742" t="s">
        <v>705</v>
      </c>
      <c r="F18" s="7330" t="s">
        <v>251</v>
      </c>
      <c r="G18" s="7331"/>
      <c r="H18" s="742" t="s">
        <v>527</v>
      </c>
      <c r="I18" s="747" t="s">
        <v>715</v>
      </c>
      <c r="J18" s="747" t="s">
        <v>986</v>
      </c>
      <c r="K18" s="742" t="s">
        <v>991</v>
      </c>
      <c r="L18" s="742" t="s">
        <v>705</v>
      </c>
      <c r="M18" s="7330" t="s">
        <v>251</v>
      </c>
      <c r="N18" s="7331"/>
    </row>
    <row r="19" spans="1:14" ht="17.25" customHeight="1">
      <c r="A19" s="743" t="s">
        <v>97</v>
      </c>
      <c r="B19" s="744">
        <f>스크!B17+스크!C17</f>
        <v>471.55083333333334</v>
      </c>
      <c r="C19" s="744">
        <f>(스크!B36+스크!C36)/11</f>
        <v>427.51727272727271</v>
      </c>
      <c r="D19" s="744">
        <f>B19-C19</f>
        <v>44.033560606060632</v>
      </c>
      <c r="E19" s="745">
        <f>D19/B19*25</f>
        <v>2.3345076232181032</v>
      </c>
      <c r="F19" s="7328" t="s">
        <v>989</v>
      </c>
      <c r="G19" s="7329"/>
      <c r="H19" s="743" t="s">
        <v>97</v>
      </c>
      <c r="I19" s="744">
        <v>523.71500000000003</v>
      </c>
      <c r="J19" s="744">
        <v>487.00454545454556</v>
      </c>
      <c r="K19" s="744">
        <f>I19-J19</f>
        <v>36.710454545454468</v>
      </c>
      <c r="L19" s="745">
        <f>K19/I19*25</f>
        <v>1.7524061056803062</v>
      </c>
      <c r="M19" s="7328" t="s">
        <v>989</v>
      </c>
      <c r="N19" s="7329"/>
    </row>
    <row r="20" spans="1:14" ht="19.2">
      <c r="A20" s="743" t="s">
        <v>28</v>
      </c>
      <c r="B20" s="744">
        <f>스크!H17+스크!I17</f>
        <v>444.12383333333338</v>
      </c>
      <c r="C20" s="744">
        <f>(스크!H36+스크!I36)/11</f>
        <v>426.31545454545454</v>
      </c>
      <c r="D20" s="744">
        <f>B20-C20</f>
        <v>17.808378787878837</v>
      </c>
      <c r="E20" s="745">
        <f>D20/B20*25</f>
        <v>1.002444445179826</v>
      </c>
      <c r="F20" s="7328"/>
      <c r="G20" s="7329"/>
      <c r="H20" s="743" t="s">
        <v>28</v>
      </c>
      <c r="I20" s="744">
        <v>565.48</v>
      </c>
      <c r="J20" s="744">
        <v>456.41636363636366</v>
      </c>
      <c r="K20" s="744">
        <f>I20-J20</f>
        <v>109.06363636363636</v>
      </c>
      <c r="L20" s="745">
        <f>K20/I20*25</f>
        <v>4.8217282823281264</v>
      </c>
      <c r="M20" s="7328"/>
      <c r="N20" s="7329"/>
    </row>
    <row r="21" spans="1:14" ht="19.2">
      <c r="A21" s="743" t="s">
        <v>707</v>
      </c>
      <c r="B21" s="744">
        <f>스크!L17+스크!M17</f>
        <v>108.15458333333332</v>
      </c>
      <c r="C21" s="744">
        <f>(스크!L36+스크!M36)/11</f>
        <v>78.352727272727279</v>
      </c>
      <c r="D21" s="744">
        <f>B21-C21</f>
        <v>29.801856060606042</v>
      </c>
      <c r="E21" s="745">
        <f>D21/B21*25</f>
        <v>6.8887177829432513</v>
      </c>
      <c r="F21" s="7328"/>
      <c r="G21" s="7329"/>
      <c r="H21" s="743" t="s">
        <v>29</v>
      </c>
      <c r="I21" s="744">
        <v>124.55416666666667</v>
      </c>
      <c r="J21" s="744">
        <v>128.74545454545455</v>
      </c>
      <c r="K21" s="744">
        <f>I21-J21</f>
        <v>-4.1912878787878753</v>
      </c>
      <c r="L21" s="745">
        <f>K21/I21*25</f>
        <v>-0.84125806284840088</v>
      </c>
      <c r="M21" s="7328"/>
      <c r="N21" s="7329"/>
    </row>
    <row r="22" spans="1:14" ht="19.2">
      <c r="A22" s="743" t="s">
        <v>708</v>
      </c>
      <c r="B22" s="744">
        <f>스크!P17+스크!R17+스크!S17</f>
        <v>87.446250000000006</v>
      </c>
      <c r="C22" s="744">
        <f>(스크!P36+스크!R36+스크!S36)/11</f>
        <v>79.369090909090914</v>
      </c>
      <c r="D22" s="744">
        <f>B22-C22</f>
        <v>8.0771590909090918</v>
      </c>
      <c r="E22" s="745">
        <f>D22/B22*25</f>
        <v>2.3091782354615238</v>
      </c>
      <c r="F22" s="7328"/>
      <c r="G22" s="7329"/>
      <c r="H22" s="743" t="s">
        <v>708</v>
      </c>
      <c r="I22" s="744">
        <v>106.16833333333334</v>
      </c>
      <c r="J22" s="744">
        <v>92.547727272727258</v>
      </c>
      <c r="K22" s="744">
        <f>I22-J22</f>
        <v>13.620606060606079</v>
      </c>
      <c r="L22" s="745">
        <f>K22/I22*25</f>
        <v>3.2073137142131394</v>
      </c>
      <c r="M22" s="7328"/>
      <c r="N22" s="7329"/>
    </row>
    <row r="23" spans="1:14" ht="19.2">
      <c r="A23" s="743" t="s">
        <v>709</v>
      </c>
      <c r="B23" s="744">
        <f>스크!V17+스크!X17+스크!Y17</f>
        <v>56.383333333333326</v>
      </c>
      <c r="C23" s="744">
        <f>(스크!V36+스크!X36+스크!Y36)/11</f>
        <v>54.055454545454538</v>
      </c>
      <c r="D23" s="744">
        <f>B23-C23</f>
        <v>2.3278787878787881</v>
      </c>
      <c r="E23" s="745">
        <f>D23/B23*25</f>
        <v>1.0321661784860132</v>
      </c>
      <c r="F23" s="7328"/>
      <c r="G23" s="7329"/>
      <c r="H23" s="743" t="s">
        <v>709</v>
      </c>
      <c r="I23" s="744">
        <v>59.577916666666667</v>
      </c>
      <c r="J23" s="744">
        <v>73.162272727272736</v>
      </c>
      <c r="K23" s="744">
        <f>I23-J23</f>
        <v>-13.584356060606069</v>
      </c>
      <c r="L23" s="745">
        <f>K23/I23*25</f>
        <v>-5.7002480200043646</v>
      </c>
      <c r="M23" s="7328"/>
      <c r="N23" s="7329"/>
    </row>
    <row r="25" spans="1:14" ht="21">
      <c r="A25" s="741" t="s">
        <v>710</v>
      </c>
      <c r="H25" s="741" t="s">
        <v>990</v>
      </c>
    </row>
    <row r="26" spans="1:14" ht="57.6">
      <c r="A26" s="742" t="s">
        <v>711</v>
      </c>
      <c r="B26" s="747" t="s">
        <v>715</v>
      </c>
      <c r="C26" s="747" t="s">
        <v>986</v>
      </c>
      <c r="D26" s="742" t="s">
        <v>987</v>
      </c>
      <c r="E26" s="742" t="s">
        <v>712</v>
      </c>
      <c r="F26" s="7330" t="s">
        <v>713</v>
      </c>
      <c r="G26" s="7331"/>
      <c r="H26" s="742" t="s">
        <v>527</v>
      </c>
      <c r="I26" s="747" t="s">
        <v>715</v>
      </c>
      <c r="J26" s="747" t="s">
        <v>986</v>
      </c>
      <c r="K26" s="742" t="s">
        <v>992</v>
      </c>
      <c r="L26" s="742" t="s">
        <v>705</v>
      </c>
      <c r="M26" s="7330" t="s">
        <v>637</v>
      </c>
      <c r="N26" s="7331"/>
    </row>
    <row r="27" spans="1:14" ht="17.25" customHeight="1">
      <c r="A27" s="743" t="s">
        <v>97</v>
      </c>
      <c r="B27" s="744">
        <v>0.998</v>
      </c>
      <c r="C27" s="744">
        <f>종합!BE226/11</f>
        <v>0</v>
      </c>
      <c r="D27" s="744">
        <f>B27-C27</f>
        <v>0.998</v>
      </c>
      <c r="E27" s="745">
        <f>D27/B27*25</f>
        <v>25</v>
      </c>
      <c r="F27" s="7328" t="s">
        <v>989</v>
      </c>
      <c r="G27" s="7329"/>
      <c r="H27" s="743" t="s">
        <v>97</v>
      </c>
      <c r="I27" s="746">
        <f>종합!G24</f>
        <v>58.04</v>
      </c>
      <c r="J27" s="746">
        <f>종합!AN24</f>
        <v>0</v>
      </c>
      <c r="K27" s="744">
        <f>J27-I27</f>
        <v>-58.04</v>
      </c>
      <c r="L27" s="745" t="e">
        <f>K27/J27*25</f>
        <v>#DIV/0!</v>
      </c>
      <c r="M27" s="7328" t="s">
        <v>995</v>
      </c>
      <c r="N27" s="7329"/>
    </row>
    <row r="28" spans="1:14" ht="19.2">
      <c r="A28" s="743" t="s">
        <v>28</v>
      </c>
      <c r="B28" s="744">
        <v>4.1900000000000004</v>
      </c>
      <c r="C28" s="744">
        <f>종합!BE227/11</f>
        <v>0</v>
      </c>
      <c r="D28" s="744">
        <f>B28-C28</f>
        <v>4.1900000000000004</v>
      </c>
      <c r="E28" s="745">
        <f>D28/B28*25</f>
        <v>25</v>
      </c>
      <c r="F28" s="7328"/>
      <c r="G28" s="7329"/>
      <c r="H28" s="743" t="s">
        <v>28</v>
      </c>
      <c r="I28" s="746">
        <f>종합!G25</f>
        <v>44.71</v>
      </c>
      <c r="J28" s="746">
        <f>종합!AN25</f>
        <v>0</v>
      </c>
      <c r="K28" s="744">
        <f>J28-I28</f>
        <v>-44.71</v>
      </c>
      <c r="L28" s="745" t="e">
        <f>K28/J28*25</f>
        <v>#DIV/0!</v>
      </c>
      <c r="M28" s="7328"/>
      <c r="N28" s="7329"/>
    </row>
    <row r="29" spans="1:14" ht="19.2">
      <c r="A29" s="743" t="s">
        <v>29</v>
      </c>
      <c r="B29" s="744">
        <v>3.5939999999999999</v>
      </c>
      <c r="C29" s="744">
        <f>종합!BE228/11</f>
        <v>6.6345454545454547</v>
      </c>
      <c r="D29" s="744">
        <f>B29-C29</f>
        <v>-3.0405454545454549</v>
      </c>
      <c r="E29" s="745">
        <f>D29/B29*25</f>
        <v>-21.150149238630043</v>
      </c>
      <c r="F29" s="7328"/>
      <c r="G29" s="7329"/>
      <c r="H29" s="743" t="s">
        <v>29</v>
      </c>
      <c r="I29" s="746">
        <f>종합!G26</f>
        <v>39.29</v>
      </c>
      <c r="J29" s="746">
        <f>종합!AN26</f>
        <v>0</v>
      </c>
      <c r="K29" s="744">
        <f>J29-I29</f>
        <v>-39.29</v>
      </c>
      <c r="L29" s="745" t="e">
        <f>K29/J29*25</f>
        <v>#DIV/0!</v>
      </c>
      <c r="M29" s="7328"/>
      <c r="N29" s="7329"/>
    </row>
    <row r="30" spans="1:14" ht="19.2">
      <c r="A30" s="743" t="s">
        <v>442</v>
      </c>
      <c r="B30" s="744">
        <v>2.331</v>
      </c>
      <c r="C30" s="744">
        <f>종합!BE229/11</f>
        <v>4.0554545454545456</v>
      </c>
      <c r="D30" s="744">
        <f>B30-C30</f>
        <v>-1.7244545454545457</v>
      </c>
      <c r="E30" s="745">
        <f>D30/B30*25</f>
        <v>-18.494793494793498</v>
      </c>
      <c r="F30" s="7328"/>
      <c r="G30" s="7329"/>
      <c r="H30" s="743" t="s">
        <v>442</v>
      </c>
      <c r="I30" s="746">
        <f>종합!G27</f>
        <v>22.3</v>
      </c>
      <c r="J30" s="746">
        <f>종합!AN27</f>
        <v>0</v>
      </c>
      <c r="K30" s="744">
        <f>J30-I30</f>
        <v>-22.3</v>
      </c>
      <c r="L30" s="745" t="e">
        <f>K30/J30*25</f>
        <v>#DIV/0!</v>
      </c>
      <c r="M30" s="7328"/>
      <c r="N30" s="7329"/>
    </row>
    <row r="31" spans="1:14" ht="19.2">
      <c r="A31" s="743" t="s">
        <v>443</v>
      </c>
      <c r="B31" s="744">
        <v>1.5535000000000001</v>
      </c>
      <c r="C31" s="744">
        <f>종합!BE230/11</f>
        <v>5.9655454545454552</v>
      </c>
      <c r="D31" s="744">
        <f>B31-C31</f>
        <v>-4.4120454545454546</v>
      </c>
      <c r="E31" s="745">
        <f>D31/B31*25</f>
        <v>-71.001697047722146</v>
      </c>
      <c r="F31" s="7328"/>
      <c r="G31" s="7329"/>
      <c r="H31" s="743" t="s">
        <v>443</v>
      </c>
      <c r="I31" s="746">
        <f>종합!G28</f>
        <v>9.3511203248380532</v>
      </c>
      <c r="J31" s="746">
        <f>종합!AN28</f>
        <v>0</v>
      </c>
      <c r="K31" s="744">
        <f>J31-I31</f>
        <v>-9.3511203248380532</v>
      </c>
      <c r="L31" s="745" t="e">
        <f>K31/J31*25</f>
        <v>#DIV/0!</v>
      </c>
      <c r="M31" s="7328"/>
      <c r="N31" s="7329"/>
    </row>
    <row r="33" spans="1:14" ht="21">
      <c r="A33" s="741" t="s">
        <v>714</v>
      </c>
      <c r="H33" s="741" t="s">
        <v>714</v>
      </c>
    </row>
    <row r="34" spans="1:14" ht="57.6">
      <c r="A34" s="742" t="s">
        <v>527</v>
      </c>
      <c r="B34" s="747" t="s">
        <v>715</v>
      </c>
      <c r="C34" s="747" t="s">
        <v>986</v>
      </c>
      <c r="D34" s="742" t="s">
        <v>987</v>
      </c>
      <c r="E34" s="742" t="s">
        <v>705</v>
      </c>
      <c r="F34" s="7330" t="s">
        <v>251</v>
      </c>
      <c r="G34" s="7331"/>
      <c r="H34" s="742" t="s">
        <v>527</v>
      </c>
      <c r="I34" s="747" t="s">
        <v>715</v>
      </c>
      <c r="J34" s="747" t="s">
        <v>986</v>
      </c>
      <c r="K34" s="742" t="s">
        <v>987</v>
      </c>
      <c r="L34" s="742" t="s">
        <v>705</v>
      </c>
      <c r="M34" s="7330" t="s">
        <v>251</v>
      </c>
      <c r="N34" s="7331"/>
    </row>
    <row r="35" spans="1:14" ht="17.25" customHeight="1">
      <c r="A35" s="743" t="s">
        <v>97</v>
      </c>
      <c r="B35" s="744">
        <f>(CPL!K19*60)/12</f>
        <v>122.66666666666667</v>
      </c>
      <c r="C35" s="744">
        <f>(CPL!AQ19*60)/11</f>
        <v>0</v>
      </c>
      <c r="D35" s="744">
        <f>B35-C35</f>
        <v>122.66666666666667</v>
      </c>
      <c r="E35" s="745">
        <f>D35/B35*25</f>
        <v>25</v>
      </c>
      <c r="F35" s="7328" t="s">
        <v>989</v>
      </c>
      <c r="G35" s="7329"/>
      <c r="H35" s="743" t="s">
        <v>97</v>
      </c>
      <c r="I35" s="744">
        <v>101.75</v>
      </c>
      <c r="J35" s="744">
        <v>102.54545454545455</v>
      </c>
      <c r="K35" s="744">
        <f>I35-J35</f>
        <v>-0.79545454545454675</v>
      </c>
      <c r="L35" s="745">
        <f>K35/I35*25</f>
        <v>-0.19544337726155941</v>
      </c>
      <c r="M35" s="7328" t="s">
        <v>989</v>
      </c>
      <c r="N35" s="7329"/>
    </row>
    <row r="36" spans="1:14" ht="19.2">
      <c r="A36" s="743" t="s">
        <v>28</v>
      </c>
      <c r="B36" s="744">
        <f>(CRM!I19*60)/12</f>
        <v>480.40000000000003</v>
      </c>
      <c r="C36" s="744" t="e">
        <f>(CRM!AQ19*60)/11</f>
        <v>#VALUE!</v>
      </c>
      <c r="D36" s="744" t="e">
        <f>B36-C36</f>
        <v>#VALUE!</v>
      </c>
      <c r="E36" s="745" t="e">
        <f>D36/B36*25</f>
        <v>#VALUE!</v>
      </c>
      <c r="F36" s="7328"/>
      <c r="G36" s="7329"/>
      <c r="H36" s="743" t="s">
        <v>28</v>
      </c>
      <c r="I36" s="744">
        <v>480.41666666666669</v>
      </c>
      <c r="J36" s="744">
        <v>350.90909090909088</v>
      </c>
      <c r="K36" s="744">
        <f>I36-J36</f>
        <v>129.50757575757581</v>
      </c>
      <c r="L36" s="745">
        <f>K36/I36*25</f>
        <v>6.7393361192146992</v>
      </c>
      <c r="M36" s="7328"/>
      <c r="N36" s="7329"/>
    </row>
    <row r="37" spans="1:14" ht="19.2">
      <c r="A37" s="743" t="s">
        <v>29</v>
      </c>
      <c r="B37" s="744">
        <f>(CGL!I19*60)/12</f>
        <v>140</v>
      </c>
      <c r="C37" s="744">
        <f>(CGL!AQ19*60)/11</f>
        <v>0</v>
      </c>
      <c r="D37" s="744">
        <f>B37-C37</f>
        <v>140</v>
      </c>
      <c r="E37" s="745">
        <f>D37/B37*25</f>
        <v>25</v>
      </c>
      <c r="F37" s="7328"/>
      <c r="G37" s="7329"/>
      <c r="H37" s="743" t="s">
        <v>29</v>
      </c>
      <c r="I37" s="744">
        <v>142.41666666666666</v>
      </c>
      <c r="J37" s="744">
        <v>106.45454545454545</v>
      </c>
      <c r="K37" s="744">
        <f>I37-J37</f>
        <v>35.962121212121204</v>
      </c>
      <c r="L37" s="745">
        <f>K37/I37*25</f>
        <v>6.3128357891377194</v>
      </c>
      <c r="M37" s="7328"/>
      <c r="N37" s="7329"/>
    </row>
    <row r="38" spans="1:14" ht="19.2">
      <c r="A38" s="743" t="s">
        <v>442</v>
      </c>
      <c r="B38" s="744">
        <f>('#1CCL'!I25*60)/12</f>
        <v>345.34999999999997</v>
      </c>
      <c r="C38" s="744">
        <f>('#1CCL'!AQ25*60)/11</f>
        <v>140.72727272727272</v>
      </c>
      <c r="D38" s="744">
        <f>B38-C38</f>
        <v>204.62272727272725</v>
      </c>
      <c r="E38" s="745">
        <f>D38/B38*25</f>
        <v>14.812706476960132</v>
      </c>
      <c r="F38" s="7328"/>
      <c r="G38" s="7329"/>
      <c r="H38" s="743" t="s">
        <v>442</v>
      </c>
      <c r="I38" s="744">
        <v>345.33333333333331</v>
      </c>
      <c r="J38" s="744">
        <v>114.36363636363636</v>
      </c>
      <c r="K38" s="744">
        <f>I38-J38</f>
        <v>230.96969696969694</v>
      </c>
      <c r="L38" s="745">
        <f>K38/I38*25</f>
        <v>16.720779220779221</v>
      </c>
      <c r="M38" s="7328"/>
      <c r="N38" s="7329"/>
    </row>
    <row r="39" spans="1:14" ht="19.2">
      <c r="A39" s="743" t="s">
        <v>443</v>
      </c>
      <c r="B39" s="744">
        <f>('#2CCL'!K25*60)/12</f>
        <v>320</v>
      </c>
      <c r="C39" s="744">
        <f>('#2CCL'!AQ25*60)/11</f>
        <v>0</v>
      </c>
      <c r="D39" s="744">
        <f>B39-C39</f>
        <v>320</v>
      </c>
      <c r="E39" s="745">
        <f>D39/B39*25</f>
        <v>25</v>
      </c>
      <c r="F39" s="7328"/>
      <c r="G39" s="7329"/>
      <c r="H39" s="743" t="s">
        <v>443</v>
      </c>
      <c r="I39" s="744">
        <v>536</v>
      </c>
      <c r="J39" s="744">
        <v>401.43636363636364</v>
      </c>
      <c r="K39" s="744">
        <f>I39-J39</f>
        <v>134.56363636363636</v>
      </c>
      <c r="L39" s="745">
        <f>K39/I39*25</f>
        <v>6.2762890094979653</v>
      </c>
      <c r="M39" s="7328"/>
      <c r="N39" s="7329"/>
    </row>
  </sheetData>
  <mergeCells count="16">
    <mergeCell ref="F27:G31"/>
    <mergeCell ref="F34:G34"/>
    <mergeCell ref="F35:G39"/>
    <mergeCell ref="F10:G10"/>
    <mergeCell ref="F11:G15"/>
    <mergeCell ref="F18:G18"/>
    <mergeCell ref="F19:G23"/>
    <mergeCell ref="F26:G26"/>
    <mergeCell ref="M27:N31"/>
    <mergeCell ref="M34:N34"/>
    <mergeCell ref="M35:N39"/>
    <mergeCell ref="M10:N10"/>
    <mergeCell ref="M11:N15"/>
    <mergeCell ref="M18:N18"/>
    <mergeCell ref="M19:N23"/>
    <mergeCell ref="M26:N26"/>
  </mergeCells>
  <phoneticPr fontId="22" type="noConversion"/>
  <pageMargins left="0" right="0" top="0.55118110236220474" bottom="0" header="0.31496062992125984" footer="0.31496062992125984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M254"/>
  <sheetViews>
    <sheetView zoomScale="70" zoomScaleNormal="7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BM200" sqref="BM200"/>
    </sheetView>
  </sheetViews>
  <sheetFormatPr defaultColWidth="8.8984375" defaultRowHeight="17.399999999999999"/>
  <cols>
    <col min="1" max="1" width="7.8984375" style="334" customWidth="1"/>
    <col min="2" max="2" width="8.5" style="334" customWidth="1"/>
    <col min="3" max="3" width="7.796875" style="334" customWidth="1"/>
    <col min="4" max="5" width="9" style="334" hidden="1" customWidth="1"/>
    <col min="6" max="6" width="9.19921875" style="334" hidden="1" customWidth="1"/>
    <col min="7" max="8" width="9.19921875" style="334" bestFit="1" customWidth="1"/>
    <col min="9" max="9" width="9.19921875" style="334" customWidth="1"/>
    <col min="10" max="24" width="8.296875" style="334" customWidth="1"/>
    <col min="25" max="33" width="8.796875" style="334" hidden="1" customWidth="1"/>
    <col min="34" max="36" width="8.796875" style="334" customWidth="1"/>
    <col min="37" max="37" width="9.5" style="334" customWidth="1"/>
    <col min="38" max="39" width="8.69921875" style="334" customWidth="1"/>
    <col min="40" max="40" width="16.796875" style="334" customWidth="1"/>
    <col min="41" max="41" width="18.19921875" style="334" bestFit="1" customWidth="1"/>
    <col min="42" max="42" width="13.19921875" style="334" bestFit="1" customWidth="1"/>
    <col min="43" max="43" width="8.69921875" style="334" bestFit="1" customWidth="1"/>
    <col min="44" max="44" width="12.8984375" style="334" bestFit="1" customWidth="1"/>
    <col min="45" max="45" width="12.09765625" style="334" bestFit="1" customWidth="1"/>
    <col min="46" max="52" width="10.09765625" style="334" customWidth="1"/>
    <col min="53" max="57" width="11.59765625" style="334" customWidth="1"/>
    <col min="58" max="58" width="10.3984375" style="334" bestFit="1" customWidth="1"/>
    <col min="59" max="62" width="8.8984375" style="334"/>
    <col min="63" max="63" width="11.5" style="334" bestFit="1" customWidth="1"/>
    <col min="64" max="64" width="8.8984375" style="334"/>
    <col min="65" max="65" width="10.3984375" style="334" bestFit="1" customWidth="1"/>
    <col min="66" max="66" width="8.8984375" style="334"/>
    <col min="67" max="69" width="10.3984375" style="334" bestFit="1" customWidth="1"/>
    <col min="70" max="70" width="8.8984375" style="334"/>
    <col min="71" max="71" width="10.3984375" style="334" bestFit="1" customWidth="1"/>
    <col min="72" max="72" width="8.8984375" style="334"/>
    <col min="73" max="74" width="10.3984375" style="334" bestFit="1" customWidth="1"/>
    <col min="75" max="75" width="11.5" style="334" bestFit="1" customWidth="1"/>
    <col min="76" max="76" width="10.59765625" style="334" customWidth="1"/>
    <col min="77" max="16384" width="8.8984375" style="334"/>
  </cols>
  <sheetData>
    <row r="1" spans="1:74" ht="23.25" customHeight="1">
      <c r="A1" s="7373" t="s">
        <v>2015</v>
      </c>
      <c r="B1" s="7373"/>
      <c r="C1" s="7373"/>
      <c r="D1" s="7373"/>
      <c r="E1" s="7373"/>
      <c r="F1" s="7373"/>
      <c r="G1" s="7373"/>
      <c r="H1" s="7373"/>
      <c r="I1" s="7373"/>
      <c r="J1" s="7373"/>
      <c r="K1" s="7373"/>
      <c r="L1" s="7373"/>
      <c r="M1" s="7373"/>
      <c r="N1" s="7373"/>
      <c r="O1" s="7373"/>
      <c r="P1" s="7373"/>
      <c r="Q1" s="7373"/>
      <c r="R1" s="7373"/>
      <c r="S1" s="7373"/>
      <c r="T1" s="7373"/>
      <c r="U1" s="7373"/>
      <c r="V1" s="7373"/>
      <c r="W1" s="7373"/>
      <c r="X1" s="7373"/>
      <c r="Y1" s="7373"/>
      <c r="Z1" s="7373"/>
      <c r="AA1" s="7373"/>
      <c r="AB1" s="7373"/>
      <c r="AC1" s="7373"/>
      <c r="AD1" s="7373"/>
      <c r="AE1" s="7373"/>
      <c r="AF1" s="7373"/>
      <c r="AG1" s="7373"/>
      <c r="AH1" s="7373"/>
      <c r="AI1" s="7373"/>
      <c r="AJ1" s="7373"/>
      <c r="AK1" s="7373"/>
      <c r="AL1" s="7373"/>
      <c r="AM1" s="7373"/>
      <c r="AQ1" s="7365" t="s">
        <v>1044</v>
      </c>
      <c r="AR1" s="413" t="s">
        <v>286</v>
      </c>
      <c r="AS1" s="7368" t="s">
        <v>827</v>
      </c>
      <c r="AT1" s="7369"/>
      <c r="AU1" s="7369"/>
      <c r="AV1" s="7369"/>
      <c r="AW1" s="7369"/>
      <c r="AX1" s="7369"/>
      <c r="AY1" s="7369"/>
      <c r="AZ1" s="7369"/>
      <c r="BA1" s="7369"/>
      <c r="BB1" s="7369"/>
      <c r="BC1" s="7369"/>
      <c r="BD1" s="7369"/>
      <c r="BE1" s="7369"/>
      <c r="BF1" s="7369"/>
      <c r="BG1" s="7369"/>
      <c r="BH1" s="7369"/>
      <c r="BI1" s="7369"/>
      <c r="BJ1" s="7369"/>
      <c r="BK1" s="7369"/>
      <c r="BL1" s="7369"/>
      <c r="BM1" s="7369"/>
      <c r="BN1" s="7369"/>
      <c r="BO1" s="7369"/>
      <c r="BP1" s="7370"/>
      <c r="BQ1" s="7371" t="s">
        <v>731</v>
      </c>
      <c r="BR1" s="7371" t="s">
        <v>437</v>
      </c>
      <c r="BS1" s="7365" t="s">
        <v>365</v>
      </c>
    </row>
    <row r="2" spans="1:74" ht="23.25" customHeight="1" thickBot="1">
      <c r="A2" s="305" t="s">
        <v>458</v>
      </c>
      <c r="C2" s="335"/>
      <c r="D2" s="335"/>
      <c r="E2" s="518"/>
      <c r="F2" s="518"/>
      <c r="G2" s="518"/>
      <c r="H2" s="518"/>
      <c r="I2" s="518"/>
      <c r="J2" s="518"/>
      <c r="K2" s="518"/>
      <c r="L2" s="519"/>
      <c r="M2" s="519"/>
      <c r="N2" s="519"/>
      <c r="O2" s="519"/>
      <c r="AQ2" s="7366"/>
      <c r="AR2" s="413" t="s">
        <v>1045</v>
      </c>
      <c r="AS2" s="321" t="s">
        <v>370</v>
      </c>
      <c r="AT2" s="321" t="s">
        <v>372</v>
      </c>
      <c r="AU2" s="321" t="s">
        <v>373</v>
      </c>
      <c r="AV2" s="321" t="s">
        <v>374</v>
      </c>
      <c r="AW2" s="321" t="s">
        <v>375</v>
      </c>
      <c r="AX2" s="321" t="s">
        <v>376</v>
      </c>
      <c r="AY2" s="321" t="s">
        <v>377</v>
      </c>
      <c r="AZ2" s="321" t="s">
        <v>378</v>
      </c>
      <c r="BA2" s="321" t="s">
        <v>379</v>
      </c>
      <c r="BB2" s="321" t="s">
        <v>380</v>
      </c>
      <c r="BC2" s="321" t="s">
        <v>381</v>
      </c>
      <c r="BD2" s="321" t="s">
        <v>382</v>
      </c>
      <c r="BE2" s="322" t="s">
        <v>371</v>
      </c>
      <c r="BF2" s="322" t="s">
        <v>383</v>
      </c>
      <c r="BG2" s="322" t="s">
        <v>384</v>
      </c>
      <c r="BH2" s="322" t="s">
        <v>385</v>
      </c>
      <c r="BI2" s="322" t="s">
        <v>386</v>
      </c>
      <c r="BJ2" s="322" t="s">
        <v>387</v>
      </c>
      <c r="BK2" s="322" t="s">
        <v>388</v>
      </c>
      <c r="BL2" s="322" t="s">
        <v>389</v>
      </c>
      <c r="BM2" s="322" t="s">
        <v>390</v>
      </c>
      <c r="BN2" s="322" t="s">
        <v>391</v>
      </c>
      <c r="BO2" s="322" t="s">
        <v>392</v>
      </c>
      <c r="BP2" s="322" t="s">
        <v>393</v>
      </c>
      <c r="BQ2" s="7372"/>
      <c r="BR2" s="7372"/>
      <c r="BS2" s="7366"/>
    </row>
    <row r="3" spans="1:74" ht="23.25" customHeight="1" thickBot="1">
      <c r="A3" s="7132" t="s">
        <v>252</v>
      </c>
      <c r="B3" s="7220" t="s">
        <v>253</v>
      </c>
      <c r="C3" s="7220" t="s">
        <v>254</v>
      </c>
      <c r="D3" s="7229" t="s">
        <v>897</v>
      </c>
      <c r="E3" s="7229" t="s">
        <v>444</v>
      </c>
      <c r="F3" s="7229" t="s">
        <v>555</v>
      </c>
      <c r="G3" s="7332" t="s">
        <v>733</v>
      </c>
      <c r="H3" s="7334" t="s">
        <v>1000</v>
      </c>
      <c r="I3" s="7334" t="s">
        <v>1271</v>
      </c>
      <c r="J3" s="6211" t="s">
        <v>286</v>
      </c>
      <c r="K3" s="7349" t="s">
        <v>918</v>
      </c>
      <c r="L3" s="7342" t="s">
        <v>1338</v>
      </c>
      <c r="M3" s="7342"/>
      <c r="N3" s="7342"/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77"/>
      <c r="Z3" s="7377"/>
      <c r="AA3" s="7377"/>
      <c r="AB3" s="7377"/>
      <c r="AC3" s="7377"/>
      <c r="AD3" s="7377"/>
      <c r="AE3" s="7377"/>
      <c r="AF3" s="7377"/>
      <c r="AG3" s="7377"/>
      <c r="AH3" s="7377"/>
      <c r="AI3" s="7377"/>
      <c r="AJ3" s="7378"/>
      <c r="AK3" s="7229" t="s">
        <v>1336</v>
      </c>
      <c r="AL3" s="7229" t="s">
        <v>1164</v>
      </c>
      <c r="AM3" s="7332" t="s">
        <v>365</v>
      </c>
      <c r="AN3" s="7337" t="s">
        <v>637</v>
      </c>
      <c r="AO3" s="709">
        <f>AK16+AK29+AK35</f>
        <v>2190347.6508232071</v>
      </c>
      <c r="AQ3" s="414">
        <f>년간!C19/년간!C7</f>
        <v>0.99483918463783039</v>
      </c>
      <c r="AR3" s="414">
        <f>년간!D19/년간!D7</f>
        <v>0.99638399452019832</v>
      </c>
      <c r="AS3" s="414">
        <f>년간!F19/년간!F7</f>
        <v>0.99633813730488796</v>
      </c>
      <c r="AT3" s="414">
        <f>년간!G19/년간!G7</f>
        <v>0.99612374473672649</v>
      </c>
      <c r="AU3" s="414">
        <f>년간!H19/년간!H7</f>
        <v>0.99651840446930751</v>
      </c>
      <c r="AV3" s="414">
        <f>년간!I19/년간!I7</f>
        <v>0.9958414522014728</v>
      </c>
      <c r="AW3" s="414">
        <f>년간!J19/년간!J7</f>
        <v>0.99565900851830702</v>
      </c>
      <c r="AX3" s="414">
        <f>년간!K19/년간!K7</f>
        <v>0.99508664530737656</v>
      </c>
      <c r="AY3" s="414">
        <f>년간!L19/년간!L7</f>
        <v>0.9951165818230433</v>
      </c>
      <c r="AZ3" s="414">
        <f>년간!M19/년간!M7</f>
        <v>0.99494788904133469</v>
      </c>
      <c r="BA3" s="414">
        <f>년간!N19/년간!N7</f>
        <v>0.99564616359304947</v>
      </c>
      <c r="BB3" s="414">
        <f>년간!O19/년간!O7</f>
        <v>0.99589479451524499</v>
      </c>
      <c r="BC3" s="414">
        <f>년간!P19/년간!P7</f>
        <v>1.005097779159845</v>
      </c>
      <c r="BD3" s="414">
        <f>년간!Q19/년간!Q7</f>
        <v>1.0040913222093137</v>
      </c>
      <c r="BE3" s="325">
        <f>Y16</f>
        <v>66569.739951002557</v>
      </c>
      <c r="BF3" s="325">
        <f t="shared" ref="BF3:BP3" si="0">SUM(BG14:BG15)</f>
        <v>0</v>
      </c>
      <c r="BG3" s="325">
        <f t="shared" si="0"/>
        <v>0</v>
      </c>
      <c r="BH3" s="325">
        <f t="shared" si="0"/>
        <v>0</v>
      </c>
      <c r="BI3" s="325">
        <f t="shared" si="0"/>
        <v>0</v>
      </c>
      <c r="BJ3" s="325">
        <f t="shared" si="0"/>
        <v>0</v>
      </c>
      <c r="BK3" s="325">
        <f t="shared" si="0"/>
        <v>0</v>
      </c>
      <c r="BL3" s="325">
        <f t="shared" si="0"/>
        <v>0</v>
      </c>
      <c r="BM3" s="325">
        <f t="shared" si="0"/>
        <v>0</v>
      </c>
      <c r="BN3" s="325">
        <f t="shared" si="0"/>
        <v>0</v>
      </c>
      <c r="BO3" s="325">
        <f t="shared" si="0"/>
        <v>0</v>
      </c>
      <c r="BP3" s="325">
        <f t="shared" si="0"/>
        <v>0</v>
      </c>
      <c r="BQ3" s="326">
        <f>AK16</f>
        <v>562788.45635761681</v>
      </c>
      <c r="BR3" s="326">
        <f>SUM(BS14:BS15)</f>
        <v>0</v>
      </c>
      <c r="BS3" s="327">
        <f>BR3/BQ3</f>
        <v>0</v>
      </c>
    </row>
    <row r="4" spans="1:74" ht="23.25" customHeight="1" thickBot="1">
      <c r="A4" s="7376"/>
      <c r="B4" s="7221"/>
      <c r="C4" s="7221"/>
      <c r="D4" s="7221"/>
      <c r="E4" s="7352"/>
      <c r="F4" s="7352"/>
      <c r="G4" s="7374"/>
      <c r="H4" s="7351"/>
      <c r="I4" s="7335"/>
      <c r="J4" s="3797" t="s">
        <v>1272</v>
      </c>
      <c r="K4" s="7350"/>
      <c r="L4" s="4350" t="s">
        <v>400</v>
      </c>
      <c r="M4" s="5153" t="s">
        <v>372</v>
      </c>
      <c r="N4" s="3588" t="s">
        <v>373</v>
      </c>
      <c r="O4" s="5153" t="s">
        <v>374</v>
      </c>
      <c r="P4" s="5153" t="s">
        <v>375</v>
      </c>
      <c r="Q4" s="5153" t="s">
        <v>376</v>
      </c>
      <c r="R4" s="5153" t="s">
        <v>377</v>
      </c>
      <c r="S4" s="5153" t="s">
        <v>378</v>
      </c>
      <c r="T4" s="5153" t="s">
        <v>379</v>
      </c>
      <c r="U4" s="5153" t="s">
        <v>380</v>
      </c>
      <c r="V4" s="5082" t="s">
        <v>381</v>
      </c>
      <c r="W4" s="4587" t="s">
        <v>382</v>
      </c>
      <c r="X4" s="6626" t="s">
        <v>996</v>
      </c>
      <c r="Y4" s="1490" t="s">
        <v>371</v>
      </c>
      <c r="Z4" s="1217" t="s">
        <v>383</v>
      </c>
      <c r="AA4" s="1217" t="s">
        <v>384</v>
      </c>
      <c r="AB4" s="1217" t="s">
        <v>385</v>
      </c>
      <c r="AC4" s="1217" t="s">
        <v>386</v>
      </c>
      <c r="AD4" s="1217" t="s">
        <v>387</v>
      </c>
      <c r="AE4" s="1217" t="s">
        <v>388</v>
      </c>
      <c r="AF4" s="1217" t="s">
        <v>389</v>
      </c>
      <c r="AG4" s="1217" t="s">
        <v>390</v>
      </c>
      <c r="AH4" s="1217" t="s">
        <v>391</v>
      </c>
      <c r="AI4" s="1217" t="s">
        <v>392</v>
      </c>
      <c r="AJ4" s="1217" t="s">
        <v>393</v>
      </c>
      <c r="AK4" s="7367"/>
      <c r="AL4" s="7367"/>
      <c r="AM4" s="7374"/>
      <c r="AN4" s="7375"/>
      <c r="AQ4" s="1144" t="s">
        <v>949</v>
      </c>
      <c r="AY4" s="334" t="s">
        <v>693</v>
      </c>
      <c r="AZ4" s="334">
        <v>0.9</v>
      </c>
      <c r="BA4" s="334">
        <v>1.1299999999999999</v>
      </c>
    </row>
    <row r="5" spans="1:74" ht="22.8" customHeight="1" thickBot="1">
      <c r="A5" s="7103" t="s">
        <v>619</v>
      </c>
      <c r="B5" s="1950" t="s">
        <v>441</v>
      </c>
      <c r="C5" s="1223" t="s">
        <v>235</v>
      </c>
      <c r="D5" s="699">
        <f t="shared" ref="D5:J5" si="1">D11</f>
        <v>97.5</v>
      </c>
      <c r="E5" s="699">
        <f t="shared" si="1"/>
        <v>97.53</v>
      </c>
      <c r="F5" s="699">
        <f t="shared" si="1"/>
        <v>98.00045319044726</v>
      </c>
      <c r="G5" s="1695">
        <f t="shared" si="1"/>
        <v>97.977320000000006</v>
      </c>
      <c r="H5" s="1147">
        <f>H11</f>
        <v>97.970594907103475</v>
      </c>
      <c r="I5" s="1147">
        <f>I11</f>
        <v>97.749821155362042</v>
      </c>
      <c r="J5" s="1958">
        <f t="shared" si="1"/>
        <v>98</v>
      </c>
      <c r="K5" s="4870">
        <f t="shared" ref="K5:K16" si="2">J5</f>
        <v>98</v>
      </c>
      <c r="L5" s="1700">
        <f t="shared" ref="L5:X5" si="3">L11</f>
        <v>97.803964795466243</v>
      </c>
      <c r="M5" s="1147">
        <f t="shared" si="3"/>
        <v>97.894259760051099</v>
      </c>
      <c r="N5" s="5236">
        <f t="shared" si="3"/>
        <v>98.038576880174062</v>
      </c>
      <c r="O5" s="5230">
        <f t="shared" si="3"/>
        <v>98.020622414048859</v>
      </c>
      <c r="P5" s="1147">
        <f t="shared" si="3"/>
        <v>97.780123233813313</v>
      </c>
      <c r="Q5" s="1147">
        <f t="shared" si="3"/>
        <v>97.906406843466527</v>
      </c>
      <c r="R5" s="1147">
        <f t="shared" si="3"/>
        <v>97.872463970540053</v>
      </c>
      <c r="S5" s="5295">
        <f t="shared" si="3"/>
        <v>97.68295863040899</v>
      </c>
      <c r="T5" s="1147">
        <f t="shared" si="3"/>
        <v>97.903120660295514</v>
      </c>
      <c r="U5" s="1147">
        <f t="shared" si="3"/>
        <v>97.835967049888623</v>
      </c>
      <c r="V5" s="6697">
        <f t="shared" si="3"/>
        <v>98.270980179528891</v>
      </c>
      <c r="W5" s="6094" t="e">
        <f t="shared" si="3"/>
        <v>#DIV/0!</v>
      </c>
      <c r="X5" s="6938">
        <f t="shared" si="3"/>
        <v>97.8720667775371</v>
      </c>
      <c r="Y5" s="1237">
        <f>CPL!AA8</f>
        <v>6303.2825169454436</v>
      </c>
      <c r="Z5" s="1237">
        <f>CPL!AB8</f>
        <v>18517.89866170608</v>
      </c>
      <c r="AA5" s="1237">
        <f>CPL!AC8</f>
        <v>30414.638972170324</v>
      </c>
      <c r="AB5" s="1237">
        <f>CPL!AD8</f>
        <v>31084.232300518543</v>
      </c>
      <c r="AC5" s="1237">
        <f>CPL!AE8</f>
        <v>3420.1720265346344</v>
      </c>
      <c r="AD5" s="1237">
        <f>CPL!AF8</f>
        <v>20463.740561803996</v>
      </c>
      <c r="AE5" s="1237">
        <f>CPL!AG8</f>
        <v>17629.456687864786</v>
      </c>
      <c r="AF5" s="1237">
        <f>CPL!AH8</f>
        <v>-8226.4319991654029</v>
      </c>
      <c r="AG5" s="1237">
        <f>CPL!AI8</f>
        <v>20094.192444438882</v>
      </c>
      <c r="AH5" s="1237">
        <f>CPL!AJ8</f>
        <v>11699.032602735373</v>
      </c>
      <c r="AI5" s="1237">
        <f>CPL!AK8</f>
        <v>1501.1600164794886</v>
      </c>
      <c r="AJ5" s="1237" t="e">
        <f>CPL!AL8</f>
        <v>#DIV/0!</v>
      </c>
      <c r="AK5" s="1237">
        <f>CPL!AM8</f>
        <v>306301.48146716465</v>
      </c>
      <c r="AL5" s="1237">
        <f>CPL!AN8</f>
        <v>152901.37479203218</v>
      </c>
      <c r="AM5" s="5723">
        <f t="shared" ref="AM5:AM10" si="4">AL5/AK5</f>
        <v>0.4991858807200158</v>
      </c>
      <c r="AN5" s="2009"/>
      <c r="AQ5" s="457" t="s">
        <v>1</v>
      </c>
      <c r="AR5" s="458" t="s">
        <v>508</v>
      </c>
      <c r="AS5" s="458" t="s">
        <v>509</v>
      </c>
      <c r="AT5" s="458" t="s">
        <v>510</v>
      </c>
      <c r="AU5" s="458" t="s">
        <v>511</v>
      </c>
      <c r="AV5" s="458" t="s">
        <v>512</v>
      </c>
      <c r="AW5" s="458" t="s">
        <v>513</v>
      </c>
      <c r="AX5" s="458" t="s">
        <v>514</v>
      </c>
      <c r="AY5" s="458" t="s">
        <v>515</v>
      </c>
      <c r="AZ5" s="458" t="s">
        <v>516</v>
      </c>
      <c r="BA5" s="458" t="s">
        <v>517</v>
      </c>
      <c r="BB5" s="458" t="s">
        <v>521</v>
      </c>
      <c r="BC5" s="458" t="s">
        <v>522</v>
      </c>
      <c r="BO5" s="1304" t="s">
        <v>926</v>
      </c>
      <c r="BP5" s="714" t="s">
        <v>1074</v>
      </c>
      <c r="BQ5" s="714" t="s">
        <v>15</v>
      </c>
      <c r="BR5" s="714" t="s">
        <v>5</v>
      </c>
      <c r="BS5" s="714" t="s">
        <v>6</v>
      </c>
      <c r="BT5" s="334" t="s">
        <v>910</v>
      </c>
      <c r="BU5" s="334" t="s">
        <v>908</v>
      </c>
      <c r="BV5" s="334" t="s">
        <v>909</v>
      </c>
    </row>
    <row r="6" spans="1:74" ht="23.25" customHeight="1">
      <c r="A6" s="7347"/>
      <c r="B6" s="1980" t="s">
        <v>241</v>
      </c>
      <c r="C6" s="1981" t="s">
        <v>235</v>
      </c>
      <c r="D6" s="1945">
        <f>AT10/(AS10+D46)*100</f>
        <v>99.87052263226272</v>
      </c>
      <c r="E6" s="1945">
        <f>AV10/(AU10+E46)*100</f>
        <v>99.862658544883146</v>
      </c>
      <c r="F6" s="1945">
        <f>AX10/(AW10+F46)*100</f>
        <v>99.868038558641942</v>
      </c>
      <c r="G6" s="1696">
        <f>AZ10/(AY10+G46)*100</f>
        <v>99.935723738135536</v>
      </c>
      <c r="H6" s="1693">
        <f>BB10/(BA10+H46)*100</f>
        <v>99.952810295068232</v>
      </c>
      <c r="I6" s="4867">
        <f>BD10/(BC10+I46)*100</f>
        <v>99.972522425747471</v>
      </c>
      <c r="J6" s="4871">
        <f>BF10/(BE10+J46)*100</f>
        <v>99.975736339467176</v>
      </c>
      <c r="K6" s="3682">
        <f t="shared" si="2"/>
        <v>99.975736339467176</v>
      </c>
      <c r="L6" s="5067">
        <f>년간!F15/(년간!F3+종합!L46)*100</f>
        <v>99.983093687456588</v>
      </c>
      <c r="M6" s="5236">
        <f>년간!G15/(년간!G3+종합!M46)*100</f>
        <v>99.99807699846086</v>
      </c>
      <c r="N6" s="5236">
        <f>년간!H15/(년간!H3+종합!N46)*100</f>
        <v>99.995671990272115</v>
      </c>
      <c r="O6" s="5236">
        <f>년간!I15/(년간!I3+종합!O46)*100</f>
        <v>99.992821422688237</v>
      </c>
      <c r="P6" s="4867">
        <f>년간!J15/(년간!J3+종합!P46)*100</f>
        <v>99.980496750612076</v>
      </c>
      <c r="Q6" s="4867">
        <f>년간!K15/(년간!K3+종합!Q46)*100</f>
        <v>99.992439620491737</v>
      </c>
      <c r="R6" s="4867">
        <f>년간!L15/(년간!L3+종합!R46)*100</f>
        <v>99.975311339798154</v>
      </c>
      <c r="S6" s="5236">
        <f>년간!M15/(년간!M3+종합!S46)*100</f>
        <v>99.995733670013749</v>
      </c>
      <c r="T6" s="4867">
        <f>년간!N15/(년간!N3+종합!T46)*100</f>
        <v>99.978793989265696</v>
      </c>
      <c r="U6" s="5232">
        <f>년간!O15/(년간!O3+종합!U46)*100</f>
        <v>99.893602035948078</v>
      </c>
      <c r="V6" s="5084" t="e">
        <f>년간!P15/(년간!P3+종합!V46)*100</f>
        <v>#DIV/0!</v>
      </c>
      <c r="W6" s="4590" t="e">
        <f>년간!Q15/(년간!Q3+종합!W46)*100</f>
        <v>#DIV/0!</v>
      </c>
      <c r="X6" s="6939">
        <f>년간!V15/(년간!V3+종합!X46)*100</f>
        <v>99.977203109953876</v>
      </c>
      <c r="Y6" s="2386">
        <f>년간!F133/1000</f>
        <v>1038.942506734792</v>
      </c>
      <c r="Z6" s="2386">
        <f>년간!G133/1000</f>
        <v>2997.8309944424618</v>
      </c>
      <c r="AA6" s="2386">
        <f>년간!H133/1000</f>
        <v>2181.2088998520162</v>
      </c>
      <c r="AB6" s="2386">
        <f>년간!I133/1000</f>
        <v>2330.7978403060997</v>
      </c>
      <c r="AC6" s="2386">
        <f>년간!J133/1000</f>
        <v>849.64454525347651</v>
      </c>
      <c r="AD6" s="2386">
        <f>년간!K133/1000</f>
        <v>2274.3246572212147</v>
      </c>
      <c r="AE6" s="2386">
        <f>년간!L133/1000</f>
        <v>375.38869325106486</v>
      </c>
      <c r="AF6" s="2386">
        <f>년간!M133/1000</f>
        <v>2855.9076421316031</v>
      </c>
      <c r="AG6" s="2386">
        <f>년간!N133/1000</f>
        <v>721.05430439714905</v>
      </c>
      <c r="AH6" s="2386">
        <f>년간!O133/1000</f>
        <v>-10252.186201950008</v>
      </c>
      <c r="AI6" s="2386">
        <v>0</v>
      </c>
      <c r="AJ6" s="2386" t="e">
        <f>년간!Q133/1000</f>
        <v>#DIV/0!</v>
      </c>
      <c r="AK6" s="1993">
        <f>년간!D133/1000</f>
        <v>3713.6095271394643</v>
      </c>
      <c r="AL6" s="2387">
        <f>년간!V133/1000</f>
        <v>5372.913881655194</v>
      </c>
      <c r="AM6" s="2394">
        <f t="shared" si="4"/>
        <v>1.4468171309851916</v>
      </c>
      <c r="AN6" s="2009"/>
      <c r="AQ6" s="527" t="s">
        <v>505</v>
      </c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O6" s="700" t="s">
        <v>653</v>
      </c>
      <c r="BP6" s="1295">
        <v>62.828333333333326</v>
      </c>
      <c r="BQ6" s="1296">
        <v>54.27</v>
      </c>
      <c r="BR6" s="1295">
        <v>51.14</v>
      </c>
      <c r="BS6" s="1295">
        <v>53.32</v>
      </c>
      <c r="BT6" s="1297">
        <v>13.8</v>
      </c>
      <c r="BU6" s="334">
        <v>64.25</v>
      </c>
      <c r="BV6" s="334">
        <v>65.06</v>
      </c>
    </row>
    <row r="7" spans="1:74" ht="23.25" customHeight="1" thickBot="1">
      <c r="A7" s="7347"/>
      <c r="B7" s="1980" t="s">
        <v>43</v>
      </c>
      <c r="C7" s="1981" t="s">
        <v>235</v>
      </c>
      <c r="D7" s="1945">
        <f>AT11/(AS11+D47)*100</f>
        <v>98.167855663821982</v>
      </c>
      <c r="E7" s="1945">
        <f>AV11/(AU11+E47)*100</f>
        <v>98.588486936637864</v>
      </c>
      <c r="F7" s="1945">
        <f>AX11/(AW11+F47)*100</f>
        <v>98.994670160962812</v>
      </c>
      <c r="G7" s="1696">
        <f>AZ11/(AY11+G47)*100</f>
        <v>99.457557004637763</v>
      </c>
      <c r="H7" s="1693">
        <f>BB11/(BA11+H47)*100</f>
        <v>100.08390355468673</v>
      </c>
      <c r="I7" s="4867">
        <f>BD11/(BC11+I47)*100</f>
        <v>100.16156108737712</v>
      </c>
      <c r="J7" s="4871">
        <f>BF11/(BE11+J47)*100</f>
        <v>100.33526629746046</v>
      </c>
      <c r="K7" s="3682">
        <f t="shared" si="2"/>
        <v>100.33526629746046</v>
      </c>
      <c r="L7" s="5067">
        <f>년간!F16/(년간!F4+종합!L47)*100</f>
        <v>100.70524985861206</v>
      </c>
      <c r="M7" s="5236">
        <f>년간!G16/(년간!G4+종합!M47)*100</f>
        <v>100.6108820007982</v>
      </c>
      <c r="N7" s="4867">
        <f>년간!H16/(년간!H4+종합!N47)*100</f>
        <v>100.2568166142314</v>
      </c>
      <c r="O7" s="4867">
        <f>년간!I16/(년간!I4+종합!O47)*100</f>
        <v>100.15607027380437</v>
      </c>
      <c r="P7" s="5236">
        <f>년간!J16/(년간!J4+종합!P47)*100</f>
        <v>100.42161065318358</v>
      </c>
      <c r="Q7" s="5232">
        <f>년간!K16/(년간!K4+종합!Q47)*100</f>
        <v>100.13871134113718</v>
      </c>
      <c r="R7" s="4867">
        <f>년간!L16/(년간!L4+종합!R47)*100</f>
        <v>100.20964912879829</v>
      </c>
      <c r="S7" s="4867">
        <f>년간!M16/(년간!M4+종합!S47)*100</f>
        <v>100.25638621252106</v>
      </c>
      <c r="T7" s="4867">
        <f>년간!N16/(년간!N4+종합!T47)*100</f>
        <v>100.31733953067479</v>
      </c>
      <c r="U7" s="5236">
        <f>년간!O16/(년간!O4+종합!U47)*100</f>
        <v>100.6344306717986</v>
      </c>
      <c r="V7" s="5084">
        <f>년간!P16/(년간!P4+종합!V47)*100</f>
        <v>100.95498387414261</v>
      </c>
      <c r="W7" s="4590" t="e">
        <f>년간!Q16/(년간!Q4+종합!W47)*100</f>
        <v>#DIV/0!</v>
      </c>
      <c r="X7" s="6939">
        <f>년간!V16/(년간!V4+종합!X47)*100</f>
        <v>100.36819107986636</v>
      </c>
      <c r="Y7" s="2386">
        <f>년간!F141/1000</f>
        <v>57928.879414280644</v>
      </c>
      <c r="Z7" s="2386">
        <f>년간!G141/1000</f>
        <v>47621.092466459915</v>
      </c>
      <c r="AA7" s="2386">
        <f>년간!H141/1000</f>
        <v>11089.887640765166</v>
      </c>
      <c r="AB7" s="2386">
        <f>년간!I141/1000</f>
        <v>-587.30862605846744</v>
      </c>
      <c r="AC7" s="2386">
        <f>년간!J141/1000</f>
        <v>25597.039783988148</v>
      </c>
      <c r="AD7" s="2386">
        <f>년간!K141/1000</f>
        <v>-2469.7782080281877</v>
      </c>
      <c r="AE7" s="2386">
        <f>년간!L141/1000</f>
        <v>6414.2980785105283</v>
      </c>
      <c r="AF7" s="2386">
        <f>년간!M141/1000</f>
        <v>11375.524395405741</v>
      </c>
      <c r="AG7" s="2386">
        <f>년간!N141/1000</f>
        <v>19715.83481597983</v>
      </c>
      <c r="AH7" s="2386">
        <f>년간!O141/1000</f>
        <v>55414.64503321745</v>
      </c>
      <c r="AI7" s="2386">
        <f>년간!P141/1000</f>
        <v>4546.4902860387638</v>
      </c>
      <c r="AJ7" s="2386" t="e">
        <f>년간!Q141/1000</f>
        <v>#DIV/0!</v>
      </c>
      <c r="AK7" s="1993">
        <f>년간!D141/1000</f>
        <v>205271.83097657198</v>
      </c>
      <c r="AL7" s="2387">
        <f>년간!V141/1000</f>
        <v>236646.60508056876</v>
      </c>
      <c r="AM7" s="2394">
        <f t="shared" si="4"/>
        <v>1.1528450053508688</v>
      </c>
      <c r="AN7" s="2009"/>
      <c r="AQ7" s="528" t="s">
        <v>492</v>
      </c>
      <c r="AR7" s="2425"/>
      <c r="AS7" s="2425"/>
      <c r="AT7" s="2425"/>
      <c r="AU7" s="2425"/>
      <c r="AV7" s="2425"/>
      <c r="AW7" s="2425"/>
      <c r="AX7" s="2425"/>
      <c r="AY7" s="2425"/>
      <c r="AZ7" s="2425"/>
      <c r="BA7" s="2425"/>
      <c r="BB7" s="2425"/>
      <c r="BC7" s="2425"/>
      <c r="BO7" s="701" t="s">
        <v>654</v>
      </c>
      <c r="BP7" s="1295">
        <v>78.473333333333315</v>
      </c>
      <c r="BQ7" s="1296">
        <v>69.38</v>
      </c>
      <c r="BR7" s="1295">
        <v>66.44</v>
      </c>
      <c r="BS7" s="1295">
        <v>71.81</v>
      </c>
      <c r="BT7" s="1297">
        <v>8.8000000000000007</v>
      </c>
      <c r="BU7" s="334">
        <v>82.64</v>
      </c>
      <c r="BV7" s="334">
        <v>79.09</v>
      </c>
    </row>
    <row r="8" spans="1:74" ht="23.25" customHeight="1" thickBot="1">
      <c r="A8" s="7347"/>
      <c r="B8" s="1980" t="s">
        <v>442</v>
      </c>
      <c r="C8" s="1981" t="s">
        <v>235</v>
      </c>
      <c r="D8" s="1654">
        <f>AT12/(AS12+AS26)*100</f>
        <v>99.343641578925158</v>
      </c>
      <c r="E8" s="1654">
        <f>AV12/(AU12+AT26)*100</f>
        <v>99.054050145315031</v>
      </c>
      <c r="F8" s="1654">
        <f>AX12/(AW12+AT26)*100</f>
        <v>99.249080008674838</v>
      </c>
      <c r="G8" s="1697">
        <f>AZ12/(AY12+AV26)*100</f>
        <v>100.29005853372483</v>
      </c>
      <c r="H8" s="1694">
        <f>BB12/(BA12+AW26)*100</f>
        <v>100.45991344797469</v>
      </c>
      <c r="I8" s="4868">
        <f>BD12/(BC12+AX26)*100</f>
        <v>100.39461945188945</v>
      </c>
      <c r="J8" s="4872">
        <f>BF12/(BE12+AY26)*100</f>
        <v>100.39782638666881</v>
      </c>
      <c r="K8" s="3682">
        <f t="shared" si="2"/>
        <v>100.39782638666881</v>
      </c>
      <c r="L8" s="6497">
        <f>(년간!F17)/(년간!F5+L49+AR49)*100</f>
        <v>100.21777145770938</v>
      </c>
      <c r="M8" s="6500">
        <f>(년간!G17)/(년간!G5+M49+AS49)*100</f>
        <v>100.57793845927043</v>
      </c>
      <c r="N8" s="6500">
        <f>(년간!H17)/(년간!H5+N49+AT49)*100</f>
        <v>100.43624245241026</v>
      </c>
      <c r="O8" s="6500">
        <f>(년간!I17)/(년간!I5+O49+AU49)*100</f>
        <v>100.44469180256721</v>
      </c>
      <c r="P8" s="6500">
        <f>(년간!J17)/(년간!J5+P49+AV49)*100</f>
        <v>100.48308026118353</v>
      </c>
      <c r="Q8" s="6500">
        <f>(년간!K17)/(년간!K5+Q49+AW49)*100</f>
        <v>100.45978678721237</v>
      </c>
      <c r="R8" s="6496">
        <f>(년간!L17)/(년간!L5+R49+AX49)*100</f>
        <v>100.2849087496591</v>
      </c>
      <c r="S8" s="5243">
        <f>(년간!M17)/(년간!M5+S49+AY49)*100</f>
        <v>100.52026140805023</v>
      </c>
      <c r="T8" s="5243">
        <f>(년간!N17)/(년간!N5+T49+AZ49)*100</f>
        <v>100.48535504383852</v>
      </c>
      <c r="U8" s="5243">
        <f>(년간!O17)/(년간!O5+U49+BM49)*100</f>
        <v>100.48327523465113</v>
      </c>
      <c r="V8" s="6840">
        <f>(년간!P17)/(년간!P5+V49+BN49)*100</f>
        <v>100.51303258115003</v>
      </c>
      <c r="W8" s="6692">
        <f>(년간!Q17)/(년간!Q5+W49+BO49)*100</f>
        <v>100.2332677588839</v>
      </c>
      <c r="X8" s="6939">
        <f>년간!V17/(년간!V5+X49+BD49)*100</f>
        <v>100.42329805871817</v>
      </c>
      <c r="Y8" s="2386">
        <f>년간!F148/1000</f>
        <v>-17015.203223538756</v>
      </c>
      <c r="Z8" s="2386">
        <f>년간!G148/1000</f>
        <v>14620.11422076668</v>
      </c>
      <c r="AA8" s="2386">
        <f>년간!H148/1000</f>
        <v>3874.1616912570576</v>
      </c>
      <c r="AB8" s="2386">
        <f>년간!I148/1000</f>
        <v>4522.0904926527683</v>
      </c>
      <c r="AC8" s="2386">
        <f>년간!J148/1000</f>
        <v>7821.3005117329585</v>
      </c>
      <c r="AD8" s="2386">
        <f>년간!K148/1000</f>
        <v>6198.4114601302435</v>
      </c>
      <c r="AE8" s="2386">
        <f>년간!L148/1000</f>
        <v>-11580.506878497363</v>
      </c>
      <c r="AF8" s="2386">
        <f>년간!M148/1000</f>
        <v>10907.448731634933</v>
      </c>
      <c r="AG8" s="2386">
        <f>년간!N148/1000</f>
        <v>8264.4354806020092</v>
      </c>
      <c r="AH8" s="2386">
        <f>년간!O148/1000</f>
        <v>7712.9575285522478</v>
      </c>
      <c r="AI8" s="2386">
        <f>년간!P148/1000</f>
        <v>10997.818461607496</v>
      </c>
      <c r="AJ8" s="2386">
        <f>년간!Q148/1000</f>
        <v>-14678.857835801069</v>
      </c>
      <c r="AK8" s="1993">
        <f>년간!D148/1000</f>
        <v>3756.9891444195173</v>
      </c>
      <c r="AL8" s="2387">
        <f>년간!V148/1000</f>
        <v>31644.170641114662</v>
      </c>
      <c r="AM8" s="4928">
        <f t="shared" si="4"/>
        <v>8.422747424787655</v>
      </c>
      <c r="AN8" s="4927"/>
      <c r="AO8" s="702"/>
      <c r="AR8" s="2928"/>
      <c r="AS8" s="2929" t="s">
        <v>620</v>
      </c>
      <c r="AT8" s="2930" t="s">
        <v>621</v>
      </c>
      <c r="AU8" s="2931" t="s">
        <v>622</v>
      </c>
      <c r="AV8" s="2932" t="s">
        <v>623</v>
      </c>
      <c r="AW8" s="2929" t="s">
        <v>624</v>
      </c>
      <c r="AX8" s="2930" t="s">
        <v>625</v>
      </c>
      <c r="AY8" s="2931" t="s">
        <v>626</v>
      </c>
      <c r="AZ8" s="2932" t="s">
        <v>627</v>
      </c>
      <c r="BA8" s="2929" t="s">
        <v>812</v>
      </c>
      <c r="BB8" s="2478" t="s">
        <v>813</v>
      </c>
      <c r="BC8" s="2933" t="s">
        <v>1009</v>
      </c>
      <c r="BD8" s="2934" t="s">
        <v>1010</v>
      </c>
      <c r="BE8" s="2935" t="s">
        <v>1286</v>
      </c>
      <c r="BF8" s="2936" t="s">
        <v>1287</v>
      </c>
      <c r="BO8" s="701" t="s">
        <v>655</v>
      </c>
      <c r="BP8" s="1295">
        <v>90.483333333333334</v>
      </c>
      <c r="BQ8" s="1296">
        <v>77.55</v>
      </c>
      <c r="BR8" s="1295">
        <v>92.56</v>
      </c>
      <c r="BS8" s="1295">
        <v>92.7</v>
      </c>
      <c r="BT8" s="1297">
        <v>2</v>
      </c>
      <c r="BU8" s="334">
        <v>90.66</v>
      </c>
      <c r="BV8" s="334">
        <v>91.49</v>
      </c>
    </row>
    <row r="9" spans="1:74" ht="23.25" customHeight="1">
      <c r="A9" s="7347"/>
      <c r="B9" s="1980" t="s">
        <v>443</v>
      </c>
      <c r="C9" s="1981" t="s">
        <v>235</v>
      </c>
      <c r="D9" s="1654">
        <f>AT13/(AS13+AS27)*100</f>
        <v>99.210533081575974</v>
      </c>
      <c r="E9" s="1654">
        <f>AV13/(AU13+AT27)*100</f>
        <v>98.682314605291381</v>
      </c>
      <c r="F9" s="1654">
        <f>AX13/(AW13+AU27)*100</f>
        <v>99.339533747442189</v>
      </c>
      <c r="G9" s="1697">
        <f>AZ13/(AY13+AV27)*100</f>
        <v>99.484261349212545</v>
      </c>
      <c r="H9" s="1694">
        <f>BB13/(BA13+AW27)*100</f>
        <v>99.874493389216511</v>
      </c>
      <c r="I9" s="4868">
        <f>BD13/(BC13+AX27)*100</f>
        <v>100.20491802108988</v>
      </c>
      <c r="J9" s="4872">
        <f>BF13/(BE13+AY27)*100</f>
        <v>100.33091245525503</v>
      </c>
      <c r="K9" s="4873">
        <f t="shared" si="2"/>
        <v>100.33091245525503</v>
      </c>
      <c r="L9" s="4584">
        <f>년간!F18/(년간!F6+L50+AR50)*100</f>
        <v>100.33160299614805</v>
      </c>
      <c r="M9" s="4262">
        <f>년간!G18/(년간!G6+M50+AS50)*100</f>
        <v>100.31278394459495</v>
      </c>
      <c r="N9" s="6496">
        <f>년간!H18/(년간!H6+N50+AT50)*100</f>
        <v>99.842715192487546</v>
      </c>
      <c r="O9" s="4262">
        <f>년간!I18/(년간!I6+O50+AU50)*100</f>
        <v>100.25638671527115</v>
      </c>
      <c r="P9" s="6496">
        <f>년간!J18/(년간!J6+P50+AV50)*100</f>
        <v>99.976358351759913</v>
      </c>
      <c r="Q9" s="6500">
        <f>년간!K18/(년간!K6+Q50+AW50)*100</f>
        <v>100.47346208947769</v>
      </c>
      <c r="R9" s="4262">
        <f>년간!L18/(년간!L6+R50+AX50)*100</f>
        <v>100.2594514455152</v>
      </c>
      <c r="S9" s="4723">
        <f>년간!M18/(년간!M6+S50+AY50)*100</f>
        <v>100.08510072786203</v>
      </c>
      <c r="T9" s="4723">
        <f>년간!N18/(년간!N6+T50+AZ50)*100</f>
        <v>100.080800946721</v>
      </c>
      <c r="U9" s="4868">
        <f>년간!O18/(년간!O6+U50+BM50)*100</f>
        <v>100.35412513721585</v>
      </c>
      <c r="V9" s="6840">
        <f>년간!P18/(년간!P6+V50+BN50)*100</f>
        <v>100.03259249071483</v>
      </c>
      <c r="W9" s="6692">
        <f>년간!Q18/(년간!Q6+W50+BO50)*100</f>
        <v>100.42728138663537</v>
      </c>
      <c r="X9" s="6939">
        <f>년간!V18/(년간!V6+X50+BD50)*100</f>
        <v>100.19420910863445</v>
      </c>
      <c r="Y9" s="2386">
        <f>년간!F156/1000</f>
        <v>5614.6277562289724</v>
      </c>
      <c r="Z9" s="2386">
        <f>년간!G156/1000</f>
        <v>4898.5985036199691</v>
      </c>
      <c r="AA9" s="2386">
        <f>년간!H156/1000</f>
        <v>-13188.798802532036</v>
      </c>
      <c r="AB9" s="2386">
        <f>년간!I156/1000</f>
        <v>2020.5791788232871</v>
      </c>
      <c r="AC9" s="2386">
        <f>년간!J156/1000</f>
        <v>-7955.1348389522473</v>
      </c>
      <c r="AD9" s="2386">
        <f>년간!K156/1000</f>
        <v>12140.102693976845</v>
      </c>
      <c r="AE9" s="2386">
        <f>년간!L156/1000</f>
        <v>2337.4319258357054</v>
      </c>
      <c r="AF9" s="2386">
        <f>년간!M156/1000</f>
        <v>-4769.2516902223351</v>
      </c>
      <c r="AG9" s="2386">
        <f>년간!N156/1000</f>
        <v>-4386.7599366976474</v>
      </c>
      <c r="AH9" s="2386">
        <f>년간!O156/1000</f>
        <v>2309.6044627265742</v>
      </c>
      <c r="AI9" s="2386">
        <f>년간!P156/1000</f>
        <v>-9988.646816134662</v>
      </c>
      <c r="AJ9" s="2386">
        <f>년간!Q156/1000</f>
        <v>5787.2617840740613</v>
      </c>
      <c r="AK9" s="1993">
        <f>년간!D156/1000</f>
        <v>57720.251575596652</v>
      </c>
      <c r="AL9" s="2387">
        <f>년간!V156/1000</f>
        <v>-5180.3857792616136</v>
      </c>
      <c r="AM9" s="4928">
        <f t="shared" si="4"/>
        <v>-8.9749882196490827E-2</v>
      </c>
      <c r="AN9" s="4927"/>
      <c r="AR9" s="2915" t="s">
        <v>130</v>
      </c>
      <c r="AS9" s="2916">
        <v>317831.20400000003</v>
      </c>
      <c r="AT9" s="2917">
        <v>309881.74400000001</v>
      </c>
      <c r="AU9" s="2918">
        <v>324552.527</v>
      </c>
      <c r="AV9" s="2919">
        <v>316522.94099999999</v>
      </c>
      <c r="AW9" s="2916">
        <v>341741.53700000001</v>
      </c>
      <c r="AX9" s="2917">
        <v>334908.255</v>
      </c>
      <c r="AY9" s="2920">
        <v>329183.67346938775</v>
      </c>
      <c r="AZ9" s="2921">
        <v>322600</v>
      </c>
      <c r="BA9" s="2922">
        <v>337898.63699999999</v>
      </c>
      <c r="BB9" s="2923">
        <v>331013.49099999998</v>
      </c>
      <c r="BC9" s="2924">
        <v>309336.92300000001</v>
      </c>
      <c r="BD9" s="2925">
        <v>302376.28899999999</v>
      </c>
      <c r="BE9" s="2926">
        <f>년간!D2</f>
        <v>282217.3469387755</v>
      </c>
      <c r="BF9" s="2927">
        <f>년간!D14</f>
        <v>276573</v>
      </c>
      <c r="BO9" s="701" t="s">
        <v>656</v>
      </c>
      <c r="BP9" s="1295">
        <v>69.433333333333323</v>
      </c>
      <c r="BQ9" s="1296">
        <v>66.84</v>
      </c>
      <c r="BR9" s="1295">
        <v>75.91</v>
      </c>
      <c r="BS9" s="1295">
        <v>63.97</v>
      </c>
      <c r="BT9" s="1297">
        <v>4.5</v>
      </c>
      <c r="BU9" s="334">
        <v>71.52</v>
      </c>
      <c r="BV9" s="334">
        <v>57.55</v>
      </c>
    </row>
    <row r="10" spans="1:74" ht="22.8" customHeight="1" thickBot="1">
      <c r="A10" s="7348"/>
      <c r="B10" s="1986" t="s">
        <v>448</v>
      </c>
      <c r="C10" s="2010" t="s">
        <v>1142</v>
      </c>
      <c r="D10" s="1698">
        <f>AT14/(AS14+AS26+AS27+D46+D47)*100</f>
        <v>98.611185633003871</v>
      </c>
      <c r="E10" s="1698">
        <f>AV14/(AU14+AT26+AT27+E46+E47)*100</f>
        <v>98.66773107151711</v>
      </c>
      <c r="F10" s="1698">
        <f>AX14/(AW14+AU26+AU27+F46+F47)*100</f>
        <v>99.025680032530133</v>
      </c>
      <c r="G10" s="1698">
        <f>AZ14/(AY14+G51)*100</f>
        <v>99.253811017611199</v>
      </c>
      <c r="H10" s="1877">
        <f>BB14/(BA14+H51)*100</f>
        <v>99.454033113973196</v>
      </c>
      <c r="I10" s="2358">
        <f>BD14/(BC14+I51)*100</f>
        <v>99.460676096937433</v>
      </c>
      <c r="J10" s="6498">
        <f>BF14/(BE14+J51)*100</f>
        <v>99.617113448641575</v>
      </c>
      <c r="K10" s="6499">
        <f t="shared" si="2"/>
        <v>99.617113448641575</v>
      </c>
      <c r="L10" s="2234">
        <f>년간!F19/(년간!F7+L51)*100</f>
        <v>99.598178930933926</v>
      </c>
      <c r="M10" s="5215">
        <f>년간!G19/(년간!G7+M51)*100</f>
        <v>99.598855008226536</v>
      </c>
      <c r="N10" s="5215">
        <f>년간!H19/(년간!H7+N51)*100</f>
        <v>99.604445024982667</v>
      </c>
      <c r="O10" s="5215">
        <f>년간!I19/(년간!I7+O51)*100</f>
        <v>99.559442002480864</v>
      </c>
      <c r="P10" s="5215">
        <f>년간!J19/(년간!J7+P51)*100</f>
        <v>99.524974045220816</v>
      </c>
      <c r="Q10" s="5215">
        <f>년간!K19/(년간!K7+Q51)*100</f>
        <v>99.489444137993559</v>
      </c>
      <c r="R10" s="5215">
        <f>년간!L19/(년간!L7+R51)*100</f>
        <v>99.484219156365697</v>
      </c>
      <c r="S10" s="5215">
        <f>년간!M19/(년간!M7+S51)*100</f>
        <v>99.471903293349712</v>
      </c>
      <c r="T10" s="5215">
        <f>년간!N19/(년간!N7+T51)*100</f>
        <v>99.533257042370508</v>
      </c>
      <c r="U10" s="5215">
        <f>년간!O19/(년간!O7+U51)*100</f>
        <v>99.565487664079541</v>
      </c>
      <c r="V10" s="5090">
        <f>년간!P19/(년간!P7+V51)*100</f>
        <v>100.33560438985046</v>
      </c>
      <c r="W10" s="4588">
        <f>년간!Q19/(년간!Q7+W51)*100</f>
        <v>100.26145603997041</v>
      </c>
      <c r="X10" s="6940">
        <f>년간!V19/(년간!V7+X51)*100</f>
        <v>99.568619493376815</v>
      </c>
      <c r="Y10" s="2012">
        <f>SUM(Y5:Y9)</f>
        <v>53870.528970651096</v>
      </c>
      <c r="Z10" s="2012">
        <f>SUM(Z5:Z9)</f>
        <v>88655.534846995113</v>
      </c>
      <c r="AA10" s="2012">
        <f>SUM(AA5:AA9)</f>
        <v>34371.098401512529</v>
      </c>
      <c r="AB10" s="2012">
        <f t="shared" ref="AB10:AK10" si="5">SUM(AB5:AB9)</f>
        <v>39370.391186242232</v>
      </c>
      <c r="AC10" s="2012">
        <f t="shared" si="5"/>
        <v>29733.022028556974</v>
      </c>
      <c r="AD10" s="2012">
        <f t="shared" si="5"/>
        <v>38606.801165104116</v>
      </c>
      <c r="AE10" s="2012">
        <f t="shared" si="5"/>
        <v>15176.068506964722</v>
      </c>
      <c r="AF10" s="2012">
        <f t="shared" si="5"/>
        <v>12143.197079784539</v>
      </c>
      <c r="AG10" s="2012">
        <f t="shared" si="5"/>
        <v>44408.757108720223</v>
      </c>
      <c r="AH10" s="2012">
        <f t="shared" si="5"/>
        <v>66884.053425281643</v>
      </c>
      <c r="AI10" s="2012">
        <f t="shared" si="5"/>
        <v>7056.8219479910858</v>
      </c>
      <c r="AJ10" s="2012" t="e">
        <f t="shared" si="5"/>
        <v>#DIV/0!</v>
      </c>
      <c r="AK10" s="2012">
        <f t="shared" si="5"/>
        <v>576764.16269089223</v>
      </c>
      <c r="AL10" s="2012">
        <f>SUM(AL5:AL9)</f>
        <v>421384.67861610919</v>
      </c>
      <c r="AM10" s="2007">
        <f t="shared" si="4"/>
        <v>0.73060135472034127</v>
      </c>
      <c r="AN10" s="1992"/>
      <c r="AR10" s="2893" t="s">
        <v>131</v>
      </c>
      <c r="AS10" s="2909">
        <v>291352.30900000001</v>
      </c>
      <c r="AT10" s="2910">
        <v>291117.53899999999</v>
      </c>
      <c r="AU10" s="2902">
        <v>295023.511</v>
      </c>
      <c r="AV10" s="2896">
        <v>294828.033</v>
      </c>
      <c r="AW10" s="2909">
        <v>319336.86499999999</v>
      </c>
      <c r="AX10" s="2910">
        <v>319148.15600000002</v>
      </c>
      <c r="AY10" s="2904">
        <v>317663.5327065413</v>
      </c>
      <c r="AZ10" s="2898">
        <v>317600</v>
      </c>
      <c r="BA10" s="2912">
        <f>314404.641</f>
        <v>314404.641</v>
      </c>
      <c r="BB10" s="2913">
        <v>314352.38900000002</v>
      </c>
      <c r="BC10" s="2905">
        <v>290922.37900000002</v>
      </c>
      <c r="BD10" s="2899">
        <v>290884.59899999999</v>
      </c>
      <c r="BE10" s="2914">
        <f>년간!D3</f>
        <v>266346.63466346636</v>
      </c>
      <c r="BF10" s="2890">
        <f>년간!D15</f>
        <v>266320</v>
      </c>
      <c r="BO10" s="701" t="s">
        <v>657</v>
      </c>
      <c r="BP10" s="1295">
        <v>62.459166666666668</v>
      </c>
      <c r="BQ10" s="1296">
        <v>57.89</v>
      </c>
      <c r="BR10" s="1295">
        <v>61.33</v>
      </c>
      <c r="BS10" s="1295">
        <v>66.06</v>
      </c>
      <c r="BT10" s="1297">
        <v>6.2</v>
      </c>
      <c r="BU10" s="334">
        <v>44.5</v>
      </c>
      <c r="BV10" s="334">
        <v>60.84</v>
      </c>
    </row>
    <row r="11" spans="1:74" ht="23.25" customHeight="1">
      <c r="A11" s="7183" t="s">
        <v>352</v>
      </c>
      <c r="B11" s="1952" t="s">
        <v>441</v>
      </c>
      <c r="C11" s="1225" t="s">
        <v>445</v>
      </c>
      <c r="D11" s="1540">
        <f>CPL!F8</f>
        <v>97.5</v>
      </c>
      <c r="E11" s="1540">
        <f>CPL!G8</f>
        <v>97.53</v>
      </c>
      <c r="F11" s="1540">
        <f>CPL!H8</f>
        <v>98.00045319044726</v>
      </c>
      <c r="G11" s="1540">
        <f>CPL!I8</f>
        <v>97.977320000000006</v>
      </c>
      <c r="H11" s="1307">
        <v>97.970594907103475</v>
      </c>
      <c r="I11" s="1307">
        <f>CPL!K8</f>
        <v>97.749821155362042</v>
      </c>
      <c r="J11" s="1960">
        <f>CPL!L8</f>
        <v>98</v>
      </c>
      <c r="K11" s="4870">
        <f t="shared" si="2"/>
        <v>98</v>
      </c>
      <c r="L11" s="1700">
        <f>CPL!N8</f>
        <v>97.803964795466243</v>
      </c>
      <c r="M11" s="1407">
        <f>CPL!O8</f>
        <v>97.894259760051099</v>
      </c>
      <c r="N11" s="1407">
        <f>CPL!P8</f>
        <v>98.038576880174062</v>
      </c>
      <c r="O11" s="1407">
        <f>CPL!Q8</f>
        <v>98.020622414048859</v>
      </c>
      <c r="P11" s="1407">
        <f>CPL!R8</f>
        <v>97.780123233813313</v>
      </c>
      <c r="Q11" s="1407">
        <f>CPL!S8</f>
        <v>97.906406843466527</v>
      </c>
      <c r="R11" s="1407">
        <f>CPL!T8</f>
        <v>97.872463970540053</v>
      </c>
      <c r="S11" s="5248">
        <f>CPL!U8</f>
        <v>97.68295863040899</v>
      </c>
      <c r="T11" s="1407">
        <f>CPL!V8</f>
        <v>97.903120660295514</v>
      </c>
      <c r="U11" s="1407">
        <f>CPL!W8</f>
        <v>97.835967049888623</v>
      </c>
      <c r="V11" s="6698">
        <f>CPL!X8</f>
        <v>98.270980179528891</v>
      </c>
      <c r="W11" s="6094" t="e">
        <f>CPL!Y8</f>
        <v>#DIV/0!</v>
      </c>
      <c r="X11" s="6941">
        <f>CPL!Z8</f>
        <v>97.8720667775371</v>
      </c>
      <c r="Y11" s="1491">
        <f>CPL!AA8</f>
        <v>6303.2825169454436</v>
      </c>
      <c r="Z11" s="759">
        <f>CPL!AB8</f>
        <v>18517.89866170608</v>
      </c>
      <c r="AA11" s="759">
        <f>CPL!AC8</f>
        <v>30414.638972170324</v>
      </c>
      <c r="AB11" s="759">
        <f>CPL!AD8</f>
        <v>31084.232300518543</v>
      </c>
      <c r="AC11" s="759">
        <f>CPL!AE8</f>
        <v>3420.1720265346344</v>
      </c>
      <c r="AD11" s="759">
        <f>CPL!AF8</f>
        <v>20463.740561803996</v>
      </c>
      <c r="AE11" s="759">
        <f>CPL!AG8</f>
        <v>17629.456687864786</v>
      </c>
      <c r="AF11" s="759">
        <f>CPL!AH8</f>
        <v>-8226.4319991654029</v>
      </c>
      <c r="AG11" s="759">
        <f>CPL!AI8</f>
        <v>20094.192444438882</v>
      </c>
      <c r="AH11" s="759">
        <f>CPL!AJ8</f>
        <v>11699.032602735373</v>
      </c>
      <c r="AI11" s="759">
        <f>CPL!AK8</f>
        <v>1501.1600164794886</v>
      </c>
      <c r="AJ11" s="759" t="e">
        <f>CPL!AL8</f>
        <v>#DIV/0!</v>
      </c>
      <c r="AK11" s="759">
        <f>CPL!AM8</f>
        <v>306301.48146716465</v>
      </c>
      <c r="AL11" s="1699">
        <f>Y11+Z11+AA11+AB11+AC11+AD11+AE11+AF11+AG11+AH11</f>
        <v>151400.21477555268</v>
      </c>
      <c r="AM11" s="5218">
        <f t="shared" ref="AM11:AM16" si="6">AL11/AK11</f>
        <v>0.49428495758608565</v>
      </c>
      <c r="AN11" s="1238"/>
      <c r="AR11" s="2892" t="s">
        <v>132</v>
      </c>
      <c r="AS11" s="2907">
        <v>292757.33</v>
      </c>
      <c r="AT11" s="2908">
        <v>288508.78000000003</v>
      </c>
      <c r="AU11" s="2901">
        <v>288317.93800000002</v>
      </c>
      <c r="AV11" s="2895">
        <v>284596.31</v>
      </c>
      <c r="AW11" s="2907">
        <v>313880.42599999998</v>
      </c>
      <c r="AX11" s="2908">
        <v>310955.55</v>
      </c>
      <c r="AY11" s="2904">
        <v>311708.54271356785</v>
      </c>
      <c r="AZ11" s="2898">
        <v>310150</v>
      </c>
      <c r="BA11" s="2912">
        <f>308532.069+H48</f>
        <v>308673.96900000004</v>
      </c>
      <c r="BB11" s="2913">
        <v>309091.09000000003</v>
      </c>
      <c r="BC11" s="2905">
        <v>291080.179</v>
      </c>
      <c r="BD11" s="2899">
        <v>291611.64</v>
      </c>
      <c r="BE11" s="2914">
        <f>년간!D4</f>
        <v>272396.61185849528</v>
      </c>
      <c r="BF11" s="2890">
        <f>년간!D16</f>
        <v>273350</v>
      </c>
      <c r="BO11" s="334" t="s">
        <v>900</v>
      </c>
      <c r="BP11" s="1295">
        <v>72.735500000000002</v>
      </c>
      <c r="BQ11" s="1295">
        <v>65.185999999999993</v>
      </c>
      <c r="BR11" s="1295">
        <v>69.475999999999985</v>
      </c>
      <c r="BS11" s="1295">
        <v>69.571999999999989</v>
      </c>
      <c r="BT11" s="1297">
        <f>AVERAGE(BT6:BT10)</f>
        <v>7.0600000000000005</v>
      </c>
      <c r="BU11" s="1297">
        <f>AVERAGE(BU6:BU10)</f>
        <v>70.713999999999999</v>
      </c>
      <c r="BV11" s="1297">
        <f>AVERAGE(BV6:BV10)</f>
        <v>70.805999999999997</v>
      </c>
    </row>
    <row r="12" spans="1:74" ht="23.25" customHeight="1">
      <c r="A12" s="7184"/>
      <c r="B12" s="1980" t="s">
        <v>241</v>
      </c>
      <c r="C12" s="1981" t="s">
        <v>445</v>
      </c>
      <c r="D12" s="1945">
        <f>CRM!F9</f>
        <v>99.92</v>
      </c>
      <c r="E12" s="1945">
        <f>CRM!G9</f>
        <v>99.93</v>
      </c>
      <c r="F12" s="1945">
        <f>CRM!H9</f>
        <v>99.940905977141099</v>
      </c>
      <c r="G12" s="1945">
        <f>CRM!I9</f>
        <v>99.97</v>
      </c>
      <c r="H12" s="2274">
        <v>99.983380652450364</v>
      </c>
      <c r="I12" s="4349">
        <f>CRM!K9</f>
        <v>99.98701371818494</v>
      </c>
      <c r="J12" s="4320">
        <f>CRM!L9</f>
        <v>99.99</v>
      </c>
      <c r="K12" s="3682">
        <f t="shared" si="2"/>
        <v>99.99</v>
      </c>
      <c r="L12" s="5066">
        <f>CRM!N9</f>
        <v>99.983093687456588</v>
      </c>
      <c r="M12" s="4867">
        <f>CRM!O9</f>
        <v>99.99807699846086</v>
      </c>
      <c r="N12" s="4867">
        <f>CRM!P9</f>
        <v>100</v>
      </c>
      <c r="O12" s="4867">
        <f>CRM!Q9</f>
        <v>99.992821422688237</v>
      </c>
      <c r="P12" s="4867">
        <f>CRM!R9</f>
        <v>99.98265435587399</v>
      </c>
      <c r="Q12" s="4867">
        <f>CRM!S9</f>
        <v>99.992439620491737</v>
      </c>
      <c r="R12" s="5232">
        <f>CRM!T9</f>
        <v>99.976278029232816</v>
      </c>
      <c r="S12" s="5236">
        <f>CRM!U9</f>
        <v>99.999647396944951</v>
      </c>
      <c r="T12" s="4867">
        <f>CRM!V9</f>
        <v>99.978793989265696</v>
      </c>
      <c r="U12" s="5232">
        <f>CRM!W9</f>
        <v>99.90127541081084</v>
      </c>
      <c r="V12" s="5084" t="e">
        <f>CRM!X9</f>
        <v>#DIV/0!</v>
      </c>
      <c r="W12" s="4590" t="e">
        <f>CRM!Y9</f>
        <v>#DIV/0!</v>
      </c>
      <c r="X12" s="6942">
        <f>CRM!Z9</f>
        <v>99.97916039247022</v>
      </c>
      <c r="Y12" s="1982">
        <f>CRM!AA9</f>
        <v>-385.26021429242826</v>
      </c>
      <c r="Z12" s="1699">
        <f>CRM!AB9</f>
        <v>1297.8438294915732</v>
      </c>
      <c r="AA12" s="1699">
        <f>CRM!AC9</f>
        <v>1223.5464515000799</v>
      </c>
      <c r="AB12" s="1699">
        <f>CRM!AD9</f>
        <v>666.85980361150428</v>
      </c>
      <c r="AC12" s="1699">
        <f>CRM!AE9</f>
        <v>-464.46922361144038</v>
      </c>
      <c r="AD12" s="1699">
        <f>CRM!AF9</f>
        <v>619.57838754268607</v>
      </c>
      <c r="AE12" s="1699">
        <f>CRM!AG9</f>
        <v>-1445.0130790228741</v>
      </c>
      <c r="AF12" s="1699">
        <f>CRM!AH9</f>
        <v>1554.3849008333939</v>
      </c>
      <c r="AG12" s="1699">
        <f>CRM!AI9</f>
        <v>-945.03880905902702</v>
      </c>
      <c r="AH12" s="1699">
        <f>CRM!AJ9</f>
        <v>-11137.015137188469</v>
      </c>
      <c r="AI12" s="1699">
        <v>0</v>
      </c>
      <c r="AJ12" s="1699" t="e">
        <f>CRM!AL9</f>
        <v>#DIV/0!</v>
      </c>
      <c r="AK12" s="1699">
        <f>CRM!AM9</f>
        <v>3450.5856616895476</v>
      </c>
      <c r="AL12" s="1699">
        <f>Y12+Z12+AA12+AB12+AC12+AD12+AE12+AF12+AG12+AH12</f>
        <v>-9014.583090195003</v>
      </c>
      <c r="AM12" s="5217">
        <f t="shared" si="6"/>
        <v>-2.6124791481864258</v>
      </c>
      <c r="AN12" s="1984"/>
      <c r="AO12" s="702"/>
      <c r="AQ12" s="336"/>
      <c r="AR12" s="2893" t="s">
        <v>133</v>
      </c>
      <c r="AS12" s="2909">
        <v>115249.1</v>
      </c>
      <c r="AT12" s="2910">
        <v>115364.89</v>
      </c>
      <c r="AU12" s="2902">
        <v>102398.97</v>
      </c>
      <c r="AV12" s="2896">
        <v>102394.12300000001</v>
      </c>
      <c r="AW12" s="2909">
        <v>119527.321</v>
      </c>
      <c r="AX12" s="2910">
        <v>119595.46</v>
      </c>
      <c r="AY12" s="2904">
        <v>132270.91633466136</v>
      </c>
      <c r="AZ12" s="2898">
        <v>132800</v>
      </c>
      <c r="BA12" s="2912">
        <f>142835.036+'#1CCL'!J13</f>
        <v>142887.59599999999</v>
      </c>
      <c r="BB12" s="2913">
        <v>143597.557</v>
      </c>
      <c r="BC12" s="2905">
        <v>150807.88500000001</v>
      </c>
      <c r="BD12" s="2899">
        <v>151424.818</v>
      </c>
      <c r="BE12" s="2914">
        <f>년간!D5</f>
        <v>166603.60450064723</v>
      </c>
      <c r="BF12" s="2890">
        <f>년간!D17</f>
        <v>167320</v>
      </c>
    </row>
    <row r="13" spans="1:74" ht="23.25" customHeight="1">
      <c r="A13" s="7184"/>
      <c r="B13" s="1980" t="s">
        <v>43</v>
      </c>
      <c r="C13" s="1981" t="s">
        <v>445</v>
      </c>
      <c r="D13" s="1945">
        <f>CGL!F8</f>
        <v>98.54878099892494</v>
      </c>
      <c r="E13" s="1945">
        <f>CGL!G8</f>
        <v>98.709193043687762</v>
      </c>
      <c r="F13" s="1945">
        <f>CGL!H8</f>
        <v>99.068155973510756</v>
      </c>
      <c r="G13" s="1945">
        <f>CGL!I8</f>
        <v>99.83</v>
      </c>
      <c r="H13" s="2274">
        <v>100.18118732416113</v>
      </c>
      <c r="I13" s="4349">
        <f>CGL!K8</f>
        <v>100.18258233928049</v>
      </c>
      <c r="J13" s="4320">
        <f>CGL!L8</f>
        <v>100.35000000000001</v>
      </c>
      <c r="K13" s="3682">
        <f t="shared" si="2"/>
        <v>100.35000000000001</v>
      </c>
      <c r="L13" s="5067">
        <f>CGL!N8</f>
        <v>100.70524985861206</v>
      </c>
      <c r="M13" s="4867">
        <f>CGL!O8</f>
        <v>100.6108820007982</v>
      </c>
      <c r="N13" s="4867">
        <f>CGL!P8</f>
        <v>100.27112703876352</v>
      </c>
      <c r="O13" s="4867">
        <f>CGL!Q8</f>
        <v>100.15607027380437</v>
      </c>
      <c r="P13" s="4867">
        <f>CGL!R8</f>
        <v>100.46615565330576</v>
      </c>
      <c r="Q13" s="5232">
        <f>CGL!S8</f>
        <v>100.13871134113718</v>
      </c>
      <c r="R13" s="4867">
        <f>CGL!T8</f>
        <v>100.2504384380867</v>
      </c>
      <c r="S13" s="4867">
        <f>CGL!U8</f>
        <v>100.26117222159274</v>
      </c>
      <c r="T13" s="4867">
        <f>CGL!V8</f>
        <v>100.32249771187051</v>
      </c>
      <c r="U13" s="5236">
        <f>CGL!W8</f>
        <v>100.64747142115121</v>
      </c>
      <c r="V13" s="5084">
        <f>CGL!X8</f>
        <v>100.95498387414261</v>
      </c>
      <c r="W13" s="4590" t="e">
        <f>CGL!Y8</f>
        <v>#DIV/0!</v>
      </c>
      <c r="X13" s="6942">
        <f>CGL!Z8</f>
        <v>100.3806325331841</v>
      </c>
      <c r="Y13" s="1982">
        <f>CGL!AA8</f>
        <v>55689.109841919329</v>
      </c>
      <c r="Z13" s="1699">
        <f>CGL!AB8</f>
        <v>45393.163717209405</v>
      </c>
      <c r="AA13" s="1699">
        <f>CGL!AC8</f>
        <v>10307.125051040923</v>
      </c>
      <c r="AB13" s="1699">
        <f>CGL!AD8</f>
        <v>-2835.7846323568419</v>
      </c>
      <c r="AC13" s="1699">
        <f>CGL!AE8</f>
        <v>27900.139040028007</v>
      </c>
      <c r="AD13" s="1699">
        <f>CGL!AF8</f>
        <v>-4741.9185334040585</v>
      </c>
      <c r="AE13" s="1699">
        <f>CGL!AG8</f>
        <v>9047.4084548953251</v>
      </c>
      <c r="AF13" s="1699">
        <f>CGL!AH8</f>
        <v>9427.4428491391682</v>
      </c>
      <c r="AG13" s="1699">
        <f>CGL!AI8</f>
        <v>17707.241658700113</v>
      </c>
      <c r="AH13" s="1699">
        <f>CGL!AJ8</f>
        <v>54472.3670083365</v>
      </c>
      <c r="AI13" s="1699">
        <f>CGL!AK8</f>
        <v>4426.0338041061168</v>
      </c>
      <c r="AJ13" s="1699" t="e">
        <f>CGL!AL8</f>
        <v>#DIV/0!</v>
      </c>
      <c r="AK13" s="1699">
        <f>CGL!AM8</f>
        <v>197841.67519918102</v>
      </c>
      <c r="AL13" s="1699">
        <f>Y13+Z13+AA13+AB13+AC13+AD13+AE13+AF13+AG13+AH13</f>
        <v>222366.29445550786</v>
      </c>
      <c r="AM13" s="1983">
        <f t="shared" si="6"/>
        <v>1.1239608350042336</v>
      </c>
      <c r="AN13" s="1984"/>
      <c r="AO13" s="732"/>
      <c r="AQ13" s="336"/>
      <c r="AR13" s="2892" t="s">
        <v>136</v>
      </c>
      <c r="AS13" s="2907">
        <v>52409.362999999998</v>
      </c>
      <c r="AT13" s="2908">
        <v>52441.53</v>
      </c>
      <c r="AU13" s="2901">
        <v>49077.277000000002</v>
      </c>
      <c r="AV13" s="2895">
        <v>49101.455000000002</v>
      </c>
      <c r="AW13" s="2907">
        <v>62754.607000000004</v>
      </c>
      <c r="AX13" s="2908">
        <v>62751.048999999999</v>
      </c>
      <c r="AY13" s="2904">
        <f>45165.635+G50</f>
        <v>45243.035000000003</v>
      </c>
      <c r="AZ13" s="2898">
        <f>45086.7</f>
        <v>45086.7</v>
      </c>
      <c r="BA13" s="2912">
        <f>54386.258+'#2CCL'!J13</f>
        <v>54514.399000000005</v>
      </c>
      <c r="BB13" s="2913">
        <v>54573.96</v>
      </c>
      <c r="BC13" s="2905">
        <v>52463.324999999997</v>
      </c>
      <c r="BD13" s="2899">
        <v>52664.324999999997</v>
      </c>
      <c r="BE13" s="2914">
        <f>년간!D6</f>
        <v>53001.49328023893</v>
      </c>
      <c r="BF13" s="2890">
        <f>년간!D18</f>
        <v>53240</v>
      </c>
    </row>
    <row r="14" spans="1:74" ht="23.25" customHeight="1" thickBot="1">
      <c r="A14" s="7184"/>
      <c r="B14" s="1980" t="s">
        <v>442</v>
      </c>
      <c r="C14" s="1981" t="s">
        <v>445</v>
      </c>
      <c r="D14" s="1654">
        <f>'#1CCL'!F9</f>
        <v>100.606244705544</v>
      </c>
      <c r="E14" s="1654">
        <f>'#1CCL'!G9</f>
        <v>100.05369360660397</v>
      </c>
      <c r="F14" s="1654">
        <f>'#1CCL'!H9</f>
        <v>100.05700705029608</v>
      </c>
      <c r="G14" s="1654">
        <f>'#1CCL'!I9</f>
        <v>100.32</v>
      </c>
      <c r="H14" s="2224">
        <v>100.5338473118038</v>
      </c>
      <c r="I14" s="3593">
        <f>'#1CCL'!K9</f>
        <v>100.40908537375219</v>
      </c>
      <c r="J14" s="4610">
        <f>'#1CCL'!L9</f>
        <v>100.42999999999999</v>
      </c>
      <c r="K14" s="3682">
        <f t="shared" si="2"/>
        <v>100.42999999999999</v>
      </c>
      <c r="L14" s="5070">
        <f>'#1CCL'!N9</f>
        <v>100.36160945520129</v>
      </c>
      <c r="M14" s="4868">
        <f>'#1CCL'!O9</f>
        <v>100.58263871021329</v>
      </c>
      <c r="N14" s="4868">
        <f>'#1CCL'!P9</f>
        <v>100.56326965082182</v>
      </c>
      <c r="O14" s="4868">
        <f>'#1CCL'!Q9</f>
        <v>100.51074275427105</v>
      </c>
      <c r="P14" s="4868">
        <f>'#1CCL'!R9</f>
        <v>100.51921499650693</v>
      </c>
      <c r="Q14" s="5243">
        <f>'#1CCL'!S9</f>
        <v>100.52191401959753</v>
      </c>
      <c r="R14" s="4723">
        <f>'#1CCL'!T9</f>
        <v>100.32393926352069</v>
      </c>
      <c r="S14" s="5243">
        <f>'#1CCL'!U9</f>
        <v>100.58894527804263</v>
      </c>
      <c r="T14" s="5243">
        <f>'#1CCL'!V9</f>
        <v>100.54621220361106</v>
      </c>
      <c r="U14" s="5243">
        <f>'#1CCL'!W9</f>
        <v>100.50741609556901</v>
      </c>
      <c r="V14" s="6840">
        <f>'#1CCL'!X9</f>
        <v>100.54005512330649</v>
      </c>
      <c r="W14" s="6692">
        <f>'#1CCL'!Y9</f>
        <v>100.28391724137056</v>
      </c>
      <c r="X14" s="6942">
        <f>'#1CCL'!Z9</f>
        <v>100.48416087822143</v>
      </c>
      <c r="Y14" s="1982">
        <f>'#1CCL'!AA9</f>
        <v>-4561.2880794877001</v>
      </c>
      <c r="Z14" s="1699">
        <f>'#1CCL'!AB9</f>
        <v>13840.632604400333</v>
      </c>
      <c r="AA14" s="1699">
        <f>'#1CCL'!AC9</f>
        <v>14332.947757048414</v>
      </c>
      <c r="AB14" s="1699">
        <f>'#1CCL'!AD9</f>
        <v>9174.7595605757233</v>
      </c>
      <c r="AC14" s="1699">
        <f>'#1CCL'!AE9</f>
        <v>9733.6576542436578</v>
      </c>
      <c r="AD14" s="1699">
        <f>'#1CCL'!AF9</f>
        <v>10725.09919080844</v>
      </c>
      <c r="AE14" s="1699">
        <f>'#1CCL'!AG9</f>
        <v>-8984.0962027664464</v>
      </c>
      <c r="AF14" s="1699">
        <f>'#1CCL'!AH9</f>
        <v>15603.650127946996</v>
      </c>
      <c r="AG14" s="1699">
        <f>'#1CCL'!AI9</f>
        <v>12482.311305416095</v>
      </c>
      <c r="AH14" s="1699">
        <f>'#1CCL'!AJ9</f>
        <v>9382.3855420715154</v>
      </c>
      <c r="AI14" s="1699">
        <f>'#1CCL'!AK9</f>
        <v>12160.766306904874</v>
      </c>
      <c r="AJ14" s="1699">
        <f>'#1CCL'!AL9</f>
        <v>-11102.176508441618</v>
      </c>
      <c r="AK14" s="1699">
        <f>'#1CCL'!AM9</f>
        <v>24501.908887719092</v>
      </c>
      <c r="AL14" s="1699">
        <f>Y14+Z14+AA14+AB14+AC14+AD14+AE14+AF14+AG14+AH14</f>
        <v>81730.05946025702</v>
      </c>
      <c r="AM14" s="1983">
        <f t="shared" si="6"/>
        <v>3.335660900331809</v>
      </c>
      <c r="AN14" s="1984"/>
      <c r="AQ14" s="336"/>
      <c r="AR14" s="2894"/>
      <c r="AS14" s="2911">
        <f>SUM(AS9:AS13)</f>
        <v>1069599.3060000001</v>
      </c>
      <c r="AT14" s="2891">
        <f t="shared" ref="AT14:BF14" si="7">SUM(AT9:AT13)</f>
        <v>1057314.483</v>
      </c>
      <c r="AU14" s="2903">
        <f t="shared" si="7"/>
        <v>1059370.223</v>
      </c>
      <c r="AV14" s="2897">
        <f t="shared" si="7"/>
        <v>1047442.862</v>
      </c>
      <c r="AW14" s="2911">
        <f t="shared" si="7"/>
        <v>1157240.7560000001</v>
      </c>
      <c r="AX14" s="2891">
        <f t="shared" si="7"/>
        <v>1147358.4700000002</v>
      </c>
      <c r="AY14" s="2903">
        <f t="shared" si="7"/>
        <v>1136069.7002241581</v>
      </c>
      <c r="AZ14" s="2897">
        <f t="shared" si="7"/>
        <v>1128236.7</v>
      </c>
      <c r="BA14" s="2911">
        <f t="shared" si="7"/>
        <v>1158379.2419999999</v>
      </c>
      <c r="BB14" s="2891">
        <f t="shared" si="7"/>
        <v>1152628.487</v>
      </c>
      <c r="BC14" s="2906">
        <f t="shared" si="7"/>
        <v>1094610.6910000001</v>
      </c>
      <c r="BD14" s="2900">
        <f t="shared" si="7"/>
        <v>1088961.6710000001</v>
      </c>
      <c r="BE14" s="2911">
        <f t="shared" si="7"/>
        <v>1040565.6912416234</v>
      </c>
      <c r="BF14" s="2891">
        <f t="shared" si="7"/>
        <v>1036803</v>
      </c>
    </row>
    <row r="15" spans="1:74" ht="23.25" customHeight="1">
      <c r="A15" s="7184"/>
      <c r="B15" s="1980" t="s">
        <v>443</v>
      </c>
      <c r="C15" s="1981" t="s">
        <v>445</v>
      </c>
      <c r="D15" s="1654">
        <f>'#2CCL'!F9</f>
        <v>100.06</v>
      </c>
      <c r="E15" s="1654">
        <f>'#2CCL'!G9</f>
        <v>99.993385966617737</v>
      </c>
      <c r="F15" s="1654">
        <f>'#2CCL'!H9</f>
        <v>99.508318971028757</v>
      </c>
      <c r="G15" s="1654">
        <f>'#2CCL'!I9</f>
        <v>99.83</v>
      </c>
      <c r="H15" s="2224">
        <v>100.34514607442676</v>
      </c>
      <c r="I15" s="3593">
        <f>'#2CCL'!K9</f>
        <v>100.38300232567896</v>
      </c>
      <c r="J15" s="4610">
        <f>'#2CCL'!L9</f>
        <v>100.44999999999999</v>
      </c>
      <c r="K15" s="3682">
        <f t="shared" si="2"/>
        <v>100.44999999999999</v>
      </c>
      <c r="L15" s="5071">
        <f>'#2CCL'!N9</f>
        <v>100.59846516807573</v>
      </c>
      <c r="M15" s="4868">
        <f>'#2CCL'!O9</f>
        <v>100.55620773661629</v>
      </c>
      <c r="N15" s="4868">
        <f>'#2CCL'!P9</f>
        <v>100.35368585805324</v>
      </c>
      <c r="O15" s="4868">
        <f>'#2CCL'!Q9</f>
        <v>100.5912059359612</v>
      </c>
      <c r="P15" s="4868">
        <f>'#2CCL'!R9</f>
        <v>100.52130332322756</v>
      </c>
      <c r="Q15" s="5243">
        <f>'#2CCL'!S9</f>
        <v>100.68479594360767</v>
      </c>
      <c r="R15" s="4868">
        <f>'#2CCL'!T9</f>
        <v>100.52350452839909</v>
      </c>
      <c r="S15" s="4723">
        <f>'#2CCL'!U9</f>
        <v>100.36078537940605</v>
      </c>
      <c r="T15" s="5243">
        <f>'#2CCL'!V9</f>
        <v>100.64889629341603</v>
      </c>
      <c r="U15" s="5243">
        <f>'#2CCL'!W9</f>
        <v>100.61824093822207</v>
      </c>
      <c r="V15" s="6840">
        <f>'#2CCL'!X9</f>
        <v>100.61303473835905</v>
      </c>
      <c r="W15" s="6692">
        <f>'#2CCL'!Y9</f>
        <v>100.75045116319174</v>
      </c>
      <c r="X15" s="6942">
        <f>'#2CCL'!Z9</f>
        <v>100.57092906575997</v>
      </c>
      <c r="Y15" s="1982">
        <f>'#2CCL'!AA9</f>
        <v>9523.8958859179038</v>
      </c>
      <c r="Z15" s="1699">
        <f>'#2CCL'!AB9</f>
        <v>7846.8695285999311</v>
      </c>
      <c r="AA15" s="1699">
        <f>'#2CCL'!AC9</f>
        <v>-1062.0576727150319</v>
      </c>
      <c r="AB15" s="1699">
        <f>'#2CCL'!AD9</f>
        <v>8146.536604809231</v>
      </c>
      <c r="AC15" s="1699">
        <f>'#2CCL'!AE9</f>
        <v>4787.5405068090395</v>
      </c>
      <c r="AD15" s="1699">
        <f>'#2CCL'!AF9</f>
        <v>13614.582279781018</v>
      </c>
      <c r="AE15" s="1699">
        <f>'#2CCL'!AG9</f>
        <v>6006.4385410043169</v>
      </c>
      <c r="AF15" s="1699">
        <f>'#2CCL'!AH9</f>
        <v>-881.90231395132525</v>
      </c>
      <c r="AG15" s="1699">
        <f>'#2CCL'!AI9</f>
        <v>9344.6400813001219</v>
      </c>
      <c r="AH15" s="1699">
        <f>'#2CCL'!AJ9</f>
        <v>8943.2778074132693</v>
      </c>
      <c r="AI15" s="1699">
        <f>'#2CCL'!AK9</f>
        <v>9601.2642736668167</v>
      </c>
      <c r="AJ15" s="1699">
        <f>'#2CCL'!AL9</f>
        <v>14697.059717906917</v>
      </c>
      <c r="AK15" s="1699">
        <f>'#2CCL'!AM9</f>
        <v>30692.805141862485</v>
      </c>
      <c r="AL15" s="1699">
        <f>Y15+Z15+AA15+AB15+AC15+AD15+AE15+AF15+AG15+AH15</f>
        <v>66269.821248968481</v>
      </c>
      <c r="AM15" s="1983">
        <f t="shared" si="6"/>
        <v>2.1591321139488109</v>
      </c>
      <c r="AN15" s="1984"/>
      <c r="AQ15" s="336"/>
    </row>
    <row r="16" spans="1:74" ht="23.25" customHeight="1" thickBot="1">
      <c r="A16" s="7212"/>
      <c r="B16" s="1986" t="s">
        <v>448</v>
      </c>
      <c r="C16" s="2355" t="s">
        <v>235</v>
      </c>
      <c r="D16" s="2013">
        <v>96.255341451144574</v>
      </c>
      <c r="E16" s="1698">
        <v>98.87</v>
      </c>
      <c r="F16" s="1698">
        <f>0.991040477634659*100</f>
        <v>99.1040477634659</v>
      </c>
      <c r="G16" s="1698">
        <v>99.368635587324533</v>
      </c>
      <c r="H16" s="1877">
        <f>년간!C92*100</f>
        <v>99.483918463783041</v>
      </c>
      <c r="I16" s="2358">
        <v>99.474955544010143</v>
      </c>
      <c r="J16" s="1959">
        <f>년간!D92*100</f>
        <v>99.638399452019826</v>
      </c>
      <c r="K16" s="4874">
        <f t="shared" si="2"/>
        <v>99.638399452019826</v>
      </c>
      <c r="L16" s="2234">
        <f>년간!F92*100</f>
        <v>99.633813730488797</v>
      </c>
      <c r="M16" s="2358">
        <f>년간!G92*100</f>
        <v>99.612374473672645</v>
      </c>
      <c r="N16" s="5215">
        <f>년간!H92*100</f>
        <v>99.651840446930748</v>
      </c>
      <c r="O16" s="5215">
        <f>년간!I92*100</f>
        <v>99.584145220147278</v>
      </c>
      <c r="P16" s="5215">
        <f>년간!J92*100</f>
        <v>99.565900851830705</v>
      </c>
      <c r="Q16" s="5215">
        <f>년간!K92*100</f>
        <v>99.508664530737661</v>
      </c>
      <c r="R16" s="5215">
        <f>년간!L92*100</f>
        <v>99.51165818230433</v>
      </c>
      <c r="S16" s="5215">
        <f>년간!M92*100</f>
        <v>99.494788904133472</v>
      </c>
      <c r="T16" s="5215">
        <f>년간!N92*100</f>
        <v>99.564616359304949</v>
      </c>
      <c r="U16" s="5215">
        <f>년간!O92*100</f>
        <v>99.589479451524497</v>
      </c>
      <c r="V16" s="5090">
        <f>년간!P92*100</f>
        <v>100.5097779159845</v>
      </c>
      <c r="W16" s="4721">
        <f>년간!Q92*100</f>
        <v>100.40913222093137</v>
      </c>
      <c r="X16" s="4720">
        <f>년간!V92*100</f>
        <v>99.601770058959744</v>
      </c>
      <c r="Y16" s="1989">
        <f t="shared" ref="Y16:AL16" si="8">SUM(Y11:Y15)</f>
        <v>66569.739951002557</v>
      </c>
      <c r="Z16" s="1990">
        <f t="shared" si="8"/>
        <v>86896.408341407325</v>
      </c>
      <c r="AA16" s="1990">
        <f t="shared" si="8"/>
        <v>55216.200559044708</v>
      </c>
      <c r="AB16" s="1990">
        <f t="shared" si="8"/>
        <v>46236.603637158165</v>
      </c>
      <c r="AC16" s="1990">
        <f t="shared" si="8"/>
        <v>45377.040004003902</v>
      </c>
      <c r="AD16" s="1990">
        <f t="shared" si="8"/>
        <v>40681.081886532076</v>
      </c>
      <c r="AE16" s="1990">
        <f t="shared" si="8"/>
        <v>22254.194401975106</v>
      </c>
      <c r="AF16" s="1990">
        <f t="shared" si="8"/>
        <v>17477.143564802827</v>
      </c>
      <c r="AG16" s="1990">
        <f t="shared" si="8"/>
        <v>58683.346680796181</v>
      </c>
      <c r="AH16" s="1990">
        <f t="shared" si="8"/>
        <v>73360.047823368179</v>
      </c>
      <c r="AI16" s="1990">
        <f t="shared" si="8"/>
        <v>27689.224401157295</v>
      </c>
      <c r="AJ16" s="1990" t="e">
        <f t="shared" si="8"/>
        <v>#DIV/0!</v>
      </c>
      <c r="AK16" s="2011">
        <f t="shared" si="8"/>
        <v>562788.45635761681</v>
      </c>
      <c r="AL16" s="2011">
        <f t="shared" si="8"/>
        <v>512751.80685009103</v>
      </c>
      <c r="AM16" s="1991">
        <f t="shared" si="6"/>
        <v>0.91109154968926609</v>
      </c>
      <c r="AN16" s="1992"/>
      <c r="AQ16" s="336"/>
      <c r="AR16" s="457" t="s">
        <v>1</v>
      </c>
      <c r="AS16" s="449" t="s">
        <v>523</v>
      </c>
      <c r="AT16" s="458" t="s">
        <v>508</v>
      </c>
      <c r="AU16" s="458" t="s">
        <v>509</v>
      </c>
      <c r="AV16" s="458" t="s">
        <v>510</v>
      </c>
      <c r="AW16" s="458" t="s">
        <v>511</v>
      </c>
      <c r="AX16" s="458" t="s">
        <v>512</v>
      </c>
      <c r="AY16" s="458" t="s">
        <v>513</v>
      </c>
      <c r="AZ16" s="458" t="s">
        <v>514</v>
      </c>
      <c r="BA16" s="458" t="s">
        <v>515</v>
      </c>
      <c r="BB16" s="458" t="s">
        <v>516</v>
      </c>
      <c r="BC16" s="458" t="s">
        <v>517</v>
      </c>
      <c r="BD16" s="458" t="s">
        <v>521</v>
      </c>
      <c r="BE16" s="458" t="s">
        <v>522</v>
      </c>
    </row>
    <row r="17" spans="1:91" ht="23.25" customHeight="1">
      <c r="A17" s="7183" t="s">
        <v>269</v>
      </c>
      <c r="B17" s="1950" t="s">
        <v>441</v>
      </c>
      <c r="C17" s="1223" t="s">
        <v>452</v>
      </c>
      <c r="D17" s="1215">
        <f>CPL!F9</f>
        <v>143</v>
      </c>
      <c r="E17" s="1552">
        <f>CPL!G9</f>
        <v>155</v>
      </c>
      <c r="F17" s="1552">
        <f>CPL!H9</f>
        <v>59.260000000000005</v>
      </c>
      <c r="G17" s="1552">
        <f>CPL!I9</f>
        <v>32</v>
      </c>
      <c r="H17" s="1552">
        <f>CPL!J9</f>
        <v>8.3800000000000008</v>
      </c>
      <c r="I17" s="3807">
        <f>CPL!K9</f>
        <v>24.889999999999997</v>
      </c>
      <c r="J17" s="1961">
        <f>CPL!L9</f>
        <v>15</v>
      </c>
      <c r="K17" s="2109">
        <f>J17/10</f>
        <v>1.5</v>
      </c>
      <c r="L17" s="5072">
        <f>CPL!N9</f>
        <v>0</v>
      </c>
      <c r="M17" s="5244">
        <f>CPL!O9</f>
        <v>0</v>
      </c>
      <c r="N17" s="5245">
        <f>CPL!P9</f>
        <v>0</v>
      </c>
      <c r="O17" s="5244">
        <f>CPL!Q9</f>
        <v>0</v>
      </c>
      <c r="P17" s="5244">
        <f>CPL!R9</f>
        <v>0</v>
      </c>
      <c r="Q17" s="5886">
        <f>CPL!S9</f>
        <v>0</v>
      </c>
      <c r="R17" s="6096">
        <f>CPL!T9</f>
        <v>3.59</v>
      </c>
      <c r="S17" s="5248">
        <f>CPL!U9</f>
        <v>5</v>
      </c>
      <c r="T17" s="5300">
        <f>CPL!V9</f>
        <v>0</v>
      </c>
      <c r="U17" s="5300">
        <f>CPL!W9</f>
        <v>0</v>
      </c>
      <c r="V17" s="6698">
        <f>CPL!X9</f>
        <v>0</v>
      </c>
      <c r="W17" s="6095">
        <f>CPL!Y9</f>
        <v>0</v>
      </c>
      <c r="X17" s="6939">
        <f>CPL!Z9</f>
        <v>8.59</v>
      </c>
      <c r="Y17" s="2396">
        <f>($I$17/12-L17)*년간!$C$213/1000</f>
        <v>899.82584000162581</v>
      </c>
      <c r="Z17" s="2396">
        <f>($I$17/12-M17)*년간!$C$213/1000</f>
        <v>899.82584000162581</v>
      </c>
      <c r="AA17" s="2396">
        <f>($I$17/12-N17)*년간!$C$213/1000</f>
        <v>899.82584000162581</v>
      </c>
      <c r="AB17" s="2396">
        <f>($I$17/12-O17)*년간!$C$213/1000</f>
        <v>899.82584000162581</v>
      </c>
      <c r="AC17" s="2396">
        <f>($I$17/12-P17)*년간!$C$213/1000</f>
        <v>899.82584000162581</v>
      </c>
      <c r="AD17" s="2396">
        <f>($I$17/12-Q17)*년간!$C$213/1000</f>
        <v>899.82584000162581</v>
      </c>
      <c r="AE17" s="2396">
        <f>($I$17/12-R17)*년간!$C$213/1000</f>
        <v>-657.60675088909511</v>
      </c>
      <c r="AF17" s="2396">
        <f>($I$17/12-S17)*년간!$C$213/1000</f>
        <v>-1269.3003311553673</v>
      </c>
      <c r="AG17" s="2396">
        <f>($I$17/12-T17)*년간!$C$213/1000</f>
        <v>899.82584000162581</v>
      </c>
      <c r="AH17" s="2396">
        <f>($I$17/12-U17)*년간!$C$213/1000</f>
        <v>899.82584000162581</v>
      </c>
      <c r="AI17" s="2396">
        <f>($I$17/12-V17)*년간!$C$213/1000</f>
        <v>899.82584000162581</v>
      </c>
      <c r="AJ17" s="2396">
        <f>($I$17/12-W17)*년간!$C$213/1000</f>
        <v>899.82584000162581</v>
      </c>
      <c r="AK17" s="2395">
        <f>(I17-J17)*년간!C213/1000</f>
        <v>4290.5315665485314</v>
      </c>
      <c r="AL17" s="2378">
        <f>Y17+Z17+AA17+AB17+AC17+AD17+AE17+AF17+AG17+AH17</f>
        <v>5271.6996379685443</v>
      </c>
      <c r="AM17" s="2453">
        <f>AL17/AK17</f>
        <v>1.2286821705426356</v>
      </c>
      <c r="AN17" s="1321"/>
      <c r="AO17" s="738"/>
      <c r="AP17" s="337"/>
      <c r="AQ17" s="336"/>
      <c r="AR17" s="452" t="s">
        <v>518</v>
      </c>
      <c r="AS17" s="450">
        <v>148.32</v>
      </c>
      <c r="AT17" s="450">
        <f t="shared" ref="AT17:BB17" si="9">L19</f>
        <v>4.84</v>
      </c>
      <c r="AU17" s="450">
        <f t="shared" si="9"/>
        <v>41.36</v>
      </c>
      <c r="AV17" s="450">
        <f t="shared" si="9"/>
        <v>22.59</v>
      </c>
      <c r="AW17" s="450">
        <f t="shared" si="9"/>
        <v>0</v>
      </c>
      <c r="AX17" s="450">
        <f t="shared" si="9"/>
        <v>26.65</v>
      </c>
      <c r="AY17" s="450">
        <f t="shared" si="9"/>
        <v>40.56</v>
      </c>
      <c r="AZ17" s="450">
        <f t="shared" si="9"/>
        <v>37.85</v>
      </c>
      <c r="BA17" s="450">
        <f t="shared" si="9"/>
        <v>7.47</v>
      </c>
      <c r="BB17" s="450">
        <f t="shared" si="9"/>
        <v>0</v>
      </c>
      <c r="BC17" s="450"/>
      <c r="BD17" s="450"/>
      <c r="BE17" s="450"/>
    </row>
    <row r="18" spans="1:91" ht="23.25" customHeight="1">
      <c r="A18" s="7184"/>
      <c r="B18" s="1980" t="s">
        <v>241</v>
      </c>
      <c r="C18" s="1981" t="s">
        <v>452</v>
      </c>
      <c r="D18" s="1946">
        <f>CRM!F10</f>
        <v>245</v>
      </c>
      <c r="E18" s="2014">
        <f>CRM!G10</f>
        <v>136</v>
      </c>
      <c r="F18" s="2014">
        <f>CRM!H10</f>
        <v>80.09</v>
      </c>
      <c r="G18" s="2014">
        <f>CRM!I10</f>
        <v>32</v>
      </c>
      <c r="H18" s="2014">
        <f>CRM!J10</f>
        <v>22.73</v>
      </c>
      <c r="I18" s="3811">
        <f>CRM!K10</f>
        <v>31.35</v>
      </c>
      <c r="J18" s="3823">
        <f>CRM!L10</f>
        <v>4</v>
      </c>
      <c r="K18" s="2109">
        <f>J18/10</f>
        <v>0.4</v>
      </c>
      <c r="L18" s="5073">
        <f>CRM!N10</f>
        <v>0</v>
      </c>
      <c r="M18" s="5245">
        <f>CRM!O10</f>
        <v>0</v>
      </c>
      <c r="N18" s="5245">
        <f>CRM!P10</f>
        <v>0</v>
      </c>
      <c r="O18" s="5245">
        <f>CRM!Q10</f>
        <v>0</v>
      </c>
      <c r="P18" s="5245">
        <f>CRM!R10</f>
        <v>0</v>
      </c>
      <c r="Q18" s="5887">
        <f>CRM!S10</f>
        <v>0</v>
      </c>
      <c r="R18" s="6097">
        <f>CRM!T10</f>
        <v>0</v>
      </c>
      <c r="S18" s="5236">
        <f>CRM!U10</f>
        <v>0</v>
      </c>
      <c r="T18" s="5236">
        <f>CRM!V10</f>
        <v>0</v>
      </c>
      <c r="U18" s="5236">
        <f>CRM!W10</f>
        <v>0</v>
      </c>
      <c r="V18" s="5084">
        <f>CRM!X10</f>
        <v>0</v>
      </c>
      <c r="W18" s="4590">
        <f>CRM!Y10</f>
        <v>0</v>
      </c>
      <c r="X18" s="6943">
        <f>CRM!Z10</f>
        <v>0</v>
      </c>
      <c r="Y18" s="2396">
        <f>($I$18/12-L18)*년간!$C$214/1000</f>
        <v>1133.36842442953</v>
      </c>
      <c r="Z18" s="2396">
        <f>($I$18/12-M18)*년간!$C$214/1000</f>
        <v>1133.36842442953</v>
      </c>
      <c r="AA18" s="2396">
        <f>($I$18/12-N18)*년간!$C$214/1000</f>
        <v>1133.36842442953</v>
      </c>
      <c r="AB18" s="2396">
        <f>($I$18/12-O18)*년간!$C$214/1000</f>
        <v>1133.36842442953</v>
      </c>
      <c r="AC18" s="2396">
        <f>($I$18/12-P18)*년간!$C$214/1000</f>
        <v>1133.36842442953</v>
      </c>
      <c r="AD18" s="2396">
        <f>($I$18/12-Q18)*년간!$C$214/1000</f>
        <v>1133.36842442953</v>
      </c>
      <c r="AE18" s="2396">
        <f>($I$18/12-R18)*년간!$C$214/1000</f>
        <v>1133.36842442953</v>
      </c>
      <c r="AF18" s="2396">
        <f>($I$18/12-S18)*년간!$C$214/1000</f>
        <v>1133.36842442953</v>
      </c>
      <c r="AG18" s="2396">
        <f>($I$18/12-T18)*년간!$C$214/1000</f>
        <v>1133.36842442953</v>
      </c>
      <c r="AH18" s="2396">
        <f>($I$18/12-U18)*년간!$C$214/1000</f>
        <v>1133.36842442953</v>
      </c>
      <c r="AI18" s="2396">
        <f>($I$18/12-V18)*년간!$C$214/1000</f>
        <v>1133.36842442953</v>
      </c>
      <c r="AJ18" s="2396">
        <f>($I$18/12-W18)*년간!$C$214/1000</f>
        <v>1133.36842442953</v>
      </c>
      <c r="AK18" s="2395">
        <f>(I18-J18)*년간!C214/1000</f>
        <v>11865.120156228764</v>
      </c>
      <c r="AL18" s="2378">
        <f>Y18+Z18+AA18+AB18+AC18+AD18+AE18+AF18+AG18+AH18</f>
        <v>11333.684244295298</v>
      </c>
      <c r="AM18" s="2453">
        <f>AL18/AK18</f>
        <v>0.95521023765996327</v>
      </c>
      <c r="AN18" s="2015"/>
      <c r="AP18" s="337"/>
      <c r="AQ18" s="336"/>
      <c r="AR18" s="451" t="s">
        <v>519</v>
      </c>
      <c r="AS18" s="454" t="e">
        <f>#REF!/12</f>
        <v>#REF!</v>
      </c>
      <c r="AT18" s="450" t="e">
        <f>#REF!</f>
        <v>#REF!</v>
      </c>
      <c r="AU18" s="450" t="e">
        <f>#REF!</f>
        <v>#REF!</v>
      </c>
      <c r="AV18" s="450" t="e">
        <f>#REF!</f>
        <v>#REF!</v>
      </c>
      <c r="AW18" s="450" t="e">
        <f>#REF!</f>
        <v>#REF!</v>
      </c>
      <c r="AX18" s="450" t="e">
        <f>#REF!</f>
        <v>#REF!</v>
      </c>
      <c r="AY18" s="450" t="e">
        <f>#REF!</f>
        <v>#REF!</v>
      </c>
      <c r="AZ18" s="450" t="e">
        <f>#REF!</f>
        <v>#REF!</v>
      </c>
      <c r="BA18" s="450" t="e">
        <f>#REF!</f>
        <v>#REF!</v>
      </c>
      <c r="BB18" s="450" t="e">
        <f>#REF!</f>
        <v>#REF!</v>
      </c>
      <c r="BC18" s="450"/>
      <c r="BD18" s="450"/>
      <c r="BE18" s="450"/>
    </row>
    <row r="19" spans="1:91" ht="23.25" customHeight="1">
      <c r="A19" s="7184"/>
      <c r="B19" s="1980" t="s">
        <v>43</v>
      </c>
      <c r="C19" s="1981" t="s">
        <v>452</v>
      </c>
      <c r="D19" s="1946">
        <f>CGL!F9</f>
        <v>2508.8000000000002</v>
      </c>
      <c r="E19" s="2014">
        <f>CGL!G9</f>
        <v>1973.88</v>
      </c>
      <c r="F19" s="2014">
        <f>CGL!H9</f>
        <v>820.61999999999978</v>
      </c>
      <c r="G19" s="2014">
        <f>CGL!I9</f>
        <v>320</v>
      </c>
      <c r="H19" s="2014">
        <f>CGL!J9</f>
        <v>307.49</v>
      </c>
      <c r="I19" s="3811">
        <f>CGL!K9</f>
        <v>363.24000000000007</v>
      </c>
      <c r="J19" s="3823">
        <f>CGL!L9</f>
        <v>180</v>
      </c>
      <c r="K19" s="2109">
        <f>J19/10</f>
        <v>18</v>
      </c>
      <c r="L19" s="5073">
        <f>CGL!N9</f>
        <v>4.84</v>
      </c>
      <c r="M19" s="5246">
        <f>CGL!O9</f>
        <v>41.36</v>
      </c>
      <c r="N19" s="5214">
        <f>CGL!P9</f>
        <v>22.59</v>
      </c>
      <c r="O19" s="5245">
        <f>CGL!Q9</f>
        <v>0</v>
      </c>
      <c r="P19" s="5246">
        <f>CGL!R9</f>
        <v>26.65</v>
      </c>
      <c r="Q19" s="5888">
        <f>CGL!S9</f>
        <v>40.56</v>
      </c>
      <c r="R19" s="5888">
        <f>CGL!T9</f>
        <v>37.85</v>
      </c>
      <c r="S19" s="5236">
        <f>CGL!U9</f>
        <v>7.47</v>
      </c>
      <c r="T19" s="5236">
        <f>CGL!V9</f>
        <v>0</v>
      </c>
      <c r="U19" s="5232">
        <f>CGL!W9</f>
        <v>24.21</v>
      </c>
      <c r="V19" s="5084">
        <f>CGL!X9</f>
        <v>0</v>
      </c>
      <c r="W19" s="4590">
        <f>CGL!Y9</f>
        <v>0</v>
      </c>
      <c r="X19" s="6943">
        <f>CGL!Z9</f>
        <v>205.53</v>
      </c>
      <c r="Y19" s="2396">
        <f>($I$19/12-L19)*년간!$C$215/1000</f>
        <v>11032.17570650448</v>
      </c>
      <c r="Z19" s="2396">
        <f>($I$19/12-M19)*년간!$C$215/1000</f>
        <v>-4811.121847626212</v>
      </c>
      <c r="AA19" s="2396">
        <f>($I$19/12-N19)*년간!$C$215/1000</f>
        <v>3331.7777988971475</v>
      </c>
      <c r="AB19" s="2396">
        <f>($I$19/12-O19)*년간!$C$215/1000</f>
        <v>13131.889840184453</v>
      </c>
      <c r="AC19" s="2396">
        <f>($I$19/12-P19)*년간!$C$215/1000</f>
        <v>1570.4473479176681</v>
      </c>
      <c r="AD19" s="2396">
        <f>($I$19/12-Q19)*년간!$C$215/1000</f>
        <v>-4464.0616602410946</v>
      </c>
      <c r="AE19" s="2396">
        <f>($I$19/12-R19)*년간!$C$215/1000</f>
        <v>-3288.3952754740021</v>
      </c>
      <c r="AF19" s="2396">
        <f>($I$19/12-S19)*년간!$C$215/1000</f>
        <v>9891.2153404759028</v>
      </c>
      <c r="AG19" s="2396">
        <f>($I$19/12-T19)*년간!$C$215/1000</f>
        <v>13131.889840184453</v>
      </c>
      <c r="AH19" s="2396">
        <f>($I$19/12-U19)*년간!$C$215/1000</f>
        <v>2628.9809194422805</v>
      </c>
      <c r="AI19" s="2396">
        <f>($I$19/12-V19)*년간!$C$215/1000</f>
        <v>13131.889840184453</v>
      </c>
      <c r="AJ19" s="2396">
        <f>($I$19/12-W19)*년간!$C$215/1000</f>
        <v>13131.889840184453</v>
      </c>
      <c r="AK19" s="2395">
        <f>(I19-J19)*년간!C215/1000</f>
        <v>79494.135920561588</v>
      </c>
      <c r="AL19" s="2378">
        <f>Y19+Z19+AA19+AB19+AC19+AD19+AE19+AF19+AG19+AH19</f>
        <v>42154.798010265069</v>
      </c>
      <c r="AM19" s="5724">
        <f>AL19/AK19</f>
        <v>0.53028814669286195</v>
      </c>
      <c r="AN19" s="2015"/>
      <c r="AO19" s="694"/>
      <c r="AQ19" s="2969"/>
      <c r="AR19" s="452" t="s">
        <v>118</v>
      </c>
      <c r="AS19" s="459">
        <v>34.28</v>
      </c>
      <c r="AT19" s="459">
        <v>36.6</v>
      </c>
      <c r="AU19" s="459">
        <v>2.4500000000000002</v>
      </c>
      <c r="AV19" s="459">
        <v>35</v>
      </c>
      <c r="AW19" s="459">
        <v>33.82</v>
      </c>
      <c r="AX19" s="459">
        <v>23.69</v>
      </c>
      <c r="AY19" s="459">
        <v>17.87</v>
      </c>
      <c r="AZ19" s="460">
        <v>4.57</v>
      </c>
      <c r="BA19" s="455">
        <f>S47</f>
        <v>1.32</v>
      </c>
      <c r="BB19" s="455">
        <f>T47</f>
        <v>1.5</v>
      </c>
      <c r="BC19" s="455"/>
      <c r="BD19" s="455"/>
      <c r="BE19" s="455"/>
    </row>
    <row r="20" spans="1:91" ht="23.25" customHeight="1">
      <c r="A20" s="7184"/>
      <c r="B20" s="1980" t="s">
        <v>442</v>
      </c>
      <c r="C20" s="1981" t="s">
        <v>452</v>
      </c>
      <c r="D20" s="1946">
        <f>'#1CCL'!F10</f>
        <v>223.98999999999995</v>
      </c>
      <c r="E20" s="2014">
        <f>'#1CCL'!G10</f>
        <v>118.37</v>
      </c>
      <c r="F20" s="2014">
        <f>'#1CCL'!H10</f>
        <v>139.78</v>
      </c>
      <c r="G20" s="2014">
        <f>'#1CCL'!I10</f>
        <v>125.91</v>
      </c>
      <c r="H20" s="2014">
        <f>'#1CCL'!J10</f>
        <v>92.647999999999996</v>
      </c>
      <c r="I20" s="3811">
        <f>'#1CCL'!K10</f>
        <v>83.9</v>
      </c>
      <c r="J20" s="3823">
        <f>'#1CCL'!L10</f>
        <v>60</v>
      </c>
      <c r="K20" s="2109">
        <f>J20/12</f>
        <v>5</v>
      </c>
      <c r="L20" s="5074">
        <f>'#1CCL'!N10</f>
        <v>1.82</v>
      </c>
      <c r="M20" s="5247">
        <f>'#1CCL'!O10</f>
        <v>1.69</v>
      </c>
      <c r="N20" s="5247">
        <f>'#1CCL'!P10</f>
        <v>4.66</v>
      </c>
      <c r="O20" s="5247">
        <f>'#1CCL'!Q10</f>
        <v>4.93</v>
      </c>
      <c r="P20" s="5247">
        <f>'#1CCL'!R10</f>
        <v>4.53</v>
      </c>
      <c r="Q20" s="5889">
        <f>'#1CCL'!S10</f>
        <v>3.47</v>
      </c>
      <c r="R20" s="5889">
        <f>'#1CCL'!T10</f>
        <v>4.5999999999999996</v>
      </c>
      <c r="S20" s="5243">
        <f>'#1CCL'!U10</f>
        <v>4.83</v>
      </c>
      <c r="T20" s="5243">
        <f>'#1CCL'!V10</f>
        <v>0</v>
      </c>
      <c r="U20" s="5243">
        <f>'#1CCL'!W10</f>
        <v>2.2799999999999998</v>
      </c>
      <c r="V20" s="6840">
        <f>'#1CCL'!X10</f>
        <v>5.16</v>
      </c>
      <c r="W20" s="6692">
        <f>'#1CCL'!Y10</f>
        <v>12.2</v>
      </c>
      <c r="X20" s="6942">
        <f>'#1CCL'!Z10</f>
        <v>50.17</v>
      </c>
      <c r="Y20" s="2396">
        <f>($I$20/12-L20)*년간!$C$216/1000</f>
        <v>3636.6034347000523</v>
      </c>
      <c r="Z20" s="2396">
        <f>($I$20/12-M20)*년간!$C$216/1000</f>
        <v>3728.0166051501342</v>
      </c>
      <c r="AA20" s="2396">
        <f>($I$20/12-N20)*년간!$C$216/1000</f>
        <v>1639.5772494828789</v>
      </c>
      <c r="AB20" s="2396">
        <f>($I$20/12-O20)*년간!$C$216/1000</f>
        <v>1449.7191262404015</v>
      </c>
      <c r="AC20" s="2396">
        <f>($I$20/12-P20)*년간!$C$216/1000</f>
        <v>1730.9904199329608</v>
      </c>
      <c r="AD20" s="2396">
        <f>($I$20/12-Q20)*년간!$C$216/1000</f>
        <v>2476.3593482182437</v>
      </c>
      <c r="AE20" s="2396">
        <f>($I$20/12-R20)*년간!$C$216/1000</f>
        <v>1681.7679435367634</v>
      </c>
      <c r="AF20" s="2396">
        <f>($I$20/12-S20)*년간!$C$216/1000</f>
        <v>1520.0369496635412</v>
      </c>
      <c r="AG20" s="2396">
        <f>($I$20/12-T20)*년간!$C$216/1000</f>
        <v>4916.3878210011981</v>
      </c>
      <c r="AH20" s="2396">
        <f>($I$20/12-U20)*년간!$C$216/1000</f>
        <v>3313.1414469536089</v>
      </c>
      <c r="AI20" s="2396">
        <f>($I$20/12-V20)*년간!$C$216/1000</f>
        <v>1287.9881323671796</v>
      </c>
      <c r="AJ20" s="2396">
        <f>($I$20/12-W20)*년간!$C$216/1000</f>
        <v>-3662.386636621869</v>
      </c>
      <c r="AK20" s="2395">
        <f>(I20-J20)*년간!C216/1000</f>
        <v>16805.959798130443</v>
      </c>
      <c r="AL20" s="2378">
        <f>Y20+Z20+AA20+AB20+AC20+AD20+AE20+AF20+AG20+AH20</f>
        <v>26092.600344879782</v>
      </c>
      <c r="AM20" s="2453">
        <f>AL20/AK20</f>
        <v>1.5525801952580189</v>
      </c>
      <c r="AN20" s="2016"/>
      <c r="AO20" s="694"/>
      <c r="AP20" s="732"/>
      <c r="AQ20" s="2969"/>
      <c r="AR20" s="456" t="s">
        <v>520</v>
      </c>
      <c r="AS20" s="453">
        <v>8</v>
      </c>
      <c r="AT20" s="453">
        <v>5</v>
      </c>
      <c r="AU20" s="453">
        <v>5</v>
      </c>
      <c r="AV20" s="453">
        <v>5</v>
      </c>
      <c r="AW20" s="453">
        <v>4</v>
      </c>
      <c r="AX20" s="453">
        <v>2</v>
      </c>
      <c r="AY20" s="453">
        <v>8</v>
      </c>
      <c r="AZ20" s="451">
        <v>3</v>
      </c>
      <c r="BA20" s="454">
        <v>4</v>
      </c>
      <c r="BB20" s="454" t="e">
        <f>CGL!#REF!</f>
        <v>#REF!</v>
      </c>
      <c r="BC20" s="454"/>
      <c r="BD20" s="454"/>
      <c r="BE20" s="454"/>
    </row>
    <row r="21" spans="1:91" ht="23.25" customHeight="1">
      <c r="A21" s="7184"/>
      <c r="B21" s="1980" t="s">
        <v>443</v>
      </c>
      <c r="C21" s="1981" t="s">
        <v>452</v>
      </c>
      <c r="D21" s="1946">
        <f>'#2CCL'!F10</f>
        <v>90.44</v>
      </c>
      <c r="E21" s="2014">
        <f>'#2CCL'!G10</f>
        <v>68.98</v>
      </c>
      <c r="F21" s="2014">
        <f>'#2CCL'!H10</f>
        <v>53.02000000000001</v>
      </c>
      <c r="G21" s="2014">
        <f>'#2CCL'!I10</f>
        <v>95</v>
      </c>
      <c r="H21" s="2014">
        <f>'#2CCL'!J10</f>
        <v>73.749999999999986</v>
      </c>
      <c r="I21" s="3811">
        <f>'#2CCL'!K10</f>
        <v>73.5</v>
      </c>
      <c r="J21" s="3823">
        <f>'#2CCL'!L10</f>
        <v>48</v>
      </c>
      <c r="K21" s="2109">
        <f>J21/12</f>
        <v>4</v>
      </c>
      <c r="L21" s="5074">
        <f>'#2CCL'!N10</f>
        <v>2.29</v>
      </c>
      <c r="M21" s="5247">
        <f>'#2CCL'!O10</f>
        <v>0</v>
      </c>
      <c r="N21" s="5297">
        <f>'#2CCL'!P10</f>
        <v>6.6899999999999995</v>
      </c>
      <c r="O21" s="5247">
        <f>'#2CCL'!Q10</f>
        <v>0</v>
      </c>
      <c r="P21" s="4583">
        <f>'#2CCL'!R10</f>
        <v>4.9000000000000004</v>
      </c>
      <c r="Q21" s="5889">
        <f>'#2CCL'!S10</f>
        <v>0</v>
      </c>
      <c r="R21" s="5889">
        <f>'#2CCL'!T10</f>
        <v>1.97</v>
      </c>
      <c r="S21" s="4723">
        <f>'#2CCL'!U10</f>
        <v>8.39</v>
      </c>
      <c r="T21" s="4723">
        <f>'#2CCL'!V10</f>
        <v>6.67</v>
      </c>
      <c r="U21" s="5243">
        <f>'#2CCL'!W10</f>
        <v>2.2400000000000002</v>
      </c>
      <c r="V21" s="6840">
        <f>'#2CCL'!X10</f>
        <v>1.46</v>
      </c>
      <c r="W21" s="6692">
        <f>'#2CCL'!Y10</f>
        <v>2.56</v>
      </c>
      <c r="X21" s="6942">
        <f>'#2CCL'!Z10</f>
        <v>37.170000000000009</v>
      </c>
      <c r="Y21" s="2396">
        <f>($I$21/12-L21)*년간!$C$217/1000</f>
        <v>3314.775478277415</v>
      </c>
      <c r="Z21" s="2396">
        <f>($I$21/12-M21)*년간!$C$217/1000</f>
        <v>5294.1329346673192</v>
      </c>
      <c r="AA21" s="2396">
        <f>($I$21/12-N21)*년간!$C$217/1000</f>
        <v>-488.35675234074</v>
      </c>
      <c r="AB21" s="2396">
        <f>($I$21/12-O21)*년간!$C$217/1000</f>
        <v>5294.1329346673192</v>
      </c>
      <c r="AC21" s="2396">
        <f>($I$21/12-P21)*년간!$C$217/1000</f>
        <v>1058.8265869334637</v>
      </c>
      <c r="AD21" s="2396">
        <f>($I$21/12-Q21)*년간!$C$217/1000</f>
        <v>5294.1329346673192</v>
      </c>
      <c r="AE21" s="2396">
        <f>($I$21/12-R21)*년간!$C$217/1000</f>
        <v>3591.3669132314631</v>
      </c>
      <c r="AF21" s="2396">
        <f>($I$21/12-S21)*년간!$C$217/1000</f>
        <v>-1957.7487505341194</v>
      </c>
      <c r="AG21" s="2396">
        <f>($I$21/12-T21)*년간!$C$217/1000</f>
        <v>-471.0697876561124</v>
      </c>
      <c r="AH21" s="2396">
        <f>($I$21/12-U21)*년간!$C$217/1000</f>
        <v>3357.9928899889851</v>
      </c>
      <c r="AI21" s="2396">
        <f>($I$21/12-V21)*년간!$C$217/1000</f>
        <v>4032.1845126894764</v>
      </c>
      <c r="AJ21" s="2396">
        <f>($I$21/12-W21)*년간!$C$217/1000</f>
        <v>3081.401455034937</v>
      </c>
      <c r="AK21" s="2395">
        <f>(I21-J21)*년간!C217/1000</f>
        <v>22040.879972900675</v>
      </c>
      <c r="AL21" s="2378">
        <f>Y21+Z21+AA21+AB21+AC21+AD21+AE21+AF21+AG21+AH21</f>
        <v>24288.185381902313</v>
      </c>
      <c r="AM21" s="2453">
        <f>AL21/AK21</f>
        <v>1.1019607843137256</v>
      </c>
      <c r="AN21" s="2016"/>
      <c r="AO21" s="694"/>
      <c r="AQ21" s="2969"/>
      <c r="AR21" s="456" t="s">
        <v>524</v>
      </c>
      <c r="AS21" s="453">
        <v>133</v>
      </c>
      <c r="AT21" s="461">
        <v>140.07499999999999</v>
      </c>
      <c r="AU21" s="461">
        <v>58.33</v>
      </c>
      <c r="AV21" s="461">
        <v>155.62</v>
      </c>
      <c r="AW21" s="461">
        <v>153.11999999999998</v>
      </c>
      <c r="AX21" s="461">
        <v>71.88000000000001</v>
      </c>
      <c r="AY21" s="461">
        <v>3.9</v>
      </c>
      <c r="AZ21" s="461">
        <v>77.529999999999973</v>
      </c>
      <c r="BA21" s="461">
        <v>50.089999999999996</v>
      </c>
      <c r="BB21" s="461">
        <v>50.089999999999996</v>
      </c>
    </row>
    <row r="22" spans="1:91" ht="23.25" customHeight="1" thickBot="1">
      <c r="A22" s="7184"/>
      <c r="B22" s="1951" t="s">
        <v>112</v>
      </c>
      <c r="C22" s="2003" t="s">
        <v>452</v>
      </c>
      <c r="D22" s="2018">
        <v>3211</v>
      </c>
      <c r="E22" s="2018">
        <v>2452</v>
      </c>
      <c r="F22" s="2018">
        <f>SUM(F17:F21)</f>
        <v>1152.7699999999998</v>
      </c>
      <c r="G22" s="2018">
        <f>SUM(G17:G21)</f>
        <v>604.91</v>
      </c>
      <c r="H22" s="2018">
        <f>SUM(H17:H21)</f>
        <v>504.99800000000005</v>
      </c>
      <c r="I22" s="4869">
        <f>SUM(I17:I21)</f>
        <v>576.88000000000011</v>
      </c>
      <c r="J22" s="4875">
        <f t="shared" ref="J22:AK22" si="10">SUM(J17:J21)</f>
        <v>307</v>
      </c>
      <c r="K22" s="4876">
        <f t="shared" si="10"/>
        <v>28.9</v>
      </c>
      <c r="L22" s="4586">
        <f t="shared" si="10"/>
        <v>8.9499999999999993</v>
      </c>
      <c r="M22" s="5239">
        <f t="shared" si="10"/>
        <v>43.05</v>
      </c>
      <c r="N22" s="5239">
        <f t="shared" si="10"/>
        <v>33.94</v>
      </c>
      <c r="O22" s="5239">
        <f t="shared" si="10"/>
        <v>4.93</v>
      </c>
      <c r="P22" s="5239">
        <f t="shared" si="10"/>
        <v>36.08</v>
      </c>
      <c r="Q22" s="5239">
        <f t="shared" si="10"/>
        <v>44.03</v>
      </c>
      <c r="R22" s="5239">
        <f t="shared" si="10"/>
        <v>48.01</v>
      </c>
      <c r="S22" s="5239">
        <f t="shared" si="10"/>
        <v>25.689999999999998</v>
      </c>
      <c r="T22" s="5239">
        <f t="shared" si="10"/>
        <v>6.67</v>
      </c>
      <c r="U22" s="5239">
        <f t="shared" si="10"/>
        <v>28.730000000000004</v>
      </c>
      <c r="V22" s="5086">
        <f t="shared" si="10"/>
        <v>6.62</v>
      </c>
      <c r="W22" s="4589">
        <f t="shared" si="10"/>
        <v>14.76</v>
      </c>
      <c r="X22" s="6689">
        <f t="shared" si="10"/>
        <v>301.46000000000004</v>
      </c>
      <c r="Y22" s="2397">
        <f t="shared" si="10"/>
        <v>20016.748883913104</v>
      </c>
      <c r="Z22" s="2397">
        <f t="shared" si="10"/>
        <v>6244.2219566223976</v>
      </c>
      <c r="AA22" s="2397">
        <f t="shared" si="10"/>
        <v>6516.192560470442</v>
      </c>
      <c r="AB22" s="2397">
        <f t="shared" si="10"/>
        <v>21908.93616552333</v>
      </c>
      <c r="AC22" s="2397">
        <f t="shared" si="10"/>
        <v>6393.4586192152483</v>
      </c>
      <c r="AD22" s="2397">
        <f>SUM(AD17:AD21)</f>
        <v>5339.6248870756244</v>
      </c>
      <c r="AE22" s="2397">
        <f t="shared" si="10"/>
        <v>2460.5012548346594</v>
      </c>
      <c r="AF22" s="2397">
        <f t="shared" si="10"/>
        <v>9317.5716328794879</v>
      </c>
      <c r="AG22" s="2397">
        <f t="shared" si="10"/>
        <v>19610.402137960693</v>
      </c>
      <c r="AH22" s="2397">
        <f t="shared" si="10"/>
        <v>11333.30952081603</v>
      </c>
      <c r="AI22" s="2397">
        <f t="shared" si="10"/>
        <v>20485.256749672266</v>
      </c>
      <c r="AJ22" s="2397">
        <f>SUM(AJ17:AJ21)</f>
        <v>14584.098923028678</v>
      </c>
      <c r="AK22" s="2397">
        <f t="shared" si="10"/>
        <v>134496.62741437001</v>
      </c>
      <c r="AL22" s="2397">
        <f>SUM(AL17:AL21)</f>
        <v>109140.96761931101</v>
      </c>
      <c r="AM22" s="2007">
        <f t="shared" ref="AM22:AM32" si="11">AL22/AK22</f>
        <v>0.81147735610543692</v>
      </c>
      <c r="AN22" s="2008"/>
      <c r="AO22" s="3552"/>
      <c r="AQ22" s="2969"/>
      <c r="AR22" s="456" t="s">
        <v>525</v>
      </c>
      <c r="AS22" s="453">
        <v>133</v>
      </c>
      <c r="AT22" s="461">
        <v>140.07499999999999</v>
      </c>
      <c r="AU22" s="461">
        <v>58.33</v>
      </c>
      <c r="AV22" s="461">
        <v>155.62</v>
      </c>
      <c r="AW22" s="461">
        <v>153.11999999999998</v>
      </c>
      <c r="AX22" s="461">
        <v>71.88000000000001</v>
      </c>
      <c r="AY22" s="461">
        <v>3.9</v>
      </c>
      <c r="AZ22" s="461">
        <v>77.529999999999973</v>
      </c>
      <c r="BA22" s="461">
        <v>50.089999999999996</v>
      </c>
      <c r="BB22" s="461">
        <v>50.089999999999996</v>
      </c>
    </row>
    <row r="23" spans="1:91" ht="23.25" hidden="1" customHeight="1" thickBot="1">
      <c r="A23" s="7184"/>
      <c r="B23" s="2801" t="s">
        <v>1320</v>
      </c>
      <c r="C23" s="2003" t="s">
        <v>452</v>
      </c>
      <c r="D23" s="2017"/>
      <c r="E23" s="2018"/>
      <c r="F23" s="2018">
        <f>F22/12</f>
        <v>96.064166666666651</v>
      </c>
      <c r="G23" s="2018">
        <f>G22/12</f>
        <v>50.409166666666664</v>
      </c>
      <c r="H23" s="2018">
        <f>H22/12</f>
        <v>42.083166666666671</v>
      </c>
      <c r="I23" s="4869">
        <f>I22/12</f>
        <v>48.073333333333345</v>
      </c>
      <c r="J23" s="4877"/>
      <c r="K23" s="4878"/>
      <c r="L23" s="4586"/>
      <c r="M23" s="5239"/>
      <c r="N23" s="5239"/>
      <c r="O23" s="5239"/>
      <c r="P23" s="5239"/>
      <c r="Q23" s="5239"/>
      <c r="R23" s="5239"/>
      <c r="S23" s="5239"/>
      <c r="T23" s="5239"/>
      <c r="U23" s="5239"/>
      <c r="V23" s="5086"/>
      <c r="W23" s="4589"/>
      <c r="X23" s="6689"/>
      <c r="Y23" s="2458"/>
      <c r="Z23" s="2397"/>
      <c r="AA23" s="2397"/>
      <c r="AB23" s="2397"/>
      <c r="AC23" s="2397"/>
      <c r="AD23" s="2397"/>
      <c r="AE23" s="2397"/>
      <c r="AF23" s="2397"/>
      <c r="AG23" s="2397"/>
      <c r="AH23" s="2397"/>
      <c r="AI23" s="2397"/>
      <c r="AJ23" s="2397"/>
      <c r="AK23" s="2397"/>
      <c r="AL23" s="2397"/>
      <c r="AM23" s="2418"/>
      <c r="AN23" s="2008"/>
      <c r="AO23" s="3552"/>
      <c r="AP23" s="737"/>
      <c r="AQ23" s="2969" t="e">
        <f>AP23/AO23</f>
        <v>#DIV/0!</v>
      </c>
      <c r="AR23" s="2802"/>
      <c r="AS23" s="2864"/>
      <c r="AT23" s="2865"/>
      <c r="AU23" s="2865"/>
      <c r="AV23" s="2865"/>
      <c r="AW23" s="2865"/>
      <c r="AX23" s="2865"/>
      <c r="AY23" s="2865"/>
      <c r="AZ23" s="2865"/>
      <c r="BA23" s="2865"/>
      <c r="BB23" s="2865"/>
    </row>
    <row r="24" spans="1:91" ht="23.25" customHeight="1">
      <c r="A24" s="7390" t="s">
        <v>446</v>
      </c>
      <c r="B24" s="2451" t="s">
        <v>441</v>
      </c>
      <c r="C24" s="1225" t="s">
        <v>450</v>
      </c>
      <c r="D24" s="1540">
        <f>CPL!F6</f>
        <v>54.15</v>
      </c>
      <c r="E24" s="1540">
        <f>CPL!G6</f>
        <v>51.24</v>
      </c>
      <c r="F24" s="1540">
        <f>CPL!H6</f>
        <v>54.062042613628726</v>
      </c>
      <c r="G24" s="1540">
        <f>CPL!I6</f>
        <v>58.04</v>
      </c>
      <c r="H24" s="1307">
        <v>60.206775876441782</v>
      </c>
      <c r="I24" s="1307">
        <f>CPL!K6</f>
        <v>58.694362011852682</v>
      </c>
      <c r="J24" s="1960">
        <f>CPL!L6</f>
        <v>60</v>
      </c>
      <c r="K24" s="4879">
        <f>J24</f>
        <v>60</v>
      </c>
      <c r="L24" s="5075">
        <f>CPL!N6</f>
        <v>60.874104140090452</v>
      </c>
      <c r="M24" s="5230">
        <f>CPL!O6</f>
        <v>62.159699194270374</v>
      </c>
      <c r="N24" s="5230">
        <f>CPL!P6</f>
        <v>60.15957877000843</v>
      </c>
      <c r="O24" s="5230">
        <f>CPL!Q6</f>
        <v>62.721523579201929</v>
      </c>
      <c r="P24" s="5295">
        <f>CPL!R6</f>
        <v>57.555791855203616</v>
      </c>
      <c r="Q24" s="5230">
        <f>CPL!S6</f>
        <v>60.661661867544225</v>
      </c>
      <c r="R24" s="5230">
        <f>CPL!T6</f>
        <v>60.070862787467199</v>
      </c>
      <c r="S24" s="5230">
        <f>CPL!U6</f>
        <v>60.769159163417235</v>
      </c>
      <c r="T24" s="5230">
        <f>CPL!V6</f>
        <v>62.188318149964957</v>
      </c>
      <c r="U24" s="5295">
        <f>CPL!W6</f>
        <v>56.385312058913776</v>
      </c>
      <c r="V24" s="6697">
        <f>CPL!X6</f>
        <v>68.682105263157894</v>
      </c>
      <c r="W24" s="6094" t="e">
        <f>CPL!Y6</f>
        <v>#DIV/0!</v>
      </c>
      <c r="X24" s="6941">
        <f>CPL!Z6</f>
        <v>60.293596370134942</v>
      </c>
      <c r="Y24" s="1491">
        <f>CPL!AA6</f>
        <v>17715.634185618968</v>
      </c>
      <c r="Z24" s="759">
        <f>CPL!AB6</f>
        <v>30402.592980827081</v>
      </c>
      <c r="AA24" s="759">
        <f>CPL!AC6</f>
        <v>10928.348521921707</v>
      </c>
      <c r="AB24" s="759">
        <f>CPL!AD6</f>
        <v>31390.465998231091</v>
      </c>
      <c r="AC24" s="759">
        <f>CPL!AE6</f>
        <v>-9486.4836169369628</v>
      </c>
      <c r="AD24" s="759">
        <f>CPL!AF6</f>
        <v>18030.539019309399</v>
      </c>
      <c r="AE24" s="759">
        <f>CPL!AG6</f>
        <v>14009.621104853708</v>
      </c>
      <c r="AF24" s="759">
        <f>CPL!AH6</f>
        <v>18388.685040832468</v>
      </c>
      <c r="AG24" s="759">
        <f>CPL!AI6</f>
        <v>31328.7713122596</v>
      </c>
      <c r="AH24" s="759">
        <f>CPL!AJ6</f>
        <v>-23642.295102817043</v>
      </c>
      <c r="AI24" s="759">
        <f>CPL!AK6</f>
        <v>1788.603887845042</v>
      </c>
      <c r="AJ24" s="759" t="e">
        <f>CPL!AL6</f>
        <v>#DIV/0!</v>
      </c>
      <c r="AK24" s="759">
        <f>CPL!AM6</f>
        <v>113450.00077900608</v>
      </c>
      <c r="AL24" s="4730">
        <f>Y24+Z24+AA24+AB24+AC24+AD24+AE24+AF24+AG24+AH24</f>
        <v>139065.87944410005</v>
      </c>
      <c r="AM24" s="1216">
        <f t="shared" si="11"/>
        <v>1.2257900263481902</v>
      </c>
      <c r="AN24" s="2960"/>
      <c r="AO24" s="3553"/>
      <c r="AP24" s="2969"/>
      <c r="AQ24" s="2969"/>
      <c r="CD24" s="844"/>
    </row>
    <row r="25" spans="1:91" ht="23.25" customHeight="1">
      <c r="A25" s="7125"/>
      <c r="B25" s="2872" t="s">
        <v>241</v>
      </c>
      <c r="C25" s="2702" t="s">
        <v>450</v>
      </c>
      <c r="D25" s="2961">
        <v>45.65</v>
      </c>
      <c r="E25" s="2962">
        <f>CRM!F6</f>
        <v>46.19</v>
      </c>
      <c r="F25" s="2962">
        <f>CRM!G6</f>
        <v>45.65</v>
      </c>
      <c r="G25" s="2962">
        <f>CRM!I6</f>
        <v>44.71</v>
      </c>
      <c r="H25" s="2274">
        <v>46.04272455659865</v>
      </c>
      <c r="I25" s="4349">
        <f>CRM!K6</f>
        <v>46.906486455981941</v>
      </c>
      <c r="J25" s="4320">
        <f>CRM!L6</f>
        <v>48</v>
      </c>
      <c r="K25" s="3682">
        <f>J25</f>
        <v>48</v>
      </c>
      <c r="L25" s="5066">
        <f>CRM!N6</f>
        <v>45.826335311572706</v>
      </c>
      <c r="M25" s="5232">
        <f>CRM!O6</f>
        <v>46.538706901497335</v>
      </c>
      <c r="N25" s="4867">
        <f>CRM!P6</f>
        <v>46.942721279585001</v>
      </c>
      <c r="O25" s="5236">
        <f>CRM!Q6</f>
        <v>51.131646058732613</v>
      </c>
      <c r="P25" s="5232">
        <f>CRM!R6</f>
        <v>46.019465875370919</v>
      </c>
      <c r="Q25" s="5236">
        <f>CRM!S6</f>
        <v>50.388206764518188</v>
      </c>
      <c r="R25" s="5236">
        <f>CRM!T6</f>
        <v>52.402404550061938</v>
      </c>
      <c r="S25" s="5236">
        <f>CRM!U6</f>
        <v>52.771722127461615</v>
      </c>
      <c r="T25" s="5236">
        <f>CRM!V6</f>
        <v>52.825319820568197</v>
      </c>
      <c r="U25" s="4867">
        <f>CRM!W6</f>
        <v>47.64499508879981</v>
      </c>
      <c r="V25" s="5084" t="e">
        <f>CRM!X6</f>
        <v>#DIV/0!</v>
      </c>
      <c r="W25" s="4590" t="e">
        <f>CRM!Y6</f>
        <v>#DIV/0!</v>
      </c>
      <c r="X25" s="6943">
        <f>CRM!Z6</f>
        <v>49.260056236092275</v>
      </c>
      <c r="Y25" s="1982">
        <f>CRM!AA6</f>
        <v>-12810.762445024246</v>
      </c>
      <c r="Z25" s="2963">
        <f>CRM!AB6</f>
        <v>-5127.6427040531007</v>
      </c>
      <c r="AA25" s="2963">
        <f>CRM!AC6</f>
        <v>402.2609205964153</v>
      </c>
      <c r="AB25" s="2963">
        <f>CRM!AD6</f>
        <v>52476.6994067868</v>
      </c>
      <c r="AC25" s="2963">
        <f>CRM!AE6</f>
        <v>-11357.037961378812</v>
      </c>
      <c r="AD25" s="2963">
        <f>CRM!AF6</f>
        <v>43638.593814071319</v>
      </c>
      <c r="AE25" s="2963">
        <f>CRM!AG6</f>
        <v>78062.449353455813</v>
      </c>
      <c r="AF25" s="2963">
        <f>CRM!AH6</f>
        <v>75635.507162539769</v>
      </c>
      <c r="AG25" s="2963">
        <f>CRM!AI6</f>
        <v>71237.445179704053</v>
      </c>
      <c r="AH25" s="2963">
        <f>CRM!AJ6</f>
        <v>11125.448874969235</v>
      </c>
      <c r="AI25" s="2963">
        <v>0</v>
      </c>
      <c r="AJ25" s="2963" t="e">
        <f>CRM!AL6</f>
        <v>#DIV/0!</v>
      </c>
      <c r="AK25" s="2963">
        <f>CRM!AM6</f>
        <v>145584.73372970402</v>
      </c>
      <c r="AL25" s="4730">
        <f>Y25+Z25+AA25+AB25+AC25+AD25+AE25+AF25+AG25+AH25</f>
        <v>303282.96160166722</v>
      </c>
      <c r="AM25" s="2964">
        <f t="shared" si="11"/>
        <v>2.083205799343971</v>
      </c>
      <c r="AN25" s="2965"/>
      <c r="AO25" s="3553"/>
      <c r="AP25" s="2969"/>
      <c r="AQ25" s="2969"/>
      <c r="AR25" s="844" t="s">
        <v>1161</v>
      </c>
      <c r="AS25" s="844" t="s">
        <v>194</v>
      </c>
      <c r="AT25" s="844" t="s">
        <v>258</v>
      </c>
      <c r="AU25" s="844" t="s">
        <v>259</v>
      </c>
      <c r="AV25" s="844" t="s">
        <v>716</v>
      </c>
      <c r="AW25" s="844" t="s">
        <v>718</v>
      </c>
      <c r="AX25" s="844" t="s">
        <v>1032</v>
      </c>
      <c r="AY25" s="844" t="s">
        <v>1333</v>
      </c>
      <c r="CD25" s="844"/>
    </row>
    <row r="26" spans="1:91" ht="23.25" customHeight="1">
      <c r="A26" s="7125"/>
      <c r="B26" s="2872" t="s">
        <v>43</v>
      </c>
      <c r="C26" s="2702" t="s">
        <v>450</v>
      </c>
      <c r="D26" s="2961">
        <v>39.301413955784739</v>
      </c>
      <c r="E26" s="2962">
        <f>CGL!F6</f>
        <v>40.952245905022799</v>
      </c>
      <c r="F26" s="2962">
        <f>CGL!G6</f>
        <v>39.301413955784739</v>
      </c>
      <c r="G26" s="2962">
        <f>CGL!I6</f>
        <v>39.29</v>
      </c>
      <c r="H26" s="2274">
        <v>39.056847287531163</v>
      </c>
      <c r="I26" s="4349">
        <f>CGL!K6</f>
        <v>39.078220717254119</v>
      </c>
      <c r="J26" s="4320">
        <f>CGL!L6</f>
        <v>40.049999999999997</v>
      </c>
      <c r="K26" s="3682">
        <f>J26</f>
        <v>40.049999999999997</v>
      </c>
      <c r="L26" s="4351">
        <f>CGL!N6</f>
        <v>39.686855614973261</v>
      </c>
      <c r="M26" s="5232">
        <f>CGL!O6</f>
        <v>38.205425955619923</v>
      </c>
      <c r="N26" s="5232">
        <f>CGL!P6</f>
        <v>37.873108298171587</v>
      </c>
      <c r="O26" s="5236">
        <f>CGL!Q6</f>
        <v>41.862582996637755</v>
      </c>
      <c r="P26" s="5232">
        <f>CGL!R6</f>
        <v>37.883401145893878</v>
      </c>
      <c r="Q26" s="5236">
        <f>CGL!S6</f>
        <v>40.279656145063804</v>
      </c>
      <c r="R26" s="5236">
        <f>CGL!T6</f>
        <v>41.477539495798318</v>
      </c>
      <c r="S26" s="4867">
        <f>CGL!U6</f>
        <v>39.763105821623178</v>
      </c>
      <c r="T26" s="5236">
        <f>CGL!V6</f>
        <v>42.75064637857578</v>
      </c>
      <c r="U26" s="5232">
        <f>CGL!W6</f>
        <v>36.644188552188552</v>
      </c>
      <c r="V26" s="5084">
        <f>CGL!X6</f>
        <v>26.318565789473681</v>
      </c>
      <c r="W26" s="4590" t="e">
        <f>CGL!Y6</f>
        <v>#DIV/0!</v>
      </c>
      <c r="X26" s="6943">
        <f>CGL!Z6</f>
        <v>39.517993080100446</v>
      </c>
      <c r="Y26" s="1982">
        <f>CGL!AA6</f>
        <v>21281.669327090629</v>
      </c>
      <c r="Z26" s="2963">
        <f>CGL!AB6</f>
        <v>-31551.398662418716</v>
      </c>
      <c r="AA26" s="2963">
        <f>CGL!AC6</f>
        <v>-48064.63532955393</v>
      </c>
      <c r="AB26" s="2963">
        <f>CGL!AD6</f>
        <v>92134.091163219535</v>
      </c>
      <c r="AC26" s="2963">
        <f>CGL!AE6</f>
        <v>-40358.545618048076</v>
      </c>
      <c r="AD26" s="2963">
        <f>CGL!AF6</f>
        <v>41813.101160840364</v>
      </c>
      <c r="AE26" s="2963">
        <f>CGL!AG6</f>
        <v>100102.15352971235</v>
      </c>
      <c r="AF26" s="2963">
        <f>CGL!AH6</f>
        <v>26793.420049444991</v>
      </c>
      <c r="AG26" s="2963">
        <f>CGL!AI6</f>
        <v>141028.804364271</v>
      </c>
      <c r="AH26" s="2963">
        <f>CGL!AJ6</f>
        <v>-101379.76026027549</v>
      </c>
      <c r="AI26" s="2963">
        <f>CGL!AK6</f>
        <v>-36265.172834318044</v>
      </c>
      <c r="AJ26" s="2963" t="e">
        <f>CGL!AL6</f>
        <v>#DIV/0!</v>
      </c>
      <c r="AK26" s="2963">
        <f>CGL!AM6</f>
        <v>372059.74393755232</v>
      </c>
      <c r="AL26" s="4730">
        <f>Y26+Z26+AA26+AB26+AC26+AD26+AE26+AF26+AG26+AH26</f>
        <v>201798.89972428262</v>
      </c>
      <c r="AM26" s="4929">
        <f t="shared" si="11"/>
        <v>0.54238305275550902</v>
      </c>
      <c r="AN26" s="2965"/>
      <c r="AO26" s="3553"/>
      <c r="AP26" s="2969"/>
      <c r="AQ26" s="336" t="s">
        <v>1033</v>
      </c>
      <c r="AR26" s="846"/>
      <c r="AS26" s="846">
        <v>878</v>
      </c>
      <c r="AT26" s="846">
        <v>973</v>
      </c>
      <c r="AU26" s="846">
        <v>527</v>
      </c>
      <c r="AV26" s="846">
        <v>145</v>
      </c>
      <c r="AW26" s="845">
        <v>52.56</v>
      </c>
      <c r="AX26" s="845">
        <v>21.73</v>
      </c>
      <c r="AY26" s="7027">
        <v>53.389999999999993</v>
      </c>
      <c r="CD26" s="844"/>
    </row>
    <row r="27" spans="1:91" ht="23.25" customHeight="1">
      <c r="A27" s="7125"/>
      <c r="B27" s="2872" t="s">
        <v>442</v>
      </c>
      <c r="C27" s="2702" t="s">
        <v>450</v>
      </c>
      <c r="D27" s="2961">
        <v>20.03</v>
      </c>
      <c r="E27" s="2878">
        <f>'#1CCL'!F6</f>
        <v>21.43</v>
      </c>
      <c r="F27" s="2878">
        <f>'#1CCL'!G6</f>
        <v>20.03</v>
      </c>
      <c r="G27" s="2878">
        <f>'#1CCL'!I6</f>
        <v>22.3</v>
      </c>
      <c r="H27" s="2224">
        <v>23.635136290988044</v>
      </c>
      <c r="I27" s="3593">
        <f>'#1CCL'!K6</f>
        <v>23.126629659404287</v>
      </c>
      <c r="J27" s="4610">
        <f>'#1CCL'!L6</f>
        <v>24.5</v>
      </c>
      <c r="K27" s="3682">
        <f>J27</f>
        <v>24.5</v>
      </c>
      <c r="L27" s="4582">
        <f>'#1CCL'!N6</f>
        <v>23.168020947715178</v>
      </c>
      <c r="M27" s="4723">
        <f>'#1CCL'!O6</f>
        <v>22.388742436631237</v>
      </c>
      <c r="N27" s="4868">
        <f>'#1CCL'!P6</f>
        <v>24.288338964478129</v>
      </c>
      <c r="O27" s="4868">
        <f>'#1CCL'!Q6</f>
        <v>22.942111344849042</v>
      </c>
      <c r="P27" s="4723">
        <f>'#1CCL'!R6</f>
        <v>21.184386401095065</v>
      </c>
      <c r="Q27" s="4723">
        <f>'#1CCL'!S6</f>
        <v>22.248172195547795</v>
      </c>
      <c r="R27" s="4868">
        <f>'#1CCL'!T6</f>
        <v>23.236019956794568</v>
      </c>
      <c r="S27" s="4723">
        <f>'#1CCL'!U6</f>
        <v>22.968708951312014</v>
      </c>
      <c r="T27" s="4723">
        <f>'#1CCL'!V6</f>
        <v>22.938130764260119</v>
      </c>
      <c r="U27" s="4723">
        <f>'#1CCL'!W6</f>
        <v>22.080294609615283</v>
      </c>
      <c r="V27" s="6840">
        <f>'#1CCL'!X6</f>
        <v>21.626852304184986</v>
      </c>
      <c r="W27" s="6692">
        <f>'#1CCL'!Y6</f>
        <v>21.470551661768035</v>
      </c>
      <c r="X27" s="6942">
        <f>'#1CCL'!Z6</f>
        <v>22.529190340300048</v>
      </c>
      <c r="Y27" s="1982">
        <f>'#1CCL'!AA6</f>
        <v>1113.2316251604568</v>
      </c>
      <c r="Z27" s="2963">
        <f>'#1CCL'!AB6</f>
        <v>-17084.283593932734</v>
      </c>
      <c r="AA27" s="2963">
        <f>'#1CCL'!AC6</f>
        <v>28900.996523740872</v>
      </c>
      <c r="AB27" s="2963">
        <f>'#1CCL'!AD6</f>
        <v>-4715.9201175723119</v>
      </c>
      <c r="AC27" s="2963">
        <f>'#1CCL'!AE6</f>
        <v>-52649.053791808707</v>
      </c>
      <c r="AD27" s="2963">
        <f>'#1CCL'!AF6</f>
        <v>-24384.065997604426</v>
      </c>
      <c r="AE27" s="2963">
        <f>'#1CCL'!AG6</f>
        <v>3220.9950214657383</v>
      </c>
      <c r="AF27" s="2963">
        <f>'#1CCL'!AH6</f>
        <v>-3878.2851644771054</v>
      </c>
      <c r="AG27" s="2963">
        <f>'#1CCL'!AI6</f>
        <v>-4859.764451398979</v>
      </c>
      <c r="AH27" s="2963">
        <f>'#1CCL'!AJ6</f>
        <v>-29368.841193495366</v>
      </c>
      <c r="AI27" s="2963">
        <f>'#1CCL'!AK6</f>
        <v>-41846.337734836416</v>
      </c>
      <c r="AJ27" s="2963">
        <f>'#1CCL'!AL6</f>
        <v>-44373.943870562238</v>
      </c>
      <c r="AK27" s="2963">
        <f>'#1CCL'!AM6</f>
        <v>426148.53729105281</v>
      </c>
      <c r="AL27" s="4730">
        <f>Y27+Z27+AA27+AB27+AC27+AD27+AE27+AF27+AG27+AH27</f>
        <v>-103704.99113992255</v>
      </c>
      <c r="AM27" s="4929">
        <f t="shared" si="11"/>
        <v>-0.2433540938545887</v>
      </c>
      <c r="AN27" s="2965"/>
      <c r="AO27" s="3554"/>
      <c r="AP27" s="2969"/>
      <c r="AQ27" s="336" t="s">
        <v>1034</v>
      </c>
      <c r="AR27" s="655"/>
      <c r="AS27" s="655">
        <v>449.47</v>
      </c>
      <c r="AT27" s="655">
        <v>679.82</v>
      </c>
      <c r="AU27" s="655">
        <v>413.64699999999999</v>
      </c>
      <c r="AV27" s="655">
        <v>77.400000000000006</v>
      </c>
      <c r="AW27" s="845">
        <v>128.14100000000002</v>
      </c>
      <c r="AX27" s="845">
        <v>93.301999999999992</v>
      </c>
      <c r="AY27" s="7027">
        <v>62.910000000000004</v>
      </c>
      <c r="CD27" s="844"/>
    </row>
    <row r="28" spans="1:91" ht="23.25" customHeight="1" thickBot="1">
      <c r="A28" s="7125"/>
      <c r="B28" s="2872" t="s">
        <v>443</v>
      </c>
      <c r="C28" s="2702" t="s">
        <v>450</v>
      </c>
      <c r="D28" s="2961">
        <v>11.59</v>
      </c>
      <c r="E28" s="2878">
        <f>'#2CCL'!F6</f>
        <v>11.56</v>
      </c>
      <c r="F28" s="2878">
        <f>'#2CCL'!G6</f>
        <v>11.59</v>
      </c>
      <c r="G28" s="2878">
        <f>'#2CCL'!K6</f>
        <v>9.3511203248380532</v>
      </c>
      <c r="H28" s="2224">
        <v>9.9899535671630861</v>
      </c>
      <c r="I28" s="3593">
        <f>'#2CCL'!K6</f>
        <v>9.3511203248380532</v>
      </c>
      <c r="J28" s="4610">
        <f>'#2CCL'!L6</f>
        <v>9.5</v>
      </c>
      <c r="K28" s="3682">
        <f>J28</f>
        <v>9.5</v>
      </c>
      <c r="L28" s="5071">
        <f>'#2CCL'!N6</f>
        <v>9.7591442025092441</v>
      </c>
      <c r="M28" s="5243">
        <f>'#2CCL'!O6</f>
        <v>10.472311819054873</v>
      </c>
      <c r="N28" s="5243">
        <f>'#2CCL'!P6</f>
        <v>9.9624877818067148</v>
      </c>
      <c r="O28" s="5243">
        <f>'#2CCL'!Q6</f>
        <v>9.7368752672843897</v>
      </c>
      <c r="P28" s="4723">
        <f>'#2CCL'!R6</f>
        <v>9.1052445314558934</v>
      </c>
      <c r="Q28" s="5243">
        <f>'#2CCL'!S6</f>
        <v>9.7512711078122098</v>
      </c>
      <c r="R28" s="5243">
        <f>'#2CCL'!T6</f>
        <v>9.6621640872887404</v>
      </c>
      <c r="S28" s="5243">
        <f>'#2CCL'!U6</f>
        <v>10.378213148529689</v>
      </c>
      <c r="T28" s="4723">
        <f>'#2CCL'!V6</f>
        <v>8.9028814479638001</v>
      </c>
      <c r="U28" s="4723">
        <f>'#2CCL'!W6</f>
        <v>8.7014542119743208</v>
      </c>
      <c r="V28" s="6840">
        <f>'#2CCL'!X6</f>
        <v>9.1654691183404058</v>
      </c>
      <c r="W28" s="6692">
        <f>'#2CCL'!Y6</f>
        <v>8.7790909946363058</v>
      </c>
      <c r="X28" s="6942">
        <f>'#2CCL'!Z6</f>
        <v>9.5212979035692769</v>
      </c>
      <c r="Y28" s="1982">
        <f>'#2CCL'!AA6</f>
        <v>29982.446976952036</v>
      </c>
      <c r="Z28" s="2963">
        <f>'#2CCL'!AB6</f>
        <v>78657.604100983241</v>
      </c>
      <c r="AA28" s="2963">
        <f>'#2CCL'!AC6</f>
        <v>35980.229229228142</v>
      </c>
      <c r="AB28" s="2963">
        <f>'#2CCL'!AD6</f>
        <v>25147.585082905196</v>
      </c>
      <c r="AC28" s="2963">
        <f>'#2CCL'!AE6</f>
        <v>-15154.061377782851</v>
      </c>
      <c r="AD28" s="2963">
        <f>'#2CCL'!AF6</f>
        <v>30059.394307427596</v>
      </c>
      <c r="AE28" s="2963">
        <f>'#2CCL'!AG6</f>
        <v>22310.445129262203</v>
      </c>
      <c r="AF28" s="2963">
        <f>'#2CCL'!AH6</f>
        <v>63583.861438013795</v>
      </c>
      <c r="AG28" s="2963">
        <f>'#2CCL'!AI6</f>
        <v>-28721.139306133409</v>
      </c>
      <c r="AH28" s="2963">
        <f>'#2CCL'!AJ6</f>
        <v>-46059.882891632478</v>
      </c>
      <c r="AI28" s="2963">
        <f>'#2CCL'!AK6</f>
        <v>-13718.174942483636</v>
      </c>
      <c r="AJ28" s="2963">
        <f>'#2CCL'!AL6</f>
        <v>-42345.664194401266</v>
      </c>
      <c r="AK28" s="2963">
        <f>'#2CCL'!AM6</f>
        <v>116304.95693343123</v>
      </c>
      <c r="AL28" s="4730">
        <f>Y28+Z28+AA28+AB28+AC28+AD28+AE28+AF28+AG28+AH28</f>
        <v>195786.48268922349</v>
      </c>
      <c r="AM28" s="2964">
        <f t="shared" si="11"/>
        <v>1.683388978866005</v>
      </c>
      <c r="AN28" s="2965"/>
      <c r="AO28" s="3554"/>
      <c r="AP28" s="2969"/>
      <c r="AQ28" s="336"/>
      <c r="CD28" s="844"/>
    </row>
    <row r="29" spans="1:91" ht="23.25" customHeight="1" thickBot="1">
      <c r="A29" s="7206"/>
      <c r="B29" s="2874" t="s">
        <v>447</v>
      </c>
      <c r="C29" s="2355" t="s">
        <v>450</v>
      </c>
      <c r="D29" s="2966">
        <v>33.562282791156953</v>
      </c>
      <c r="E29" s="2357">
        <f t="shared" ref="E29:X29" si="12">(E24+E25+E26+E27+E28)/5</f>
        <v>34.274449181004563</v>
      </c>
      <c r="F29" s="2357">
        <f t="shared" si="12"/>
        <v>34.126691313882688</v>
      </c>
      <c r="G29" s="2357">
        <f t="shared" si="12"/>
        <v>34.738224064967611</v>
      </c>
      <c r="H29" s="2357">
        <f t="shared" si="12"/>
        <v>35.786287515744547</v>
      </c>
      <c r="I29" s="2358">
        <f t="shared" si="12"/>
        <v>35.431363833866214</v>
      </c>
      <c r="J29" s="1959">
        <f t="shared" si="12"/>
        <v>36.410000000000004</v>
      </c>
      <c r="K29" s="2359">
        <f t="shared" si="12"/>
        <v>36.410000000000004</v>
      </c>
      <c r="L29" s="2234">
        <f t="shared" si="12"/>
        <v>35.86289204337217</v>
      </c>
      <c r="M29" s="2358">
        <f t="shared" si="12"/>
        <v>35.952977261414752</v>
      </c>
      <c r="N29" s="2358">
        <f t="shared" si="12"/>
        <v>35.845247018809971</v>
      </c>
      <c r="O29" s="2358">
        <f t="shared" si="12"/>
        <v>37.678947849341149</v>
      </c>
      <c r="P29" s="2358">
        <f t="shared" si="12"/>
        <v>34.349657961803871</v>
      </c>
      <c r="Q29" s="2358">
        <f t="shared" si="12"/>
        <v>36.665793616097247</v>
      </c>
      <c r="R29" s="2358">
        <f t="shared" si="12"/>
        <v>37.369798175482153</v>
      </c>
      <c r="S29" s="2358">
        <f t="shared" si="12"/>
        <v>37.330181842468747</v>
      </c>
      <c r="T29" s="2358">
        <f t="shared" si="12"/>
        <v>37.921059312266571</v>
      </c>
      <c r="U29" s="2358">
        <f t="shared" si="12"/>
        <v>34.291248904298349</v>
      </c>
      <c r="V29" s="5079">
        <f>(V24+V26+V27+V28)/5</f>
        <v>25.158598495031395</v>
      </c>
      <c r="W29" s="4588" t="e">
        <f t="shared" si="12"/>
        <v>#DIV/0!</v>
      </c>
      <c r="X29" s="5809">
        <f t="shared" si="12"/>
        <v>36.224426786039395</v>
      </c>
      <c r="Y29" s="2967">
        <f t="shared" ref="Y29:AL29" si="13">SUM(Y24:Y28)</f>
        <v>57282.219669797843</v>
      </c>
      <c r="Z29" s="2361">
        <f t="shared" si="13"/>
        <v>55296.872121405773</v>
      </c>
      <c r="AA29" s="2361">
        <f t="shared" si="13"/>
        <v>28147.199865933206</v>
      </c>
      <c r="AB29" s="2361">
        <f t="shared" si="13"/>
        <v>196432.92153357033</v>
      </c>
      <c r="AC29" s="2361">
        <f t="shared" si="13"/>
        <v>-129005.18236595542</v>
      </c>
      <c r="AD29" s="2361">
        <f t="shared" si="13"/>
        <v>109157.56230404426</v>
      </c>
      <c r="AE29" s="2361">
        <f t="shared" si="13"/>
        <v>217705.66413874979</v>
      </c>
      <c r="AF29" s="2361">
        <f t="shared" si="13"/>
        <v>180523.18852635392</v>
      </c>
      <c r="AG29" s="2361">
        <f t="shared" si="13"/>
        <v>210014.11709870226</v>
      </c>
      <c r="AH29" s="2361">
        <f t="shared" si="13"/>
        <v>-189325.33057325115</v>
      </c>
      <c r="AI29" s="2361">
        <f t="shared" si="13"/>
        <v>-90041.081623793056</v>
      </c>
      <c r="AJ29" s="2361" t="e">
        <f t="shared" si="13"/>
        <v>#DIV/0!</v>
      </c>
      <c r="AK29" s="2362">
        <f t="shared" si="13"/>
        <v>1173547.9726707465</v>
      </c>
      <c r="AL29" s="2362">
        <f t="shared" si="13"/>
        <v>736229.23231935082</v>
      </c>
      <c r="AM29" s="3211">
        <f t="shared" si="11"/>
        <v>0.627353333195105</v>
      </c>
      <c r="AN29" s="2363"/>
      <c r="AP29" s="709"/>
      <c r="AQ29" s="336"/>
      <c r="AR29" s="703"/>
      <c r="AS29" s="704"/>
      <c r="AT29" s="704"/>
      <c r="AU29" s="704"/>
      <c r="AV29" s="704"/>
      <c r="AX29" s="1304" t="s">
        <v>646</v>
      </c>
      <c r="AY29" s="303" t="s">
        <v>258</v>
      </c>
      <c r="AZ29" s="303" t="s">
        <v>556</v>
      </c>
      <c r="BA29" s="303" t="s">
        <v>1429</v>
      </c>
      <c r="BB29" s="303" t="s">
        <v>718</v>
      </c>
      <c r="BC29" s="303" t="s">
        <v>1032</v>
      </c>
      <c r="BQ29" s="2372" t="s">
        <v>1769</v>
      </c>
      <c r="BR29" s="2373" t="s">
        <v>937</v>
      </c>
      <c r="BS29" s="2373" t="s">
        <v>936</v>
      </c>
      <c r="BT29" s="2373" t="s">
        <v>1078</v>
      </c>
      <c r="BU29" s="2373" t="s">
        <v>1075</v>
      </c>
      <c r="BV29" s="2373" t="s">
        <v>1032</v>
      </c>
      <c r="BW29" s="2373" t="s">
        <v>2016</v>
      </c>
      <c r="BX29" s="2373" t="s">
        <v>935</v>
      </c>
      <c r="BY29" s="2373" t="s">
        <v>5</v>
      </c>
      <c r="BZ29" s="2373" t="s">
        <v>6</v>
      </c>
      <c r="CA29" s="2373" t="s">
        <v>7</v>
      </c>
      <c r="CB29" s="2373" t="s">
        <v>8</v>
      </c>
      <c r="CC29" s="2447" t="s">
        <v>947</v>
      </c>
      <c r="CD29" s="2373" t="s">
        <v>10</v>
      </c>
      <c r="CE29" s="2477" t="s">
        <v>11</v>
      </c>
      <c r="CF29" s="2477" t="s">
        <v>12</v>
      </c>
      <c r="CG29" s="2477" t="s">
        <v>13</v>
      </c>
      <c r="CH29" s="2477" t="s">
        <v>14</v>
      </c>
      <c r="CI29" s="2478" t="s">
        <v>15</v>
      </c>
      <c r="CJ29" s="334" t="s">
        <v>1430</v>
      </c>
      <c r="CK29" s="334" t="s">
        <v>928</v>
      </c>
      <c r="CL29" s="334" t="s">
        <v>1076</v>
      </c>
      <c r="CM29" s="334" t="s">
        <v>1077</v>
      </c>
    </row>
    <row r="30" spans="1:91" ht="23.25" customHeight="1" thickBot="1">
      <c r="A30" s="7103" t="s">
        <v>449</v>
      </c>
      <c r="B30" s="2871" t="s">
        <v>441</v>
      </c>
      <c r="C30" s="1223" t="s">
        <v>445</v>
      </c>
      <c r="D30" s="699">
        <f>CPL!F7</f>
        <v>97.91</v>
      </c>
      <c r="E30" s="699">
        <f>CPL!G7</f>
        <v>97.67</v>
      </c>
      <c r="F30" s="699">
        <f>CPL!H7</f>
        <v>97.281674329511944</v>
      </c>
      <c r="G30" s="699">
        <f>CPL!I7</f>
        <v>98.98</v>
      </c>
      <c r="H30" s="1307">
        <v>99.204284713304929</v>
      </c>
      <c r="I30" s="1308">
        <f>CPL!K7</f>
        <v>99.351749184463827</v>
      </c>
      <c r="J30" s="1962">
        <f>CPL!L7</f>
        <v>99.5</v>
      </c>
      <c r="K30" s="4873">
        <f>J30</f>
        <v>99.5</v>
      </c>
      <c r="L30" s="5076">
        <f>CPL!N7</f>
        <v>97.512156507972406</v>
      </c>
      <c r="M30" s="5248">
        <f>CPL!O7</f>
        <v>98.431441663729288</v>
      </c>
      <c r="N30" s="5300">
        <f>CPL!P7</f>
        <v>100</v>
      </c>
      <c r="O30" s="1407">
        <f>CPL!Q7</f>
        <v>99.478748997594224</v>
      </c>
      <c r="P30" s="5300">
        <f>CPL!R7</f>
        <v>99.661781285231115</v>
      </c>
      <c r="Q30" s="5300">
        <f>CPL!S7</f>
        <v>99.699248120300751</v>
      </c>
      <c r="R30" s="5300">
        <f>CPL!T7</f>
        <v>100</v>
      </c>
      <c r="S30" s="5248">
        <f>CPL!U7</f>
        <v>97.849462365591393</v>
      </c>
      <c r="T30" s="5248">
        <f>CPL!V7</f>
        <v>98.891198891198897</v>
      </c>
      <c r="U30" s="5300">
        <f>CPL!W7</f>
        <v>99.602689486552563</v>
      </c>
      <c r="V30" s="6698">
        <f>CPL!X7</f>
        <v>100</v>
      </c>
      <c r="W30" s="6095" t="e">
        <f>CPL!Y7</f>
        <v>#DIV/0!</v>
      </c>
      <c r="X30" s="6939">
        <f>CPL!Z7</f>
        <v>99.12206884847113</v>
      </c>
      <c r="Y30" s="1963">
        <f>CPL!AA7</f>
        <v>-8775.455013576342</v>
      </c>
      <c r="Z30" s="1964">
        <f>CPL!AB7</f>
        <v>-4739.0848476804804</v>
      </c>
      <c r="AA30" s="1964">
        <f>CPL!AC7</f>
        <v>2837.8675225939287</v>
      </c>
      <c r="AB30" s="1964">
        <f>CPL!AD7</f>
        <v>581.0294929016236</v>
      </c>
      <c r="AC30" s="1964">
        <f>CPL!AE7</f>
        <v>1516.1721473609991</v>
      </c>
      <c r="AD30" s="1964">
        <f>CPL!AF7</f>
        <v>1869.3387784508691</v>
      </c>
      <c r="AE30" s="1964">
        <f>CPL!AG7</f>
        <v>3872.4818194789518</v>
      </c>
      <c r="AF30" s="1964">
        <f>CPL!AH7</f>
        <v>-7814.9152807715627</v>
      </c>
      <c r="AG30" s="1964">
        <f>CPL!AI7</f>
        <v>-2423.8144115824484</v>
      </c>
      <c r="AH30" s="1964">
        <f>CPL!AJ7</f>
        <v>1508.075582803823</v>
      </c>
      <c r="AI30" s="1964">
        <f>CPL!AK7</f>
        <v>68.137510020157507</v>
      </c>
      <c r="AJ30" s="1964" t="e">
        <f>CPL!AL7</f>
        <v>#DIV/0!</v>
      </c>
      <c r="AK30" s="1964">
        <f>CPL!AM7</f>
        <v>7598.9243737040943</v>
      </c>
      <c r="AL30" s="1964">
        <f>Y30+Z30+AA30+AB30+AC30+AD30+AE30+AF30+AG30+AH30</f>
        <v>-11568.304210020638</v>
      </c>
      <c r="AM30" s="4930">
        <f t="shared" si="11"/>
        <v>-1.5223607501678122</v>
      </c>
      <c r="AN30" s="2873"/>
      <c r="AQ30" s="336"/>
      <c r="AR30" s="703"/>
      <c r="AS30" s="704"/>
      <c r="AT30" s="704"/>
      <c r="AU30" s="705"/>
      <c r="AV30" s="704"/>
      <c r="AX30" s="334" t="s">
        <v>647</v>
      </c>
      <c r="AY30" s="336">
        <v>98.87</v>
      </c>
      <c r="AZ30" s="732">
        <v>99.1040477634659</v>
      </c>
      <c r="BA30" s="732">
        <v>99.368635587324533</v>
      </c>
      <c r="BB30" s="702">
        <v>99.483918463783041</v>
      </c>
      <c r="BC30" s="702">
        <v>99.474955544010143</v>
      </c>
      <c r="BQ30" s="2369" t="s">
        <v>929</v>
      </c>
      <c r="BR30" s="2370">
        <v>70.55</v>
      </c>
      <c r="BS30" s="2370">
        <v>70.540000000000006</v>
      </c>
      <c r="BT30" s="2370">
        <f>AVERAGE(BU6:BV6)</f>
        <v>64.655000000000001</v>
      </c>
      <c r="BU30" s="2370">
        <v>62.828333333333326</v>
      </c>
      <c r="BV30" s="3122">
        <v>58.81</v>
      </c>
      <c r="BW30" s="2370">
        <v>63.720000000000006</v>
      </c>
      <c r="BX30" s="2029">
        <v>57.95</v>
      </c>
      <c r="BY30" s="2029">
        <v>66.87</v>
      </c>
      <c r="BZ30" s="2029">
        <v>53.18</v>
      </c>
      <c r="CA30" s="2371">
        <v>57.43</v>
      </c>
      <c r="CB30" s="2371">
        <v>59.41</v>
      </c>
      <c r="CC30" s="2448">
        <v>67.53</v>
      </c>
      <c r="CD30" s="2448">
        <v>72.569999999999993</v>
      </c>
      <c r="CE30" s="2029">
        <v>63.19</v>
      </c>
      <c r="CF30" s="2029">
        <v>66.06</v>
      </c>
      <c r="CG30" s="2029">
        <v>73.010000000000005</v>
      </c>
      <c r="CH30" s="2029">
        <v>1.32</v>
      </c>
      <c r="CI30" s="2487">
        <v>0</v>
      </c>
      <c r="CJ30" s="1296">
        <f>AVERAGE(BX30:CG30)</f>
        <v>63.720000000000006</v>
      </c>
      <c r="CK30" s="334">
        <v>10.3</v>
      </c>
      <c r="CL30" s="702">
        <v>67.233333333333334</v>
      </c>
      <c r="CM30" s="702">
        <v>58.423333333333325</v>
      </c>
    </row>
    <row r="31" spans="1:91" ht="23.25" customHeight="1">
      <c r="A31" s="7205"/>
      <c r="B31" s="2320" t="s">
        <v>241</v>
      </c>
      <c r="C31" s="2321" t="s">
        <v>445</v>
      </c>
      <c r="D31" s="2348">
        <v>90.36</v>
      </c>
      <c r="E31" s="2349">
        <f>CRM!G7</f>
        <v>90.36</v>
      </c>
      <c r="F31" s="2349">
        <f>CRM!H7</f>
        <v>91.616943344951849</v>
      </c>
      <c r="G31" s="2349">
        <f>CRM!I7</f>
        <v>92.74</v>
      </c>
      <c r="H31" s="2274">
        <v>94.354058610555796</v>
      </c>
      <c r="I31" s="4349">
        <f>CRM!K7</f>
        <v>94.939227872516312</v>
      </c>
      <c r="J31" s="4320">
        <f>CRM!L7</f>
        <v>95.12</v>
      </c>
      <c r="K31" s="4873">
        <f>J31</f>
        <v>95.12</v>
      </c>
      <c r="L31" s="5066">
        <f>CRM!N7</f>
        <v>93.196316897646199</v>
      </c>
      <c r="M31" s="5232">
        <f>CRM!O7</f>
        <v>94.152915440084257</v>
      </c>
      <c r="N31" s="5236">
        <f>CRM!P7</f>
        <v>95.671204549371012</v>
      </c>
      <c r="O31" s="5236">
        <f>CRM!Q7</f>
        <v>95.997032549225679</v>
      </c>
      <c r="P31" s="5236">
        <f>CRM!R7</f>
        <v>95.710014947683106</v>
      </c>
      <c r="Q31" s="5232">
        <f>CRM!S7</f>
        <v>93.412816691505213</v>
      </c>
      <c r="R31" s="5232">
        <f>CRM!T7</f>
        <v>94.454934709183263</v>
      </c>
      <c r="S31" s="5232">
        <f>CRM!U7</f>
        <v>93.382565884737915</v>
      </c>
      <c r="T31" s="5232">
        <f>CRM!V7</f>
        <v>94.149851399968725</v>
      </c>
      <c r="U31" s="5232">
        <f>CRM!W7</f>
        <v>94.057279832205552</v>
      </c>
      <c r="V31" s="5084" t="e">
        <f>CRM!X7</f>
        <v>#DIV/0!</v>
      </c>
      <c r="W31" s="4590" t="e">
        <f>CRM!Y7</f>
        <v>#DIV/0!</v>
      </c>
      <c r="X31" s="6943">
        <f>CRM!Z7</f>
        <v>94.391242064805667</v>
      </c>
      <c r="Y31" s="1982">
        <f>CRM!AA7</f>
        <v>-9696.1328143036044</v>
      </c>
      <c r="Z31" s="2350">
        <f>CRM!AB7</f>
        <v>-5142.3095831727405</v>
      </c>
      <c r="AA31" s="2350">
        <f>CRM!AC7</f>
        <v>3811.639669419827</v>
      </c>
      <c r="AB31" s="2350">
        <f>CRM!AD7</f>
        <v>6162.5687718248582</v>
      </c>
      <c r="AC31" s="2350">
        <f>CRM!AE7</f>
        <v>4629.1228648491679</v>
      </c>
      <c r="AD31" s="2350">
        <f>CRM!AF7</f>
        <v>-8973.9017168157388</v>
      </c>
      <c r="AE31" s="2350">
        <f>CRM!AG7</f>
        <v>-3226.5853946819311</v>
      </c>
      <c r="AF31" s="2350">
        <f>CRM!AH7</f>
        <v>-9416.0223310576748</v>
      </c>
      <c r="AG31" s="2350">
        <f>CRM!AI7</f>
        <v>-4456.4527247816577</v>
      </c>
      <c r="AH31" s="2350">
        <f>CRM!AJ7</f>
        <v>-6232.149584371452</v>
      </c>
      <c r="AI31" s="2350">
        <v>0</v>
      </c>
      <c r="AJ31" s="2350" t="e">
        <f>CRM!AL7</f>
        <v>#DIV/0!</v>
      </c>
      <c r="AK31" s="2350">
        <f>CRM!AM7</f>
        <v>11868.182086235689</v>
      </c>
      <c r="AL31" s="1964">
        <f>Y31+Z31+AA31+AB31+AC31+AD31+AE31+AF31+AG31+AH31</f>
        <v>-32540.222843090945</v>
      </c>
      <c r="AM31" s="4931">
        <f t="shared" si="11"/>
        <v>-2.7418034713867407</v>
      </c>
      <c r="AN31" s="2352"/>
      <c r="AQ31" s="336"/>
      <c r="AR31" s="703"/>
      <c r="AS31" s="704"/>
      <c r="AT31" s="704"/>
      <c r="AU31" s="704"/>
      <c r="AV31" s="704"/>
      <c r="AX31" s="700" t="s">
        <v>648</v>
      </c>
      <c r="AY31" s="336">
        <v>97.53</v>
      </c>
      <c r="AZ31" s="337">
        <v>98.00045319044726</v>
      </c>
      <c r="BA31" s="337">
        <v>97.977320000000006</v>
      </c>
      <c r="BB31" s="702">
        <v>97.970594907103475</v>
      </c>
      <c r="BC31" s="702">
        <v>97.749821155362042</v>
      </c>
      <c r="BQ31" s="6980" t="s">
        <v>930</v>
      </c>
      <c r="BR31" s="6824">
        <v>73.760000000000005</v>
      </c>
      <c r="BS31" s="6824">
        <v>82.38</v>
      </c>
      <c r="BT31" s="6824">
        <f>AVERAGE(BU7:BV7)</f>
        <v>80.865000000000009</v>
      </c>
      <c r="BU31" s="6824">
        <v>78.473333333333315</v>
      </c>
      <c r="BV31" s="6827">
        <v>70.8</v>
      </c>
      <c r="BW31" s="6824">
        <v>73.412999999999997</v>
      </c>
      <c r="BX31" s="6826">
        <v>66.400000000000006</v>
      </c>
      <c r="BY31" s="6826">
        <v>83.48</v>
      </c>
      <c r="BZ31" s="6826">
        <v>62.18</v>
      </c>
      <c r="CA31" s="6823">
        <v>71.89</v>
      </c>
      <c r="CB31" s="6823">
        <v>71.8</v>
      </c>
      <c r="CC31" s="6981">
        <v>72.55</v>
      </c>
      <c r="CD31" s="6982">
        <v>79.56</v>
      </c>
      <c r="CE31" s="6826">
        <v>72.23</v>
      </c>
      <c r="CF31" s="6826">
        <v>69.66</v>
      </c>
      <c r="CG31" s="6826">
        <v>84.38</v>
      </c>
      <c r="CH31" s="6826">
        <v>0</v>
      </c>
      <c r="CI31" s="6983">
        <v>0</v>
      </c>
      <c r="CJ31" s="1296">
        <f>AVERAGE(BX31:CG31)</f>
        <v>73.412999999999997</v>
      </c>
      <c r="CK31" s="334">
        <v>6.6</v>
      </c>
      <c r="CL31" s="702">
        <v>80.438333333333333</v>
      </c>
      <c r="CM31" s="702">
        <v>76.508333333333326</v>
      </c>
    </row>
    <row r="32" spans="1:91" ht="23.25" customHeight="1">
      <c r="A32" s="7205"/>
      <c r="B32" s="2320" t="s">
        <v>43</v>
      </c>
      <c r="C32" s="2321" t="s">
        <v>445</v>
      </c>
      <c r="D32" s="2348">
        <v>97.201892954742391</v>
      </c>
      <c r="E32" s="2349">
        <f>CGL!G7</f>
        <v>97.201892954742391</v>
      </c>
      <c r="F32" s="2349">
        <f>CGL!H7</f>
        <v>98.032043940345559</v>
      </c>
      <c r="G32" s="2349">
        <f>CGL!I7</f>
        <v>98.81</v>
      </c>
      <c r="H32" s="2274">
        <v>98.842928115557456</v>
      </c>
      <c r="I32" s="4349">
        <f>CGL!K7</f>
        <v>98.320217917675549</v>
      </c>
      <c r="J32" s="4320">
        <f>CGL!L7</f>
        <v>99.4</v>
      </c>
      <c r="K32" s="4873">
        <f>J32</f>
        <v>99.4</v>
      </c>
      <c r="L32" s="5067">
        <f>CGL!N7</f>
        <v>100</v>
      </c>
      <c r="M32" s="5236">
        <f>CGL!O7</f>
        <v>99.447030683367203</v>
      </c>
      <c r="N32" s="5236">
        <f>CGL!P7</f>
        <v>99.859550561797747</v>
      </c>
      <c r="O32" s="5236">
        <f>CGL!Q7</f>
        <v>100</v>
      </c>
      <c r="P32" s="4867">
        <f>CGL!R7</f>
        <v>99.062268651805539</v>
      </c>
      <c r="Q32" s="5236">
        <f>CGL!S7</f>
        <v>99.425747863247864</v>
      </c>
      <c r="R32" s="5236">
        <f>CGL!T7</f>
        <v>99.966397849462368</v>
      </c>
      <c r="S32" s="5232">
        <f>CGL!U7</f>
        <v>98.151623193844998</v>
      </c>
      <c r="T32" s="5236">
        <f>CGL!V7</f>
        <v>99.973226889938189</v>
      </c>
      <c r="U32" s="5236">
        <f>CGL!W7</f>
        <v>99.798387096774192</v>
      </c>
      <c r="V32" s="5084">
        <f>CGL!X7</f>
        <v>100</v>
      </c>
      <c r="W32" s="4590" t="e">
        <f>CGL!Y7</f>
        <v>#DIV/0!</v>
      </c>
      <c r="X32" s="6943">
        <f>CGL!Z7</f>
        <v>99.570661542304435</v>
      </c>
      <c r="Y32" s="1982">
        <f>CGL!AA7</f>
        <v>22952.847259645052</v>
      </c>
      <c r="Z32" s="2350">
        <f>CGL!AB7</f>
        <v>15918.165843019324</v>
      </c>
      <c r="AA32" s="2350">
        <f>CGL!AC7</f>
        <v>23991.939108845952</v>
      </c>
      <c r="AB32" s="2350">
        <f>CGL!AD7</f>
        <v>21721.126285043243</v>
      </c>
      <c r="AC32" s="2350">
        <f>CGL!AE7</f>
        <v>9794.9350410321385</v>
      </c>
      <c r="AD32" s="2350">
        <f>CGL!AF7</f>
        <v>15035.477921816344</v>
      </c>
      <c r="AE32" s="2350">
        <f>CGL!AG7</f>
        <v>26839.075505194571</v>
      </c>
      <c r="AF32" s="2350">
        <f>CGL!AH7</f>
        <v>-2577.4437300636068</v>
      </c>
      <c r="AG32" s="2350">
        <f>CGL!AI7</f>
        <v>24806.460580074207</v>
      </c>
      <c r="AH32" s="2350">
        <f>CGL!AJ7</f>
        <v>24059.348948145212</v>
      </c>
      <c r="AI32" s="2350">
        <f>CGL!AK7</f>
        <v>1865.6859804631274</v>
      </c>
      <c r="AJ32" s="2350" t="e">
        <f>CGL!AL7</f>
        <v>#DIV/0!</v>
      </c>
      <c r="AK32" s="2350">
        <f>CGL!AM7</f>
        <v>162528.51241891523</v>
      </c>
      <c r="AL32" s="1964">
        <f>Y32+Z32+AA32+AB32+AC32+AD32+AE32+AF32+AG32+AH32</f>
        <v>182541.9327627524</v>
      </c>
      <c r="AM32" s="2351">
        <f t="shared" si="11"/>
        <v>1.1231379039036107</v>
      </c>
      <c r="AN32" s="1984"/>
      <c r="AQ32" s="336"/>
      <c r="AR32" s="703"/>
      <c r="AS32" s="704"/>
      <c r="AT32" s="704"/>
      <c r="AU32" s="704"/>
      <c r="AV32" s="704"/>
      <c r="AX32" s="701" t="s">
        <v>649</v>
      </c>
      <c r="AY32" s="336">
        <v>99.93</v>
      </c>
      <c r="AZ32" s="337">
        <v>99.940905977141099</v>
      </c>
      <c r="BA32" s="337">
        <v>99.97</v>
      </c>
      <c r="BB32" s="702">
        <v>99.983380652450364</v>
      </c>
      <c r="BC32" s="702">
        <v>99.98701371818494</v>
      </c>
      <c r="BQ32" s="6980" t="s">
        <v>931</v>
      </c>
      <c r="BR32" s="6824">
        <v>83.24</v>
      </c>
      <c r="BS32" s="6824">
        <v>90.62</v>
      </c>
      <c r="BT32" s="6824">
        <f>AVERAGE(BU8:BV8)</f>
        <v>91.074999999999989</v>
      </c>
      <c r="BU32" s="6824">
        <v>90.483333333333334</v>
      </c>
      <c r="BV32" s="6827">
        <v>85.29</v>
      </c>
      <c r="BW32" s="6824">
        <v>90.955000000000013</v>
      </c>
      <c r="BX32" s="6826">
        <v>83.78</v>
      </c>
      <c r="BY32" s="6826">
        <v>92.59</v>
      </c>
      <c r="BZ32" s="6826">
        <v>95.56</v>
      </c>
      <c r="CA32" s="6823">
        <v>81.93</v>
      </c>
      <c r="CB32" s="6823">
        <v>80.930000000000007</v>
      </c>
      <c r="CC32" s="6981">
        <v>86.17</v>
      </c>
      <c r="CD32" s="6981">
        <v>99.97</v>
      </c>
      <c r="CE32" s="6826">
        <v>93.74</v>
      </c>
      <c r="CF32" s="6826">
        <v>95.08</v>
      </c>
      <c r="CG32" s="6826">
        <v>99.8</v>
      </c>
      <c r="CH32" s="6826">
        <v>7.04</v>
      </c>
      <c r="CI32" s="6983">
        <v>0</v>
      </c>
      <c r="CJ32" s="1296">
        <f>AVERAGE(BX32:CG32)</f>
        <v>90.955000000000013</v>
      </c>
      <c r="CK32" s="334">
        <v>5.2</v>
      </c>
      <c r="CL32" s="702">
        <v>91.201666666666654</v>
      </c>
      <c r="CM32" s="702">
        <v>89.765000000000001</v>
      </c>
    </row>
    <row r="33" spans="1:91" ht="23.25" customHeight="1">
      <c r="A33" s="7205"/>
      <c r="B33" s="2320" t="s">
        <v>442</v>
      </c>
      <c r="C33" s="2321" t="s">
        <v>445</v>
      </c>
      <c r="D33" s="2353">
        <f>'#1CCL'!F7</f>
        <v>78.11</v>
      </c>
      <c r="E33" s="2353">
        <f>'#1CCL'!G7</f>
        <v>78.27</v>
      </c>
      <c r="F33" s="2353">
        <f>'#1CCL'!H7</f>
        <v>79.456908293395784</v>
      </c>
      <c r="G33" s="2353">
        <f>'#1CCL'!I7</f>
        <v>83.23</v>
      </c>
      <c r="H33" s="2224">
        <v>84.853947953038173</v>
      </c>
      <c r="I33" s="3593">
        <f>'#1CCL'!K7</f>
        <v>85.941544812145807</v>
      </c>
      <c r="J33" s="4610">
        <f>'#1CCL'!L7</f>
        <v>89</v>
      </c>
      <c r="K33" s="4873">
        <f>J33</f>
        <v>89</v>
      </c>
      <c r="L33" s="4582">
        <f>'#1CCL'!N7</f>
        <v>88.834696480828384</v>
      </c>
      <c r="M33" s="4868">
        <f>'#1CCL'!O7</f>
        <v>86.240938707584689</v>
      </c>
      <c r="N33" s="4868">
        <f>'#1CCL'!P7</f>
        <v>87.226529311809685</v>
      </c>
      <c r="O33" s="4868">
        <f>'#1CCL'!Q7</f>
        <v>87.676321600207814</v>
      </c>
      <c r="P33" s="4868">
        <f>'#1CCL'!R7</f>
        <v>88.782242063492063</v>
      </c>
      <c r="Q33" s="4868">
        <f>'#1CCL'!S7</f>
        <v>88.181096490172962</v>
      </c>
      <c r="R33" s="4868">
        <f>'#1CCL'!T7</f>
        <v>87.105734767025083</v>
      </c>
      <c r="S33" s="4723">
        <f>'#1CCL'!U7</f>
        <v>84.986897274633122</v>
      </c>
      <c r="T33" s="4723">
        <f>'#1CCL'!V7</f>
        <v>85.191672505254729</v>
      </c>
      <c r="U33" s="4868">
        <f>'#1CCL'!W7</f>
        <v>87.896608963718279</v>
      </c>
      <c r="V33" s="6840">
        <f>'#1CCL'!X7</f>
        <v>86.749540895606728</v>
      </c>
      <c r="W33" s="6692">
        <f>'#1CCL'!Y7</f>
        <v>83.354534746760905</v>
      </c>
      <c r="X33" s="6942">
        <f>'#1CCL'!Z7</f>
        <v>86.855215790127033</v>
      </c>
      <c r="Y33" s="1982">
        <f>'#1CCL'!AA7</f>
        <v>17995.343400670339</v>
      </c>
      <c r="Z33" s="2350">
        <f>'#1CCL'!AB7</f>
        <v>1603.1053687836998</v>
      </c>
      <c r="AA33" s="2350">
        <f>'#1CCL'!AC7</f>
        <v>7393.083044547574</v>
      </c>
      <c r="AB33" s="2350">
        <f>'#1CCL'!AD7</f>
        <v>10253.754363370377</v>
      </c>
      <c r="AC33" s="2350">
        <f>'#1CCL'!AE7</f>
        <v>17808.373049684862</v>
      </c>
      <c r="AD33" s="2350">
        <f>'#1CCL'!AF7</f>
        <v>14376.687145855783</v>
      </c>
      <c r="AE33" s="2350">
        <f>'#1CCL'!AG7</f>
        <v>7927.7043232941987</v>
      </c>
      <c r="AF33" s="2350">
        <f>'#1CCL'!AH7</f>
        <v>-5421.9568723754765</v>
      </c>
      <c r="AG33" s="2350">
        <f>'#1CCL'!AI7</f>
        <v>-4471.0144340685783</v>
      </c>
      <c r="AH33" s="2350">
        <f>'#1CCL'!AJ7</f>
        <v>12690.811568039548</v>
      </c>
      <c r="AI33" s="2350">
        <f>'#1CCL'!AK7</f>
        <v>5213.774760301485</v>
      </c>
      <c r="AJ33" s="2350">
        <f>'#1CCL'!AL7</f>
        <v>-16030.892680291308</v>
      </c>
      <c r="AK33" s="2350">
        <f>'#1CCL'!AM7</f>
        <v>246602.68384770799</v>
      </c>
      <c r="AL33" s="1964">
        <f>Y33+Z33+AA33+AB33+AC33+AD33+AE33+AF33+AG33+AH33</f>
        <v>80155.890957802316</v>
      </c>
      <c r="AM33" s="4931">
        <f>AL33/AK33</f>
        <v>0.32504062691914337</v>
      </c>
      <c r="AN33" s="1984"/>
      <c r="AQ33" s="336"/>
      <c r="AR33" s="703"/>
      <c r="AS33" s="704"/>
      <c r="AT33" s="704"/>
      <c r="AU33" s="704"/>
      <c r="AV33" s="704"/>
      <c r="AX33" s="701" t="s">
        <v>650</v>
      </c>
      <c r="AY33" s="336">
        <v>98.709193043687762</v>
      </c>
      <c r="AZ33" s="337">
        <v>99.068155973510756</v>
      </c>
      <c r="BA33" s="337">
        <v>99.83</v>
      </c>
      <c r="BB33" s="702">
        <v>100.18118732416113</v>
      </c>
      <c r="BC33" s="702">
        <v>100.18258233928049</v>
      </c>
      <c r="BQ33" s="6980" t="s">
        <v>932</v>
      </c>
      <c r="BR33" s="6824">
        <v>58.4</v>
      </c>
      <c r="BS33" s="6824">
        <v>68.290000000000006</v>
      </c>
      <c r="BT33" s="6824">
        <f>AVERAGE(BU9:BV9)</f>
        <v>64.534999999999997</v>
      </c>
      <c r="BU33" s="6824">
        <v>69.433333333333323</v>
      </c>
      <c r="BV33" s="6827">
        <v>74.790000000000006</v>
      </c>
      <c r="BW33" s="6824">
        <v>79.642499999999984</v>
      </c>
      <c r="BX33" s="6826">
        <v>79.56</v>
      </c>
      <c r="BY33" s="6826">
        <v>73.22</v>
      </c>
      <c r="BZ33" s="6824">
        <v>73.599999999999994</v>
      </c>
      <c r="CA33" s="6823">
        <v>78.13</v>
      </c>
      <c r="CB33" s="6823">
        <v>80.19</v>
      </c>
      <c r="CC33" s="6981">
        <v>84.85</v>
      </c>
      <c r="CD33" s="6981">
        <v>87.11</v>
      </c>
      <c r="CE33" s="6826">
        <v>72.650000000000006</v>
      </c>
      <c r="CF33" s="6826">
        <v>78.81</v>
      </c>
      <c r="CG33" s="6826">
        <v>83.03</v>
      </c>
      <c r="CH33" s="6826">
        <v>85.29</v>
      </c>
      <c r="CI33" s="6983">
        <v>79.27</v>
      </c>
      <c r="CJ33" s="1296">
        <f>AVERAGE(BX33:CI33)</f>
        <v>79.642499999999984</v>
      </c>
      <c r="CK33" s="334">
        <v>8.1</v>
      </c>
      <c r="CL33" s="702">
        <v>66.426666666666662</v>
      </c>
      <c r="CM33" s="702">
        <v>72.44</v>
      </c>
    </row>
    <row r="34" spans="1:91" ht="23.25" customHeight="1">
      <c r="A34" s="7205"/>
      <c r="B34" s="2320" t="s">
        <v>443</v>
      </c>
      <c r="C34" s="2321" t="s">
        <v>445</v>
      </c>
      <c r="D34" s="2353">
        <f>'#2CCL'!F7</f>
        <v>76.05</v>
      </c>
      <c r="E34" s="2353">
        <f>'#2CCL'!G7</f>
        <v>75.959999999999994</v>
      </c>
      <c r="F34" s="2353">
        <f>'#2CCL'!H7</f>
        <v>74.620228230313629</v>
      </c>
      <c r="G34" s="2353">
        <f>'#2CCL'!I7</f>
        <v>74.44</v>
      </c>
      <c r="H34" s="2224">
        <v>73.695129891999912</v>
      </c>
      <c r="I34" s="3593">
        <f>'#2CCL'!K7</f>
        <v>74.245931529902734</v>
      </c>
      <c r="J34" s="4610">
        <f>'#2CCL'!L7</f>
        <v>74.5</v>
      </c>
      <c r="K34" s="4873">
        <f>J34</f>
        <v>74.5</v>
      </c>
      <c r="L34" s="5071">
        <f>'#2CCL'!N7</f>
        <v>78.05184874571421</v>
      </c>
      <c r="M34" s="5243">
        <f>'#2CCL'!O7</f>
        <v>78.861873547308775</v>
      </c>
      <c r="N34" s="4723">
        <f>'#2CCL'!P7</f>
        <v>74.061533072566988</v>
      </c>
      <c r="O34" s="5243">
        <f>'#2CCL'!Q7</f>
        <v>75.377424380809117</v>
      </c>
      <c r="P34" s="5243">
        <f>'#2CCL'!R7</f>
        <v>75.403832505322924</v>
      </c>
      <c r="Q34" s="5243">
        <f>'#2CCL'!S7</f>
        <v>77.793282648445768</v>
      </c>
      <c r="R34" s="5243">
        <f>'#2CCL'!T7</f>
        <v>77.105125196594855</v>
      </c>
      <c r="S34" s="5243">
        <f>'#2CCL'!U7</f>
        <v>75.390437459402975</v>
      </c>
      <c r="T34" s="4723">
        <f>'#2CCL'!V7</f>
        <v>73.684350910885271</v>
      </c>
      <c r="U34" s="4723">
        <f>'#2CCL'!W7</f>
        <v>74.214876033057848</v>
      </c>
      <c r="V34" s="6840">
        <f>'#2CCL'!X7</f>
        <v>76.68112798264643</v>
      </c>
      <c r="W34" s="6692">
        <f>'#2CCL'!Y7</f>
        <v>76.204704082608274</v>
      </c>
      <c r="X34" s="6942">
        <f>'#2CCL'!Z7</f>
        <v>76.120492198532702</v>
      </c>
      <c r="Y34" s="1982">
        <f>'#2CCL'!AA7</f>
        <v>33520.814301218292</v>
      </c>
      <c r="Z34" s="2350">
        <f>'#2CCL'!AB7</f>
        <v>38398.814720558563</v>
      </c>
      <c r="AA34" s="2350">
        <f>'#2CCL'!AC7</f>
        <v>-1372.3979293956722</v>
      </c>
      <c r="AB34" s="2350">
        <f>'#2CCL'!AD7</f>
        <v>9150.7976708910846</v>
      </c>
      <c r="AC34" s="2350">
        <f>'#2CCL'!AE7</f>
        <v>8861.009194984339</v>
      </c>
      <c r="AD34" s="2350">
        <f>'#2CCL'!AF7</f>
        <v>32031.8689562859</v>
      </c>
      <c r="AE34" s="2350">
        <f>'#2CCL'!AG7</f>
        <v>24881.855250914785</v>
      </c>
      <c r="AF34" s="2350">
        <f>'#2CCL'!AH7</f>
        <v>8804.2521998641005</v>
      </c>
      <c r="AG34" s="2350">
        <f>'#2CCL'!AI7</f>
        <v>-4574.0394021595366</v>
      </c>
      <c r="AH34" s="2350">
        <f>'#2CCL'!AJ7</f>
        <v>-277.56425388299698</v>
      </c>
      <c r="AI34" s="2350">
        <f>'#2CCL'!AK7</f>
        <v>21950.185912453133</v>
      </c>
      <c r="AJ34" s="2350">
        <f>'#2CCL'!AL7</f>
        <v>17803.07124503635</v>
      </c>
      <c r="AK34" s="2350">
        <f>'#2CCL'!AM7</f>
        <v>25412.919068280724</v>
      </c>
      <c r="AL34" s="1964">
        <f>Y34+Z34+AA34+AB34+AC34+AD34+AE34+AF34+AG34+AH34</f>
        <v>149425.41070927886</v>
      </c>
      <c r="AM34" s="2351">
        <f>AL34/AK34</f>
        <v>5.8798995230652196</v>
      </c>
      <c r="AN34" s="1984"/>
      <c r="AQ34" s="336"/>
      <c r="AR34" s="703"/>
      <c r="AS34" s="704"/>
      <c r="AT34" s="704"/>
      <c r="AU34" s="704"/>
      <c r="AV34" s="704"/>
      <c r="AX34" s="701" t="s">
        <v>651</v>
      </c>
      <c r="AY34" s="336">
        <v>100.05369360660397</v>
      </c>
      <c r="AZ34" s="337">
        <v>100.05700705029608</v>
      </c>
      <c r="BA34" s="337">
        <v>100.32</v>
      </c>
      <c r="BB34" s="702">
        <v>100.5338473118038</v>
      </c>
      <c r="BC34" s="702">
        <v>100.40908537375219</v>
      </c>
      <c r="BQ34" s="6980" t="s">
        <v>933</v>
      </c>
      <c r="BR34" s="6824">
        <v>48.43</v>
      </c>
      <c r="BS34" s="6824">
        <v>66.31</v>
      </c>
      <c r="BT34" s="6824">
        <f>AVERAGE(BU10:BV10)</f>
        <v>52.67</v>
      </c>
      <c r="BU34" s="6824">
        <v>62.459166666666668</v>
      </c>
      <c r="BV34" s="6827">
        <v>64.38</v>
      </c>
      <c r="BW34" s="6824">
        <v>67.144999999999996</v>
      </c>
      <c r="BX34" s="6826">
        <v>70.88</v>
      </c>
      <c r="BY34" s="6826">
        <v>72.31</v>
      </c>
      <c r="BZ34" s="6826">
        <v>56.84</v>
      </c>
      <c r="CA34" s="6823">
        <v>64.95</v>
      </c>
      <c r="CB34" s="6823">
        <v>59.5</v>
      </c>
      <c r="CC34" s="6981">
        <v>74.849999999999994</v>
      </c>
      <c r="CD34" s="6981">
        <v>69.19</v>
      </c>
      <c r="CE34" s="6826">
        <v>59.8</v>
      </c>
      <c r="CF34" s="6826">
        <v>63.95</v>
      </c>
      <c r="CG34" s="6826">
        <v>68.400000000000006</v>
      </c>
      <c r="CH34" s="6826">
        <v>73.650000000000006</v>
      </c>
      <c r="CI34" s="6983">
        <v>71.42</v>
      </c>
      <c r="CJ34" s="1296">
        <f>AVERAGE(BX34:CI34)</f>
        <v>67.144999999999996</v>
      </c>
      <c r="CK34" s="334">
        <v>7.2</v>
      </c>
      <c r="CL34" s="702">
        <v>63.351666666666667</v>
      </c>
      <c r="CM34" s="702">
        <v>61.566666666666663</v>
      </c>
    </row>
    <row r="35" spans="1:91" ht="23.25" customHeight="1" thickBot="1">
      <c r="A35" s="7206"/>
      <c r="B35" s="2354" t="s">
        <v>448</v>
      </c>
      <c r="C35" s="2355" t="s">
        <v>445</v>
      </c>
      <c r="D35" s="2356">
        <v>87.892378590948482</v>
      </c>
      <c r="E35" s="2357">
        <f t="shared" ref="E35:N35" si="14">(E30+E31+E32+E33+E34)/5</f>
        <v>87.892378590948482</v>
      </c>
      <c r="F35" s="2357">
        <f t="shared" si="14"/>
        <v>88.201559627703745</v>
      </c>
      <c r="G35" s="2357">
        <f t="shared" si="14"/>
        <v>89.64</v>
      </c>
      <c r="H35" s="2357">
        <f t="shared" si="14"/>
        <v>90.190069856891256</v>
      </c>
      <c r="I35" s="2358">
        <f t="shared" si="14"/>
        <v>90.559734263340857</v>
      </c>
      <c r="J35" s="1959">
        <f t="shared" si="14"/>
        <v>91.503999999999991</v>
      </c>
      <c r="K35" s="2359">
        <f t="shared" si="14"/>
        <v>91.503999999999991</v>
      </c>
      <c r="L35" s="4720">
        <f t="shared" si="14"/>
        <v>91.519003726432246</v>
      </c>
      <c r="M35" s="5215">
        <f t="shared" si="14"/>
        <v>91.426840008414842</v>
      </c>
      <c r="N35" s="5215">
        <f t="shared" si="14"/>
        <v>91.363763499109069</v>
      </c>
      <c r="O35" s="5215">
        <f t="shared" ref="O35:X35" si="15">(O30+O31+O32+O33+O34)/5</f>
        <v>91.705905505567372</v>
      </c>
      <c r="P35" s="5215">
        <f t="shared" si="15"/>
        <v>91.72402789070695</v>
      </c>
      <c r="Q35" s="2358">
        <f t="shared" si="15"/>
        <v>91.702438362734512</v>
      </c>
      <c r="R35" s="5215">
        <f t="shared" si="15"/>
        <v>91.726438504453114</v>
      </c>
      <c r="S35" s="5215">
        <f t="shared" si="15"/>
        <v>89.952197235642075</v>
      </c>
      <c r="T35" s="5215">
        <f t="shared" si="15"/>
        <v>90.37806011944916</v>
      </c>
      <c r="U35" s="5215">
        <f t="shared" si="15"/>
        <v>91.113968282461684</v>
      </c>
      <c r="V35" s="5090">
        <f>(V30+V32+V33+V34)/5</f>
        <v>72.686133775650632</v>
      </c>
      <c r="W35" s="4591" t="e">
        <f t="shared" si="15"/>
        <v>#DIV/0!</v>
      </c>
      <c r="X35" s="5809">
        <f t="shared" si="15"/>
        <v>91.211936088848205</v>
      </c>
      <c r="Y35" s="2360">
        <f>SUM(Y30:Y34)</f>
        <v>55997.41713365374</v>
      </c>
      <c r="Z35" s="2361">
        <f t="shared" ref="Z35:AJ35" si="16">SUM(Z30:Z34)</f>
        <v>46038.691501508365</v>
      </c>
      <c r="AA35" s="2361">
        <f t="shared" si="16"/>
        <v>36662.131416011609</v>
      </c>
      <c r="AB35" s="2361">
        <f t="shared" si="16"/>
        <v>47869.276584031191</v>
      </c>
      <c r="AC35" s="2361">
        <f t="shared" si="16"/>
        <v>42609.61229791151</v>
      </c>
      <c r="AD35" s="2361">
        <f t="shared" si="16"/>
        <v>54339.471085593155</v>
      </c>
      <c r="AE35" s="2361">
        <f t="shared" si="16"/>
        <v>60294.531504200575</v>
      </c>
      <c r="AF35" s="2361">
        <f t="shared" si="16"/>
        <v>-16426.086014404216</v>
      </c>
      <c r="AG35" s="2361">
        <f t="shared" si="16"/>
        <v>8881.1396074819859</v>
      </c>
      <c r="AH35" s="2361">
        <f t="shared" si="16"/>
        <v>31748.522260734138</v>
      </c>
      <c r="AI35" s="2361">
        <f t="shared" si="16"/>
        <v>29097.784163237902</v>
      </c>
      <c r="AJ35" s="2361" t="e">
        <f t="shared" si="16"/>
        <v>#DIV/0!</v>
      </c>
      <c r="AK35" s="2362">
        <f>SUM(AK30:AK34)</f>
        <v>454011.22179484373</v>
      </c>
      <c r="AL35" s="2362">
        <f>SUM(AL30:AL34)</f>
        <v>368014.70737672201</v>
      </c>
      <c r="AM35" s="3211">
        <f>AL35/AK35</f>
        <v>0.8105850466026997</v>
      </c>
      <c r="AN35" s="2363"/>
      <c r="AQ35" s="336"/>
      <c r="AR35" s="703"/>
      <c r="AS35" s="704"/>
      <c r="AT35" s="704"/>
      <c r="AU35" s="704"/>
      <c r="AV35" s="704"/>
      <c r="AX35" s="701" t="s">
        <v>652</v>
      </c>
      <c r="AY35" s="336">
        <v>99.993385966617737</v>
      </c>
      <c r="AZ35" s="337">
        <v>99.508318971028757</v>
      </c>
      <c r="BA35" s="337">
        <v>99.83</v>
      </c>
      <c r="BB35" s="702">
        <v>100.34514607442676</v>
      </c>
      <c r="BC35" s="702">
        <v>100.38300232567896</v>
      </c>
      <c r="BQ35" s="2368" t="s">
        <v>934</v>
      </c>
      <c r="BR35" s="2365">
        <f>AVERAGE(BR30:BR34)</f>
        <v>66.876000000000005</v>
      </c>
      <c r="BS35" s="2365">
        <f>AVERAGE(BS30:BS34)</f>
        <v>75.628000000000014</v>
      </c>
      <c r="BT35" s="2366">
        <f>AVERAGE(BT30:BT34)</f>
        <v>70.760000000000005</v>
      </c>
      <c r="BU35" s="2365">
        <v>72.735500000000002</v>
      </c>
      <c r="BV35" s="3121">
        <v>70.770200617283948</v>
      </c>
      <c r="BW35" s="2365">
        <v>75.112916666666663</v>
      </c>
      <c r="BX35" s="2365">
        <f t="shared" ref="BX35:CG35" si="17">(BX30+BX31+BX32+BX33+BX34)/5</f>
        <v>71.713999999999999</v>
      </c>
      <c r="BY35" s="2365">
        <f t="shared" si="17"/>
        <v>77.694000000000003</v>
      </c>
      <c r="BZ35" s="2365">
        <f t="shared" si="17"/>
        <v>68.272000000000006</v>
      </c>
      <c r="CA35" s="2365">
        <f t="shared" si="17"/>
        <v>70.866</v>
      </c>
      <c r="CB35" s="2367">
        <f t="shared" si="17"/>
        <v>70.366</v>
      </c>
      <c r="CC35" s="2367">
        <f t="shared" si="17"/>
        <v>77.190000000000012</v>
      </c>
      <c r="CD35" s="2367">
        <f t="shared" si="17"/>
        <v>81.679999999999993</v>
      </c>
      <c r="CE35" s="2367">
        <f t="shared" si="17"/>
        <v>72.322000000000017</v>
      </c>
      <c r="CF35" s="2367">
        <f t="shared" si="17"/>
        <v>74.712000000000003</v>
      </c>
      <c r="CG35" s="2367">
        <f t="shared" si="17"/>
        <v>81.724000000000004</v>
      </c>
      <c r="CH35" s="2367">
        <f>(CH33+CH34)/2</f>
        <v>79.47</v>
      </c>
      <c r="CI35" s="6984">
        <f>(CI33+CI34)/2</f>
        <v>75.344999999999999</v>
      </c>
      <c r="CJ35" s="1296">
        <f>AVERAGE(BX35:CI35)</f>
        <v>75.112916666666663</v>
      </c>
      <c r="CK35" s="334">
        <v>7.4799999999999995</v>
      </c>
      <c r="CL35" s="702">
        <v>73.73033333333332</v>
      </c>
      <c r="CM35" s="702">
        <v>71.740666666666669</v>
      </c>
    </row>
    <row r="36" spans="1:91" ht="20.25" customHeight="1" thickBot="1">
      <c r="A36" s="305" t="s">
        <v>459</v>
      </c>
      <c r="B36" s="328"/>
      <c r="C36" s="329"/>
      <c r="D36" s="872"/>
      <c r="E36" s="330"/>
      <c r="F36" s="330"/>
      <c r="G36" s="330"/>
      <c r="H36" s="330"/>
      <c r="I36" s="330"/>
      <c r="J36" s="330"/>
      <c r="K36" s="330"/>
      <c r="L36" s="763"/>
      <c r="M36" s="763"/>
      <c r="N36" s="763"/>
      <c r="O36" s="763"/>
      <c r="P36" s="763"/>
      <c r="Q36" s="763"/>
      <c r="R36" s="763"/>
      <c r="S36" s="763"/>
      <c r="T36" s="763"/>
      <c r="U36" s="763"/>
      <c r="V36" s="763"/>
      <c r="W36" s="763"/>
      <c r="X36" s="763"/>
      <c r="Y36" s="764"/>
      <c r="Z36" s="764"/>
      <c r="AA36" s="764"/>
      <c r="AB36" s="764"/>
      <c r="AC36" s="764"/>
      <c r="AD36" s="764"/>
      <c r="AE36" s="764"/>
      <c r="AF36" s="764"/>
      <c r="AG36" s="764"/>
      <c r="AH36" s="764"/>
      <c r="AI36" s="764"/>
      <c r="AJ36" s="764"/>
      <c r="AK36" s="764"/>
      <c r="AL36" s="764"/>
      <c r="AM36" s="765"/>
      <c r="AN36" s="765"/>
      <c r="AQ36" s="336"/>
      <c r="AR36" s="703"/>
      <c r="AS36" s="704"/>
      <c r="AT36" s="704"/>
      <c r="AU36" s="704"/>
      <c r="AV36" s="704"/>
      <c r="BU36" s="844" t="s">
        <v>938</v>
      </c>
    </row>
    <row r="37" spans="1:91" ht="20.25" customHeight="1" thickBot="1">
      <c r="A37" s="7391" t="s">
        <v>252</v>
      </c>
      <c r="B37" s="7355" t="s">
        <v>253</v>
      </c>
      <c r="C37" s="7355" t="s">
        <v>254</v>
      </c>
      <c r="D37" s="7388" t="s">
        <v>750</v>
      </c>
      <c r="E37" s="7332" t="s">
        <v>444</v>
      </c>
      <c r="F37" s="7332" t="s">
        <v>555</v>
      </c>
      <c r="G37" s="7332" t="s">
        <v>738</v>
      </c>
      <c r="H37" s="7332" t="s">
        <v>1000</v>
      </c>
      <c r="I37" s="7334" t="s">
        <v>1271</v>
      </c>
      <c r="J37" s="7339" t="s">
        <v>1510</v>
      </c>
      <c r="K37" s="7349" t="s">
        <v>918</v>
      </c>
      <c r="L37" s="7341" t="s">
        <v>1338</v>
      </c>
      <c r="M37" s="7342"/>
      <c r="N37" s="7342"/>
      <c r="O37" s="7342"/>
      <c r="P37" s="7342"/>
      <c r="Q37" s="7342"/>
      <c r="R37" s="7342"/>
      <c r="S37" s="7342"/>
      <c r="T37" s="7342"/>
      <c r="U37" s="7342"/>
      <c r="V37" s="7342"/>
      <c r="W37" s="7342"/>
      <c r="X37" s="7342"/>
      <c r="Y37" s="7342"/>
      <c r="Z37" s="7342"/>
      <c r="AA37" s="2980"/>
      <c r="AB37" s="2980"/>
      <c r="AC37" s="2980"/>
      <c r="AD37" s="2980"/>
      <c r="AE37" s="2980"/>
      <c r="AF37" s="2980"/>
      <c r="AG37" s="2980"/>
      <c r="AH37" s="2980"/>
      <c r="AI37" s="2980"/>
      <c r="AJ37" s="2981"/>
      <c r="AK37" s="7332" t="s">
        <v>1336</v>
      </c>
      <c r="AL37" s="7229" t="s">
        <v>1162</v>
      </c>
      <c r="AM37" s="7332" t="s">
        <v>365</v>
      </c>
      <c r="AN37" s="7337" t="s">
        <v>637</v>
      </c>
      <c r="AO37" s="1704"/>
      <c r="AQ37" s="336"/>
      <c r="AX37" s="1304" t="s">
        <v>968</v>
      </c>
      <c r="AY37" s="713" t="s">
        <v>686</v>
      </c>
      <c r="AZ37" s="334" t="s">
        <v>533</v>
      </c>
      <c r="BA37" s="713" t="s">
        <v>898</v>
      </c>
      <c r="BB37" s="713" t="s">
        <v>899</v>
      </c>
      <c r="BC37" s="713" t="s">
        <v>7</v>
      </c>
      <c r="BU37" s="844" t="s">
        <v>939</v>
      </c>
      <c r="BW37" s="1334">
        <v>12.7</v>
      </c>
      <c r="BX37" s="1334"/>
      <c r="BY37" s="1334"/>
      <c r="BZ37" s="1335"/>
      <c r="CA37" s="1335"/>
      <c r="CB37" s="1348"/>
      <c r="CC37" s="1335"/>
      <c r="CD37" s="2241"/>
      <c r="CF37" s="702"/>
      <c r="CI37" s="334">
        <v>58.75457561728394</v>
      </c>
    </row>
    <row r="38" spans="1:91" ht="20.25" customHeight="1" thickBot="1">
      <c r="A38" s="7340"/>
      <c r="B38" s="7356"/>
      <c r="C38" s="7356"/>
      <c r="D38" s="7389"/>
      <c r="E38" s="7333"/>
      <c r="F38" s="7333"/>
      <c r="G38" s="7333"/>
      <c r="H38" s="7333"/>
      <c r="I38" s="7335"/>
      <c r="J38" s="7340"/>
      <c r="K38" s="7350"/>
      <c r="L38" s="4350" t="s">
        <v>400</v>
      </c>
      <c r="M38" s="5153" t="s">
        <v>372</v>
      </c>
      <c r="N38" s="5153" t="s">
        <v>373</v>
      </c>
      <c r="O38" s="5153" t="s">
        <v>374</v>
      </c>
      <c r="P38" s="5153" t="s">
        <v>375</v>
      </c>
      <c r="Q38" s="5153" t="s">
        <v>376</v>
      </c>
      <c r="R38" s="5153" t="s">
        <v>377</v>
      </c>
      <c r="S38" s="5153" t="s">
        <v>378</v>
      </c>
      <c r="T38" s="5153" t="s">
        <v>379</v>
      </c>
      <c r="U38" s="5153" t="s">
        <v>380</v>
      </c>
      <c r="V38" s="5082" t="s">
        <v>381</v>
      </c>
      <c r="W38" s="4587" t="s">
        <v>382</v>
      </c>
      <c r="X38" s="6680" t="s">
        <v>996</v>
      </c>
      <c r="Y38" s="5100" t="s">
        <v>371</v>
      </c>
      <c r="Z38" s="5100" t="s">
        <v>383</v>
      </c>
      <c r="AA38" s="2984" t="s">
        <v>384</v>
      </c>
      <c r="AB38" s="2984" t="s">
        <v>385</v>
      </c>
      <c r="AC38" s="2984" t="s">
        <v>386</v>
      </c>
      <c r="AD38" s="2984" t="s">
        <v>387</v>
      </c>
      <c r="AE38" s="2984" t="s">
        <v>388</v>
      </c>
      <c r="AF38" s="2984" t="s">
        <v>389</v>
      </c>
      <c r="AG38" s="2984" t="s">
        <v>390</v>
      </c>
      <c r="AH38" s="2984" t="s">
        <v>391</v>
      </c>
      <c r="AI38" s="2984" t="s">
        <v>392</v>
      </c>
      <c r="AJ38" s="2984" t="s">
        <v>393</v>
      </c>
      <c r="AK38" s="7333"/>
      <c r="AL38" s="7367"/>
      <c r="AM38" s="7374"/>
      <c r="AN38" s="7375"/>
      <c r="AX38" s="700" t="s">
        <v>653</v>
      </c>
      <c r="AY38" s="336">
        <f t="shared" ref="AY38:AY43" si="18">AVERAGE(D30:F30)</f>
        <v>97.620558109837305</v>
      </c>
      <c r="AZ38" s="702">
        <v>98.981776241251467</v>
      </c>
      <c r="BA38" s="336">
        <v>98.588235294117638</v>
      </c>
      <c r="BB38" s="336">
        <v>98.881210924646268</v>
      </c>
      <c r="BU38" s="844" t="s">
        <v>940</v>
      </c>
      <c r="BW38" s="1334">
        <v>9.1</v>
      </c>
      <c r="BX38" s="1334"/>
      <c r="BY38" s="1334"/>
      <c r="BZ38" s="1335"/>
      <c r="CA38" s="1335"/>
      <c r="CB38" s="1348"/>
      <c r="CC38" s="1335"/>
      <c r="CD38" s="2241"/>
      <c r="CF38" s="702"/>
      <c r="CI38" s="334">
        <v>70.736288580246921</v>
      </c>
    </row>
    <row r="39" spans="1:91" ht="20.25" hidden="1" customHeight="1">
      <c r="A39" s="2974" t="s">
        <v>1168</v>
      </c>
      <c r="B39" s="2973" t="s">
        <v>496</v>
      </c>
      <c r="C39" s="2973" t="s">
        <v>497</v>
      </c>
      <c r="D39" s="1242"/>
      <c r="E39" s="1243">
        <v>66.931939976537919</v>
      </c>
      <c r="F39" s="1243">
        <v>63.39</v>
      </c>
      <c r="G39" s="1243">
        <v>55.246072779834911</v>
      </c>
      <c r="H39" s="1761"/>
      <c r="I39" s="1761"/>
      <c r="J39" s="1954">
        <v>53</v>
      </c>
      <c r="K39" s="4848"/>
      <c r="L39" s="2071">
        <v>38.479381803445911</v>
      </c>
      <c r="M39" s="1244">
        <v>52.343756391843129</v>
      </c>
      <c r="N39" s="1244">
        <v>53.001918655493554</v>
      </c>
      <c r="O39" s="1244">
        <v>48.4753182322182</v>
      </c>
      <c r="P39" s="1244">
        <v>49.96241025774583</v>
      </c>
      <c r="Q39" s="1244">
        <v>45.965299750333244</v>
      </c>
      <c r="R39" s="1244">
        <v>47.357133855279564</v>
      </c>
      <c r="S39" s="1244">
        <v>37.716535401506235</v>
      </c>
      <c r="T39" s="1244"/>
      <c r="U39" s="1244"/>
      <c r="V39" s="5083"/>
      <c r="W39" s="4604"/>
      <c r="X39" s="1766"/>
      <c r="Y39" s="1492"/>
      <c r="Z39" s="1245"/>
      <c r="AA39" s="1245"/>
      <c r="AB39" s="1245"/>
      <c r="AC39" s="1245"/>
      <c r="AD39" s="1246"/>
      <c r="AE39" s="1246"/>
      <c r="AF39" s="1246"/>
      <c r="AG39" s="1246"/>
      <c r="AH39" s="1246"/>
      <c r="AI39" s="1246"/>
      <c r="AJ39" s="1246"/>
      <c r="AK39" s="1246"/>
      <c r="AL39" s="1246"/>
      <c r="AM39" s="1247"/>
      <c r="AN39" s="1248"/>
      <c r="AX39" s="701" t="s">
        <v>654</v>
      </c>
      <c r="AY39" s="336">
        <f t="shared" si="18"/>
        <v>90.778981114983949</v>
      </c>
      <c r="AZ39" s="702">
        <v>92.73954186744885</v>
      </c>
      <c r="BA39" s="336">
        <v>93.393640350877192</v>
      </c>
      <c r="BB39" s="336">
        <v>93.38783361384948</v>
      </c>
      <c r="BU39" s="844" t="s">
        <v>941</v>
      </c>
      <c r="BW39" s="1334">
        <v>5</v>
      </c>
      <c r="BX39" s="1334"/>
      <c r="BY39" s="1334"/>
      <c r="BZ39" s="1335"/>
      <c r="CA39" s="1335"/>
      <c r="CB39" s="1348"/>
      <c r="CC39" s="1335"/>
      <c r="CD39" s="2241"/>
      <c r="CF39" s="702"/>
      <c r="CI39" s="334">
        <v>85.257600308641955</v>
      </c>
    </row>
    <row r="40" spans="1:91" ht="20.25" customHeight="1">
      <c r="A40" s="7184" t="s">
        <v>1358</v>
      </c>
      <c r="B40" s="1980" t="s">
        <v>441</v>
      </c>
      <c r="C40" s="1981" t="s">
        <v>451</v>
      </c>
      <c r="D40" s="1945">
        <f>CPL!F15</f>
        <v>19.265187819518658</v>
      </c>
      <c r="E40" s="1945">
        <f>CPL!G15</f>
        <v>20.282416117193858</v>
      </c>
      <c r="F40" s="1945">
        <f>CPL!H15</f>
        <v>18.464997227375001</v>
      </c>
      <c r="G40" s="1945">
        <f>CPL!I15</f>
        <v>19.12</v>
      </c>
      <c r="H40" s="1945">
        <f>CPL!J15</f>
        <v>17.968299139968313</v>
      </c>
      <c r="I40" s="4349">
        <f>CPL!K15</f>
        <v>19.001744698885588</v>
      </c>
      <c r="J40" s="4320">
        <f>CPL!L15</f>
        <v>18.211202221354505</v>
      </c>
      <c r="K40" s="3682">
        <f>J40</f>
        <v>18.211202221354505</v>
      </c>
      <c r="L40" s="5067">
        <f>CPL!N15</f>
        <v>16.117583452177431</v>
      </c>
      <c r="M40" s="5236">
        <f>CPL!O15</f>
        <v>15.810144154059294</v>
      </c>
      <c r="N40" s="5236">
        <f>CPL!P15</f>
        <v>16.691915436366799</v>
      </c>
      <c r="O40" s="5236">
        <f>CPL!Q15</f>
        <v>15.989759151119998</v>
      </c>
      <c r="P40" s="5236">
        <f>CPL!R15</f>
        <v>17.495595460002217</v>
      </c>
      <c r="Q40" s="5236">
        <f>CPL!S15</f>
        <v>18.148960625489512</v>
      </c>
      <c r="R40" s="5236">
        <f>CPL!T15</f>
        <v>15.613293267466792</v>
      </c>
      <c r="S40" s="5232">
        <f>CPL!U15</f>
        <v>19.668914268918403</v>
      </c>
      <c r="T40" s="5236">
        <f>CPL!V15</f>
        <v>15.874494733258715</v>
      </c>
      <c r="U40" s="5236">
        <f>CPL!W15</f>
        <v>17.37671232563617</v>
      </c>
      <c r="V40" s="5084">
        <f>CPL!X15</f>
        <v>16.09244727807749</v>
      </c>
      <c r="W40" s="4590" t="e">
        <f>CPL!Y15</f>
        <v>#DIV/0!</v>
      </c>
      <c r="X40" s="6943">
        <f>CPL!Z15</f>
        <v>16.873309459490812</v>
      </c>
      <c r="Y40" s="1982">
        <f>CPL!AA15</f>
        <v>32839.408074310726</v>
      </c>
      <c r="Z40" s="1699">
        <f>CPL!AB15</f>
        <v>40056.608519758825</v>
      </c>
      <c r="AA40" s="1699">
        <f>CPL!AC15</f>
        <v>23852.22733152617</v>
      </c>
      <c r="AB40" s="1699">
        <f>CPL!AD15</f>
        <v>33889.082169328918</v>
      </c>
      <c r="AC40" s="1699">
        <f>CPL!AE15</f>
        <v>16622.414941157018</v>
      </c>
      <c r="AD40" s="1699">
        <f>CPL!AF15</f>
        <v>10911.467143223388</v>
      </c>
      <c r="AE40" s="1699">
        <f>CPL!AG15</f>
        <v>47676.753901886652</v>
      </c>
      <c r="AF40" s="1699">
        <f>CPL!AH15</f>
        <v>-8269.6304542553335</v>
      </c>
      <c r="AG40" s="1699">
        <f>CPL!AI15</f>
        <v>40131.827465387738</v>
      </c>
      <c r="AH40" s="1699">
        <f>CPL!AJ15</f>
        <v>21591.157507621148</v>
      </c>
      <c r="AI40" s="1699">
        <f>CPL!AK15</f>
        <v>823.51238682494682</v>
      </c>
      <c r="AJ40" s="1699" t="e">
        <f>CPL!AL15</f>
        <v>#DIV/0!</v>
      </c>
      <c r="AK40" s="1699">
        <f>CPL!AM15</f>
        <v>94857.866911787773</v>
      </c>
      <c r="AL40" s="762">
        <f>Y40+Z40+AA40+AB40+AC40+AD40+AE40+AF40+AG40+AH40</f>
        <v>259301.31659994528</v>
      </c>
      <c r="AM40" s="1983">
        <f t="shared" ref="AM40:AM45" si="19">AL40/AK40</f>
        <v>2.7335773514818777</v>
      </c>
      <c r="AN40" s="1984"/>
      <c r="AX40" s="701" t="s">
        <v>655</v>
      </c>
      <c r="AY40" s="336">
        <f t="shared" si="18"/>
        <v>97.478609949943447</v>
      </c>
      <c r="AZ40" s="702">
        <v>98.809902208058659</v>
      </c>
      <c r="BA40" s="336">
        <v>99.623072529982863</v>
      </c>
      <c r="BB40" s="336">
        <v>98.870844963207304</v>
      </c>
      <c r="BU40" s="844" t="s">
        <v>942</v>
      </c>
      <c r="BW40" s="1334">
        <v>3.2</v>
      </c>
      <c r="BX40" s="1334"/>
      <c r="BY40" s="1334"/>
      <c r="BZ40" s="1335"/>
      <c r="CA40" s="1335"/>
      <c r="CB40" s="1348"/>
      <c r="CC40" s="1335"/>
      <c r="CD40" s="2241"/>
      <c r="CF40" s="702"/>
      <c r="CI40" s="334">
        <v>74.776072530864198</v>
      </c>
    </row>
    <row r="41" spans="1:91" ht="20.25" customHeight="1">
      <c r="A41" s="7184"/>
      <c r="B41" s="1980" t="s">
        <v>241</v>
      </c>
      <c r="C41" s="1981" t="s">
        <v>451</v>
      </c>
      <c r="D41" s="1945">
        <f>CRM!F17</f>
        <v>27.733575387203118</v>
      </c>
      <c r="E41" s="1945">
        <f>CRM!G17</f>
        <v>27.953627734723693</v>
      </c>
      <c r="F41" s="1945">
        <f>CRM!H17</f>
        <v>26.702169609769701</v>
      </c>
      <c r="G41" s="1945">
        <f>CRM!I17</f>
        <v>21.666749896835039</v>
      </c>
      <c r="H41" s="1945">
        <f>CRM!J17</f>
        <v>17.60086045663245</v>
      </c>
      <c r="I41" s="4349">
        <f>CRM!K17</f>
        <v>18.256128382076991</v>
      </c>
      <c r="J41" s="4320">
        <f>CRM!L17</f>
        <v>17.094285818740175</v>
      </c>
      <c r="K41" s="3682">
        <f>CRM!M17</f>
        <v>17.094285818740175</v>
      </c>
      <c r="L41" s="5065">
        <f>CRM!N17</f>
        <v>17.213096861768914</v>
      </c>
      <c r="M41" s="5232">
        <f>CRM!O17</f>
        <v>18.388073523050586</v>
      </c>
      <c r="N41" s="5232">
        <f>CRM!P17</f>
        <v>18.569670429571246</v>
      </c>
      <c r="O41" s="5236">
        <f>CRM!Q17</f>
        <v>17.50057908709956</v>
      </c>
      <c r="P41" s="5236">
        <f>CRM!R17</f>
        <v>16.821347487603838</v>
      </c>
      <c r="Q41" s="4349">
        <f>CRM!S17</f>
        <v>17.813404230543448</v>
      </c>
      <c r="R41" s="5236">
        <f>CRM!T17</f>
        <v>16.945487880937161</v>
      </c>
      <c r="S41" s="4349">
        <f>CRM!U17</f>
        <v>17.706311287922194</v>
      </c>
      <c r="T41" s="5236">
        <f>CRM!V17</f>
        <v>15.912798234697972</v>
      </c>
      <c r="U41" s="5232">
        <f>CRM!W17</f>
        <v>18.353951421459108</v>
      </c>
      <c r="V41" s="6843">
        <f>CRM!X17</f>
        <v>34.556354304620861</v>
      </c>
      <c r="W41" s="6693" t="e">
        <f>CRM!Y17</f>
        <v>#DIV/0!</v>
      </c>
      <c r="X41" s="6944">
        <f>CRM!Z17</f>
        <v>17.68474531978584</v>
      </c>
      <c r="Y41" s="1982">
        <f>CRM!AA16</f>
        <v>4341.3088475911563</v>
      </c>
      <c r="Z41" s="1699">
        <f>CRM!AB16</f>
        <v>-2875.5860346263403</v>
      </c>
      <c r="AA41" s="1699">
        <f>CRM!AC16</f>
        <v>-5020.3661493358113</v>
      </c>
      <c r="AB41" s="1699">
        <f>CRM!AD16</f>
        <v>7933.2485502009076</v>
      </c>
      <c r="AC41" s="1699">
        <f>CRM!AE16</f>
        <v>7396.7249432959843</v>
      </c>
      <c r="AD41" s="1699">
        <f>CRM!AF16</f>
        <v>2991.2494466587286</v>
      </c>
      <c r="AE41" s="1699">
        <f>CRM!AG16</f>
        <v>-477.98691062885024</v>
      </c>
      <c r="AF41" s="1699">
        <f>CRM!AH16</f>
        <v>8133.2105685761608</v>
      </c>
      <c r="AG41" s="1699">
        <f>CRM!AI16</f>
        <v>20021.214499425252</v>
      </c>
      <c r="AH41" s="1699">
        <f>CRM!AJ16</f>
        <v>-5930.5418811597347</v>
      </c>
      <c r="AI41" s="1699">
        <f>CRM!AK16</f>
        <v>-5398.6013210920091</v>
      </c>
      <c r="AJ41" s="1699" t="e">
        <f>CRM!AL16</f>
        <v>#DIV/0!</v>
      </c>
      <c r="AK41" s="1699">
        <f>CRM!AM16</f>
        <v>125088.83901000986</v>
      </c>
      <c r="AL41" s="762">
        <f>Y41+Z41+AA41+AB41+AC41+AD41+AE41+AF41+AG41+AH41</f>
        <v>36512.475879997452</v>
      </c>
      <c r="AM41" s="5217">
        <f t="shared" si="19"/>
        <v>0.29189235561676008</v>
      </c>
      <c r="AN41" s="1984"/>
      <c r="AS41" s="337"/>
      <c r="AT41" s="337"/>
      <c r="AU41" s="337"/>
      <c r="AX41" s="701" t="s">
        <v>656</v>
      </c>
      <c r="AY41" s="336">
        <f t="shared" si="18"/>
        <v>78.612302764465255</v>
      </c>
      <c r="AZ41" s="702">
        <v>83.22846055604677</v>
      </c>
      <c r="BA41" s="336">
        <v>82.255520504731862</v>
      </c>
      <c r="BB41" s="336">
        <v>83.912795668281561</v>
      </c>
      <c r="BU41" s="844" t="s">
        <v>943</v>
      </c>
      <c r="BW41" s="1334">
        <v>2.5</v>
      </c>
      <c r="BX41" s="1334"/>
      <c r="BY41" s="1334"/>
      <c r="BZ41" s="1335"/>
      <c r="CA41" s="1335"/>
      <c r="CB41" s="1348"/>
      <c r="CC41" s="1335"/>
      <c r="CD41" s="2241"/>
      <c r="CF41" s="702"/>
      <c r="CI41" s="334">
        <v>64.326466049382717</v>
      </c>
    </row>
    <row r="42" spans="1:91" ht="20.25" customHeight="1">
      <c r="A42" s="7184"/>
      <c r="B42" s="1980" t="s">
        <v>43</v>
      </c>
      <c r="C42" s="1981" t="s">
        <v>451</v>
      </c>
      <c r="D42" s="1945">
        <f>CGL!F16</f>
        <v>9.7349101727806246</v>
      </c>
      <c r="E42" s="1945">
        <f>CGL!G16</f>
        <v>6.4771566086479542</v>
      </c>
      <c r="F42" s="1945">
        <f>CGL!H16</f>
        <v>7.8398021662919328</v>
      </c>
      <c r="G42" s="1945">
        <f>CGL!I16</f>
        <v>4.180863585183106</v>
      </c>
      <c r="H42" s="1945">
        <f>CGL!J16</f>
        <v>3.926398110812273</v>
      </c>
      <c r="I42" s="4349">
        <f>CGL!K16</f>
        <v>3.3374206712577461</v>
      </c>
      <c r="J42" s="4320">
        <f>CGL!L16</f>
        <v>2.3849163960742215</v>
      </c>
      <c r="K42" s="3682">
        <f>J42</f>
        <v>2.3849163960742215</v>
      </c>
      <c r="L42" s="4351">
        <f>CGL!N16</f>
        <v>2.593161814105668</v>
      </c>
      <c r="M42" s="5236">
        <f>CGL!O16</f>
        <v>2.3098308953590148</v>
      </c>
      <c r="N42" s="4867">
        <f>CGL!P16</f>
        <v>3.2301214582115567</v>
      </c>
      <c r="O42" s="5236">
        <f>CGL!Q16</f>
        <v>1.9174667247643558</v>
      </c>
      <c r="P42" s="4867">
        <f>CGL!R16</f>
        <v>2.5132071600759089</v>
      </c>
      <c r="Q42" s="4867">
        <f>CGL!S16</f>
        <v>2.7538828267274691</v>
      </c>
      <c r="R42" s="5236">
        <f>CGL!T16</f>
        <v>1.7786684266418404</v>
      </c>
      <c r="S42" s="4867">
        <f>CGL!U16</f>
        <v>3.3208574295936031</v>
      </c>
      <c r="T42" s="5236">
        <f>CGL!V16</f>
        <v>2.2565141298650526</v>
      </c>
      <c r="U42" s="4867">
        <f>CGL!W16</f>
        <v>2.6348567772125504</v>
      </c>
      <c r="V42" s="5084">
        <f>CGL!X16</f>
        <v>5.8268852636046899</v>
      </c>
      <c r="W42" s="4590" t="e">
        <f>CGL!Y16</f>
        <v>#DIV/0!</v>
      </c>
      <c r="X42" s="6943">
        <f>CGL!Z16</f>
        <v>2.5571864099554058</v>
      </c>
      <c r="Y42" s="1982">
        <f>CGL!AA16</f>
        <v>7747.3902543423301</v>
      </c>
      <c r="Z42" s="1699">
        <f>CGL!AB16</f>
        <v>10646.017973769314</v>
      </c>
      <c r="AA42" s="1699">
        <f>CGL!AC16</f>
        <v>1215.7981143508161</v>
      </c>
      <c r="AB42" s="1699">
        <f>CGL!AD16</f>
        <v>14754.713623450782</v>
      </c>
      <c r="AC42" s="1699">
        <f>CGL!AE16</f>
        <v>7911.4804863331356</v>
      </c>
      <c r="AD42" s="1699">
        <f>CGL!AF16</f>
        <v>6136.2439313626783</v>
      </c>
      <c r="AE42" s="1699">
        <f>CGL!AG16</f>
        <v>20233.985498049078</v>
      </c>
      <c r="AF42" s="1699">
        <f>CGL!AH16</f>
        <v>193.27334304069902</v>
      </c>
      <c r="AG42" s="1699">
        <f>CGL!AI16</f>
        <v>13311.332466481877</v>
      </c>
      <c r="AH42" s="1699">
        <f>CGL!AJ16</f>
        <v>8043.6242037160382</v>
      </c>
      <c r="AI42" s="1699">
        <f>CGL!AK16</f>
        <v>-1396.8664423292705</v>
      </c>
      <c r="AJ42" s="1699" t="e">
        <f>CGL!AL16</f>
        <v>#DIV/0!</v>
      </c>
      <c r="AK42" s="1699">
        <f>CGL!AM16</f>
        <v>109631.73251627324</v>
      </c>
      <c r="AL42" s="762">
        <f>Y42+Z42+AA42+AB42+AC42+AD42+AE42+AF42+AG42+AH42</f>
        <v>90193.859894896756</v>
      </c>
      <c r="AM42" s="1983">
        <f t="shared" si="19"/>
        <v>0.82269848176948934</v>
      </c>
      <c r="AN42" s="1985"/>
      <c r="AX42" s="701" t="s">
        <v>657</v>
      </c>
      <c r="AY42" s="336">
        <f t="shared" si="18"/>
        <v>75.54340941010453</v>
      </c>
      <c r="AZ42" s="702">
        <v>74.443692496092552</v>
      </c>
      <c r="BA42" s="336">
        <v>74.405056048271732</v>
      </c>
      <c r="BB42" s="336">
        <v>70.081802333378036</v>
      </c>
      <c r="BU42" s="334" t="s">
        <v>1163</v>
      </c>
      <c r="CF42" s="702"/>
      <c r="CI42" s="334">
        <v>70.770200617283948</v>
      </c>
    </row>
    <row r="43" spans="1:91" ht="20.25" customHeight="1">
      <c r="A43" s="7184"/>
      <c r="B43" s="1980" t="s">
        <v>442</v>
      </c>
      <c r="C43" s="1981" t="s">
        <v>451</v>
      </c>
      <c r="D43" s="1945">
        <f>'#1CCL'!F22</f>
        <v>8.6072139047248584</v>
      </c>
      <c r="E43" s="1945">
        <f>'#1CCL'!G22</f>
        <v>11.44862598517067</v>
      </c>
      <c r="F43" s="1945">
        <f>'#1CCL'!H22</f>
        <v>13.488092561554977</v>
      </c>
      <c r="G43" s="1945">
        <f>'#1CCL'!I22</f>
        <v>6.5235410877332276</v>
      </c>
      <c r="H43" s="1945">
        <f>'#1CCL'!J22</f>
        <v>6.5398333866946601</v>
      </c>
      <c r="I43" s="4349">
        <f>'#1CCL'!K22</f>
        <v>5.4775131817827143</v>
      </c>
      <c r="J43" s="4320">
        <f>'#1CCL'!L22</f>
        <v>5.1767689474430254</v>
      </c>
      <c r="K43" s="3682">
        <f>J43</f>
        <v>5.1767689474430254</v>
      </c>
      <c r="L43" s="5066">
        <f>'#1CCL'!N22</f>
        <v>6.839571221592629</v>
      </c>
      <c r="M43" s="5236">
        <f>'#1CCL'!O22</f>
        <v>4.6638904787740829</v>
      </c>
      <c r="N43" s="5236">
        <f>'#1CCL'!P22</f>
        <v>3.8153015095781062</v>
      </c>
      <c r="O43" s="5236">
        <f>'#1CCL'!Q22</f>
        <v>4.8452886096586525</v>
      </c>
      <c r="P43" s="5236">
        <f>'#1CCL'!R22</f>
        <v>4.7911386365869708</v>
      </c>
      <c r="Q43" s="5236">
        <f>'#1CCL'!S22</f>
        <v>3.6610837873331299</v>
      </c>
      <c r="R43" s="5236">
        <f>'#1CCL'!T22</f>
        <v>3.8773475959408943</v>
      </c>
      <c r="S43" s="5236">
        <f>'#1CCL'!U22</f>
        <v>3.8742743639332198</v>
      </c>
      <c r="T43" s="5232">
        <f>'#1CCL'!V22</f>
        <v>5.9445937494717978</v>
      </c>
      <c r="U43" s="5236">
        <f>'#1CCL'!W22</f>
        <v>4.5540952767756533</v>
      </c>
      <c r="V43" s="5084">
        <f>'#1CCL'!X22</f>
        <v>3.4816524295895275</v>
      </c>
      <c r="W43" s="4590">
        <f>'#1CCL'!Y22</f>
        <v>5.9567679416201358</v>
      </c>
      <c r="X43" s="6943">
        <f>'#1CCL'!Z22</f>
        <v>4.683334588581693</v>
      </c>
      <c r="Y43" s="1982">
        <f>'#1CCL'!AA22</f>
        <v>-13574.826221833058</v>
      </c>
      <c r="Z43" s="1699">
        <f>'#1CCL'!AB22</f>
        <v>6745.7878137792695</v>
      </c>
      <c r="AA43" s="1699">
        <f>'#1CCL'!AC22</f>
        <v>16064.700330489106</v>
      </c>
      <c r="AB43" s="1699">
        <f>'#1CCL'!AD22</f>
        <v>5929.3194814368499</v>
      </c>
      <c r="AC43" s="1699">
        <f>'#1CCL'!AE22</f>
        <v>6304.3039277528314</v>
      </c>
      <c r="AD43" s="1699">
        <f>'#1CCL'!AF22</f>
        <v>17942.021901179669</v>
      </c>
      <c r="AE43" s="1699">
        <f>'#1CCL'!AG22</f>
        <v>17511.004247561359</v>
      </c>
      <c r="AF43" s="1699">
        <f>'#1CCL'!AH22</f>
        <v>14464.672214021004</v>
      </c>
      <c r="AG43" s="1699">
        <f>'#1CCL'!AI22</f>
        <v>-4418.0372225381861</v>
      </c>
      <c r="AH43" s="1699">
        <f>'#1CCL'!AJ22</f>
        <v>9153.6083906251497</v>
      </c>
      <c r="AI43" s="1699">
        <f>'#1CCL'!AK22</f>
        <v>19263.152032009704</v>
      </c>
      <c r="AJ43" s="1699">
        <f>'#1CCL'!AL22</f>
        <v>-4409.9129492175198</v>
      </c>
      <c r="AK43" s="1699">
        <f>'#1CCL'!AM22</f>
        <v>35396.986726798976</v>
      </c>
      <c r="AL43" s="762">
        <f>Y43+Z43+AA43+AB43+AC43+AD43+AE43+AF43+AG43+AH43</f>
        <v>76122.554862473989</v>
      </c>
      <c r="AM43" s="1983">
        <f t="shared" si="19"/>
        <v>2.1505377124330693</v>
      </c>
      <c r="AN43" s="1985"/>
      <c r="AX43" s="334" t="s">
        <v>900</v>
      </c>
      <c r="AY43" s="336">
        <f t="shared" si="18"/>
        <v>87.99543893653356</v>
      </c>
      <c r="AZ43" s="702">
        <v>89.640674673779657</v>
      </c>
      <c r="BA43" s="336">
        <v>89.653104945596255</v>
      </c>
      <c r="BB43" s="336">
        <v>89.026897500672519</v>
      </c>
      <c r="BU43" s="844" t="s">
        <v>240</v>
      </c>
      <c r="BW43" s="2242"/>
      <c r="BX43" s="2242"/>
      <c r="BY43" s="2242"/>
      <c r="BZ43" s="2242"/>
      <c r="CA43" s="2242"/>
      <c r="CB43" s="2242"/>
      <c r="CC43" s="2364">
        <v>7.8</v>
      </c>
      <c r="CD43" s="334">
        <v>11.4</v>
      </c>
      <c r="CF43" s="702"/>
    </row>
    <row r="44" spans="1:91" ht="20.25" customHeight="1">
      <c r="A44" s="7184"/>
      <c r="B44" s="1980" t="s">
        <v>443</v>
      </c>
      <c r="C44" s="1981" t="s">
        <v>451</v>
      </c>
      <c r="D44" s="1945">
        <f>'#2CCL'!F22</f>
        <v>13.684172742088972</v>
      </c>
      <c r="E44" s="1945">
        <f>'#2CCL'!G22</f>
        <v>19.443572183433837</v>
      </c>
      <c r="F44" s="1945">
        <f>'#2CCL'!H22</f>
        <v>19.620948081295719</v>
      </c>
      <c r="G44" s="1945">
        <f>'#2CCL'!I22</f>
        <v>10.88309503784693</v>
      </c>
      <c r="H44" s="1945">
        <f>'#2CCL'!J22</f>
        <v>12.763998682476945</v>
      </c>
      <c r="I44" s="4349">
        <f>'#2CCL'!K22</f>
        <v>11.546987385240101</v>
      </c>
      <c r="J44" s="4320">
        <f>'#2CCL'!L22</f>
        <v>9.1818625243884142</v>
      </c>
      <c r="K44" s="3682">
        <f>J44</f>
        <v>9.1818625243884142</v>
      </c>
      <c r="L44" s="4351">
        <f>'#2CCL'!N22</f>
        <v>5.6330037440667118</v>
      </c>
      <c r="M44" s="5236">
        <f>'#2CCL'!O22</f>
        <v>8.3310249044689932</v>
      </c>
      <c r="N44" s="4867">
        <f>'#2CCL'!P22</f>
        <v>9.0500293866033203</v>
      </c>
      <c r="O44" s="5236">
        <f>'#2CCL'!Q22</f>
        <v>7.9229411728535482</v>
      </c>
      <c r="P44" s="5236">
        <f>'#2CCL'!R22</f>
        <v>7.460168604276137</v>
      </c>
      <c r="Q44" s="5236">
        <f>'#2CCL'!S22</f>
        <v>7.282643445430601</v>
      </c>
      <c r="R44" s="5236">
        <f>'#2CCL'!T22</f>
        <v>7.5281075082030489</v>
      </c>
      <c r="S44" s="5236">
        <f>'#2CCL'!U22</f>
        <v>7.8874874389271952</v>
      </c>
      <c r="T44" s="5236">
        <f>'#2CCL'!V22</f>
        <v>8.4507695103847631</v>
      </c>
      <c r="U44" s="5236">
        <f>'#2CCL'!W22</f>
        <v>8.3333333333333339</v>
      </c>
      <c r="V44" s="5084">
        <f>'#2CCL'!X22</f>
        <v>13.006199601233748</v>
      </c>
      <c r="W44" s="4590">
        <f>'#2CCL'!Y22</f>
        <v>13.248027233925786</v>
      </c>
      <c r="X44" s="6943">
        <f>'#2CCL'!Z22</f>
        <v>8.6586300150977475</v>
      </c>
      <c r="Y44" s="1982">
        <f>'#2CCL'!AA22</f>
        <v>26309.161330433337</v>
      </c>
      <c r="Z44" s="4731">
        <f>'#2CCL'!AB22</f>
        <v>14650.580604984563</v>
      </c>
      <c r="AA44" s="1699">
        <f>'#2CCL'!AC22</f>
        <v>9092.2473165004758</v>
      </c>
      <c r="AB44" s="1699">
        <f>'#2CCL'!AD22</f>
        <v>14263.907013099695</v>
      </c>
      <c r="AC44" s="1699">
        <f>'#2CCL'!AE22</f>
        <v>14238.325427309925</v>
      </c>
      <c r="AD44" s="1699">
        <f>'#2CCL'!AF22</f>
        <v>19369.142266927436</v>
      </c>
      <c r="AE44" s="1699">
        <f>'#2CCL'!AG22</f>
        <v>17277.408430853386</v>
      </c>
      <c r="AF44" s="1699">
        <f>'#2CCL'!AH22</f>
        <v>14605.342812725507</v>
      </c>
      <c r="AG44" s="1699">
        <f>'#2CCL'!AI22</f>
        <v>10969.880313913238</v>
      </c>
      <c r="AH44" s="1699">
        <f>'#2CCL'!AJ22</f>
        <v>12299.394030664127</v>
      </c>
      <c r="AI44" s="1699">
        <f>'#2CCL'!AK22</f>
        <v>-6129.7474483231354</v>
      </c>
      <c r="AJ44" s="1699">
        <f>'#2CCL'!AL22</f>
        <v>-6858.5683664564694</v>
      </c>
      <c r="AK44" s="1699">
        <f>'#2CCL'!AM22</f>
        <v>108968.9139674918</v>
      </c>
      <c r="AL44" s="762">
        <f>Y44+Z44+AA44+AB44+AC44+AD44+AE44+AF44+AG44+AH44</f>
        <v>153075.38954741167</v>
      </c>
      <c r="AM44" s="1983">
        <f t="shared" si="19"/>
        <v>1.4047620002258439</v>
      </c>
      <c r="AN44" s="1985"/>
      <c r="BU44" s="844" t="s">
        <v>940</v>
      </c>
      <c r="BW44" s="2242"/>
      <c r="BX44" s="2242"/>
      <c r="BY44" s="2242"/>
      <c r="BZ44" s="2242"/>
      <c r="CA44" s="2242"/>
      <c r="CB44" s="2242"/>
      <c r="CC44" s="2364">
        <v>3.5</v>
      </c>
      <c r="CD44" s="334">
        <v>9</v>
      </c>
    </row>
    <row r="45" spans="1:91" ht="20.25" customHeight="1" thickBot="1">
      <c r="A45" s="7212"/>
      <c r="B45" s="2056" t="s">
        <v>448</v>
      </c>
      <c r="C45" s="1987" t="s">
        <v>451</v>
      </c>
      <c r="D45" s="1988">
        <f>AVERAGE(D40:D44)</f>
        <v>15.805012005263245</v>
      </c>
      <c r="E45" s="4352">
        <f>((CPL!G10+CPL!G11+CPL!G12)+(CRM!G11+CRM!G12)+(CGL!G10+CGL!G11+CGL!G14+E48)+('#1CCL'!G12+'#1CCL'!G13+'#1CCL'!G14+'#1CCL'!G15+'#1CCL'!G17+'#1CCL'!G18)+('#2CCL'!G12+'#2CCL'!G13+'#2CCL'!G14+'#2CCL'!G15+'#2CCL'!G17+'#2CCL'!G19))/('#2CCL'!G5+'#1CCL'!G5+CGL!G5+CGL!G5+CPL!G5)*1000</f>
        <v>17.972756755519075</v>
      </c>
      <c r="F45" s="4352">
        <f>((CPL!H10+CPL!H11+CPL!H12)+(CRM!H11+CRM!H12)+(CGL!H10+CGL!H11+CGL!H14+F48)+('#1CCL'!H12+'#1CCL'!H13+'#1CCL'!H14+'#1CCL'!H15+'#1CCL'!H17+'#1CCL'!H18)+('#2CCL'!H12+'#2CCL'!H13+'#2CCL'!H14+'#2CCL'!H15+'#2CCL'!H17+'#2CCL'!H19))/('#2CCL'!H5+'#1CCL'!H5+CGL!H5+CGL!H5+CPL!H5)*1000</f>
        <v>17.724799471759283</v>
      </c>
      <c r="G45" s="4352">
        <f>((CPL!I10+CPL!I11+CPL!I12)+(CRM!I11+CRM!I12)+(CGL!I10+CGL!I11+CGL!I14+G48)+('#1CCL'!I12+'#1CCL'!I13+'#1CCL'!I14+'#1CCL'!I15+'#1CCL'!I17+'#1CCL'!I18)+('#2CCL'!I12+'#2CCL'!I13+'#2CCL'!I14+'#2CCL'!I15+'#2CCL'!I17+'#2CCL'!I19))/('#2CCL'!I5+'#1CCL'!I5+CGL!I5+CGL!I5+CPL!I5)*1000</f>
        <v>14.066627028849823</v>
      </c>
      <c r="H45" s="4352">
        <f>((CPL!J10+CPL!J11+CPL!J12)+(CRM!J11+CRM!J12)+(CGL!J10+CGL!J11+CGL!J14+H48)+('#1CCL'!J12+'#1CCL'!J13+'#1CCL'!J14+'#1CCL'!J15+'#1CCL'!J17+'#1CCL'!J18)+('#2CCL'!J12+'#2CCL'!J13+'#2CCL'!J14+'#2CCL'!J15+'#2CCL'!J17+'#2CCL'!J19))/('#2CCL'!J5+'#1CCL'!J5+CGL!J5+CGL!J5+CPL!J5)*1000</f>
        <v>12.461254043779764</v>
      </c>
      <c r="I45" s="4352">
        <f>((CPL!K10+CPL!K11+CPL!K12)+(CRM!K11+CRM!K12)+(CGL!K10+CGL!K11+CGL!K14+I48)+('#1CCL'!K12+'#1CCL'!K13+'#1CCL'!K14+'#1CCL'!K15+'#1CCL'!K17+'#1CCL'!K18)+('#2CCL'!K12+'#2CCL'!K13+'#2CCL'!K14+'#2CCL'!K15+'#2CCL'!K17+'#2CCL'!K19))/('#2CCL'!K5+'#1CCL'!K5+CGL!K5+CGL!K5+CPL!K5)*1000</f>
        <v>12.385736463675421</v>
      </c>
      <c r="J45" s="4321">
        <f>((CPL!L10+CPL!L11+CPL!L12)+(CRM!L11+CRM!L12)+(CGL!L10+CGL!L11+CGL!L14+J48)+('#1CCL'!L12+'#1CCL'!L13+'#1CCL'!L14+'#1CCL'!L15+'#1CCL'!L17+'#1CCL'!L18)+('#2CCL'!L12+'#2CCL'!L13+'#2CCL'!L14+'#2CCL'!L15+'#2CCL'!L17+'#2CCL'!L19))/('#2CCL'!L5+'#1CCL'!L5+CGL!L5+CGL!L5+CPL!L5)*1000</f>
        <v>11.225418514649744</v>
      </c>
      <c r="K45" s="4849">
        <f>J45</f>
        <v>11.225418514649744</v>
      </c>
      <c r="L45" s="5653">
        <f>((CPL!N10+CPL!N11+CPL!N12+CRM!N14)+(CRM!N11+CRM!N12)+(CGL!N10+CGL!N11+L48)+('#1CCL'!N12+'#1CCL'!N13+'#1CCL'!N14+'#1CCL'!N15+'#1CCL'!N17+'#1CCL'!N18)+('#2CCL'!N12+'#2CCL'!N13+'#2CCL'!N14+'#2CCL'!N15+'#2CCL'!N17+'#2CCL'!N19))/('#2CCL'!N5+'#1CCL'!N5+CGL!N5+CGL!N5+CPL!N5)*1000</f>
        <v>10.951006451775244</v>
      </c>
      <c r="M45" s="5654">
        <f>((CPL!O10+CPL!O11+CPL!O12+CRM!O14)+(CRM!O11+CRM!O12)+(CGL!O10+CGL!O11+M48)+('#1CCL'!O12+'#1CCL'!O13+'#1CCL'!O14+'#1CCL'!O15+'#1CCL'!O17+'#1CCL'!O18)+('#2CCL'!O12+'#2CCL'!O13+'#2CCL'!O14+'#2CCL'!O15+'#2CCL'!O17+'#2CCL'!O19))/('#2CCL'!O5+'#1CCL'!O5+CGL!O5+CGL!O5+CPL!O5)*1000</f>
        <v>11.218704049800884</v>
      </c>
      <c r="N45" s="5654">
        <f>((CPL!P10+CPL!P11+CPL!P12+CRM!P14)+(CRM!P11+CRM!P12)+(CGL!P10+CGL!P11+N48)+('#1CCL'!P12+'#1CCL'!P13+'#1CCL'!P14+'#1CCL'!P15+'#1CCL'!P17+'#1CCL'!P18)+('#2CCL'!P12+'#2CCL'!P13+'#2CCL'!P14+'#2CCL'!P15+'#2CCL'!P17+'#2CCL'!P19))/('#2CCL'!P5+'#1CCL'!P5+CGL!P5+CGL!P5+CPL!P5)*1000</f>
        <v>11.276656661054007</v>
      </c>
      <c r="O45" s="5654">
        <f>((CPL!Q10+CPL!Q11+CPL!Q12+CRM!Q14)+(CRM!Q11+CRM!Q12)+(CGL!Q10+CGL!Q11+O48)+('#1CCL'!Q12+'#1CCL'!Q13+'#1CCL'!Q14+'#1CCL'!Q15+'#1CCL'!Q17+'#1CCL'!Q18)+('#2CCL'!Q12+'#2CCL'!Q13+'#2CCL'!Q14+'#2CCL'!Q15+'#2CCL'!Q17+'#2CCL'!Q19))/('#2CCL'!Q5+'#1CCL'!Q5+CGL!Q5+CGL!Q5+CPL!Q5)*1000</f>
        <v>10.700503615115984</v>
      </c>
      <c r="P45" s="5705">
        <f>((CPL!R10+CPL!R11+CPL!R12+CRM!R14)+(CRM!R11+CRM!R12)+(CGL!R10+CGL!R11+P48)+('#1CCL'!R12+'#1CCL'!R13+'#1CCL'!R14+'#1CCL'!R15+'#1CCL'!R17+'#1CCL'!R18)+('#2CCL'!R12+'#2CCL'!R13+'#2CCL'!R14+'#2CCL'!R15+'#2CCL'!R17+'#2CCL'!R19))/('#2CCL'!R5+'#1CCL'!R5+CGL!R5+CGL!R5+CPL!R5)*1000</f>
        <v>11.133374788210933</v>
      </c>
      <c r="Q45" s="5883">
        <f>((CPL!S10+CPL!S11+CPL!S12+CRM!S14)+(CRM!S11+CRM!S12)+(CGL!S10+CGL!S11+Q48)+('#1CCL'!S12+'#1CCL'!S13+'#1CCL'!S14+'#1CCL'!S15+'#1CCL'!S17+'#1CCL'!S18)+('#2CCL'!S12+'#2CCL'!S13+'#2CCL'!S14+'#2CCL'!S15+'#2CCL'!S17+'#2CCL'!S19))/('#2CCL'!S5+'#1CCL'!S5+CGL!S5+CGL!S5+CPL!S5)*1000</f>
        <v>11.5671145018137</v>
      </c>
      <c r="R45" s="5705">
        <f>((CPL!T10+CPL!T11+CPL!T12+CRM!T14)+(CRM!T11+CRM!T12)+(CGL!T10+CGL!T11+R48)+('#1CCL'!T12+'#1CCL'!T13+'#1CCL'!T14+'#1CCL'!T15+'#1CCL'!T17+'#1CCL'!T18)+('#2CCL'!T12+'#2CCL'!T13+'#2CCL'!T14+'#2CCL'!T15+'#2CCL'!T17+'#2CCL'!T19))/('#2CCL'!T5+'#1CCL'!T5+CGL!T5+CGL!T5+CPL!T5)*1000</f>
        <v>10.334665196842943</v>
      </c>
      <c r="S45" s="5705">
        <f>((CPL!U10+CPL!U11+CPL!U12+CRM!U14)+(CRM!U11+CRM!U12)+(CGL!U10+CGL!U11+S48)+('#1CCL'!U12+'#1CCL'!U13+'#1CCL'!U14+'#1CCL'!U15+'#1CCL'!U17+'#1CCL'!U18)+('#2CCL'!U12+'#2CCL'!U13+'#2CCL'!U14+'#2CCL'!U15+'#2CCL'!U17+'#2CCL'!U19))/('#2CCL'!U5+'#1CCL'!U5+CGL!U5+CGL!U5+CPL!U5)*1000</f>
        <v>12.166273392486781</v>
      </c>
      <c r="T45" s="5705">
        <f>((CPL!V10+CPL!V11+CPL!V12+CRM!V14)+(CRM!V11+CRM!V12)+(CGL!V10+CGL!V11+T48)+('#1CCL'!V12+'#1CCL'!V13+'#1CCL'!V14+'#1CCL'!V15+'#1CCL'!V17+'#1CCL'!V18)+('#2CCL'!V12+'#2CCL'!V13+'#2CCL'!V14+'#2CCL'!V15+'#2CCL'!V17+'#2CCL'!V19))/('#2CCL'!V5+'#1CCL'!V5+CGL!V5+CGL!V5+CPL!V5)*1000</f>
        <v>10.5802640186151</v>
      </c>
      <c r="U45" s="5705">
        <f>((CPL!W10+CPL!W11+CPL!W12+CRM!W14)+(CRM!W11+CRM!W12)+(CGL!W10+CGL!W11+U48)+('#1CCL'!W12+'#1CCL'!W13+'#1CCL'!W14+'#1CCL'!W15+'#1CCL'!W17+'#1CCL'!W18)+('#2CCL'!W12+'#2CCL'!W13+'#2CCL'!W14+'#2CCL'!W15+'#2CCL'!W17+'#2CCL'!W19))/('#2CCL'!W5+'#1CCL'!W5+CGL!W5+CGL!W5+CPL!W5)*1000</f>
        <v>11.659979025442649</v>
      </c>
      <c r="V45" s="5891">
        <f>((CPL!X10+CPL!X11+CPL!X12+CRM!X14)+(CRM!X11+CRM!X12)+(CGL!X10+CGL!X11+V48)+('#1CCL'!X12+'#1CCL'!X13+'#1CCL'!X14+'#1CCL'!X15+'#1CCL'!X17+'#1CCL'!X18)+('#2CCL'!X12+'#2CCL'!X13+'#2CCL'!X14+'#2CCL'!X15+'#2CCL'!X17+'#2CCL'!X19))/('#2CCL'!X5+'#1CCL'!X5+CGL!X5+CGL!X5+CPL!X5)*1000</f>
        <v>8.098611828968501</v>
      </c>
      <c r="W45" s="5702">
        <f>((CPL!Y10+CPL!Y11+CPL!Y12+CRM!Y14)+(CRM!Y11+CRM!Y12)+(CGL!Y10+CGL!Y11+W48)+('#1CCL'!Y12+'#1CCL'!Y13+'#1CCL'!Y14+'#1CCL'!Y15+'#1CCL'!Y17+'#1CCL'!Y18)+('#2CCL'!Y12+'#2CCL'!Y13+'#2CCL'!Y14+'#2CCL'!Y15+'#2CCL'!Y17+'#2CCL'!Y19))/('#2CCL'!Y5+'#1CCL'!Y5+CGL!Y5+CGL!Y5+CPL!Y5)*1000</f>
        <v>9.5957849950394376</v>
      </c>
      <c r="X45" s="5701">
        <f>((CPL!Z10+CPL!Z11+CPL!Z12+CRM!Z14)+(CRM!Z11+CRM!Z12)+(CGL!Z10+CGL!Z11+X48)+('#1CCL'!Z12+'#1CCL'!Z13+'#1CCL'!Z14+'#1CCL'!Z15+'#1CCL'!Z17+'#1CCL'!Z18)+('#2CCL'!Z12+'#2CCL'!Z13+'#2CCL'!Z14+'#2CCL'!Z15+'#2CCL'!Z17+'#2CCL'!Z19))/('#2CCL'!Z5+'#1CCL'!Z5+CGL!Z5+CGL!Z5+CPL!Z5)*1000</f>
        <v>11.059771728664579</v>
      </c>
      <c r="Y45" s="2005">
        <f>SUM(Y40:Y44)</f>
        <v>57662.442284844496</v>
      </c>
      <c r="Z45" s="2006">
        <f t="shared" ref="Z45:AK45" si="20">SUM(Z40:Z44)</f>
        <v>69223.408877665643</v>
      </c>
      <c r="AA45" s="2006">
        <f t="shared" si="20"/>
        <v>45204.606943530758</v>
      </c>
      <c r="AB45" s="2006">
        <f t="shared" si="20"/>
        <v>76770.27083751715</v>
      </c>
      <c r="AC45" s="2006">
        <f t="shared" si="20"/>
        <v>52473.249725848887</v>
      </c>
      <c r="AD45" s="2006">
        <f t="shared" si="20"/>
        <v>57350.124689351898</v>
      </c>
      <c r="AE45" s="2006">
        <f t="shared" si="20"/>
        <v>102221.16516772163</v>
      </c>
      <c r="AF45" s="2006">
        <f t="shared" si="20"/>
        <v>29126.868484108039</v>
      </c>
      <c r="AG45" s="2006">
        <f t="shared" si="20"/>
        <v>80016.217522669918</v>
      </c>
      <c r="AH45" s="2006">
        <f t="shared" si="20"/>
        <v>45157.242251466727</v>
      </c>
      <c r="AI45" s="2006">
        <f t="shared" si="20"/>
        <v>7161.449207090237</v>
      </c>
      <c r="AJ45" s="2006" t="e">
        <f t="shared" si="20"/>
        <v>#DIV/0!</v>
      </c>
      <c r="AK45" s="2006">
        <f t="shared" si="20"/>
        <v>473944.3391323617</v>
      </c>
      <c r="AL45" s="2006">
        <f>SUM(AL40:AL44)</f>
        <v>615205.59678472509</v>
      </c>
      <c r="AM45" s="2007">
        <f t="shared" si="19"/>
        <v>1.2980545308568658</v>
      </c>
      <c r="AN45" s="2008"/>
      <c r="AQ45" s="336"/>
      <c r="AX45" s="334" t="s">
        <v>690</v>
      </c>
      <c r="AY45" s="334" t="s">
        <v>689</v>
      </c>
      <c r="AZ45" s="334">
        <v>0.96</v>
      </c>
      <c r="BU45" s="844" t="s">
        <v>941</v>
      </c>
      <c r="BW45" s="2242"/>
      <c r="BX45" s="2242"/>
      <c r="BY45" s="2242"/>
      <c r="BZ45" s="2242"/>
      <c r="CA45" s="2242"/>
      <c r="CB45" s="2242"/>
      <c r="CC45" s="2364">
        <v>0.4</v>
      </c>
      <c r="CD45" s="334">
        <v>3.1</v>
      </c>
    </row>
    <row r="46" spans="1:91" ht="20.25" customHeight="1">
      <c r="A46" s="7179" t="s">
        <v>1351</v>
      </c>
      <c r="B46" s="2973" t="s">
        <v>1035</v>
      </c>
      <c r="C46" s="1225" t="s">
        <v>452</v>
      </c>
      <c r="D46" s="1235">
        <v>142.65</v>
      </c>
      <c r="E46" s="1236">
        <v>210</v>
      </c>
      <c r="F46" s="1236">
        <v>233</v>
      </c>
      <c r="G46" s="1762">
        <v>140.74000000000004</v>
      </c>
      <c r="H46" s="3102">
        <f>CRM!J14</f>
        <v>96.16</v>
      </c>
      <c r="I46" s="3102">
        <f>CRM!K14</f>
        <v>42.169999999999995</v>
      </c>
      <c r="J46" s="4319">
        <f>CRM!L14</f>
        <v>38</v>
      </c>
      <c r="K46" s="4850">
        <f>J46/10</f>
        <v>3.8</v>
      </c>
      <c r="L46" s="4600">
        <f>CRM!N14</f>
        <v>0</v>
      </c>
      <c r="M46" s="5237">
        <f>CRM!O14</f>
        <v>0</v>
      </c>
      <c r="N46" s="5237">
        <f>CRM!P14</f>
        <v>0.94</v>
      </c>
      <c r="O46" s="5237">
        <f>CRM!Q14</f>
        <v>0</v>
      </c>
      <c r="P46" s="5237">
        <f>CRM!R14</f>
        <v>0.53</v>
      </c>
      <c r="Q46" s="5884">
        <f>CRM!S14</f>
        <v>0</v>
      </c>
      <c r="R46" s="5884">
        <f>CRM!T14</f>
        <v>0.3</v>
      </c>
      <c r="S46" s="5884">
        <f>CRM!U14</f>
        <v>1.1100000000000001</v>
      </c>
      <c r="T46" s="5884">
        <f>CRM!V14</f>
        <v>0</v>
      </c>
      <c r="U46" s="5884">
        <f>CRM!W14</f>
        <v>2.2999999999999998</v>
      </c>
      <c r="V46" s="6961">
        <f>CRM!X14</f>
        <v>0</v>
      </c>
      <c r="W46" s="6835">
        <f>CRM!Y14</f>
        <v>0</v>
      </c>
      <c r="X46" s="6945">
        <f>CRM!Z14</f>
        <v>5.18</v>
      </c>
      <c r="Y46" s="2206"/>
      <c r="Z46" s="2206"/>
      <c r="AA46" s="2206"/>
      <c r="AB46" s="2206"/>
      <c r="AC46" s="2206"/>
      <c r="AD46" s="2206"/>
      <c r="AE46" s="2206"/>
      <c r="AF46" s="2206"/>
      <c r="AG46" s="2206"/>
      <c r="AH46" s="2206"/>
      <c r="AI46" s="2206"/>
      <c r="AJ46" s="2206"/>
      <c r="AK46" s="2206"/>
      <c r="AL46" s="2206"/>
      <c r="AM46" s="2207"/>
      <c r="AN46" s="7385" t="s">
        <v>1124</v>
      </c>
      <c r="AO46" s="867"/>
      <c r="AQ46" s="336"/>
      <c r="AW46" s="334">
        <v>6.69</v>
      </c>
      <c r="AY46" s="334" t="s">
        <v>688</v>
      </c>
      <c r="AZ46" s="334">
        <v>5.19</v>
      </c>
      <c r="BA46" s="334">
        <v>1.5</v>
      </c>
      <c r="BU46" s="844" t="s">
        <v>532</v>
      </c>
      <c r="BW46" s="2242"/>
      <c r="BX46" s="2242"/>
      <c r="BY46" s="2242"/>
      <c r="BZ46" s="2242"/>
      <c r="CA46" s="2242"/>
      <c r="CB46" s="2242"/>
      <c r="CC46" s="2364">
        <v>0.2</v>
      </c>
      <c r="CD46" s="334">
        <v>1.1000000000000001</v>
      </c>
    </row>
    <row r="47" spans="1:91" ht="20.25" customHeight="1">
      <c r="A47" s="7180"/>
      <c r="B47" s="1980" t="s">
        <v>453</v>
      </c>
      <c r="C47" s="1981" t="s">
        <v>452</v>
      </c>
      <c r="D47" s="1658">
        <v>1136</v>
      </c>
      <c r="E47" s="1946">
        <v>353</v>
      </c>
      <c r="F47" s="1946">
        <v>233</v>
      </c>
      <c r="G47" s="1763">
        <v>133.02000000000001</v>
      </c>
      <c r="H47" s="2236">
        <f>CGL!J14</f>
        <v>158</v>
      </c>
      <c r="I47" s="4597">
        <f>CGL!K14</f>
        <v>61.089999999999996</v>
      </c>
      <c r="J47" s="4851">
        <f>CGL!L14</f>
        <v>40</v>
      </c>
      <c r="K47" s="4850">
        <f>J47/10</f>
        <v>4</v>
      </c>
      <c r="L47" s="4603">
        <f>CGL!N14</f>
        <v>0</v>
      </c>
      <c r="M47" s="4867">
        <f>CGL!O14</f>
        <v>0</v>
      </c>
      <c r="N47" s="4867">
        <f>CGL!P14</f>
        <v>3.83</v>
      </c>
      <c r="O47" s="4867">
        <f>CGL!Q14</f>
        <v>0</v>
      </c>
      <c r="P47" s="5232">
        <f>CGL!R14</f>
        <v>10.06</v>
      </c>
      <c r="Q47" s="5236">
        <f>CGL!S14</f>
        <v>0</v>
      </c>
      <c r="R47" s="5232">
        <f>CGL!T14</f>
        <v>12.51</v>
      </c>
      <c r="S47" s="5236">
        <f>CGL!U14</f>
        <v>1.32</v>
      </c>
      <c r="T47" s="5236">
        <f>CGL!V14</f>
        <v>1.5</v>
      </c>
      <c r="U47" s="5236">
        <f>CGL!W14</f>
        <v>3.5</v>
      </c>
      <c r="V47" s="5084">
        <f>CGL!X14</f>
        <v>0</v>
      </c>
      <c r="W47" s="6693">
        <f>CGL!Y14</f>
        <v>0</v>
      </c>
      <c r="X47" s="6944">
        <f>CGL!Z14</f>
        <v>32.72</v>
      </c>
      <c r="Y47" s="4592"/>
      <c r="Z47" s="2206"/>
      <c r="AA47" s="2206"/>
      <c r="AB47" s="2206"/>
      <c r="AC47" s="2206"/>
      <c r="AD47" s="2206"/>
      <c r="AE47" s="2206"/>
      <c r="AF47" s="2206"/>
      <c r="AG47" s="2208"/>
      <c r="AH47" s="2208"/>
      <c r="AI47" s="2208"/>
      <c r="AJ47" s="2208"/>
      <c r="AK47" s="2206"/>
      <c r="AL47" s="2206"/>
      <c r="AM47" s="2207"/>
      <c r="AN47" s="7386"/>
      <c r="AO47" s="867"/>
      <c r="AP47" s="1144" t="s">
        <v>871</v>
      </c>
      <c r="AY47" s="334" t="s">
        <v>693</v>
      </c>
      <c r="AZ47" s="334">
        <v>0.9</v>
      </c>
      <c r="BA47" s="334">
        <v>1.1299999999999999</v>
      </c>
      <c r="BU47" s="844" t="s">
        <v>943</v>
      </c>
      <c r="BW47" s="2242"/>
      <c r="BX47" s="2242"/>
      <c r="BY47" s="2242"/>
      <c r="BZ47" s="2242"/>
      <c r="CA47" s="2242"/>
      <c r="CB47" s="2242"/>
      <c r="CC47" s="2364">
        <v>1.5</v>
      </c>
      <c r="CD47" s="334">
        <v>2</v>
      </c>
    </row>
    <row r="48" spans="1:91" ht="20.25" customHeight="1">
      <c r="A48" s="7180"/>
      <c r="B48" s="1980" t="s">
        <v>1986</v>
      </c>
      <c r="C48" s="1981" t="s">
        <v>452</v>
      </c>
      <c r="D48" s="1658">
        <v>649.04</v>
      </c>
      <c r="E48" s="1946">
        <v>0</v>
      </c>
      <c r="F48" s="1946">
        <v>521</v>
      </c>
      <c r="G48" s="1763">
        <v>152.91</v>
      </c>
      <c r="H48" s="2236">
        <f>'#1CCL'!J19+'#2CCL'!J18</f>
        <v>141.89999999999998</v>
      </c>
      <c r="I48" s="4597">
        <f>'#1CCL'!K19+'#2CCL'!K18</f>
        <v>64.025000000000006</v>
      </c>
      <c r="J48" s="4851">
        <f>AQ49+AQ50</f>
        <v>52.346181818181819</v>
      </c>
      <c r="K48" s="4850">
        <f>J48/12</f>
        <v>4.3621818181818179</v>
      </c>
      <c r="L48" s="4600">
        <f t="shared" ref="L48:W48" si="21">AR49+AR50</f>
        <v>26.029999999999998</v>
      </c>
      <c r="M48" s="5237">
        <f t="shared" si="21"/>
        <v>4.4000000000000004</v>
      </c>
      <c r="N48" s="5296">
        <f t="shared" si="21"/>
        <v>21.15</v>
      </c>
      <c r="O48" s="4867">
        <f t="shared" si="21"/>
        <v>5.1099999999999994</v>
      </c>
      <c r="P48" s="5232">
        <f t="shared" si="21"/>
        <v>14.049999999999999</v>
      </c>
      <c r="Q48" s="5232">
        <f t="shared" si="21"/>
        <v>7.46</v>
      </c>
      <c r="R48" s="5236">
        <f t="shared" si="21"/>
        <v>1.77</v>
      </c>
      <c r="S48" s="5246">
        <f t="shared" si="21"/>
        <v>10.309999999999999</v>
      </c>
      <c r="T48" s="5232">
        <f t="shared" si="21"/>
        <v>13.75</v>
      </c>
      <c r="U48" s="4867">
        <f t="shared" si="21"/>
        <v>4.96</v>
      </c>
      <c r="V48" s="5084">
        <f t="shared" si="21"/>
        <v>3.18</v>
      </c>
      <c r="W48" s="4590">
        <f t="shared" si="21"/>
        <v>4.13</v>
      </c>
      <c r="X48" s="6943">
        <f>BD49+BD50</f>
        <v>116.3</v>
      </c>
      <c r="Y48" s="4592"/>
      <c r="Z48" s="2206"/>
      <c r="AA48" s="2206"/>
      <c r="AB48" s="2206"/>
      <c r="AC48" s="2206"/>
      <c r="AD48" s="2206"/>
      <c r="AE48" s="2206"/>
      <c r="AF48" s="2206"/>
      <c r="AG48" s="2208"/>
      <c r="AH48" s="2208"/>
      <c r="AI48" s="2208"/>
      <c r="AJ48" s="2208"/>
      <c r="AK48" s="2206"/>
      <c r="AL48" s="2206"/>
      <c r="AM48" s="2207"/>
      <c r="AN48" s="7386"/>
      <c r="AO48" s="867"/>
      <c r="AP48" s="1645" t="s">
        <v>1</v>
      </c>
      <c r="AQ48" s="1650" t="s">
        <v>1018</v>
      </c>
      <c r="AR48" s="1648" t="s">
        <v>508</v>
      </c>
      <c r="AS48" s="458" t="s">
        <v>509</v>
      </c>
      <c r="AT48" s="458" t="s">
        <v>510</v>
      </c>
      <c r="AU48" s="458" t="s">
        <v>511</v>
      </c>
      <c r="AV48" s="458" t="s">
        <v>512</v>
      </c>
      <c r="AW48" s="458" t="s">
        <v>513</v>
      </c>
      <c r="AX48" s="458" t="s">
        <v>514</v>
      </c>
      <c r="AY48" s="458" t="s">
        <v>515</v>
      </c>
      <c r="AZ48" s="458" t="s">
        <v>516</v>
      </c>
      <c r="BA48" s="458" t="s">
        <v>517</v>
      </c>
      <c r="BB48" s="458" t="s">
        <v>521</v>
      </c>
      <c r="BC48" s="1882" t="s">
        <v>522</v>
      </c>
      <c r="BD48" s="1883" t="s">
        <v>1047</v>
      </c>
    </row>
    <row r="49" spans="1:88" ht="20.25" customHeight="1" thickBot="1">
      <c r="A49" s="7180"/>
      <c r="B49" s="1980" t="s">
        <v>1112</v>
      </c>
      <c r="C49" s="1981" t="s">
        <v>452</v>
      </c>
      <c r="D49" s="1658">
        <f>'#1CCL'!F13</f>
        <v>878</v>
      </c>
      <c r="E49" s="1658">
        <f>'#1CCL'!G13</f>
        <v>973</v>
      </c>
      <c r="F49" s="1658">
        <f>'#1CCL'!H13</f>
        <v>527</v>
      </c>
      <c r="G49" s="1658">
        <f>'#1CCL'!I13</f>
        <v>145</v>
      </c>
      <c r="H49" s="2126">
        <f>'#1CCL'!J13</f>
        <v>52.56</v>
      </c>
      <c r="I49" s="3592">
        <f>'#1CCL'!K13</f>
        <v>21.73</v>
      </c>
      <c r="J49" s="3342">
        <f>'#1CCL'!L13</f>
        <v>20</v>
      </c>
      <c r="K49" s="4850">
        <f>J49/12</f>
        <v>1.6666666666666667</v>
      </c>
      <c r="L49" s="4600">
        <f>'#1CCL'!N13</f>
        <v>0.3</v>
      </c>
      <c r="M49" s="5237">
        <f>'#1CCL'!O13</f>
        <v>0.53</v>
      </c>
      <c r="N49" s="5296">
        <f>'#1CCL'!P13</f>
        <v>3.83</v>
      </c>
      <c r="O49" s="5296">
        <f>'#1CCL'!Q13</f>
        <v>5.75</v>
      </c>
      <c r="P49" s="5237">
        <f>'#1CCL'!R13</f>
        <v>2.33</v>
      </c>
      <c r="Q49" s="5884">
        <f>'#1CCL'!S13</f>
        <v>1.6</v>
      </c>
      <c r="R49" s="5296">
        <f>'#1CCL'!T13</f>
        <v>5.23</v>
      </c>
      <c r="S49" s="5296">
        <f>'#1CCL'!U13</f>
        <v>4.3899999999999997</v>
      </c>
      <c r="T49" s="5296">
        <f>'#1CCL'!V13</f>
        <v>4.51</v>
      </c>
      <c r="U49" s="5296">
        <f>'#1CCL'!W13</f>
        <v>3.26</v>
      </c>
      <c r="V49" s="6961">
        <f>'#1CCL'!X13</f>
        <v>3.55</v>
      </c>
      <c r="W49" s="6835">
        <f>'#1CCL'!Y13</f>
        <v>6.3739999999999997</v>
      </c>
      <c r="X49" s="6946">
        <f>'#1CCL'!Z13</f>
        <v>41.653999999999996</v>
      </c>
      <c r="Y49" s="4592"/>
      <c r="Z49" s="2209"/>
      <c r="AA49" s="2209"/>
      <c r="AB49" s="2209"/>
      <c r="AC49" s="2209"/>
      <c r="AD49" s="2209"/>
      <c r="AE49" s="2209"/>
      <c r="AF49" s="2209"/>
      <c r="AG49" s="2210"/>
      <c r="AH49" s="2210"/>
      <c r="AI49" s="2210"/>
      <c r="AJ49" s="2210"/>
      <c r="AK49" s="2209"/>
      <c r="AL49" s="2209"/>
      <c r="AM49" s="2207"/>
      <c r="AN49" s="7386"/>
      <c r="AO49" s="867"/>
      <c r="AP49" s="1646" t="s">
        <v>558</v>
      </c>
      <c r="AQ49" s="2939">
        <f>'#1CCL'!L19</f>
        <v>28.346181818181819</v>
      </c>
      <c r="AR49" s="1649">
        <f>'#1CCL'!N19</f>
        <v>19.309999999999999</v>
      </c>
      <c r="AS49" s="1649">
        <f>'#1CCL'!O19</f>
        <v>0</v>
      </c>
      <c r="AT49" s="1649">
        <f>'#1CCL'!P19</f>
        <v>12.89</v>
      </c>
      <c r="AU49" s="1649">
        <f>'#1CCL'!Q19</f>
        <v>2.69</v>
      </c>
      <c r="AV49" s="1649">
        <f>'#1CCL'!R19</f>
        <v>2.19</v>
      </c>
      <c r="AW49" s="1649">
        <f>'#1CCL'!S19</f>
        <v>6.76</v>
      </c>
      <c r="AX49" s="1649">
        <f>'#1CCL'!T19</f>
        <v>0.61</v>
      </c>
      <c r="AY49" s="1649">
        <f>'#1CCL'!U19</f>
        <v>4.04</v>
      </c>
      <c r="AZ49" s="1649">
        <f>'#1CCL'!V19</f>
        <v>3.33</v>
      </c>
      <c r="BA49" s="1649">
        <f>'#1CCL'!W19</f>
        <v>1.06</v>
      </c>
      <c r="BB49" s="1649">
        <f>'#1CCL'!X19</f>
        <v>0</v>
      </c>
      <c r="BC49" s="1649">
        <f>'#1CCL'!Y19</f>
        <v>0.51</v>
      </c>
      <c r="BD49" s="1885">
        <f>SUM(AR49:BC49)</f>
        <v>53.389999999999993</v>
      </c>
    </row>
    <row r="50" spans="1:88" ht="20.25" customHeight="1" thickBot="1">
      <c r="A50" s="7180"/>
      <c r="B50" s="1980" t="s">
        <v>559</v>
      </c>
      <c r="C50" s="1981" t="s">
        <v>452</v>
      </c>
      <c r="D50" s="1658">
        <f>'#2CCL'!F13</f>
        <v>449.47</v>
      </c>
      <c r="E50" s="1658">
        <f>'#2CCL'!G13</f>
        <v>679.82</v>
      </c>
      <c r="F50" s="1658">
        <f>'#2CCL'!H13</f>
        <v>413.64699999999999</v>
      </c>
      <c r="G50" s="1658">
        <f>'#2CCL'!I13</f>
        <v>77.400000000000006</v>
      </c>
      <c r="H50" s="2126">
        <f>'#2CCL'!J13</f>
        <v>128.14100000000002</v>
      </c>
      <c r="I50" s="3592">
        <f>'#2CCL'!K13</f>
        <v>93.301999999999992</v>
      </c>
      <c r="J50" s="3342">
        <f>'#2CCL'!L13</f>
        <v>72</v>
      </c>
      <c r="K50" s="4850">
        <f>J50/12</f>
        <v>6</v>
      </c>
      <c r="L50" s="4600">
        <f>'#2CCL'!N13</f>
        <v>6.8819999999999997</v>
      </c>
      <c r="M50" s="5237">
        <f>'#2CCL'!O13</f>
        <v>8.3190000000000008</v>
      </c>
      <c r="N50" s="5296">
        <f>'#2CCL'!P13</f>
        <v>13.19</v>
      </c>
      <c r="O50" s="5296">
        <f>'#2CCL'!Q13</f>
        <v>12.698</v>
      </c>
      <c r="P50" s="5296">
        <f>'#2CCL'!R13</f>
        <v>9.9699999999999989</v>
      </c>
      <c r="Q50" s="5296">
        <f>'#2CCL'!S13</f>
        <v>10.278</v>
      </c>
      <c r="R50" s="5296">
        <f>'#2CCL'!T13</f>
        <v>11.866</v>
      </c>
      <c r="S50" s="5237">
        <f>'#2CCL'!U13</f>
        <v>6.38</v>
      </c>
      <c r="T50" s="5296">
        <f>'#2CCL'!V13</f>
        <v>12.66</v>
      </c>
      <c r="U50" s="5296">
        <f>'#2CCL'!W13</f>
        <v>11.576000000000001</v>
      </c>
      <c r="V50" s="6961">
        <f>'#2CCL'!X13</f>
        <v>28.02</v>
      </c>
      <c r="W50" s="6835">
        <f>'#2CCL'!Y13</f>
        <v>14.891</v>
      </c>
      <c r="X50" s="6946">
        <f>'#2CCL'!Z13</f>
        <v>146.72999999999999</v>
      </c>
      <c r="Y50" s="4592"/>
      <c r="Z50" s="2209"/>
      <c r="AA50" s="2209"/>
      <c r="AB50" s="2209"/>
      <c r="AC50" s="2209"/>
      <c r="AD50" s="2209"/>
      <c r="AE50" s="2209"/>
      <c r="AF50" s="2209"/>
      <c r="AG50" s="2210"/>
      <c r="AH50" s="2210"/>
      <c r="AI50" s="2210"/>
      <c r="AJ50" s="2210"/>
      <c r="AK50" s="2209"/>
      <c r="AL50" s="2209"/>
      <c r="AM50" s="2207"/>
      <c r="AN50" s="7387"/>
      <c r="AO50" s="867"/>
      <c r="AP50" s="2019" t="s">
        <v>559</v>
      </c>
      <c r="AQ50" s="2940">
        <f>'#2CCL'!L18</f>
        <v>24</v>
      </c>
      <c r="AR50" s="2020">
        <f>'#2CCL'!N18</f>
        <v>6.72</v>
      </c>
      <c r="AS50" s="2020">
        <f>'#2CCL'!O18</f>
        <v>4.4000000000000004</v>
      </c>
      <c r="AT50" s="2020">
        <f>'#2CCL'!P18</f>
        <v>8.26</v>
      </c>
      <c r="AU50" s="2020">
        <f>'#2CCL'!Q18</f>
        <v>2.42</v>
      </c>
      <c r="AV50" s="2020">
        <f>'#2CCL'!R18</f>
        <v>11.86</v>
      </c>
      <c r="AW50" s="2020">
        <f>'#2CCL'!S18</f>
        <v>0.7</v>
      </c>
      <c r="AX50" s="2020">
        <f>'#2CCL'!T18</f>
        <v>1.1599999999999999</v>
      </c>
      <c r="AY50" s="2020">
        <f>'#2CCL'!U18</f>
        <v>6.27</v>
      </c>
      <c r="AZ50" s="2020">
        <f>'#2CCL'!V18</f>
        <v>10.42</v>
      </c>
      <c r="BA50" s="2020">
        <f>'#2CCL'!W18</f>
        <v>3.9</v>
      </c>
      <c r="BB50" s="2020">
        <f>'#2CCL'!X18</f>
        <v>3.18</v>
      </c>
      <c r="BC50" s="2020">
        <f>'#2CCL'!Y18</f>
        <v>3.62</v>
      </c>
      <c r="BD50" s="2021">
        <f>SUM(AR50:BC50)</f>
        <v>62.910000000000004</v>
      </c>
      <c r="BQ50" s="2935" t="s">
        <v>2014</v>
      </c>
      <c r="BR50" s="6986" t="s">
        <v>258</v>
      </c>
      <c r="BS50" s="6986" t="s">
        <v>556</v>
      </c>
      <c r="BT50" s="6986" t="s">
        <v>533</v>
      </c>
      <c r="BU50" s="6986" t="s">
        <v>718</v>
      </c>
      <c r="BV50" s="6986" t="s">
        <v>1032</v>
      </c>
      <c r="BW50" s="844" t="s">
        <v>2016</v>
      </c>
      <c r="BX50" s="2373" t="s">
        <v>18</v>
      </c>
      <c r="BY50" s="2373" t="s">
        <v>5</v>
      </c>
      <c r="BZ50" s="2373" t="s">
        <v>6</v>
      </c>
      <c r="CA50" s="2373" t="s">
        <v>7</v>
      </c>
      <c r="CB50" s="2373" t="s">
        <v>8</v>
      </c>
      <c r="CC50" s="2447" t="s">
        <v>90</v>
      </c>
      <c r="CD50" s="2373" t="s">
        <v>10</v>
      </c>
      <c r="CE50" s="2477" t="s">
        <v>11</v>
      </c>
      <c r="CF50" s="2477" t="s">
        <v>12</v>
      </c>
      <c r="CG50" s="2477" t="s">
        <v>13</v>
      </c>
      <c r="CH50" s="2477" t="s">
        <v>14</v>
      </c>
      <c r="CI50" s="2478" t="s">
        <v>15</v>
      </c>
      <c r="CJ50" s="844" t="s">
        <v>2017</v>
      </c>
    </row>
    <row r="51" spans="1:88" ht="20.25" customHeight="1" thickBot="1">
      <c r="A51" s="7207"/>
      <c r="B51" s="2976" t="s">
        <v>112</v>
      </c>
      <c r="C51" s="1994" t="s">
        <v>452</v>
      </c>
      <c r="D51" s="1995">
        <f>D46+D47+D48+720</f>
        <v>2647.69</v>
      </c>
      <c r="E51" s="1996">
        <f>E46+E47+E48+973</f>
        <v>1536</v>
      </c>
      <c r="F51" s="1947">
        <f t="shared" ref="F51:N51" si="22">SUM(F46:F50)</f>
        <v>1927.6469999999999</v>
      </c>
      <c r="G51" s="1947">
        <f t="shared" si="22"/>
        <v>649.07000000000005</v>
      </c>
      <c r="H51" s="2237">
        <f t="shared" si="22"/>
        <v>576.76099999999997</v>
      </c>
      <c r="I51" s="4599">
        <v>255.85699999999997</v>
      </c>
      <c r="J51" s="3805">
        <f t="shared" si="22"/>
        <v>222.34618181818183</v>
      </c>
      <c r="K51" s="4853">
        <f t="shared" si="22"/>
        <v>19.828848484848486</v>
      </c>
      <c r="L51" s="5068">
        <f t="shared" si="22"/>
        <v>33.211999999999996</v>
      </c>
      <c r="M51" s="5238">
        <f t="shared" si="22"/>
        <v>13.249000000000002</v>
      </c>
      <c r="N51" s="5215">
        <f t="shared" si="22"/>
        <v>42.94</v>
      </c>
      <c r="O51" s="5215">
        <f t="shared" ref="O51:X51" si="23">SUM(O46:O50)</f>
        <v>23.558</v>
      </c>
      <c r="P51" s="5215">
        <f t="shared" si="23"/>
        <v>36.94</v>
      </c>
      <c r="Q51" s="5215">
        <f t="shared" si="23"/>
        <v>19.338000000000001</v>
      </c>
      <c r="R51" s="5215">
        <f t="shared" si="23"/>
        <v>31.676000000000002</v>
      </c>
      <c r="S51" s="5215">
        <f t="shared" si="23"/>
        <v>23.509999999999998</v>
      </c>
      <c r="T51" s="5215">
        <f t="shared" si="23"/>
        <v>32.42</v>
      </c>
      <c r="U51" s="5215">
        <f t="shared" si="23"/>
        <v>25.596</v>
      </c>
      <c r="V51" s="5090">
        <f t="shared" si="23"/>
        <v>34.75</v>
      </c>
      <c r="W51" s="4721">
        <f t="shared" si="23"/>
        <v>25.395</v>
      </c>
      <c r="X51" s="5809">
        <f t="shared" si="23"/>
        <v>342.58399999999995</v>
      </c>
      <c r="Y51" s="1698"/>
      <c r="Z51" s="2073"/>
      <c r="AA51" s="2073"/>
      <c r="AB51" s="2073">
        <f t="shared" ref="AB51:AJ51" si="24">SUM(AB46:AB48)</f>
        <v>0</v>
      </c>
      <c r="AC51" s="2073">
        <f t="shared" si="24"/>
        <v>0</v>
      </c>
      <c r="AD51" s="2073">
        <f t="shared" si="24"/>
        <v>0</v>
      </c>
      <c r="AE51" s="2073">
        <f t="shared" si="24"/>
        <v>0</v>
      </c>
      <c r="AF51" s="2073">
        <f t="shared" si="24"/>
        <v>0</v>
      </c>
      <c r="AG51" s="2073">
        <f t="shared" si="24"/>
        <v>0</v>
      </c>
      <c r="AH51" s="2073">
        <f t="shared" si="24"/>
        <v>0</v>
      </c>
      <c r="AI51" s="2073">
        <f t="shared" si="24"/>
        <v>0</v>
      </c>
      <c r="AJ51" s="2073">
        <f t="shared" si="24"/>
        <v>0</v>
      </c>
      <c r="AK51" s="2073"/>
      <c r="AL51" s="2073"/>
      <c r="AM51" s="1997"/>
      <c r="AN51" s="1998"/>
      <c r="AO51" s="867"/>
      <c r="AP51" s="2024" t="s">
        <v>1061</v>
      </c>
      <c r="AQ51" s="2025">
        <f>AQ49+AQ50</f>
        <v>52.346181818181819</v>
      </c>
      <c r="AR51" s="2025">
        <f t="shared" ref="AR51:BD51" si="25">AR49+AR50</f>
        <v>26.029999999999998</v>
      </c>
      <c r="AS51" s="2025">
        <f t="shared" si="25"/>
        <v>4.4000000000000004</v>
      </c>
      <c r="AT51" s="2025">
        <f t="shared" si="25"/>
        <v>21.15</v>
      </c>
      <c r="AU51" s="2025">
        <f t="shared" si="25"/>
        <v>5.1099999999999994</v>
      </c>
      <c r="AV51" s="2025">
        <f t="shared" si="25"/>
        <v>14.049999999999999</v>
      </c>
      <c r="AW51" s="2025">
        <f t="shared" si="25"/>
        <v>7.46</v>
      </c>
      <c r="AX51" s="2025">
        <f t="shared" si="25"/>
        <v>1.77</v>
      </c>
      <c r="AY51" s="2025">
        <f t="shared" si="25"/>
        <v>10.309999999999999</v>
      </c>
      <c r="AZ51" s="2025">
        <f t="shared" si="25"/>
        <v>13.75</v>
      </c>
      <c r="BA51" s="2025">
        <f t="shared" si="25"/>
        <v>4.96</v>
      </c>
      <c r="BB51" s="2025">
        <f t="shared" si="25"/>
        <v>3.18</v>
      </c>
      <c r="BC51" s="2025">
        <f t="shared" si="25"/>
        <v>4.13</v>
      </c>
      <c r="BD51" s="2025">
        <f t="shared" si="25"/>
        <v>116.3</v>
      </c>
      <c r="BQ51" s="6987" t="s">
        <v>647</v>
      </c>
      <c r="BR51" s="6985">
        <v>98.87</v>
      </c>
      <c r="BS51" s="2371">
        <v>99.1040477634659</v>
      </c>
      <c r="BT51" s="2371">
        <v>99.368635587324533</v>
      </c>
      <c r="BU51" s="2370">
        <v>99.483918463783041</v>
      </c>
      <c r="BV51" s="2370">
        <v>99.474955544010143</v>
      </c>
      <c r="BW51" s="1296">
        <v>99.601770058959744</v>
      </c>
      <c r="BX51" s="2371">
        <v>99.633813730488797</v>
      </c>
      <c r="BY51" s="2371">
        <v>99.612374473672645</v>
      </c>
      <c r="BZ51" s="2371">
        <v>99.651840446930748</v>
      </c>
      <c r="CA51" s="2371">
        <v>99.584145220147278</v>
      </c>
      <c r="CB51" s="2371">
        <v>99.565900851830705</v>
      </c>
      <c r="CC51" s="5571">
        <v>99.508664530737661</v>
      </c>
      <c r="CD51" s="5571">
        <v>99.51165818230433</v>
      </c>
      <c r="CE51" s="2371">
        <v>99.494788904133472</v>
      </c>
      <c r="CF51" s="2371">
        <v>99.564616359304949</v>
      </c>
      <c r="CG51" s="2371">
        <v>99.589479451524497</v>
      </c>
      <c r="CH51" s="2370">
        <f>(CH55+CH56)/2</f>
        <v>100.57654493083277</v>
      </c>
      <c r="CI51" s="6988">
        <f>(CI55+CI56)/2</f>
        <v>100.51718420228116</v>
      </c>
      <c r="CJ51" s="1296">
        <v>99.601770058959744</v>
      </c>
    </row>
    <row r="52" spans="1:88" ht="20.25" customHeight="1">
      <c r="A52" s="7179" t="s">
        <v>1117</v>
      </c>
      <c r="B52" s="2977" t="s">
        <v>1109</v>
      </c>
      <c r="C52" s="1225" t="s">
        <v>452</v>
      </c>
      <c r="D52" s="2076"/>
      <c r="E52" s="3212"/>
      <c r="F52" s="2051">
        <f>CPL!H12</f>
        <v>213.18</v>
      </c>
      <c r="G52" s="1854">
        <f>CPL!I12</f>
        <v>24</v>
      </c>
      <c r="H52" s="1854">
        <v>0</v>
      </c>
      <c r="I52" s="1854">
        <f>CPL!K12</f>
        <v>45.37</v>
      </c>
      <c r="J52" s="1688">
        <f>CPL!L12</f>
        <v>20</v>
      </c>
      <c r="K52" s="2110">
        <f>CPL!M12</f>
        <v>2</v>
      </c>
      <c r="L52" s="2081">
        <f>CPL!N12</f>
        <v>2.79</v>
      </c>
      <c r="M52" s="1854">
        <f>CPL!O12</f>
        <v>6.3</v>
      </c>
      <c r="N52" s="1854">
        <f>CPL!P12</f>
        <v>3.19</v>
      </c>
      <c r="O52" s="5560">
        <f>CPL!Q12</f>
        <v>10.76</v>
      </c>
      <c r="P52" s="5299">
        <f>CPL!R12</f>
        <v>0.502</v>
      </c>
      <c r="Q52" s="5299">
        <f>CPL!S12</f>
        <v>0</v>
      </c>
      <c r="R52" s="5560">
        <f>CPL!T12</f>
        <v>3.92</v>
      </c>
      <c r="S52" s="5560">
        <f>CPL!U12</f>
        <v>15.462999999999999</v>
      </c>
      <c r="T52" s="1854">
        <f>CPL!V12</f>
        <v>2.6320000000000001</v>
      </c>
      <c r="U52" s="5299">
        <f>CPL!W12</f>
        <v>0</v>
      </c>
      <c r="V52" s="6098">
        <f>CPL!X12</f>
        <v>0</v>
      </c>
      <c r="W52" s="5882">
        <f>CPL!Y12</f>
        <v>0</v>
      </c>
      <c r="X52" s="6947">
        <f>CPL!Z12</f>
        <v>45.556999999999995</v>
      </c>
      <c r="Y52" s="2211"/>
      <c r="Z52" s="2211"/>
      <c r="AA52" s="2211"/>
      <c r="AB52" s="2211"/>
      <c r="AC52" s="2211"/>
      <c r="AD52" s="2211"/>
      <c r="AE52" s="2212"/>
      <c r="AF52" s="2212"/>
      <c r="AG52" s="2212"/>
      <c r="AH52" s="2212"/>
      <c r="AI52" s="2212"/>
      <c r="AJ52" s="2212"/>
      <c r="AK52" s="2212"/>
      <c r="AL52" s="2212"/>
      <c r="AM52" s="2213"/>
      <c r="AN52" s="7382" t="s">
        <v>1125</v>
      </c>
      <c r="AP52" s="2038"/>
      <c r="AQ52" s="2039"/>
      <c r="AR52" s="2039"/>
      <c r="AS52" s="2040"/>
      <c r="AT52" s="2040"/>
      <c r="AU52" s="2039"/>
      <c r="AV52" s="2039"/>
      <c r="AW52" s="2039"/>
      <c r="AX52" s="2039"/>
      <c r="AY52" s="2041"/>
      <c r="AZ52" s="2039"/>
      <c r="BA52" s="2039"/>
      <c r="BB52" s="2039"/>
      <c r="BC52" s="2039"/>
      <c r="BD52" s="2039"/>
      <c r="BQ52" s="6989" t="s">
        <v>648</v>
      </c>
      <c r="BR52" s="6822">
        <v>97.53</v>
      </c>
      <c r="BS52" s="6825">
        <v>98.00045319044726</v>
      </c>
      <c r="BT52" s="6825">
        <v>97.977320000000006</v>
      </c>
      <c r="BU52" s="6824">
        <v>97.970594907103475</v>
      </c>
      <c r="BV52" s="6824">
        <v>97.749821155362042</v>
      </c>
      <c r="BW52" s="1296">
        <v>97.8720667775371</v>
      </c>
      <c r="BX52" s="6823">
        <v>97.803964795466243</v>
      </c>
      <c r="BY52" s="6823">
        <v>97.894259760051099</v>
      </c>
      <c r="BZ52" s="6823">
        <v>98.038576880174062</v>
      </c>
      <c r="CA52" s="6823">
        <v>98.020622414048859</v>
      </c>
      <c r="CB52" s="6823">
        <v>97.780123233813313</v>
      </c>
      <c r="CC52" s="6990">
        <v>97.906406843466527</v>
      </c>
      <c r="CD52" s="6990">
        <v>97.872463970540053</v>
      </c>
      <c r="CE52" s="6823">
        <v>97.68295863040899</v>
      </c>
      <c r="CF52" s="6823">
        <v>97.903120660295514</v>
      </c>
      <c r="CG52" s="6823">
        <v>97.835967049888623</v>
      </c>
      <c r="CH52" s="6824">
        <v>0</v>
      </c>
      <c r="CI52" s="6995">
        <v>0</v>
      </c>
      <c r="CJ52" s="1336">
        <v>97.8720667775371</v>
      </c>
    </row>
    <row r="53" spans="1:88" ht="20.25" customHeight="1">
      <c r="A53" s="7180"/>
      <c r="B53" s="2970" t="s">
        <v>1110</v>
      </c>
      <c r="C53" s="1981" t="s">
        <v>452</v>
      </c>
      <c r="D53" s="1671">
        <f>CRM!F12</f>
        <v>1113.9100000000001</v>
      </c>
      <c r="E53" s="1671">
        <f>CRM!G12</f>
        <v>1240.22</v>
      </c>
      <c r="F53" s="1671">
        <f>CRM!H12</f>
        <v>1568.88</v>
      </c>
      <c r="G53" s="1671">
        <f>CRM!I12</f>
        <v>972</v>
      </c>
      <c r="H53" s="1671">
        <f>CRM!J12</f>
        <v>338.19</v>
      </c>
      <c r="I53" s="3492">
        <f>CRM!K12</f>
        <v>427.08600000000001</v>
      </c>
      <c r="J53" s="4854">
        <f>CRM!L12</f>
        <v>360.8</v>
      </c>
      <c r="K53" s="3657">
        <f>CRM!M12</f>
        <v>36.08</v>
      </c>
      <c r="L53" s="4585">
        <f>CRM!N12</f>
        <v>21.4</v>
      </c>
      <c r="M53" s="4583">
        <f>CRM!O12</f>
        <v>25.56</v>
      </c>
      <c r="N53" s="4583">
        <f>CRM!P12</f>
        <v>31.24</v>
      </c>
      <c r="O53" s="4583">
        <f>CRM!Q12</f>
        <v>36.76</v>
      </c>
      <c r="P53" s="5247">
        <f>CRM!R12</f>
        <v>31.42</v>
      </c>
      <c r="Q53" s="5247">
        <f>CRM!S12</f>
        <v>29.89</v>
      </c>
      <c r="R53" s="5247">
        <f>CRM!T12</f>
        <v>15.86</v>
      </c>
      <c r="S53" s="5297">
        <f>CRM!U12</f>
        <v>44.16</v>
      </c>
      <c r="T53" s="5247">
        <f>CRM!V12</f>
        <v>32.99</v>
      </c>
      <c r="U53" s="5297">
        <f>CRM!W12</f>
        <v>52.4</v>
      </c>
      <c r="V53" s="5892">
        <f>CRM!X12</f>
        <v>7.75</v>
      </c>
      <c r="W53" s="5703">
        <f>CRM!Y12</f>
        <v>24.91</v>
      </c>
      <c r="X53" s="6942">
        <f>CRM!Z12</f>
        <v>354.34</v>
      </c>
      <c r="Y53" s="2214"/>
      <c r="Z53" s="2214"/>
      <c r="AA53" s="2214"/>
      <c r="AB53" s="2214"/>
      <c r="AC53" s="2214"/>
      <c r="AD53" s="2214"/>
      <c r="AE53" s="2206"/>
      <c r="AF53" s="2206"/>
      <c r="AG53" s="2206"/>
      <c r="AH53" s="2206"/>
      <c r="AI53" s="2206"/>
      <c r="AJ53" s="2206"/>
      <c r="AK53" s="2206"/>
      <c r="AL53" s="2206"/>
      <c r="AM53" s="2207"/>
      <c r="AN53" s="7383"/>
      <c r="AP53" s="718"/>
      <c r="AQ53" s="718"/>
      <c r="AR53" s="718"/>
      <c r="AS53" s="2022"/>
      <c r="AT53" s="2023" t="s">
        <v>678</v>
      </c>
      <c r="BQ53" s="6989" t="s">
        <v>649</v>
      </c>
      <c r="BR53" s="6822">
        <v>99.93</v>
      </c>
      <c r="BS53" s="6825">
        <v>99.940905977141099</v>
      </c>
      <c r="BT53" s="6825">
        <v>99.97</v>
      </c>
      <c r="BU53" s="6824">
        <v>99.983380652450364</v>
      </c>
      <c r="BV53" s="6824">
        <v>99.98701371818494</v>
      </c>
      <c r="BW53" s="1296">
        <v>99.97916039247022</v>
      </c>
      <c r="BX53" s="6823">
        <v>99.983093687456588</v>
      </c>
      <c r="BY53" s="6823">
        <v>99.99807699846086</v>
      </c>
      <c r="BZ53" s="6823">
        <v>100</v>
      </c>
      <c r="CA53" s="6823">
        <v>99.992821422688237</v>
      </c>
      <c r="CB53" s="6823">
        <v>99.98265435587399</v>
      </c>
      <c r="CC53" s="6990">
        <v>99.992439620491737</v>
      </c>
      <c r="CD53" s="6990">
        <v>99.976278029232816</v>
      </c>
      <c r="CE53" s="6823">
        <v>99.999647396944951</v>
      </c>
      <c r="CF53" s="6823">
        <v>99.978793989265696</v>
      </c>
      <c r="CG53" s="6823">
        <v>99.90127541081084</v>
      </c>
      <c r="CH53" s="6824">
        <v>0</v>
      </c>
      <c r="CI53" s="6995">
        <v>0</v>
      </c>
      <c r="CJ53" s="1336">
        <v>99.97916039247022</v>
      </c>
    </row>
    <row r="54" spans="1:88" ht="20.25" customHeight="1">
      <c r="A54" s="7180"/>
      <c r="B54" s="1980" t="s">
        <v>1111</v>
      </c>
      <c r="C54" s="1981" t="s">
        <v>452</v>
      </c>
      <c r="D54" s="2068"/>
      <c r="E54" s="2069"/>
      <c r="F54" s="2052">
        <f>CGL!H10</f>
        <v>1329</v>
      </c>
      <c r="G54" s="2052">
        <f>CGL!I10</f>
        <v>651</v>
      </c>
      <c r="H54" s="2235">
        <v>685.29199999999992</v>
      </c>
      <c r="I54" s="4583">
        <f>CGL!K10</f>
        <v>560.84799999999996</v>
      </c>
      <c r="J54" s="4854">
        <f>CGL!L10</f>
        <v>300</v>
      </c>
      <c r="K54" s="3657">
        <f>CGL!M10</f>
        <v>30</v>
      </c>
      <c r="L54" s="4585">
        <f>CGL!N10</f>
        <v>12.92</v>
      </c>
      <c r="M54" s="4583">
        <f>CGL!O10</f>
        <v>19.43</v>
      </c>
      <c r="N54" s="5297">
        <f>CGL!P10</f>
        <v>32.14</v>
      </c>
      <c r="O54" s="5247">
        <f>CGL!Q10</f>
        <v>1.94</v>
      </c>
      <c r="P54" s="5247">
        <f>CGL!R10</f>
        <v>16.36</v>
      </c>
      <c r="Q54" s="5247">
        <f>CGL!S10</f>
        <v>22.52</v>
      </c>
      <c r="R54" s="5247">
        <f>CGL!T10</f>
        <v>10.119999999999999</v>
      </c>
      <c r="S54" s="5297">
        <f>CGL!U10</f>
        <v>46.18</v>
      </c>
      <c r="T54" s="5247">
        <f>CGL!V10</f>
        <v>9.07</v>
      </c>
      <c r="U54" s="5247">
        <f>CGL!W10</f>
        <v>18.400000000000002</v>
      </c>
      <c r="V54" s="5892">
        <f>CGL!X10</f>
        <v>1.74</v>
      </c>
      <c r="W54" s="5703">
        <f>CGL!Y10</f>
        <v>0</v>
      </c>
      <c r="X54" s="6942">
        <f>CGL!Z10</f>
        <v>190.82000000000002</v>
      </c>
      <c r="Y54" s="2214"/>
      <c r="Z54" s="2214"/>
      <c r="AA54" s="2214"/>
      <c r="AB54" s="2214"/>
      <c r="AC54" s="2214"/>
      <c r="AD54" s="2214"/>
      <c r="AE54" s="2206"/>
      <c r="AF54" s="2206"/>
      <c r="AG54" s="2206"/>
      <c r="AH54" s="2206"/>
      <c r="AI54" s="2206"/>
      <c r="AJ54" s="2206"/>
      <c r="AK54" s="2206"/>
      <c r="AL54" s="2206"/>
      <c r="AM54" s="2207"/>
      <c r="AN54" s="7383"/>
      <c r="AP54" s="718"/>
      <c r="AQ54" s="718"/>
      <c r="AR54" s="718"/>
      <c r="AS54" s="719">
        <v>1.43</v>
      </c>
      <c r="AT54" s="720" t="s">
        <v>636</v>
      </c>
      <c r="BQ54" s="6989" t="s">
        <v>650</v>
      </c>
      <c r="BR54" s="6822">
        <v>98.709193043687762</v>
      </c>
      <c r="BS54" s="6825">
        <v>99.068155973510756</v>
      </c>
      <c r="BT54" s="6825">
        <v>99.83</v>
      </c>
      <c r="BU54" s="6824">
        <v>100.18118732416113</v>
      </c>
      <c r="BV54" s="6824">
        <v>100.18258233928049</v>
      </c>
      <c r="BW54" s="1296">
        <v>100.3806325331841</v>
      </c>
      <c r="BX54" s="6823">
        <v>100.70524985861206</v>
      </c>
      <c r="BY54" s="6823">
        <v>100.61088200079817</v>
      </c>
      <c r="BZ54" s="6823">
        <v>100.27112703876352</v>
      </c>
      <c r="CA54" s="6823">
        <v>100.15607027380437</v>
      </c>
      <c r="CB54" s="6823">
        <v>100.46615565330576</v>
      </c>
      <c r="CC54" s="6990">
        <v>100.13871134113718</v>
      </c>
      <c r="CD54" s="6990">
        <v>100.2504384380867</v>
      </c>
      <c r="CE54" s="6823">
        <v>100.26117222159274</v>
      </c>
      <c r="CF54" s="6823">
        <v>100.32249771187051</v>
      </c>
      <c r="CG54" s="6823">
        <v>100.64747142115121</v>
      </c>
      <c r="CH54" s="6824">
        <v>0</v>
      </c>
      <c r="CI54" s="6995">
        <v>0</v>
      </c>
      <c r="CJ54" s="1336">
        <v>100.3806325331841</v>
      </c>
    </row>
    <row r="55" spans="1:88" ht="20.25" customHeight="1">
      <c r="A55" s="7180"/>
      <c r="B55" s="1980" t="s">
        <v>1112</v>
      </c>
      <c r="C55" s="1981" t="s">
        <v>452</v>
      </c>
      <c r="D55" s="2068"/>
      <c r="E55" s="2069"/>
      <c r="F55" s="2052">
        <f>'#1CCL'!H12</f>
        <v>60</v>
      </c>
      <c r="G55" s="2052">
        <f>'#1CCL'!I12</f>
        <v>58.59</v>
      </c>
      <c r="H55" s="2235">
        <v>5.56</v>
      </c>
      <c r="I55" s="4583">
        <f>'#1CCL'!K12</f>
        <v>13.93</v>
      </c>
      <c r="J55" s="4854">
        <f>'#1CCL'!L12</f>
        <v>10</v>
      </c>
      <c r="K55" s="3657">
        <f>'#1CCL'!M12</f>
        <v>0.83333333333333337</v>
      </c>
      <c r="L55" s="4585">
        <f>'#1CCL'!N12</f>
        <v>0</v>
      </c>
      <c r="M55" s="4583">
        <f>'#1CCL'!O12</f>
        <v>0</v>
      </c>
      <c r="N55" s="5297">
        <f>'#1CCL'!P12</f>
        <v>2</v>
      </c>
      <c r="O55" s="5247">
        <f>'#1CCL'!Q12</f>
        <v>0</v>
      </c>
      <c r="P55" s="5247">
        <f>'#1CCL'!R12</f>
        <v>0</v>
      </c>
      <c r="Q55" s="5297">
        <f>'#1CCL'!S12</f>
        <v>3.43</v>
      </c>
      <c r="R55" s="5297">
        <f>'#1CCL'!T12</f>
        <v>1.19</v>
      </c>
      <c r="S55" s="5247">
        <f>'#1CCL'!U12</f>
        <v>0</v>
      </c>
      <c r="T55" s="5247">
        <f>'#1CCL'!V12</f>
        <v>0</v>
      </c>
      <c r="U55" s="5247">
        <f>'#1CCL'!W12</f>
        <v>0</v>
      </c>
      <c r="V55" s="5892">
        <f>'#1CCL'!X12</f>
        <v>0</v>
      </c>
      <c r="W55" s="5703">
        <f>'#1CCL'!Y12</f>
        <v>0</v>
      </c>
      <c r="X55" s="6942">
        <f>'#1CCL'!Z12</f>
        <v>6.6199999999999992</v>
      </c>
      <c r="Y55" s="2214"/>
      <c r="Z55" s="2214"/>
      <c r="AA55" s="2214"/>
      <c r="AB55" s="2214"/>
      <c r="AC55" s="2214"/>
      <c r="AD55" s="2214"/>
      <c r="AE55" s="2206"/>
      <c r="AF55" s="2206"/>
      <c r="AG55" s="2206"/>
      <c r="AH55" s="2206"/>
      <c r="AI55" s="2206"/>
      <c r="AJ55" s="2206"/>
      <c r="AK55" s="2206"/>
      <c r="AL55" s="2206"/>
      <c r="AM55" s="2207"/>
      <c r="AN55" s="7383"/>
      <c r="BQ55" s="6989" t="s">
        <v>651</v>
      </c>
      <c r="BR55" s="6822">
        <v>100.05369360660397</v>
      </c>
      <c r="BS55" s="6825">
        <v>100.05700705029608</v>
      </c>
      <c r="BT55" s="6825">
        <v>100.32</v>
      </c>
      <c r="BU55" s="6824">
        <v>100.5338473118038</v>
      </c>
      <c r="BV55" s="6824">
        <v>100.40908537375219</v>
      </c>
      <c r="BW55" s="1296">
        <v>100.48416087822143</v>
      </c>
      <c r="BX55" s="6823">
        <v>100.36160945520129</v>
      </c>
      <c r="BY55" s="6823">
        <v>100.58263871021329</v>
      </c>
      <c r="BZ55" s="6823">
        <v>100.56326965082182</v>
      </c>
      <c r="CA55" s="6823">
        <v>100.51074275427105</v>
      </c>
      <c r="CB55" s="6823">
        <v>100.51921499650693</v>
      </c>
      <c r="CC55" s="6990">
        <v>100.52191401959753</v>
      </c>
      <c r="CD55" s="6990">
        <v>100.32393926352069</v>
      </c>
      <c r="CE55" s="6823">
        <v>100.58894527804263</v>
      </c>
      <c r="CF55" s="6823">
        <v>100.54621220361106</v>
      </c>
      <c r="CG55" s="6823">
        <v>100.50741609556901</v>
      </c>
      <c r="CH55" s="6824">
        <v>100.54005512330649</v>
      </c>
      <c r="CI55" s="6991">
        <v>100.28391724137056</v>
      </c>
      <c r="CJ55" s="1336">
        <v>100.48416087822143</v>
      </c>
    </row>
    <row r="56" spans="1:88" ht="20.25" customHeight="1" thickBot="1">
      <c r="A56" s="7180"/>
      <c r="B56" s="1980" t="s">
        <v>1113</v>
      </c>
      <c r="C56" s="1981" t="s">
        <v>452</v>
      </c>
      <c r="D56" s="2068"/>
      <c r="E56" s="2069"/>
      <c r="F56" s="2052">
        <f>'#2CCL'!H12</f>
        <v>62</v>
      </c>
      <c r="G56" s="2052">
        <f>'#2CCL'!I12</f>
        <v>110.32</v>
      </c>
      <c r="H56" s="2235">
        <v>2.89</v>
      </c>
      <c r="I56" s="4583">
        <f>'#2CCL'!K12</f>
        <v>20.137</v>
      </c>
      <c r="J56" s="4854">
        <f>'#2CCL'!L12</f>
        <v>11</v>
      </c>
      <c r="K56" s="3657">
        <f>'#2CCL'!M12</f>
        <v>0.91666666666666663</v>
      </c>
      <c r="L56" s="4585">
        <f>'#2CCL'!N12</f>
        <v>0</v>
      </c>
      <c r="M56" s="4583">
        <f>'#2CCL'!O12</f>
        <v>0</v>
      </c>
      <c r="N56" s="5247">
        <f>'#2CCL'!P12</f>
        <v>0</v>
      </c>
      <c r="O56" s="5247">
        <f>'#2CCL'!Q12</f>
        <v>0</v>
      </c>
      <c r="P56" s="5247">
        <f>'#2CCL'!R12</f>
        <v>0</v>
      </c>
      <c r="Q56" s="5247">
        <f>'#2CCL'!S12</f>
        <v>0</v>
      </c>
      <c r="R56" s="5247">
        <f>'#2CCL'!T12</f>
        <v>0</v>
      </c>
      <c r="S56" s="5247">
        <f>'#2CCL'!U12</f>
        <v>0</v>
      </c>
      <c r="T56" s="5247">
        <f>'#2CCL'!V12</f>
        <v>0</v>
      </c>
      <c r="U56" s="5247">
        <f>'#2CCL'!W12</f>
        <v>0</v>
      </c>
      <c r="V56" s="5892">
        <f>'#2CCL'!X12</f>
        <v>2.96</v>
      </c>
      <c r="W56" s="5703">
        <f>'#2CCL'!Y12</f>
        <v>0</v>
      </c>
      <c r="X56" s="6942">
        <f>'#2CCL'!Z12</f>
        <v>2.96</v>
      </c>
      <c r="Y56" s="2214"/>
      <c r="Z56" s="2214"/>
      <c r="AA56" s="2214"/>
      <c r="AB56" s="2214"/>
      <c r="AC56" s="2214"/>
      <c r="AD56" s="2214"/>
      <c r="AE56" s="2206"/>
      <c r="AF56" s="2206"/>
      <c r="AG56" s="2206"/>
      <c r="AH56" s="2206"/>
      <c r="AI56" s="2206"/>
      <c r="AJ56" s="2206"/>
      <c r="AK56" s="2206"/>
      <c r="AL56" s="2206"/>
      <c r="AM56" s="2207"/>
      <c r="AN56" s="7383"/>
      <c r="AO56" s="718"/>
      <c r="BQ56" s="6992" t="s">
        <v>652</v>
      </c>
      <c r="BR56" s="6993">
        <v>99.993385966617737</v>
      </c>
      <c r="BS56" s="6994">
        <v>99.508318971028757</v>
      </c>
      <c r="BT56" s="6994">
        <v>99.83</v>
      </c>
      <c r="BU56" s="2365">
        <v>100.34514607442676</v>
      </c>
      <c r="BV56" s="2365">
        <v>100.38300232567896</v>
      </c>
      <c r="BW56" s="1296">
        <v>100.57092906575997</v>
      </c>
      <c r="BX56" s="2367">
        <v>100.59846516807573</v>
      </c>
      <c r="BY56" s="2367">
        <v>100.55620773661629</v>
      </c>
      <c r="BZ56" s="2367">
        <v>100.35368585805324</v>
      </c>
      <c r="CA56" s="2367">
        <v>100.5912059359612</v>
      </c>
      <c r="CB56" s="2367">
        <v>100.52130332322756</v>
      </c>
      <c r="CC56" s="2449">
        <v>100.68479594360767</v>
      </c>
      <c r="CD56" s="2449">
        <v>100.52350452839909</v>
      </c>
      <c r="CE56" s="2449">
        <v>100.36078537940605</v>
      </c>
      <c r="CF56" s="2449">
        <v>100.64889629341603</v>
      </c>
      <c r="CG56" s="2449">
        <v>100.61824093822207</v>
      </c>
      <c r="CH56" s="2365">
        <v>100.61303473835905</v>
      </c>
      <c r="CI56" s="6984">
        <v>100.75045116319174</v>
      </c>
      <c r="CJ56" s="1336">
        <v>100.57092906575997</v>
      </c>
    </row>
    <row r="57" spans="1:88" ht="20.25" hidden="1" customHeight="1">
      <c r="A57" s="7180"/>
      <c r="B57" s="2970" t="s">
        <v>1116</v>
      </c>
      <c r="C57" s="1769"/>
      <c r="D57" s="2066"/>
      <c r="E57" s="2067"/>
      <c r="F57" s="2937"/>
      <c r="G57" s="2937"/>
      <c r="H57" s="2938"/>
      <c r="I57" s="4598">
        <v>88.485000000000014</v>
      </c>
      <c r="J57" s="3763"/>
      <c r="K57" s="3660"/>
      <c r="L57" s="4601">
        <v>0</v>
      </c>
      <c r="M57" s="4598">
        <v>0</v>
      </c>
      <c r="N57" s="4598">
        <v>0</v>
      </c>
      <c r="O57" s="4598">
        <v>0</v>
      </c>
      <c r="P57" s="4598">
        <v>0</v>
      </c>
      <c r="Q57" s="4598">
        <v>0</v>
      </c>
      <c r="R57" s="4598">
        <v>0</v>
      </c>
      <c r="S57" s="4598">
        <v>0</v>
      </c>
      <c r="T57" s="4598">
        <v>0</v>
      </c>
      <c r="U57" s="4598">
        <v>0</v>
      </c>
      <c r="V57" s="5085">
        <v>0</v>
      </c>
      <c r="W57" s="4605">
        <v>0</v>
      </c>
      <c r="X57" s="6948">
        <f>SUM(L57:W57)</f>
        <v>0</v>
      </c>
      <c r="Y57" s="2075"/>
      <c r="Z57" s="2215"/>
      <c r="AA57" s="2215"/>
      <c r="AB57" s="2215"/>
      <c r="AC57" s="2215"/>
      <c r="AD57" s="2215"/>
      <c r="AE57" s="2216"/>
      <c r="AF57" s="2216"/>
      <c r="AG57" s="2216"/>
      <c r="AH57" s="2216"/>
      <c r="AI57" s="2216"/>
      <c r="AJ57" s="2216"/>
      <c r="AK57" s="2216"/>
      <c r="AL57" s="2216"/>
      <c r="AM57" s="2217"/>
      <c r="AN57" s="7384"/>
      <c r="AO57" s="718"/>
      <c r="AP57" s="718"/>
      <c r="AQ57" s="718"/>
      <c r="AR57" s="718"/>
      <c r="AS57" s="2042"/>
      <c r="AT57" s="2043"/>
      <c r="AX57" s="2063"/>
      <c r="AY57" s="2078"/>
      <c r="AZ57" s="2079"/>
      <c r="BA57" s="2079"/>
      <c r="BB57" s="2079"/>
      <c r="CI57" s="732">
        <v>99.601770058959744</v>
      </c>
    </row>
    <row r="58" spans="1:88" ht="20.25" customHeight="1" thickBot="1">
      <c r="A58" s="7207"/>
      <c r="B58" s="2978" t="s">
        <v>16</v>
      </c>
      <c r="C58" s="2003" t="s">
        <v>452</v>
      </c>
      <c r="D58" s="2044"/>
      <c r="E58" s="2045"/>
      <c r="F58" s="2045">
        <f t="shared" ref="F58:K58" si="26">SUM(F52:F56)</f>
        <v>3233.0600000000004</v>
      </c>
      <c r="G58" s="2045">
        <f t="shared" si="26"/>
        <v>1815.9099999999999</v>
      </c>
      <c r="H58" s="2045">
        <f t="shared" si="26"/>
        <v>1031.932</v>
      </c>
      <c r="I58" s="3557">
        <f t="shared" si="26"/>
        <v>1067.3710000000001</v>
      </c>
      <c r="J58" s="4435">
        <f t="shared" si="26"/>
        <v>701.8</v>
      </c>
      <c r="K58" s="4855">
        <f t="shared" si="26"/>
        <v>69.83</v>
      </c>
      <c r="L58" s="4586">
        <f>SUM(L52:L57)</f>
        <v>37.11</v>
      </c>
      <c r="M58" s="5239">
        <f t="shared" ref="M58:X58" si="27">SUM(M52:M57)</f>
        <v>51.29</v>
      </c>
      <c r="N58" s="5239">
        <f t="shared" si="27"/>
        <v>68.569999999999993</v>
      </c>
      <c r="O58" s="5239">
        <f t="shared" si="27"/>
        <v>49.459999999999994</v>
      </c>
      <c r="P58" s="5239">
        <f t="shared" si="27"/>
        <v>48.281999999999996</v>
      </c>
      <c r="Q58" s="5239">
        <f t="shared" si="27"/>
        <v>55.839999999999996</v>
      </c>
      <c r="R58" s="5239">
        <f t="shared" si="27"/>
        <v>31.09</v>
      </c>
      <c r="S58" s="5239">
        <f t="shared" si="27"/>
        <v>105.803</v>
      </c>
      <c r="T58" s="5239">
        <f t="shared" si="27"/>
        <v>44.692</v>
      </c>
      <c r="U58" s="5239">
        <f t="shared" si="27"/>
        <v>70.8</v>
      </c>
      <c r="V58" s="5086">
        <f t="shared" si="27"/>
        <v>12.45</v>
      </c>
      <c r="W58" s="4589">
        <f t="shared" si="27"/>
        <v>24.91</v>
      </c>
      <c r="X58" s="4586">
        <f t="shared" si="27"/>
        <v>600.29700000000003</v>
      </c>
      <c r="Y58" s="2047"/>
      <c r="Z58" s="2047"/>
      <c r="AA58" s="2047"/>
      <c r="AB58" s="2047"/>
      <c r="AC58" s="2047"/>
      <c r="AD58" s="2047"/>
      <c r="AE58" s="2006"/>
      <c r="AF58" s="2006"/>
      <c r="AG58" s="2006"/>
      <c r="AH58" s="2006"/>
      <c r="AI58" s="2006"/>
      <c r="AJ58" s="2006"/>
      <c r="AK58" s="2006"/>
      <c r="AL58" s="2006"/>
      <c r="AM58" s="2007"/>
      <c r="AN58" s="2008"/>
      <c r="AO58" s="718"/>
      <c r="AP58" s="718"/>
      <c r="AQ58" s="718"/>
      <c r="AR58" s="718"/>
      <c r="AS58" s="2042"/>
      <c r="AT58" s="2043"/>
      <c r="AX58" s="2063"/>
      <c r="AY58" s="2078"/>
      <c r="AZ58" s="2079"/>
      <c r="BA58" s="2079"/>
      <c r="BB58" s="2079"/>
    </row>
    <row r="59" spans="1:88" ht="20.25" customHeight="1" thickBot="1">
      <c r="A59" s="7353" t="s">
        <v>1352</v>
      </c>
      <c r="B59" s="7354"/>
      <c r="C59" s="1972" t="s">
        <v>452</v>
      </c>
      <c r="D59" s="2990"/>
      <c r="E59" s="2570"/>
      <c r="F59" s="2570">
        <f t="shared" ref="F59:X59" si="28">F51+F58</f>
        <v>5160.7070000000003</v>
      </c>
      <c r="G59" s="2570">
        <f t="shared" si="28"/>
        <v>2464.98</v>
      </c>
      <c r="H59" s="2570">
        <f t="shared" si="28"/>
        <v>1608.693</v>
      </c>
      <c r="I59" s="2876">
        <f t="shared" si="28"/>
        <v>1323.2280000000001</v>
      </c>
      <c r="J59" s="4856">
        <f t="shared" si="28"/>
        <v>924.14618181818173</v>
      </c>
      <c r="K59" s="4857">
        <f t="shared" si="28"/>
        <v>89.658848484848477</v>
      </c>
      <c r="L59" s="2996">
        <f t="shared" si="28"/>
        <v>70.322000000000003</v>
      </c>
      <c r="M59" s="2876">
        <f t="shared" si="28"/>
        <v>64.539000000000001</v>
      </c>
      <c r="N59" s="2876">
        <f t="shared" si="28"/>
        <v>111.50999999999999</v>
      </c>
      <c r="O59" s="2876">
        <f t="shared" si="28"/>
        <v>73.018000000000001</v>
      </c>
      <c r="P59" s="2876">
        <f t="shared" si="28"/>
        <v>85.221999999999994</v>
      </c>
      <c r="Q59" s="2876">
        <f t="shared" si="28"/>
        <v>75.177999999999997</v>
      </c>
      <c r="R59" s="2876">
        <f t="shared" si="28"/>
        <v>62.766000000000005</v>
      </c>
      <c r="S59" s="2876">
        <f t="shared" si="28"/>
        <v>129.31299999999999</v>
      </c>
      <c r="T59" s="2876">
        <f t="shared" si="28"/>
        <v>77.111999999999995</v>
      </c>
      <c r="U59" s="2876">
        <f t="shared" si="28"/>
        <v>96.396000000000001</v>
      </c>
      <c r="V59" s="5087">
        <f t="shared" si="28"/>
        <v>47.2</v>
      </c>
      <c r="W59" s="4606">
        <f t="shared" si="28"/>
        <v>50.305</v>
      </c>
      <c r="X59" s="4602">
        <f t="shared" si="28"/>
        <v>942.88099999999997</v>
      </c>
      <c r="Y59" s="2991"/>
      <c r="Z59" s="2991"/>
      <c r="AA59" s="2991"/>
      <c r="AB59" s="2991"/>
      <c r="AC59" s="2991"/>
      <c r="AD59" s="2991"/>
      <c r="AE59" s="1978"/>
      <c r="AF59" s="1978"/>
      <c r="AG59" s="1978"/>
      <c r="AH59" s="1978"/>
      <c r="AI59" s="1978"/>
      <c r="AJ59" s="1978"/>
      <c r="AK59" s="1978"/>
      <c r="AL59" s="1978"/>
      <c r="AM59" s="2992"/>
      <c r="AN59" s="1979"/>
      <c r="AO59" s="5721">
        <f>(CPL!Z10+X59+X63+X69+X75)*1000/년간!V13</f>
        <v>11.755512714567434</v>
      </c>
      <c r="AP59" s="718"/>
      <c r="AQ59" s="718"/>
      <c r="AR59" s="718"/>
      <c r="AS59" s="2042"/>
      <c r="AT59" s="2043"/>
      <c r="AX59" s="2979"/>
      <c r="AY59" s="2078"/>
      <c r="AZ59" s="2079"/>
      <c r="BA59" s="2079"/>
      <c r="BB59" s="2079"/>
    </row>
    <row r="60" spans="1:88" ht="20.25" customHeight="1">
      <c r="A60" s="7179" t="s">
        <v>1114</v>
      </c>
      <c r="B60" s="2971" t="s">
        <v>1094</v>
      </c>
      <c r="C60" s="1223" t="s">
        <v>1097</v>
      </c>
      <c r="D60" s="2064"/>
      <c r="E60" s="2065"/>
      <c r="F60" s="2250"/>
      <c r="G60" s="2250"/>
      <c r="H60" s="2251"/>
      <c r="I60" s="3558">
        <f>CGL!K13</f>
        <v>467.16800000000006</v>
      </c>
      <c r="J60" s="2994">
        <f>CGL!L13</f>
        <v>150</v>
      </c>
      <c r="K60" s="4858">
        <f>J60/10</f>
        <v>15</v>
      </c>
      <c r="L60" s="2098">
        <f>CGL!N13</f>
        <v>30.21</v>
      </c>
      <c r="M60" s="2072">
        <f>CGL!O13</f>
        <v>4.82</v>
      </c>
      <c r="N60" s="5298">
        <f>CGL!P13</f>
        <v>41</v>
      </c>
      <c r="O60" s="5298">
        <f>CGL!Q13</f>
        <v>34.29</v>
      </c>
      <c r="P60" s="5706">
        <f>CGL!R13</f>
        <v>9.74</v>
      </c>
      <c r="Q60" s="5706">
        <f>CGL!S13</f>
        <v>6.04</v>
      </c>
      <c r="R60" s="5298">
        <f>CGL!T13</f>
        <v>43.269999999999996</v>
      </c>
      <c r="S60" s="5298">
        <f>CGL!U13</f>
        <v>53</v>
      </c>
      <c r="T60" s="5298">
        <f>CGL!V13</f>
        <v>27.3</v>
      </c>
      <c r="U60" s="2072">
        <f>CGL!W13</f>
        <v>47.28</v>
      </c>
      <c r="V60" s="6844">
        <f>CGL!X13</f>
        <v>34.113</v>
      </c>
      <c r="W60" s="6694">
        <f>CGL!Y13</f>
        <v>23.15</v>
      </c>
      <c r="X60" s="6949">
        <f>CGL!Z13</f>
        <v>354.21300000000002</v>
      </c>
      <c r="Y60" s="2218"/>
      <c r="Z60" s="2218"/>
      <c r="AA60" s="2218"/>
      <c r="AB60" s="2218"/>
      <c r="AC60" s="2218"/>
      <c r="AD60" s="2218"/>
      <c r="AE60" s="2219"/>
      <c r="AF60" s="2219"/>
      <c r="AG60" s="2219"/>
      <c r="AH60" s="2219"/>
      <c r="AI60" s="2219"/>
      <c r="AJ60" s="2219"/>
      <c r="AK60" s="2219"/>
      <c r="AL60" s="2219"/>
      <c r="AM60" s="2220"/>
      <c r="AN60" s="7383" t="s">
        <v>1127</v>
      </c>
      <c r="AO60" s="5722"/>
      <c r="AP60" s="718"/>
      <c r="AQ60" s="718"/>
      <c r="AR60" s="718"/>
      <c r="AS60" s="2042"/>
      <c r="AT60" s="2043"/>
      <c r="AY60" s="2968"/>
      <c r="AZ60" s="2079"/>
      <c r="BA60" s="2079"/>
      <c r="BB60" s="2079"/>
    </row>
    <row r="61" spans="1:88" ht="20.25" customHeight="1">
      <c r="A61" s="7180"/>
      <c r="B61" s="1980" t="s">
        <v>1095</v>
      </c>
      <c r="C61" s="1981" t="s">
        <v>1097</v>
      </c>
      <c r="D61" s="2048"/>
      <c r="E61" s="1947"/>
      <c r="F61" s="2252"/>
      <c r="G61" s="2252"/>
      <c r="H61" s="2325"/>
      <c r="I61" s="4846">
        <f>'#1CCL'!K16</f>
        <v>201.822</v>
      </c>
      <c r="J61" s="4437">
        <f>'#1CCL'!L16</f>
        <v>187.93409119863321</v>
      </c>
      <c r="K61" s="4859">
        <f>J61/12</f>
        <v>15.661174266552768</v>
      </c>
      <c r="L61" s="4585">
        <f>'#1CCL'!N16</f>
        <v>0</v>
      </c>
      <c r="M61" s="4583">
        <f>'#1CCL'!O16</f>
        <v>0</v>
      </c>
      <c r="N61" s="5297">
        <f>'#1CCL'!P16</f>
        <v>31.02</v>
      </c>
      <c r="O61" s="5297">
        <f>'#1CCL'!Q16</f>
        <v>13.83</v>
      </c>
      <c r="P61" s="5247">
        <f>'#1CCL'!R16</f>
        <v>0</v>
      </c>
      <c r="Q61" s="5247">
        <f>'#1CCL'!S16</f>
        <v>8.74</v>
      </c>
      <c r="R61" s="5247">
        <f>'#1CCL'!T16</f>
        <v>6.46</v>
      </c>
      <c r="S61" s="5297">
        <f>'#1CCL'!U16</f>
        <v>26.853999999999999</v>
      </c>
      <c r="T61" s="5297">
        <f>'#1CCL'!V16</f>
        <v>46.933000000000007</v>
      </c>
      <c r="U61" s="4583">
        <f>'#1CCL'!W16</f>
        <v>10.412000000000001</v>
      </c>
      <c r="V61" s="5892">
        <f>'#1CCL'!X16</f>
        <v>60.631999999999998</v>
      </c>
      <c r="W61" s="5703">
        <f>'#1CCL'!Y16</f>
        <v>17.620000000000005</v>
      </c>
      <c r="X61" s="6942">
        <f>'#1CCL'!Z16</f>
        <v>222.501</v>
      </c>
      <c r="Y61" s="4593"/>
      <c r="Z61" s="2214"/>
      <c r="AA61" s="2214"/>
      <c r="AB61" s="2214"/>
      <c r="AC61" s="2214"/>
      <c r="AD61" s="2214"/>
      <c r="AE61" s="2206"/>
      <c r="AF61" s="2206"/>
      <c r="AG61" s="2206"/>
      <c r="AH61" s="2206"/>
      <c r="AI61" s="2206"/>
      <c r="AJ61" s="2206"/>
      <c r="AK61" s="2206"/>
      <c r="AL61" s="2206"/>
      <c r="AM61" s="2207"/>
      <c r="AN61" s="7383"/>
      <c r="AO61" s="718"/>
      <c r="AP61" s="718"/>
      <c r="AQ61" s="718"/>
      <c r="AR61" s="718"/>
      <c r="AS61" s="2042"/>
      <c r="AT61" s="2043"/>
      <c r="AY61" s="2968"/>
      <c r="AZ61" s="2079"/>
      <c r="BA61" s="2079"/>
      <c r="BB61" s="2079"/>
    </row>
    <row r="62" spans="1:88" ht="20.25" customHeight="1">
      <c r="A62" s="7180"/>
      <c r="B62" s="1980" t="s">
        <v>1096</v>
      </c>
      <c r="C62" s="1981" t="s">
        <v>1097</v>
      </c>
      <c r="D62" s="2048"/>
      <c r="E62" s="1947"/>
      <c r="F62" s="2252"/>
      <c r="G62" s="2252"/>
      <c r="H62" s="2325"/>
      <c r="I62" s="4846">
        <f>'#2CCL'!K16</f>
        <v>151.458</v>
      </c>
      <c r="J62" s="4437">
        <f>'#2CCL'!L16</f>
        <v>120</v>
      </c>
      <c r="K62" s="4859">
        <f>J62/12</f>
        <v>10</v>
      </c>
      <c r="L62" s="4585">
        <f>'#2CCL'!N16</f>
        <v>6.8999999999999995</v>
      </c>
      <c r="M62" s="4583">
        <f>'#2CCL'!O16</f>
        <v>18.64</v>
      </c>
      <c r="N62" s="5297">
        <f>'#2CCL'!P16</f>
        <v>22.5</v>
      </c>
      <c r="O62" s="5297">
        <f>'#2CCL'!Q16</f>
        <v>7.17</v>
      </c>
      <c r="P62" s="5247">
        <f>'#2CCL'!R16</f>
        <v>0</v>
      </c>
      <c r="Q62" s="5247">
        <f>'#2CCL'!S16</f>
        <v>0</v>
      </c>
      <c r="R62" s="5247">
        <f>'#2CCL'!T16</f>
        <v>1.1399999999999999</v>
      </c>
      <c r="S62" s="5247">
        <f>'#2CCL'!U16</f>
        <v>6.72</v>
      </c>
      <c r="T62" s="5247">
        <f>'#2CCL'!V16</f>
        <v>7.47</v>
      </c>
      <c r="U62" s="4583">
        <f>'#2CCL'!W16</f>
        <v>0</v>
      </c>
      <c r="V62" s="5892">
        <f>'#2CCL'!X16</f>
        <v>3.26</v>
      </c>
      <c r="W62" s="5703">
        <f>'#2CCL'!Y16</f>
        <v>12.9</v>
      </c>
      <c r="X62" s="6950">
        <f>'#2CCL'!Z16</f>
        <v>86.700000000000017</v>
      </c>
      <c r="Y62" s="4594"/>
      <c r="Z62" s="2214"/>
      <c r="AA62" s="2214"/>
      <c r="AB62" s="2214"/>
      <c r="AC62" s="2214"/>
      <c r="AD62" s="2214"/>
      <c r="AE62" s="2206"/>
      <c r="AF62" s="2206"/>
      <c r="AG62" s="2206"/>
      <c r="AH62" s="2206"/>
      <c r="AI62" s="2206"/>
      <c r="AJ62" s="2206"/>
      <c r="AK62" s="2206"/>
      <c r="AL62" s="2206"/>
      <c r="AM62" s="2207"/>
      <c r="AN62" s="7384"/>
      <c r="AO62" s="718"/>
      <c r="AP62" s="718"/>
      <c r="AQ62" s="718"/>
      <c r="AR62" s="718"/>
      <c r="AS62" s="2042"/>
      <c r="AT62" s="2043"/>
      <c r="AY62" s="2968"/>
      <c r="AZ62" s="2079"/>
      <c r="BA62" s="2079"/>
      <c r="BB62" s="2079"/>
    </row>
    <row r="63" spans="1:88" ht="20.25" customHeight="1" thickBot="1">
      <c r="A63" s="7207"/>
      <c r="B63" s="2978" t="s">
        <v>1098</v>
      </c>
      <c r="C63" s="2003" t="s">
        <v>1099</v>
      </c>
      <c r="D63" s="2044"/>
      <c r="E63" s="2045"/>
      <c r="F63" s="2045"/>
      <c r="G63" s="2045"/>
      <c r="H63" s="2046"/>
      <c r="I63" s="2436">
        <f>SUM(I60:I62)</f>
        <v>820.44799999999998</v>
      </c>
      <c r="J63" s="4860">
        <f>SUM(J60:J62)</f>
        <v>457.93409119863321</v>
      </c>
      <c r="K63" s="4855">
        <f>J63/12</f>
        <v>38.16117426655277</v>
      </c>
      <c r="L63" s="4586">
        <f>SUM(L60:L62)</f>
        <v>37.11</v>
      </c>
      <c r="M63" s="5239">
        <f>SUM(M60:M62)</f>
        <v>23.46</v>
      </c>
      <c r="N63" s="5239">
        <f t="shared" ref="N63:W63" si="29">SUM(N60:N62)</f>
        <v>94.52</v>
      </c>
      <c r="O63" s="5239">
        <f t="shared" si="29"/>
        <v>55.29</v>
      </c>
      <c r="P63" s="5239">
        <f t="shared" si="29"/>
        <v>9.74</v>
      </c>
      <c r="Q63" s="5239">
        <f t="shared" si="29"/>
        <v>14.780000000000001</v>
      </c>
      <c r="R63" s="5239">
        <f t="shared" si="29"/>
        <v>50.87</v>
      </c>
      <c r="S63" s="5239">
        <f t="shared" si="29"/>
        <v>86.573999999999998</v>
      </c>
      <c r="T63" s="5239">
        <f t="shared" si="29"/>
        <v>81.703000000000003</v>
      </c>
      <c r="U63" s="5239">
        <f t="shared" si="29"/>
        <v>57.692</v>
      </c>
      <c r="V63" s="5086">
        <f t="shared" si="29"/>
        <v>98.00500000000001</v>
      </c>
      <c r="W63" s="4589">
        <f t="shared" si="29"/>
        <v>53.67</v>
      </c>
      <c r="X63" s="6689">
        <f>SUM(X60:X62)</f>
        <v>663.4140000000001</v>
      </c>
      <c r="Y63" s="2047"/>
      <c r="Z63" s="2047"/>
      <c r="AA63" s="2047"/>
      <c r="AB63" s="2047"/>
      <c r="AC63" s="2047"/>
      <c r="AD63" s="2047"/>
      <c r="AE63" s="2006"/>
      <c r="AF63" s="2006"/>
      <c r="AG63" s="2006"/>
      <c r="AH63" s="2006"/>
      <c r="AI63" s="2006"/>
      <c r="AJ63" s="2006"/>
      <c r="AK63" s="2006"/>
      <c r="AL63" s="2006"/>
      <c r="AM63" s="2007"/>
      <c r="AN63" s="2008"/>
      <c r="AO63" s="718"/>
      <c r="AP63" s="718"/>
      <c r="AQ63" s="718"/>
      <c r="AR63" s="718"/>
      <c r="AS63" s="2042"/>
      <c r="AT63" s="2043"/>
      <c r="AY63" s="2968"/>
      <c r="AZ63" s="2079"/>
      <c r="BA63" s="2079"/>
      <c r="BB63" s="2079"/>
    </row>
    <row r="64" spans="1:88" ht="20.25" customHeight="1">
      <c r="A64" s="7179" t="s">
        <v>1115</v>
      </c>
      <c r="B64" s="2973" t="s">
        <v>39</v>
      </c>
      <c r="C64" s="1225" t="s">
        <v>1097</v>
      </c>
      <c r="D64" s="2049"/>
      <c r="E64" s="2050"/>
      <c r="F64" s="2253"/>
      <c r="G64" s="2253"/>
      <c r="H64" s="2254"/>
      <c r="I64" s="3558">
        <f>CPL!K13</f>
        <v>24.68</v>
      </c>
      <c r="J64" s="2995">
        <f>CPL!L13</f>
        <v>15</v>
      </c>
      <c r="K64" s="4861">
        <f>J64/10</f>
        <v>1.5</v>
      </c>
      <c r="L64" s="2081">
        <f>CPL!N13</f>
        <v>0</v>
      </c>
      <c r="M64" s="1854">
        <f>CPL!O13</f>
        <v>0</v>
      </c>
      <c r="N64" s="5299">
        <f>CPL!P13</f>
        <v>0</v>
      </c>
      <c r="O64" s="1854">
        <f>CPL!Q13</f>
        <v>0</v>
      </c>
      <c r="P64" s="5299">
        <f>CPL!R13</f>
        <v>0</v>
      </c>
      <c r="Q64" s="5299">
        <f>CPL!S13</f>
        <v>0</v>
      </c>
      <c r="R64" s="5560">
        <f>CPL!T13</f>
        <v>20.46</v>
      </c>
      <c r="S64" s="1854">
        <f>CPL!U13</f>
        <v>0</v>
      </c>
      <c r="T64" s="5560">
        <f>CPL!V13</f>
        <v>20.29</v>
      </c>
      <c r="U64" s="1854">
        <f>CPL!W13</f>
        <v>13.260000000000002</v>
      </c>
      <c r="V64" s="6098">
        <f>CPL!X13</f>
        <v>0</v>
      </c>
      <c r="W64" s="5882">
        <f>CPL!Y13</f>
        <v>0</v>
      </c>
      <c r="X64" s="6951">
        <f>CPL!Z13</f>
        <v>54.010000000000005</v>
      </c>
      <c r="Y64" s="2211"/>
      <c r="Z64" s="2211"/>
      <c r="AA64" s="2211"/>
      <c r="AB64" s="2211"/>
      <c r="AC64" s="2211"/>
      <c r="AD64" s="2211"/>
      <c r="AE64" s="2212"/>
      <c r="AF64" s="2212"/>
      <c r="AG64" s="2212"/>
      <c r="AH64" s="2212"/>
      <c r="AI64" s="2212"/>
      <c r="AJ64" s="2212"/>
      <c r="AK64" s="2212"/>
      <c r="AL64" s="2212"/>
      <c r="AM64" s="2213"/>
      <c r="AN64" s="7379" t="s">
        <v>1126</v>
      </c>
      <c r="AO64" s="718"/>
      <c r="AP64" s="718"/>
      <c r="AQ64" s="718"/>
      <c r="AR64" s="718"/>
      <c r="AS64" s="2042"/>
      <c r="AT64" s="2043"/>
      <c r="AY64" s="2968"/>
      <c r="AZ64" s="2079"/>
      <c r="BA64" s="2079"/>
      <c r="BB64" s="2079"/>
    </row>
    <row r="65" spans="1:65" ht="20.25" hidden="1" customHeight="1">
      <c r="A65" s="7180"/>
      <c r="B65" s="2975" t="s">
        <v>42</v>
      </c>
      <c r="C65" s="2321" t="s">
        <v>1097</v>
      </c>
      <c r="D65" s="2322"/>
      <c r="E65" s="2323"/>
      <c r="F65" s="2324"/>
      <c r="G65" s="2324"/>
      <c r="H65" s="2325"/>
      <c r="I65" s="4847"/>
      <c r="J65" s="4862"/>
      <c r="K65" s="4863"/>
      <c r="L65" s="4585">
        <v>0</v>
      </c>
      <c r="M65" s="4583">
        <v>0</v>
      </c>
      <c r="N65" s="5247">
        <v>0</v>
      </c>
      <c r="O65" s="4583">
        <v>0</v>
      </c>
      <c r="P65" s="5247">
        <v>0</v>
      </c>
      <c r="Q65" s="5247">
        <v>0</v>
      </c>
      <c r="R65" s="4583">
        <v>0</v>
      </c>
      <c r="S65" s="4583">
        <v>0</v>
      </c>
      <c r="T65" s="5297">
        <v>0</v>
      </c>
      <c r="U65" s="4583">
        <v>0</v>
      </c>
      <c r="V65" s="5892">
        <v>0</v>
      </c>
      <c r="W65" s="5703">
        <v>0</v>
      </c>
      <c r="X65" s="6950">
        <v>0</v>
      </c>
      <c r="Y65" s="2326"/>
      <c r="Z65" s="2326"/>
      <c r="AA65" s="2326"/>
      <c r="AB65" s="2326"/>
      <c r="AC65" s="2326"/>
      <c r="AD65" s="2326"/>
      <c r="AE65" s="2327"/>
      <c r="AF65" s="2327"/>
      <c r="AG65" s="2327"/>
      <c r="AH65" s="2327"/>
      <c r="AI65" s="2327"/>
      <c r="AJ65" s="2327"/>
      <c r="AK65" s="2327"/>
      <c r="AL65" s="2327"/>
      <c r="AM65" s="2328"/>
      <c r="AN65" s="7380"/>
      <c r="AO65" s="718"/>
      <c r="AP65" s="718"/>
      <c r="AQ65" s="718"/>
      <c r="AR65" s="718"/>
      <c r="AS65" s="2042"/>
      <c r="AT65" s="2043"/>
      <c r="AX65" s="2063"/>
      <c r="AY65" s="2078"/>
      <c r="AZ65" s="2079"/>
      <c r="BA65" s="2079"/>
      <c r="BB65" s="2079"/>
    </row>
    <row r="66" spans="1:65" ht="20.25" customHeight="1">
      <c r="A66" s="7180"/>
      <c r="B66" s="2975" t="s">
        <v>1130</v>
      </c>
      <c r="C66" s="2321" t="s">
        <v>1097</v>
      </c>
      <c r="D66" s="2322"/>
      <c r="E66" s="2323"/>
      <c r="F66" s="2324"/>
      <c r="G66" s="2324"/>
      <c r="H66" s="2325"/>
      <c r="I66" s="4846">
        <f>CGL!K12</f>
        <v>307.38</v>
      </c>
      <c r="J66" s="4437">
        <f>CGL!L12</f>
        <v>100</v>
      </c>
      <c r="K66" s="4859">
        <f>J66/10</f>
        <v>10</v>
      </c>
      <c r="L66" s="4585">
        <f>CGL!N12</f>
        <v>0</v>
      </c>
      <c r="M66" s="4583">
        <f>CGL!O12</f>
        <v>14.82</v>
      </c>
      <c r="N66" s="5247">
        <f>CGL!P12</f>
        <v>4.26</v>
      </c>
      <c r="O66" s="4583">
        <f>CGL!Q12</f>
        <v>0</v>
      </c>
      <c r="P66" s="5247">
        <f>CGL!R12</f>
        <v>0</v>
      </c>
      <c r="Q66" s="5247">
        <f>CGL!S12</f>
        <v>0</v>
      </c>
      <c r="R66" s="5247">
        <f>CGL!T12</f>
        <v>0</v>
      </c>
      <c r="S66" s="4583">
        <f>CGL!U12</f>
        <v>3</v>
      </c>
      <c r="T66" s="5297">
        <f>CGL!V12</f>
        <v>110.86</v>
      </c>
      <c r="U66" s="4583">
        <f>CGL!W12</f>
        <v>3.88</v>
      </c>
      <c r="V66" s="5892">
        <f>CGL!X12</f>
        <v>0</v>
      </c>
      <c r="W66" s="5703">
        <f>CGL!Y12</f>
        <v>28.864000000000001</v>
      </c>
      <c r="X66" s="6950">
        <f>CGL!Z12</f>
        <v>165.684</v>
      </c>
      <c r="Y66" s="2326"/>
      <c r="Z66" s="2326"/>
      <c r="AA66" s="2326"/>
      <c r="AB66" s="2326"/>
      <c r="AC66" s="2326"/>
      <c r="AD66" s="2326"/>
      <c r="AE66" s="2327"/>
      <c r="AF66" s="2327"/>
      <c r="AG66" s="2327"/>
      <c r="AH66" s="2327"/>
      <c r="AI66" s="2327"/>
      <c r="AJ66" s="2327"/>
      <c r="AK66" s="2327"/>
      <c r="AL66" s="2327"/>
      <c r="AM66" s="2328"/>
      <c r="AN66" s="7381"/>
      <c r="AO66" s="718"/>
      <c r="AP66" s="718"/>
      <c r="AQ66" s="718"/>
      <c r="AR66" s="718"/>
      <c r="AS66" s="2042"/>
      <c r="AT66" s="2043"/>
      <c r="AX66" s="2063"/>
      <c r="AY66" s="2078"/>
      <c r="AZ66" s="2079"/>
      <c r="BA66" s="2079"/>
      <c r="BB66" s="2079"/>
    </row>
    <row r="67" spans="1:65" ht="20.25" customHeight="1">
      <c r="A67" s="7180"/>
      <c r="B67" s="2975" t="s">
        <v>1131</v>
      </c>
      <c r="C67" s="2321" t="s">
        <v>1097</v>
      </c>
      <c r="D67" s="2322"/>
      <c r="E67" s="2323"/>
      <c r="F67" s="2324"/>
      <c r="G67" s="2324"/>
      <c r="H67" s="2325"/>
      <c r="I67" s="4846">
        <f>'#1CCL'!K15</f>
        <v>81.070000000000007</v>
      </c>
      <c r="J67" s="4437">
        <f>'#1CCL'!L15</f>
        <v>70.75200000000001</v>
      </c>
      <c r="K67" s="4859">
        <f>J67/12</f>
        <v>5.8960000000000008</v>
      </c>
      <c r="L67" s="4585">
        <f>'#1CCL'!N15</f>
        <v>26.77</v>
      </c>
      <c r="M67" s="4583">
        <f>'#1CCL'!O15</f>
        <v>0</v>
      </c>
      <c r="N67" s="5247">
        <f>'#1CCL'!P15</f>
        <v>0</v>
      </c>
      <c r="O67" s="5297">
        <f>'#1CCL'!Q15</f>
        <v>8.3800000000000008</v>
      </c>
      <c r="P67" s="5247">
        <f>'#1CCL'!R15</f>
        <v>0</v>
      </c>
      <c r="Q67" s="5247">
        <f>'#1CCL'!S15</f>
        <v>0</v>
      </c>
      <c r="R67" s="5247">
        <f>'#1CCL'!T15</f>
        <v>0</v>
      </c>
      <c r="S67" s="4583">
        <f>'#1CCL'!U15</f>
        <v>0</v>
      </c>
      <c r="T67" s="4583">
        <f>'#1CCL'!V15</f>
        <v>0</v>
      </c>
      <c r="U67" s="4583">
        <f>'#1CCL'!W15</f>
        <v>0</v>
      </c>
      <c r="V67" s="5892">
        <f>'#1CCL'!X15</f>
        <v>0</v>
      </c>
      <c r="W67" s="5703">
        <f>'#1CCL'!Y15</f>
        <v>8.5510000000000002</v>
      </c>
      <c r="X67" s="6950">
        <f>'#1CCL'!Z15</f>
        <v>43.701000000000001</v>
      </c>
      <c r="Y67" s="2326"/>
      <c r="Z67" s="2326"/>
      <c r="AA67" s="2326"/>
      <c r="AB67" s="2326"/>
      <c r="AC67" s="2326"/>
      <c r="AD67" s="2326"/>
      <c r="AE67" s="2327"/>
      <c r="AF67" s="2327"/>
      <c r="AG67" s="2327"/>
      <c r="AH67" s="2327"/>
      <c r="AI67" s="2327"/>
      <c r="AJ67" s="2327"/>
      <c r="AK67" s="2327"/>
      <c r="AL67" s="2327"/>
      <c r="AM67" s="2328"/>
      <c r="AN67" s="1985" t="s">
        <v>1143</v>
      </c>
      <c r="AO67" s="718"/>
      <c r="AP67" s="718"/>
      <c r="AQ67" s="718"/>
      <c r="AR67" s="718"/>
      <c r="AS67" s="2042"/>
      <c r="AT67" s="2043"/>
      <c r="AX67" s="2063"/>
      <c r="AY67" s="2078"/>
      <c r="AZ67" s="2079"/>
      <c r="BA67" s="2079"/>
      <c r="BB67" s="2079"/>
    </row>
    <row r="68" spans="1:65" ht="20.25" customHeight="1">
      <c r="A68" s="7180"/>
      <c r="B68" s="2975" t="s">
        <v>786</v>
      </c>
      <c r="C68" s="2321" t="s">
        <v>1097</v>
      </c>
      <c r="D68" s="2322"/>
      <c r="E68" s="2323"/>
      <c r="F68" s="2324"/>
      <c r="G68" s="2324"/>
      <c r="H68" s="2325"/>
      <c r="I68" s="4846">
        <f>'#2CCL'!K15</f>
        <v>211.26499999999999</v>
      </c>
      <c r="J68" s="4437">
        <f>'#2CCL'!L15</f>
        <v>144</v>
      </c>
      <c r="K68" s="4859">
        <f>J68/12</f>
        <v>12</v>
      </c>
      <c r="L68" s="4585">
        <f>'#2CCL'!N15</f>
        <v>0</v>
      </c>
      <c r="M68" s="4583">
        <f>'#2CCL'!O15</f>
        <v>12.75</v>
      </c>
      <c r="N68" s="5247">
        <f>'#2CCL'!P15</f>
        <v>0</v>
      </c>
      <c r="O68" s="4583">
        <f>'#2CCL'!Q15</f>
        <v>0</v>
      </c>
      <c r="P68" s="5247">
        <f>'#2CCL'!R15</f>
        <v>0</v>
      </c>
      <c r="Q68" s="5247">
        <f>'#2CCL'!S15</f>
        <v>0</v>
      </c>
      <c r="R68" s="5247">
        <f>'#2CCL'!T15</f>
        <v>0</v>
      </c>
      <c r="S68" s="4583">
        <f>'#2CCL'!U15</f>
        <v>0</v>
      </c>
      <c r="T68" s="4583">
        <f>'#2CCL'!V15</f>
        <v>0</v>
      </c>
      <c r="U68" s="4583">
        <f>'#2CCL'!W15</f>
        <v>0</v>
      </c>
      <c r="V68" s="5892">
        <f>'#2CCL'!X15</f>
        <v>0</v>
      </c>
      <c r="W68" s="5703">
        <f>'#2CCL'!Y15</f>
        <v>0.91</v>
      </c>
      <c r="X68" s="6950">
        <f>'#2CCL'!Z15</f>
        <v>13.66</v>
      </c>
      <c r="Y68" s="2326"/>
      <c r="Z68" s="2326"/>
      <c r="AA68" s="2326"/>
      <c r="AB68" s="2326"/>
      <c r="AC68" s="2326"/>
      <c r="AD68" s="2326"/>
      <c r="AE68" s="2327"/>
      <c r="AF68" s="2327"/>
      <c r="AG68" s="2327"/>
      <c r="AH68" s="2327"/>
      <c r="AI68" s="2327"/>
      <c r="AJ68" s="2327"/>
      <c r="AK68" s="2327"/>
      <c r="AL68" s="2327"/>
      <c r="AM68" s="2328"/>
      <c r="AN68" s="1985" t="s">
        <v>1144</v>
      </c>
      <c r="AO68" s="718"/>
      <c r="AP68" s="718"/>
      <c r="AQ68" s="718"/>
      <c r="AR68" s="718"/>
      <c r="AS68" s="2042"/>
      <c r="AT68" s="2043"/>
      <c r="AX68" s="2063"/>
      <c r="AY68" s="2078"/>
      <c r="AZ68" s="2079"/>
      <c r="BA68" s="2079"/>
      <c r="BB68" s="2079"/>
    </row>
    <row r="69" spans="1:65" ht="20.25" customHeight="1" thickBot="1">
      <c r="A69" s="7207"/>
      <c r="B69" s="2056" t="s">
        <v>1098</v>
      </c>
      <c r="C69" s="1987" t="s">
        <v>1099</v>
      </c>
      <c r="D69" s="1999"/>
      <c r="E69" s="1948"/>
      <c r="F69" s="1948"/>
      <c r="G69" s="1948"/>
      <c r="H69" s="2436"/>
      <c r="I69" s="2436">
        <f>SUM(I64:I68)</f>
        <v>624.39499999999998</v>
      </c>
      <c r="J69" s="1956">
        <f>SUM(J64:J68)</f>
        <v>329.75200000000001</v>
      </c>
      <c r="K69" s="4864">
        <f>SUM(K64:K68)</f>
        <v>29.396000000000001</v>
      </c>
      <c r="L69" s="2234">
        <f>SUM(L64:L68)</f>
        <v>26.77</v>
      </c>
      <c r="M69" s="2358">
        <f>SUM(M64:M68)</f>
        <v>27.57</v>
      </c>
      <c r="N69" s="2358">
        <f t="shared" ref="N69:X69" si="30">SUM(N64:N68)</f>
        <v>4.26</v>
      </c>
      <c r="O69" s="2358">
        <f t="shared" si="30"/>
        <v>8.3800000000000008</v>
      </c>
      <c r="P69" s="2358">
        <f t="shared" si="30"/>
        <v>0</v>
      </c>
      <c r="Q69" s="2358">
        <f t="shared" si="30"/>
        <v>0</v>
      </c>
      <c r="R69" s="5215">
        <f t="shared" si="30"/>
        <v>20.46</v>
      </c>
      <c r="S69" s="5215">
        <f t="shared" si="30"/>
        <v>3</v>
      </c>
      <c r="T69" s="5215">
        <f t="shared" si="30"/>
        <v>131.15</v>
      </c>
      <c r="U69" s="5215">
        <f t="shared" si="30"/>
        <v>17.14</v>
      </c>
      <c r="V69" s="5090">
        <f t="shared" si="30"/>
        <v>0</v>
      </c>
      <c r="W69" s="4588">
        <f t="shared" si="30"/>
        <v>38.324999999999996</v>
      </c>
      <c r="X69" s="5809">
        <f t="shared" si="30"/>
        <v>277.05500000000006</v>
      </c>
      <c r="Y69" s="2000"/>
      <c r="Z69" s="2000"/>
      <c r="AA69" s="2000"/>
      <c r="AB69" s="2000"/>
      <c r="AC69" s="2000"/>
      <c r="AD69" s="2000"/>
      <c r="AE69" s="1990"/>
      <c r="AF69" s="1990"/>
      <c r="AG69" s="1990"/>
      <c r="AH69" s="1990"/>
      <c r="AI69" s="1990"/>
      <c r="AJ69" s="1990"/>
      <c r="AK69" s="1990"/>
      <c r="AL69" s="1990"/>
      <c r="AM69" s="1991"/>
      <c r="AN69" s="1992"/>
      <c r="AO69" s="718"/>
      <c r="AP69" s="718"/>
      <c r="AQ69" s="718"/>
      <c r="AR69" s="718"/>
      <c r="AS69" s="2042"/>
      <c r="AT69" s="2043"/>
      <c r="AX69" s="2063"/>
      <c r="AY69" s="2078"/>
      <c r="AZ69" s="2079"/>
      <c r="BA69" s="2079"/>
      <c r="BB69" s="2079"/>
    </row>
    <row r="70" spans="1:65" ht="21.75" customHeight="1">
      <c r="A70" s="7179" t="s">
        <v>1049</v>
      </c>
      <c r="B70" s="2061" t="s">
        <v>1050</v>
      </c>
      <c r="C70" s="1225" t="s">
        <v>452</v>
      </c>
      <c r="D70" s="1236">
        <f>CPL!F11</f>
        <v>875.56999999999994</v>
      </c>
      <c r="E70" s="1236">
        <f>CPL!G11</f>
        <v>974.07999999999993</v>
      </c>
      <c r="F70" s="1236">
        <f>CPL!H11</f>
        <v>808.61999999999989</v>
      </c>
      <c r="G70" s="1236">
        <f>CPL!I11</f>
        <v>812.41000000000008</v>
      </c>
      <c r="H70" s="1236">
        <f>CPL!J11</f>
        <v>894.74</v>
      </c>
      <c r="I70" s="1762">
        <f>CPL!K11</f>
        <v>919.09999999999991</v>
      </c>
      <c r="J70" s="1955">
        <f>CPL!L11</f>
        <v>759</v>
      </c>
      <c r="K70" s="2112">
        <f>CPL!M11</f>
        <v>75.900000000000006</v>
      </c>
      <c r="L70" s="2866">
        <f>CPL!N11</f>
        <v>60.41</v>
      </c>
      <c r="M70" s="5240">
        <f>CPL!O11</f>
        <v>68.34</v>
      </c>
      <c r="N70" s="5240">
        <f>CPL!P11</f>
        <v>48.74</v>
      </c>
      <c r="O70" s="5240">
        <f>CPL!Q11</f>
        <v>52</v>
      </c>
      <c r="P70" s="5240">
        <f>CPL!R11</f>
        <v>49.17</v>
      </c>
      <c r="Q70" s="5885">
        <f>CPL!S11</f>
        <v>80.95</v>
      </c>
      <c r="R70" s="2494">
        <f>CPL!T11</f>
        <v>60.96</v>
      </c>
      <c r="S70" s="5885">
        <f>CPL!U11</f>
        <v>82.16</v>
      </c>
      <c r="T70" s="5240">
        <f>CPL!V11</f>
        <v>63.1</v>
      </c>
      <c r="U70" s="5240">
        <f>CPL!W11</f>
        <v>66.069999999999993</v>
      </c>
      <c r="V70" s="6962">
        <f>CPL!X11</f>
        <v>10.5</v>
      </c>
      <c r="W70" s="6836">
        <f>CPL!Y11</f>
        <v>0</v>
      </c>
      <c r="X70" s="6952">
        <f>CPL!Z11</f>
        <v>642.40000000000009</v>
      </c>
      <c r="Y70" s="2212"/>
      <c r="Z70" s="2212"/>
      <c r="AA70" s="2212"/>
      <c r="AB70" s="2212"/>
      <c r="AC70" s="2212"/>
      <c r="AD70" s="2212"/>
      <c r="AE70" s="2212"/>
      <c r="AF70" s="2212"/>
      <c r="AG70" s="2212"/>
      <c r="AH70" s="2212"/>
      <c r="AI70" s="2212"/>
      <c r="AJ70" s="2212"/>
      <c r="AK70" s="2212"/>
      <c r="AL70" s="2212"/>
      <c r="AM70" s="2213"/>
      <c r="AN70" s="7379" t="s">
        <v>1123</v>
      </c>
      <c r="AO70" s="2481"/>
      <c r="AP70" s="2481"/>
      <c r="AQ70" s="718"/>
      <c r="AR70" s="718"/>
      <c r="AS70" s="2042"/>
      <c r="AT70" s="2043"/>
      <c r="AX70" s="2063"/>
      <c r="AY70" s="2078"/>
      <c r="AZ70" s="2079"/>
      <c r="BA70" s="2079"/>
      <c r="BB70" s="2079"/>
    </row>
    <row r="71" spans="1:65" ht="21.75" customHeight="1">
      <c r="A71" s="7180"/>
      <c r="B71" s="2062" t="s">
        <v>1051</v>
      </c>
      <c r="C71" s="1224" t="s">
        <v>452</v>
      </c>
      <c r="D71" s="1213">
        <f>CRM!F11</f>
        <v>6887</v>
      </c>
      <c r="E71" s="1213">
        <f>CRM!G11</f>
        <v>6715</v>
      </c>
      <c r="F71" s="1213">
        <f>CRM!H11</f>
        <v>6734.33</v>
      </c>
      <c r="G71" s="1213">
        <f>CRM!I11</f>
        <v>5813.76</v>
      </c>
      <c r="H71" s="1213">
        <f>CRM!J11</f>
        <v>5107.49</v>
      </c>
      <c r="I71" s="4597">
        <f>CRM!K11</f>
        <v>4902.4000000000005</v>
      </c>
      <c r="J71" s="4851">
        <f>CRM!L11</f>
        <v>4315</v>
      </c>
      <c r="K71" s="4852">
        <f>CRM!M11</f>
        <v>431.5</v>
      </c>
      <c r="L71" s="4603">
        <f>CRM!N11</f>
        <v>404.42</v>
      </c>
      <c r="M71" s="5241">
        <f>CRM!O11</f>
        <v>427.17</v>
      </c>
      <c r="N71" s="5231">
        <f>CRM!P11</f>
        <v>468.8</v>
      </c>
      <c r="O71" s="5241">
        <f>CRM!Q11</f>
        <v>395.4</v>
      </c>
      <c r="P71" s="5241">
        <f>CRM!R11</f>
        <v>352.3</v>
      </c>
      <c r="Q71" s="5242">
        <f>CRM!S11</f>
        <v>415.27</v>
      </c>
      <c r="R71" s="5231">
        <f>CRM!T11</f>
        <v>506.89</v>
      </c>
      <c r="S71" s="5231">
        <f>CRM!U11</f>
        <v>446.85</v>
      </c>
      <c r="T71" s="5242">
        <f>CRM!V11</f>
        <v>432.72</v>
      </c>
      <c r="U71" s="5231">
        <f>CRM!W11</f>
        <v>446.98</v>
      </c>
      <c r="V71" s="6963">
        <f>CRM!X11</f>
        <v>38.33</v>
      </c>
      <c r="W71" s="6837">
        <f>CRM!Y11</f>
        <v>0</v>
      </c>
      <c r="X71" s="6953">
        <f>CRM!Z11</f>
        <v>4335.1299999999992</v>
      </c>
      <c r="Y71" s="4595"/>
      <c r="Z71" s="2422"/>
      <c r="AA71" s="2419"/>
      <c r="AB71" s="2419"/>
      <c r="AC71" s="2419"/>
      <c r="AD71" s="2419"/>
      <c r="AE71" s="2419"/>
      <c r="AF71" s="2419"/>
      <c r="AG71" s="2420"/>
      <c r="AH71" s="2420"/>
      <c r="AI71" s="2420"/>
      <c r="AJ71" s="2421"/>
      <c r="AK71" s="2422"/>
      <c r="AL71" s="2422"/>
      <c r="AM71" s="2423"/>
      <c r="AN71" s="7380"/>
      <c r="AO71" s="2481"/>
      <c r="AP71" s="2481"/>
      <c r="AQ71" s="718"/>
      <c r="AR71" s="718"/>
      <c r="AS71" s="2042"/>
      <c r="AT71" s="2043"/>
      <c r="AX71" s="2063"/>
      <c r="AY71" s="2078"/>
      <c r="AZ71" s="2079"/>
      <c r="BA71" s="2079"/>
      <c r="BB71" s="2079"/>
    </row>
    <row r="72" spans="1:65" ht="21.75" customHeight="1">
      <c r="A72" s="7180"/>
      <c r="B72" s="2062" t="s">
        <v>1052</v>
      </c>
      <c r="C72" s="1224" t="s">
        <v>452</v>
      </c>
      <c r="D72" s="1213">
        <f>CGL!F11</f>
        <v>608.03</v>
      </c>
      <c r="E72" s="1213">
        <f>CGL!G11</f>
        <v>505.16999999999996</v>
      </c>
      <c r="F72" s="1213">
        <f>CGL!H11</f>
        <v>594.27</v>
      </c>
      <c r="G72" s="1213">
        <f>CGL!I11</f>
        <v>506.82</v>
      </c>
      <c r="H72" s="1213">
        <f>CGL!J11</f>
        <v>387.63</v>
      </c>
      <c r="I72" s="4597">
        <f>CGL!K11</f>
        <v>349.56999999999994</v>
      </c>
      <c r="J72" s="4851">
        <f>CGL!L11</f>
        <v>300</v>
      </c>
      <c r="K72" s="4852">
        <f>CGL!M11</f>
        <v>30</v>
      </c>
      <c r="L72" s="5655">
        <f>CGL!N11</f>
        <v>25.2</v>
      </c>
      <c r="M72" s="5231">
        <f>CGL!O11</f>
        <v>33.04</v>
      </c>
      <c r="N72" s="5231">
        <f>CGL!P11</f>
        <v>33.69</v>
      </c>
      <c r="O72" s="5231">
        <f>CGL!Q11</f>
        <v>40.299999999999997</v>
      </c>
      <c r="P72" s="5241">
        <f>CGL!R11</f>
        <v>26.92</v>
      </c>
      <c r="Q72" s="5231">
        <f>CGL!S11</f>
        <v>38.840000000000003</v>
      </c>
      <c r="R72" s="5242">
        <f>CGL!T11</f>
        <v>42.98</v>
      </c>
      <c r="S72" s="5231">
        <f>CGL!U11</f>
        <v>35.6</v>
      </c>
      <c r="T72" s="5231">
        <f>CGL!V11</f>
        <v>43.22</v>
      </c>
      <c r="U72" s="5231">
        <f>CGL!W11</f>
        <v>48.33</v>
      </c>
      <c r="V72" s="6963">
        <f>CGL!X11</f>
        <v>2.85</v>
      </c>
      <c r="W72" s="6837">
        <f>CGL!Y11</f>
        <v>0</v>
      </c>
      <c r="X72" s="6953">
        <f>CGL!Z11</f>
        <v>370.96999999999997</v>
      </c>
      <c r="Y72" s="4595"/>
      <c r="Z72" s="2419"/>
      <c r="AA72" s="2419"/>
      <c r="AB72" s="2419"/>
      <c r="AC72" s="2419"/>
      <c r="AD72" s="2419"/>
      <c r="AE72" s="2419"/>
      <c r="AF72" s="2419"/>
      <c r="AG72" s="2420"/>
      <c r="AH72" s="2420"/>
      <c r="AI72" s="2420"/>
      <c r="AJ72" s="2420"/>
      <c r="AK72" s="2419"/>
      <c r="AL72" s="2419"/>
      <c r="AM72" s="2423"/>
      <c r="AN72" s="7380"/>
      <c r="AO72" s="2481"/>
      <c r="AP72" s="2481"/>
      <c r="AQ72" s="718"/>
      <c r="AR72" s="718"/>
      <c r="AS72" s="2042"/>
      <c r="AT72" s="2043"/>
      <c r="AX72" s="2063"/>
      <c r="AY72" s="2078"/>
      <c r="AZ72" s="2079"/>
      <c r="BA72" s="2079"/>
      <c r="BB72" s="2079"/>
    </row>
    <row r="73" spans="1:65" ht="21.75" customHeight="1">
      <c r="A73" s="7180"/>
      <c r="B73" s="2062" t="s">
        <v>505</v>
      </c>
      <c r="C73" s="1224" t="s">
        <v>452</v>
      </c>
      <c r="D73" s="1213"/>
      <c r="E73" s="1213"/>
      <c r="F73" s="1213">
        <f>'#1CCL'!H14</f>
        <v>832</v>
      </c>
      <c r="G73" s="1213">
        <f>'#1CCL'!I14</f>
        <v>422.05</v>
      </c>
      <c r="H73" s="1213">
        <f>'#1CCL'!J14</f>
        <v>492.53</v>
      </c>
      <c r="I73" s="4597">
        <f>'#1CCL'!K14</f>
        <v>542.02199999999993</v>
      </c>
      <c r="J73" s="4851">
        <f>'#1CCL'!L14</f>
        <v>532.16705454545456</v>
      </c>
      <c r="K73" s="4852">
        <f>'#1CCL'!M14</f>
        <v>44.347254545454547</v>
      </c>
      <c r="L73" s="5064">
        <f>'#1CCL'!N14</f>
        <v>54.22</v>
      </c>
      <c r="M73" s="5241">
        <f>'#1CCL'!O14</f>
        <v>34.29</v>
      </c>
      <c r="N73" s="5241">
        <f>'#1CCL'!P14</f>
        <v>38.35</v>
      </c>
      <c r="O73" s="5241">
        <f>'#1CCL'!Q14</f>
        <v>40.44</v>
      </c>
      <c r="P73" s="5241">
        <f>'#1CCL'!R14</f>
        <v>42.87</v>
      </c>
      <c r="Q73" s="5241">
        <f>'#1CCL'!S14</f>
        <v>37.99</v>
      </c>
      <c r="R73" s="5242">
        <f>'#1CCL'!T14</f>
        <v>43.74</v>
      </c>
      <c r="S73" s="5241">
        <f>'#1CCL'!U14</f>
        <v>32.67</v>
      </c>
      <c r="T73" s="5231">
        <f>'#1CCL'!V14</f>
        <v>47.07</v>
      </c>
      <c r="U73" s="5231">
        <f>'#1CCL'!W14</f>
        <v>55.73</v>
      </c>
      <c r="V73" s="6963">
        <f>'#1CCL'!X14</f>
        <v>36.03</v>
      </c>
      <c r="W73" s="6837">
        <f>'#1CCL'!Y14</f>
        <v>39.409999999999997</v>
      </c>
      <c r="X73" s="6953">
        <f>'#1CCL'!Z14</f>
        <v>502.80999999999995</v>
      </c>
      <c r="Y73" s="4595"/>
      <c r="Z73" s="2419"/>
      <c r="AA73" s="2419"/>
      <c r="AB73" s="2419"/>
      <c r="AC73" s="2419"/>
      <c r="AD73" s="2419"/>
      <c r="AE73" s="2419"/>
      <c r="AF73" s="2419"/>
      <c r="AG73" s="2420"/>
      <c r="AH73" s="2420"/>
      <c r="AI73" s="2420"/>
      <c r="AJ73" s="2420"/>
      <c r="AK73" s="2419"/>
      <c r="AL73" s="2419"/>
      <c r="AM73" s="2423"/>
      <c r="AN73" s="7380"/>
      <c r="AO73" s="2481"/>
      <c r="AP73" s="2481"/>
      <c r="AQ73" s="718"/>
      <c r="AR73" s="718"/>
      <c r="AS73" s="2042"/>
      <c r="AT73" s="2043"/>
      <c r="AX73" s="2063"/>
      <c r="AY73" s="2078"/>
      <c r="AZ73" s="2079"/>
      <c r="BA73" s="2079"/>
      <c r="BB73" s="2079"/>
    </row>
    <row r="74" spans="1:65" ht="21.75" customHeight="1">
      <c r="A74" s="7180"/>
      <c r="B74" s="2062" t="s">
        <v>443</v>
      </c>
      <c r="C74" s="1224" t="s">
        <v>452</v>
      </c>
      <c r="D74" s="1213"/>
      <c r="E74" s="1213"/>
      <c r="F74" s="1213">
        <f>'#2CCL'!H14</f>
        <v>490</v>
      </c>
      <c r="G74" s="1213">
        <f>'#2CCL'!I14</f>
        <v>304</v>
      </c>
      <c r="H74" s="1213">
        <f>'#2CCL'!J14</f>
        <v>305.80000000000007</v>
      </c>
      <c r="I74" s="4597">
        <f>'#2CCL'!K14</f>
        <v>265.07299999999998</v>
      </c>
      <c r="J74" s="4851">
        <f>'#2CCL'!L14</f>
        <v>251</v>
      </c>
      <c r="K74" s="4852">
        <f>'#2CCL'!M14</f>
        <v>20.916666666666668</v>
      </c>
      <c r="L74" s="4603">
        <f>'#2CCL'!N14</f>
        <v>22.11</v>
      </c>
      <c r="M74" s="5242">
        <f>'#2CCL'!O14</f>
        <v>21.89</v>
      </c>
      <c r="N74" s="5242">
        <f>'#2CCL'!P14</f>
        <v>22.2</v>
      </c>
      <c r="O74" s="5242">
        <f>'#2CCL'!Q14</f>
        <v>21.15</v>
      </c>
      <c r="P74" s="5241">
        <f>'#2CCL'!R14</f>
        <v>20.100000000000001</v>
      </c>
      <c r="Q74" s="5231">
        <f>'#2CCL'!S14</f>
        <v>24.33</v>
      </c>
      <c r="R74" s="5242">
        <f>'#2CCL'!T14</f>
        <v>24.28</v>
      </c>
      <c r="S74" s="5242">
        <f>'#2CCL'!U14</f>
        <v>22.36</v>
      </c>
      <c r="T74" s="5241">
        <f>'#2CCL'!V14</f>
        <v>19.96</v>
      </c>
      <c r="U74" s="5241">
        <f>'#2CCL'!W14</f>
        <v>19.510000000000002</v>
      </c>
      <c r="V74" s="6963">
        <f>'#2CCL'!X14</f>
        <v>21.31</v>
      </c>
      <c r="W74" s="6837">
        <f>'#2CCL'!Y14</f>
        <v>17.18</v>
      </c>
      <c r="X74" s="6953">
        <f>'#2CCL'!Z14</f>
        <v>256.37999999999994</v>
      </c>
      <c r="Y74" s="4596"/>
      <c r="Z74" s="2419"/>
      <c r="AA74" s="2419"/>
      <c r="AB74" s="2419"/>
      <c r="AC74" s="2419"/>
      <c r="AD74" s="2419"/>
      <c r="AE74" s="2419"/>
      <c r="AF74" s="2419"/>
      <c r="AG74" s="2419"/>
      <c r="AH74" s="2419"/>
      <c r="AI74" s="2419"/>
      <c r="AJ74" s="2419"/>
      <c r="AK74" s="2419"/>
      <c r="AL74" s="2424"/>
      <c r="AM74" s="2423"/>
      <c r="AN74" s="7381"/>
      <c r="AO74" s="2481"/>
      <c r="AP74" s="2481"/>
      <c r="AQ74" s="718"/>
      <c r="AR74" s="718"/>
      <c r="AS74" s="2042"/>
      <c r="AT74" s="2043"/>
      <c r="AX74" s="2063"/>
      <c r="AY74" s="2078"/>
      <c r="AZ74" s="2079"/>
      <c r="BA74" s="2079"/>
      <c r="BB74" s="2079"/>
    </row>
    <row r="75" spans="1:65" ht="21.75" customHeight="1" thickBot="1">
      <c r="A75" s="7180"/>
      <c r="B75" s="2060" t="s">
        <v>16</v>
      </c>
      <c r="C75" s="1231" t="s">
        <v>452</v>
      </c>
      <c r="D75" s="1214">
        <f>D70+D71+D72+D73+720</f>
        <v>9090.6</v>
      </c>
      <c r="E75" s="1764">
        <f t="shared" ref="E75:X75" si="31">SUM(E70:E74)</f>
        <v>8194.25</v>
      </c>
      <c r="F75" s="1764">
        <f t="shared" si="31"/>
        <v>9459.2199999999993</v>
      </c>
      <c r="G75" s="1764">
        <f t="shared" si="31"/>
        <v>7859.04</v>
      </c>
      <c r="H75" s="2237">
        <f t="shared" si="31"/>
        <v>7188.19</v>
      </c>
      <c r="I75" s="4599">
        <f t="shared" si="31"/>
        <v>6978.165</v>
      </c>
      <c r="J75" s="3805">
        <f t="shared" si="31"/>
        <v>6157.1670545454544</v>
      </c>
      <c r="K75" s="4797">
        <f t="shared" si="31"/>
        <v>602.66392121212118</v>
      </c>
      <c r="L75" s="4408">
        <f>SUM(L70:L74)</f>
        <v>566.36</v>
      </c>
      <c r="M75" s="4599">
        <f t="shared" si="31"/>
        <v>584.7299999999999</v>
      </c>
      <c r="N75" s="4599">
        <f t="shared" si="31"/>
        <v>611.78000000000009</v>
      </c>
      <c r="O75" s="4599">
        <f t="shared" si="31"/>
        <v>549.29</v>
      </c>
      <c r="P75" s="4599">
        <f t="shared" si="31"/>
        <v>491.36000000000007</v>
      </c>
      <c r="Q75" s="4599">
        <f t="shared" si="31"/>
        <v>597.38</v>
      </c>
      <c r="R75" s="4599">
        <f t="shared" si="31"/>
        <v>678.85</v>
      </c>
      <c r="S75" s="4599">
        <f t="shared" si="31"/>
        <v>619.64</v>
      </c>
      <c r="T75" s="4599">
        <f t="shared" si="31"/>
        <v>606.07000000000016</v>
      </c>
      <c r="U75" s="4599">
        <f t="shared" si="31"/>
        <v>636.62</v>
      </c>
      <c r="V75" s="5088">
        <f t="shared" si="31"/>
        <v>109.02000000000001</v>
      </c>
      <c r="W75" s="4607">
        <f t="shared" si="31"/>
        <v>56.589999999999996</v>
      </c>
      <c r="X75" s="4408">
        <f t="shared" si="31"/>
        <v>6107.69</v>
      </c>
      <c r="Y75" s="2987"/>
      <c r="Z75" s="1232"/>
      <c r="AA75" s="1232"/>
      <c r="AB75" s="1232"/>
      <c r="AC75" s="1232"/>
      <c r="AD75" s="1232"/>
      <c r="AE75" s="1232"/>
      <c r="AF75" s="1232"/>
      <c r="AG75" s="1232"/>
      <c r="AH75" s="1232"/>
      <c r="AI75" s="1232"/>
      <c r="AJ75" s="1232"/>
      <c r="AK75" s="1232"/>
      <c r="AL75" s="1232"/>
      <c r="AM75" s="1233"/>
      <c r="AN75" s="1234"/>
      <c r="AO75" s="718"/>
      <c r="AP75" s="718"/>
      <c r="AQ75" s="718"/>
      <c r="AR75" s="718"/>
      <c r="AS75" s="2042"/>
      <c r="AT75" s="2043"/>
      <c r="AX75" s="2063"/>
      <c r="AY75" s="2078"/>
      <c r="AZ75" s="2079"/>
      <c r="BA75" s="2079"/>
      <c r="BB75" s="2079"/>
    </row>
    <row r="76" spans="1:65" ht="21.75" hidden="1" customHeight="1" thickBot="1">
      <c r="A76" s="7207"/>
      <c r="B76" s="1218" t="s">
        <v>493</v>
      </c>
      <c r="C76" s="1222" t="s">
        <v>494</v>
      </c>
      <c r="D76" s="1239">
        <f t="shared" ref="D76:I76" si="32">D75/12</f>
        <v>757.55000000000007</v>
      </c>
      <c r="E76" s="1240">
        <f t="shared" si="32"/>
        <v>682.85416666666663</v>
      </c>
      <c r="F76" s="1765">
        <f t="shared" si="32"/>
        <v>788.26833333333332</v>
      </c>
      <c r="G76" s="1765">
        <f t="shared" si="32"/>
        <v>654.91999999999996</v>
      </c>
      <c r="H76" s="2436">
        <f t="shared" si="32"/>
        <v>599.01583333333326</v>
      </c>
      <c r="I76" s="2436">
        <f t="shared" si="32"/>
        <v>581.51374999999996</v>
      </c>
      <c r="J76" s="1956">
        <f>(((J70+J71+J72)/10)+((J73+J74)/12))</f>
        <v>602.66392121212118</v>
      </c>
      <c r="K76" s="4865"/>
      <c r="L76" s="4364"/>
      <c r="M76" s="2436"/>
      <c r="N76" s="2436"/>
      <c r="O76" s="2436"/>
      <c r="P76" s="2436"/>
      <c r="Q76" s="2436"/>
      <c r="R76" s="2436"/>
      <c r="S76" s="2436"/>
      <c r="T76" s="2436"/>
      <c r="U76" s="2436"/>
      <c r="V76" s="5089"/>
      <c r="W76" s="4608"/>
      <c r="X76" s="4364"/>
      <c r="Y76" s="1493"/>
      <c r="Z76" s="1241"/>
      <c r="AA76" s="1241"/>
      <c r="AB76" s="1241"/>
      <c r="AC76" s="1241"/>
      <c r="AD76" s="1241"/>
      <c r="AE76" s="1219"/>
      <c r="AF76" s="1219"/>
      <c r="AG76" s="1219"/>
      <c r="AH76" s="1219"/>
      <c r="AI76" s="1219"/>
      <c r="AJ76" s="1219"/>
      <c r="AK76" s="1219"/>
      <c r="AL76" s="1219"/>
      <c r="AM76" s="1221"/>
      <c r="AN76" s="1220"/>
      <c r="AO76" s="718"/>
      <c r="AP76" s="718"/>
      <c r="AQ76" s="718"/>
      <c r="AR76" s="718"/>
      <c r="AS76" s="2042"/>
      <c r="AT76" s="2043"/>
      <c r="AX76" s="2480" t="s">
        <v>1176</v>
      </c>
      <c r="AY76" s="698" t="s">
        <v>1647</v>
      </c>
      <c r="AZ76" s="844" t="s">
        <v>15</v>
      </c>
      <c r="BA76" s="844" t="s">
        <v>111</v>
      </c>
      <c r="BB76" s="844" t="s">
        <v>85</v>
      </c>
      <c r="BC76" s="844" t="s">
        <v>87</v>
      </c>
      <c r="BD76" s="844" t="s">
        <v>7</v>
      </c>
      <c r="BE76" s="844" t="s">
        <v>8</v>
      </c>
      <c r="BF76" s="844" t="s">
        <v>9</v>
      </c>
      <c r="BG76" s="844" t="s">
        <v>10</v>
      </c>
      <c r="BH76" s="844" t="s">
        <v>11</v>
      </c>
      <c r="BI76" s="844" t="s">
        <v>12</v>
      </c>
      <c r="BJ76" s="844" t="s">
        <v>13</v>
      </c>
      <c r="BK76" s="844" t="s">
        <v>14</v>
      </c>
      <c r="BL76" s="844" t="s">
        <v>15</v>
      </c>
    </row>
    <row r="77" spans="1:65" ht="21.75" customHeight="1" thickBot="1">
      <c r="A77" s="7353" t="s">
        <v>1359</v>
      </c>
      <c r="B77" s="7354"/>
      <c r="C77" s="1972" t="s">
        <v>452</v>
      </c>
      <c r="D77" s="2990"/>
      <c r="E77" s="2570"/>
      <c r="F77" s="2876"/>
      <c r="G77" s="2876">
        <f t="shared" ref="G77:L77" si="33">G59+G63+G69+G75</f>
        <v>10324.02</v>
      </c>
      <c r="H77" s="2876">
        <f t="shared" si="33"/>
        <v>8796.8829999999998</v>
      </c>
      <c r="I77" s="2876">
        <f t="shared" si="33"/>
        <v>9746.2360000000008</v>
      </c>
      <c r="J77" s="4866">
        <f t="shared" si="33"/>
        <v>7868.9993275622692</v>
      </c>
      <c r="K77" s="4857">
        <f t="shared" si="33"/>
        <v>759.87994396352246</v>
      </c>
      <c r="L77" s="5069">
        <f t="shared" si="33"/>
        <v>700.56200000000001</v>
      </c>
      <c r="M77" s="2807">
        <f t="shared" ref="M77:X77" si="34">M59+M63+M69+M75</f>
        <v>700.29899999999986</v>
      </c>
      <c r="N77" s="2807">
        <f t="shared" si="34"/>
        <v>822.07</v>
      </c>
      <c r="O77" s="2807">
        <f t="shared" si="34"/>
        <v>685.97799999999995</v>
      </c>
      <c r="P77" s="2807">
        <f t="shared" si="34"/>
        <v>586.32200000000012</v>
      </c>
      <c r="Q77" s="2876">
        <f t="shared" si="34"/>
        <v>687.33799999999997</v>
      </c>
      <c r="R77" s="2807">
        <f t="shared" si="34"/>
        <v>812.94600000000003</v>
      </c>
      <c r="S77" s="2807">
        <f t="shared" si="34"/>
        <v>838.52700000000004</v>
      </c>
      <c r="T77" s="2807">
        <f t="shared" si="34"/>
        <v>896.0350000000002</v>
      </c>
      <c r="U77" s="2807">
        <f t="shared" si="34"/>
        <v>807.84799999999996</v>
      </c>
      <c r="V77" s="5893">
        <f t="shared" si="34"/>
        <v>254.22500000000002</v>
      </c>
      <c r="W77" s="4609">
        <f t="shared" si="34"/>
        <v>198.89</v>
      </c>
      <c r="X77" s="2996">
        <f t="shared" si="34"/>
        <v>7991.04</v>
      </c>
      <c r="Y77" s="2997"/>
      <c r="Z77" s="2991"/>
      <c r="AA77" s="2991"/>
      <c r="AB77" s="2991"/>
      <c r="AC77" s="2991"/>
      <c r="AD77" s="2991"/>
      <c r="AE77" s="1978"/>
      <c r="AF77" s="1978"/>
      <c r="AG77" s="1978"/>
      <c r="AH77" s="1978"/>
      <c r="AI77" s="1978"/>
      <c r="AJ77" s="1978"/>
      <c r="AK77" s="1978"/>
      <c r="AL77" s="2998"/>
      <c r="AM77" s="2992"/>
      <c r="AN77" s="1979"/>
      <c r="AO77" s="718"/>
      <c r="AP77" s="718"/>
      <c r="AQ77" s="718"/>
      <c r="AR77" s="718"/>
      <c r="AS77" s="2042"/>
      <c r="AT77" s="2043"/>
      <c r="AY77" s="2480"/>
      <c r="AZ77" s="698"/>
      <c r="BA77" s="844"/>
      <c r="BB77" s="844"/>
      <c r="BC77" s="844"/>
      <c r="BD77" s="844"/>
      <c r="BE77" s="844"/>
      <c r="BF77" s="844"/>
      <c r="BG77" s="844"/>
      <c r="BH77" s="844"/>
      <c r="BI77" s="844"/>
      <c r="BJ77" s="844"/>
      <c r="BK77" s="844"/>
      <c r="BL77" s="844"/>
      <c r="BM77" s="844"/>
    </row>
    <row r="78" spans="1:65" ht="21.75" customHeight="1">
      <c r="A78" s="7025"/>
      <c r="B78" s="7025"/>
      <c r="C78" s="2382"/>
      <c r="D78" s="4469"/>
      <c r="E78" s="2465"/>
      <c r="F78" s="2465"/>
      <c r="G78" s="2465"/>
      <c r="H78" s="2465"/>
      <c r="I78" s="2465"/>
      <c r="J78" s="2465"/>
      <c r="K78" s="2465"/>
      <c r="L78" s="2465"/>
      <c r="M78" s="2465"/>
      <c r="N78" s="2465"/>
      <c r="O78" s="2465"/>
      <c r="P78" s="2465"/>
      <c r="Q78" s="2465"/>
      <c r="R78" s="2465"/>
      <c r="S78" s="2465"/>
      <c r="T78" s="2465"/>
      <c r="U78" s="2465"/>
      <c r="V78" s="2465"/>
      <c r="W78" s="2465"/>
      <c r="X78" s="2465"/>
      <c r="Y78" s="6164"/>
      <c r="Z78" s="6164"/>
      <c r="AA78" s="6164"/>
      <c r="AB78" s="6164"/>
      <c r="AC78" s="6164"/>
      <c r="AD78" s="6164"/>
      <c r="AE78" s="6162"/>
      <c r="AF78" s="6162"/>
      <c r="AG78" s="6162"/>
      <c r="AH78" s="6162"/>
      <c r="AI78" s="6162"/>
      <c r="AJ78" s="6162"/>
      <c r="AK78" s="6162"/>
      <c r="AL78" s="6162"/>
      <c r="AM78" s="6163"/>
      <c r="AN78" s="6163"/>
      <c r="AO78" s="718"/>
      <c r="AP78" s="718"/>
      <c r="AQ78" s="718"/>
      <c r="AR78" s="718"/>
      <c r="AS78" s="2042"/>
      <c r="AT78" s="2043"/>
      <c r="AY78" s="2480"/>
      <c r="AZ78" s="698"/>
      <c r="BA78" s="844"/>
      <c r="BB78" s="844"/>
      <c r="BC78" s="844"/>
      <c r="BD78" s="844"/>
      <c r="BE78" s="844"/>
      <c r="BF78" s="844"/>
      <c r="BG78" s="844"/>
      <c r="BH78" s="844"/>
      <c r="BI78" s="844"/>
      <c r="BJ78" s="844"/>
      <c r="BK78" s="844"/>
      <c r="BL78" s="844"/>
      <c r="BM78" s="844"/>
    </row>
    <row r="79" spans="1:65" ht="21.75" customHeight="1" thickBot="1">
      <c r="A79" s="305" t="s">
        <v>951</v>
      </c>
      <c r="B79" s="2248"/>
      <c r="C79" s="329"/>
      <c r="D79" s="329"/>
      <c r="E79" s="330"/>
      <c r="F79" s="330"/>
      <c r="G79" s="330"/>
      <c r="H79" s="330"/>
      <c r="I79" s="330"/>
      <c r="J79" s="330"/>
      <c r="K79" s="330"/>
      <c r="L79" s="763"/>
      <c r="M79" s="763"/>
      <c r="N79" s="763"/>
      <c r="O79" s="763"/>
      <c r="P79" s="763"/>
      <c r="Q79" s="763"/>
      <c r="R79" s="763"/>
      <c r="S79" s="763"/>
      <c r="T79" s="763"/>
      <c r="U79" s="763"/>
      <c r="V79" s="763"/>
      <c r="W79" s="763"/>
      <c r="X79" s="763"/>
      <c r="Y79" s="764"/>
      <c r="Z79" s="764"/>
      <c r="AA79" s="764"/>
      <c r="AB79" s="764"/>
      <c r="AC79" s="764"/>
      <c r="AD79" s="764"/>
      <c r="AE79" s="764"/>
      <c r="AF79" s="764"/>
      <c r="AG79" s="764"/>
      <c r="AH79" s="764"/>
      <c r="AI79" s="764"/>
      <c r="AJ79" s="764"/>
      <c r="AK79" s="764"/>
      <c r="AL79" s="764"/>
      <c r="AM79" s="765"/>
      <c r="AN79" s="765"/>
      <c r="AO79" s="702"/>
      <c r="AQ79" s="336"/>
      <c r="AY79" s="710" t="s">
        <v>660</v>
      </c>
      <c r="AZ79" s="466"/>
      <c r="BA79" s="1341"/>
      <c r="BB79" s="2205"/>
      <c r="BC79" s="1341"/>
      <c r="BD79" s="1341"/>
      <c r="BE79" s="2242"/>
      <c r="BF79" s="2329"/>
      <c r="BG79" s="2329"/>
      <c r="BH79" s="2329"/>
      <c r="BI79" s="2479">
        <v>7.04</v>
      </c>
      <c r="BJ79" s="2479">
        <v>0</v>
      </c>
      <c r="BK79" s="2479"/>
      <c r="BL79" s="2479"/>
      <c r="BM79" s="2479"/>
    </row>
    <row r="80" spans="1:65" ht="21.75" customHeight="1" thickBot="1">
      <c r="A80" s="7391" t="s">
        <v>1829</v>
      </c>
      <c r="B80" s="7355" t="s">
        <v>253</v>
      </c>
      <c r="C80" s="7355" t="s">
        <v>254</v>
      </c>
      <c r="D80" s="7332" t="s">
        <v>837</v>
      </c>
      <c r="E80" s="7332" t="s">
        <v>444</v>
      </c>
      <c r="F80" s="7332" t="s">
        <v>555</v>
      </c>
      <c r="G80" s="7332" t="s">
        <v>738</v>
      </c>
      <c r="H80" s="7334" t="s">
        <v>1000</v>
      </c>
      <c r="I80" s="7337" t="s">
        <v>1271</v>
      </c>
      <c r="J80" s="4759" t="s">
        <v>286</v>
      </c>
      <c r="K80" s="7349" t="s">
        <v>918</v>
      </c>
      <c r="L80" s="7342" t="s">
        <v>1338</v>
      </c>
      <c r="M80" s="7342"/>
      <c r="N80" s="7342"/>
      <c r="O80" s="7342"/>
      <c r="P80" s="7342"/>
      <c r="Q80" s="7342"/>
      <c r="R80" s="7342"/>
      <c r="S80" s="7342"/>
      <c r="T80" s="7342"/>
      <c r="U80" s="7342"/>
      <c r="V80" s="7342"/>
      <c r="W80" s="7342"/>
      <c r="X80" s="7342"/>
      <c r="Y80" s="7377"/>
      <c r="Z80" s="7377"/>
      <c r="AA80" s="7377"/>
      <c r="AB80" s="7377"/>
      <c r="AC80" s="7377"/>
      <c r="AD80" s="7377"/>
      <c r="AE80" s="7377"/>
      <c r="AF80" s="7377"/>
      <c r="AG80" s="7377"/>
      <c r="AH80" s="7377"/>
      <c r="AI80" s="7377"/>
      <c r="AJ80" s="7378"/>
      <c r="AK80" s="7229" t="s">
        <v>1336</v>
      </c>
      <c r="AL80" s="7332" t="s">
        <v>1162</v>
      </c>
      <c r="AM80" s="7332" t="s">
        <v>365</v>
      </c>
      <c r="AN80" s="7337" t="s">
        <v>637</v>
      </c>
      <c r="AO80" s="702"/>
      <c r="AQ80" s="336"/>
      <c r="AY80" s="710" t="s">
        <v>661</v>
      </c>
      <c r="AZ80" s="466"/>
      <c r="BA80" s="1341"/>
      <c r="BB80" s="2205"/>
      <c r="BC80" s="1341"/>
      <c r="BD80" s="1341"/>
      <c r="BE80" s="2242"/>
      <c r="BF80" s="2329"/>
      <c r="BG80" s="2329"/>
      <c r="BH80" s="2329"/>
      <c r="BI80" s="2479">
        <v>3.43</v>
      </c>
      <c r="BJ80" s="2479">
        <v>0</v>
      </c>
      <c r="BK80" s="2479"/>
      <c r="BL80" s="2479"/>
      <c r="BM80" s="2479"/>
    </row>
    <row r="81" spans="1:66" ht="21.75" customHeight="1" thickBot="1">
      <c r="A81" s="7340"/>
      <c r="B81" s="7356"/>
      <c r="C81" s="7356"/>
      <c r="D81" s="7333"/>
      <c r="E81" s="7333"/>
      <c r="F81" s="7333"/>
      <c r="G81" s="7333"/>
      <c r="H81" s="7335"/>
      <c r="I81" s="7338"/>
      <c r="J81" s="4758" t="s">
        <v>1334</v>
      </c>
      <c r="K81" s="7350"/>
      <c r="L81" s="4612" t="s">
        <v>400</v>
      </c>
      <c r="M81" s="2435" t="s">
        <v>372</v>
      </c>
      <c r="N81" s="2435" t="s">
        <v>373</v>
      </c>
      <c r="O81" s="2435" t="s">
        <v>374</v>
      </c>
      <c r="P81" s="2435" t="s">
        <v>375</v>
      </c>
      <c r="Q81" s="2435" t="s">
        <v>376</v>
      </c>
      <c r="R81" s="2435" t="s">
        <v>377</v>
      </c>
      <c r="S81" s="2435" t="s">
        <v>378</v>
      </c>
      <c r="T81" s="2435" t="s">
        <v>379</v>
      </c>
      <c r="U81" s="2435" t="s">
        <v>380</v>
      </c>
      <c r="V81" s="5077" t="s">
        <v>381</v>
      </c>
      <c r="W81" s="4619" t="s">
        <v>382</v>
      </c>
      <c r="X81" s="2723" t="s">
        <v>1048</v>
      </c>
      <c r="Y81" s="1966" t="s">
        <v>371</v>
      </c>
      <c r="Z81" s="2249" t="s">
        <v>383</v>
      </c>
      <c r="AA81" s="2249" t="s">
        <v>384</v>
      </c>
      <c r="AB81" s="2249" t="s">
        <v>385</v>
      </c>
      <c r="AC81" s="2249" t="s">
        <v>386</v>
      </c>
      <c r="AD81" s="2249" t="s">
        <v>387</v>
      </c>
      <c r="AE81" s="2249" t="s">
        <v>388</v>
      </c>
      <c r="AF81" s="2249" t="s">
        <v>389</v>
      </c>
      <c r="AG81" s="2249" t="s">
        <v>390</v>
      </c>
      <c r="AH81" s="2249" t="s">
        <v>391</v>
      </c>
      <c r="AI81" s="2249" t="s">
        <v>392</v>
      </c>
      <c r="AJ81" s="2249" t="s">
        <v>393</v>
      </c>
      <c r="AK81" s="7367"/>
      <c r="AL81" s="7333"/>
      <c r="AM81" s="7333"/>
      <c r="AN81" s="7338"/>
      <c r="AO81" s="702"/>
      <c r="AQ81" s="7008" t="s">
        <v>2018</v>
      </c>
      <c r="AR81" s="7006" t="s">
        <v>258</v>
      </c>
      <c r="AS81" s="7006" t="s">
        <v>259</v>
      </c>
      <c r="AT81" s="7006" t="s">
        <v>716</v>
      </c>
      <c r="AU81" s="7006" t="s">
        <v>1432</v>
      </c>
      <c r="AV81" s="7006" t="s">
        <v>1431</v>
      </c>
      <c r="AW81" s="7007" t="s">
        <v>2016</v>
      </c>
      <c r="AZ81" s="844" t="s">
        <v>1770</v>
      </c>
      <c r="BA81" s="844" t="s">
        <v>15</v>
      </c>
      <c r="BB81" s="844" t="s">
        <v>111</v>
      </c>
      <c r="BC81" s="844" t="s">
        <v>85</v>
      </c>
      <c r="BD81" s="844" t="s">
        <v>87</v>
      </c>
      <c r="BE81" s="844" t="s">
        <v>7</v>
      </c>
      <c r="BF81" s="844" t="s">
        <v>8</v>
      </c>
      <c r="BG81" s="844" t="s">
        <v>9</v>
      </c>
      <c r="BH81" s="844" t="s">
        <v>10</v>
      </c>
      <c r="BI81" s="844" t="s">
        <v>11</v>
      </c>
      <c r="BJ81" s="844" t="s">
        <v>12</v>
      </c>
      <c r="BK81" s="844" t="s">
        <v>13</v>
      </c>
      <c r="BL81" s="844" t="s">
        <v>14</v>
      </c>
      <c r="BM81" s="844" t="s">
        <v>15</v>
      </c>
      <c r="BN81" s="844" t="s">
        <v>2024</v>
      </c>
    </row>
    <row r="82" spans="1:66" ht="21.75" customHeight="1">
      <c r="A82" s="7179" t="s">
        <v>455</v>
      </c>
      <c r="B82" s="2061" t="s">
        <v>441</v>
      </c>
      <c r="C82" s="1225" t="s">
        <v>456</v>
      </c>
      <c r="D82" s="1249">
        <f>CPL!F24</f>
        <v>3.5936481824072213</v>
      </c>
      <c r="E82" s="1249">
        <f>CPL!G24</f>
        <v>3.18</v>
      </c>
      <c r="F82" s="1249">
        <f>CPL!H24</f>
        <v>3.7</v>
      </c>
      <c r="G82" s="1249">
        <f>CPL!I24</f>
        <v>3.48</v>
      </c>
      <c r="H82" s="1249">
        <f>CPL!J24</f>
        <v>6</v>
      </c>
      <c r="I82" s="1249">
        <f>CPL!K24</f>
        <v>7.1107920973624523</v>
      </c>
      <c r="J82" s="1957">
        <f>CPL!L24</f>
        <v>6.6</v>
      </c>
      <c r="K82" s="4880">
        <f>J82</f>
        <v>6.6</v>
      </c>
      <c r="L82" s="5059">
        <f>CPL!N24</f>
        <v>7.740673103996933</v>
      </c>
      <c r="M82" s="1250">
        <f>CPL!O24</f>
        <v>6.6424620707248083</v>
      </c>
      <c r="N82" s="1250">
        <f>CPL!P24</f>
        <v>6.7953151474973463</v>
      </c>
      <c r="O82" s="2495">
        <f>CPL!Q24</f>
        <v>5.8767885085558067</v>
      </c>
      <c r="P82" s="2495">
        <f>CPL!R24</f>
        <v>6.1396442593686382</v>
      </c>
      <c r="Q82" s="2495">
        <f>CPL!S24</f>
        <v>5.4748537109564506</v>
      </c>
      <c r="R82" s="2495">
        <f>CPL!T24</f>
        <v>5.4884445546922871</v>
      </c>
      <c r="S82" s="2495">
        <f>CPL!U24</f>
        <v>5.4210803795430582</v>
      </c>
      <c r="T82" s="2495">
        <f>CPL!V24</f>
        <v>5.3893528997677356</v>
      </c>
      <c r="U82" s="2495">
        <f>CPL!W24</f>
        <v>6.2621957352149931</v>
      </c>
      <c r="V82" s="6959">
        <f>CPL!X24</f>
        <v>17.681900268328771</v>
      </c>
      <c r="W82" s="6838">
        <f>CPL!Y24</f>
        <v>0</v>
      </c>
      <c r="X82" s="6954">
        <f>CPL!Z24</f>
        <v>7.1738827853315295</v>
      </c>
      <c r="Y82" s="1494">
        <f>CPL!AA24</f>
        <v>-9990.9782306764791</v>
      </c>
      <c r="Z82" s="1251">
        <f>CPL!AB24</f>
        <v>8188.2551143837081</v>
      </c>
      <c r="AA82" s="1251">
        <f>CPL!AC24</f>
        <v>4538.2708403664519</v>
      </c>
      <c r="AB82" s="1251">
        <f>CPL!AD24</f>
        <v>19341.807756323622</v>
      </c>
      <c r="AC82" s="1251">
        <f>CPL!AE24</f>
        <v>14930.872152994723</v>
      </c>
      <c r="AD82" s="1251">
        <f>CPL!AF24</f>
        <v>29159.812552829688</v>
      </c>
      <c r="AE82" s="1251">
        <f>CPL!AG24</f>
        <v>31799.700182598288</v>
      </c>
      <c r="AF82" s="1251">
        <f>CPL!AH24</f>
        <v>29176.702376787583</v>
      </c>
      <c r="AG82" s="1251">
        <f>CPL!AI24</f>
        <v>30774.552344902087</v>
      </c>
      <c r="AH82" s="1251">
        <f>CPL!AJ24</f>
        <v>15706.83894250039</v>
      </c>
      <c r="AI82" s="1251">
        <f>CPL!AK24</f>
        <v>-4168.4658451036184</v>
      </c>
      <c r="AJ82" s="1251">
        <f>CPL!AL24</f>
        <v>0</v>
      </c>
      <c r="AK82" s="1251">
        <f>CPL!AM24</f>
        <v>85381.942271291628</v>
      </c>
      <c r="AL82" s="760">
        <f>SUM(Y82:AJ82)</f>
        <v>169457.36818790645</v>
      </c>
      <c r="AM82" s="1216">
        <f t="shared" ref="AM82:AM92" si="35">AL82/AK82</f>
        <v>1.9846979780510792</v>
      </c>
      <c r="AN82" s="761"/>
      <c r="AP82" s="718"/>
      <c r="AQ82" s="6998" t="s">
        <v>2020</v>
      </c>
      <c r="AR82" s="6996">
        <v>1973.88</v>
      </c>
      <c r="AS82" s="7003">
        <v>820.61999999999978</v>
      </c>
      <c r="AT82" s="7003">
        <v>320</v>
      </c>
      <c r="AU82" s="5648">
        <v>307.49</v>
      </c>
      <c r="AV82" s="5648">
        <v>363.24000000000007</v>
      </c>
      <c r="AW82" s="7010">
        <v>205.53</v>
      </c>
      <c r="AY82" s="710" t="s">
        <v>659</v>
      </c>
      <c r="AZ82" s="466">
        <f>AV82/12</f>
        <v>30.270000000000007</v>
      </c>
      <c r="BA82" s="1341"/>
      <c r="BB82" s="2479">
        <f t="shared" ref="BB82:BM84" si="36">L19</f>
        <v>4.84</v>
      </c>
      <c r="BC82" s="2479">
        <f t="shared" si="36"/>
        <v>41.36</v>
      </c>
      <c r="BD82" s="2479">
        <f t="shared" si="36"/>
        <v>22.59</v>
      </c>
      <c r="BE82" s="2479">
        <f t="shared" si="36"/>
        <v>0</v>
      </c>
      <c r="BF82" s="2479">
        <f t="shared" si="36"/>
        <v>26.65</v>
      </c>
      <c r="BG82" s="2479">
        <f t="shared" si="36"/>
        <v>40.56</v>
      </c>
      <c r="BH82" s="2479">
        <f t="shared" si="36"/>
        <v>37.85</v>
      </c>
      <c r="BI82" s="2479">
        <f t="shared" si="36"/>
        <v>7.47</v>
      </c>
      <c r="BJ82" s="2479">
        <f t="shared" si="36"/>
        <v>0</v>
      </c>
      <c r="BK82" s="2479">
        <f t="shared" si="36"/>
        <v>24.21</v>
      </c>
      <c r="BL82" s="2479">
        <f t="shared" si="36"/>
        <v>0</v>
      </c>
      <c r="BM82" s="2479">
        <f t="shared" si="36"/>
        <v>0</v>
      </c>
      <c r="BN82" s="7009">
        <f>SUM(BB82:BM82)</f>
        <v>205.53</v>
      </c>
    </row>
    <row r="83" spans="1:66" ht="21.75" customHeight="1">
      <c r="A83" s="7180"/>
      <c r="B83" s="1980" t="s">
        <v>43</v>
      </c>
      <c r="C83" s="1981" t="s">
        <v>456</v>
      </c>
      <c r="D83" s="1949">
        <f>CGL!F26</f>
        <v>18.96</v>
      </c>
      <c r="E83" s="1949">
        <f>CGL!G26</f>
        <v>19.028502392263018</v>
      </c>
      <c r="F83" s="1949">
        <f>CGL!H26</f>
        <v>19.101947616711083</v>
      </c>
      <c r="G83" s="1949">
        <f>CGL!I26</f>
        <v>20.55</v>
      </c>
      <c r="H83" s="1949">
        <f>CGL!J26</f>
        <v>20.22</v>
      </c>
      <c r="I83" s="1949">
        <f>CGL!K26</f>
        <v>19.778588486790369</v>
      </c>
      <c r="J83" s="4881">
        <f>CGL!L26</f>
        <v>19</v>
      </c>
      <c r="K83" s="4882">
        <f>J83</f>
        <v>19</v>
      </c>
      <c r="L83" s="5060">
        <f>CGL!N26</f>
        <v>19.843488637383409</v>
      </c>
      <c r="M83" s="5227">
        <f>CGL!O26</f>
        <v>18.508702989539355</v>
      </c>
      <c r="N83" s="5228">
        <f>CGL!P26</f>
        <v>20.58138472610813</v>
      </c>
      <c r="O83" s="5227">
        <f>CGL!Q26</f>
        <v>18.97166279798688</v>
      </c>
      <c r="P83" s="5704">
        <f>CGL!R26</f>
        <v>19.389789969879214</v>
      </c>
      <c r="Q83" s="5228">
        <f>CGL!S26</f>
        <v>21.213221038512344</v>
      </c>
      <c r="R83" s="5704">
        <f>CGL!T26</f>
        <v>19.295262200427114</v>
      </c>
      <c r="S83" s="5228">
        <f>CGL!U26</f>
        <v>20.093297017502927</v>
      </c>
      <c r="T83" s="5227">
        <f>CGL!V26</f>
        <v>18.665752306913255</v>
      </c>
      <c r="U83" s="5228">
        <f>CGL!W26</f>
        <v>21.003877124305038</v>
      </c>
      <c r="V83" s="6960">
        <f>CGL!X26</f>
        <v>41.579363377163709</v>
      </c>
      <c r="W83" s="6839">
        <f>CGL!Y26</f>
        <v>0</v>
      </c>
      <c r="X83" s="6955">
        <f>CGL!Z26</f>
        <v>21.740527471429214</v>
      </c>
      <c r="Y83" s="2001">
        <f>CGL!AA26</f>
        <v>-970.28937103457781</v>
      </c>
      <c r="Z83" s="2002">
        <f>CGL!AB26</f>
        <v>18895.401829496299</v>
      </c>
      <c r="AA83" s="2002">
        <f>CGL!AC26</f>
        <v>-13064.548524555328</v>
      </c>
      <c r="AB83" s="2002">
        <f>CGL!AD26</f>
        <v>12042.432352082624</v>
      </c>
      <c r="AC83" s="2002">
        <f>CGL!AE26</f>
        <v>5360.0245579605098</v>
      </c>
      <c r="AD83" s="2002">
        <f>CGL!AF26</f>
        <v>-21666.981757434114</v>
      </c>
      <c r="AE83" s="2002">
        <f>CGL!AG26</f>
        <v>9010.9152737976237</v>
      </c>
      <c r="AF83" s="2002">
        <f>CGL!AH26</f>
        <v>-5274.2326612064298</v>
      </c>
      <c r="AG83" s="2002">
        <f>CGL!AI26</f>
        <v>19682.88569717262</v>
      </c>
      <c r="AH83" s="2002">
        <f>CGL!AJ26</f>
        <v>-20147.840297323099</v>
      </c>
      <c r="AI83" s="2002">
        <f>CGL!AK26</f>
        <v>-17568.917731957739</v>
      </c>
      <c r="AJ83" s="2002">
        <f>CGL!AL26</f>
        <v>0</v>
      </c>
      <c r="AK83" s="2002">
        <f>CGL!AM26</f>
        <v>128706.79306830597</v>
      </c>
      <c r="AL83" s="762">
        <f>SUM(Y83:AJ83)</f>
        <v>-13701.150633001613</v>
      </c>
      <c r="AM83" s="5217">
        <f t="shared" si="35"/>
        <v>-0.10645242808380966</v>
      </c>
      <c r="AN83" s="1985"/>
      <c r="AP83" s="718"/>
      <c r="AQ83" s="6998" t="s">
        <v>2021</v>
      </c>
      <c r="AR83" s="6996">
        <v>118.37</v>
      </c>
      <c r="AS83" s="7003">
        <v>139.78</v>
      </c>
      <c r="AT83" s="7003">
        <v>125.91</v>
      </c>
      <c r="AU83" s="5648">
        <v>92.647999999999996</v>
      </c>
      <c r="AV83" s="5648">
        <v>83.9</v>
      </c>
      <c r="AW83" s="7010">
        <v>50.17</v>
      </c>
      <c r="AY83" s="710" t="s">
        <v>660</v>
      </c>
      <c r="AZ83" s="466">
        <f>AV83/12</f>
        <v>6.9916666666666671</v>
      </c>
      <c r="BA83" s="1341"/>
      <c r="BB83" s="2479">
        <f t="shared" si="36"/>
        <v>1.82</v>
      </c>
      <c r="BC83" s="2479">
        <f t="shared" si="36"/>
        <v>1.69</v>
      </c>
      <c r="BD83" s="2479">
        <f t="shared" si="36"/>
        <v>4.66</v>
      </c>
      <c r="BE83" s="2479">
        <f t="shared" si="36"/>
        <v>4.93</v>
      </c>
      <c r="BF83" s="2479">
        <f t="shared" si="36"/>
        <v>4.53</v>
      </c>
      <c r="BG83" s="2479">
        <f t="shared" si="36"/>
        <v>3.47</v>
      </c>
      <c r="BH83" s="2479">
        <f t="shared" si="36"/>
        <v>4.5999999999999996</v>
      </c>
      <c r="BI83" s="2479">
        <f t="shared" si="36"/>
        <v>4.83</v>
      </c>
      <c r="BJ83" s="2479">
        <f t="shared" si="36"/>
        <v>0</v>
      </c>
      <c r="BK83" s="2479">
        <f t="shared" si="36"/>
        <v>2.2799999999999998</v>
      </c>
      <c r="BL83" s="2479">
        <f t="shared" si="36"/>
        <v>5.16</v>
      </c>
      <c r="BM83" s="2479">
        <f t="shared" si="36"/>
        <v>12.2</v>
      </c>
      <c r="BN83" s="7009">
        <f>SUM(BB83:BM83)</f>
        <v>50.17</v>
      </c>
    </row>
    <row r="84" spans="1:66" ht="21.75" customHeight="1" thickBot="1">
      <c r="A84" s="7180"/>
      <c r="B84" s="1980" t="s">
        <v>442</v>
      </c>
      <c r="C84" s="1981" t="s">
        <v>456</v>
      </c>
      <c r="D84" s="1949">
        <f>'#1CCL'!F38</f>
        <v>30.594565248919942</v>
      </c>
      <c r="E84" s="1949">
        <f>'#1CCL'!G38</f>
        <v>34.94</v>
      </c>
      <c r="F84" s="1949">
        <f>'#1CCL'!H38</f>
        <v>36.084247210762676</v>
      </c>
      <c r="G84" s="1949">
        <f>'#1CCL'!I38</f>
        <v>27.81</v>
      </c>
      <c r="H84" s="1949">
        <f>'#1CCL'!J38</f>
        <v>24.83</v>
      </c>
      <c r="I84" s="1949">
        <f>'#1CCL'!K38</f>
        <v>23.751775128874105</v>
      </c>
      <c r="J84" s="4881">
        <f>'#1CCL'!L38</f>
        <v>22.220362270190495</v>
      </c>
      <c r="K84" s="4882">
        <f>J84</f>
        <v>22.220362270190495</v>
      </c>
      <c r="L84" s="5060">
        <f>'#1CCL'!N38</f>
        <v>24.794174843648715</v>
      </c>
      <c r="M84" s="5228">
        <f>'#1CCL'!O38</f>
        <v>23.919946918773277</v>
      </c>
      <c r="N84" s="5228">
        <f>'#1CCL'!P38</f>
        <v>25.361378381060945</v>
      </c>
      <c r="O84" s="5228">
        <f>'#1CCL'!Q38</f>
        <v>24.434419293748626</v>
      </c>
      <c r="P84" s="5228">
        <f>'#1CCL'!R38</f>
        <v>24.606458855231576</v>
      </c>
      <c r="Q84" s="5228">
        <f>'#1CCL'!S38</f>
        <v>27.007353509194648</v>
      </c>
      <c r="R84" s="5228">
        <f>'#1CCL'!T38</f>
        <v>24.345402493875547</v>
      </c>
      <c r="S84" s="5228">
        <f>'#1CCL'!U38</f>
        <v>24.659262164950864</v>
      </c>
      <c r="T84" s="5228">
        <f>'#1CCL'!V38</f>
        <v>25.014482331555502</v>
      </c>
      <c r="U84" s="5228">
        <f>'#1CCL'!W38</f>
        <v>25.385195671410152</v>
      </c>
      <c r="V84" s="6960">
        <f>'#1CCL'!X38</f>
        <v>27.327959762217596</v>
      </c>
      <c r="W84" s="6839">
        <f>'#1CCL'!Y38</f>
        <v>29.321112945134619</v>
      </c>
      <c r="X84" s="6955">
        <f>'#1CCL'!Z38</f>
        <v>25.514762264233507</v>
      </c>
      <c r="Y84" s="2001">
        <f>'#1CCL'!AA38</f>
        <v>-8639.662398218994</v>
      </c>
      <c r="Z84" s="2002">
        <f>'#1CCL'!AB38</f>
        <v>-1159.5422791389863</v>
      </c>
      <c r="AA84" s="2002">
        <f>'#1CCL'!AC38</f>
        <v>-12936.862605978833</v>
      </c>
      <c r="AB84" s="2002">
        <f>'#1CCL'!AD38</f>
        <v>-5324.1672113662689</v>
      </c>
      <c r="AC84" s="2002">
        <f>'#1CCL'!AE38</f>
        <v>-6528.3770884144587</v>
      </c>
      <c r="AD84" s="2002">
        <f>'#1CCL'!AF38</f>
        <v>-26742.674656361341</v>
      </c>
      <c r="AE84" s="2002">
        <f>'#1CCL'!AG38</f>
        <v>-5402.3642668276016</v>
      </c>
      <c r="AF84" s="2002">
        <f>'#1CCL'!AH38</f>
        <v>-6808.8635427971558</v>
      </c>
      <c r="AG84" s="2002">
        <f>'#1CCL'!AI38</f>
        <v>-9932.6253103998733</v>
      </c>
      <c r="AH84" s="2002">
        <f>'#1CCL'!AJ38</f>
        <v>-13465.295058707143</v>
      </c>
      <c r="AI84" s="2002">
        <f>'#1CCL'!AK38</f>
        <v>-28703.897522922241</v>
      </c>
      <c r="AJ84" s="2002">
        <f>'#1CCL'!AL38</f>
        <v>-42617.794130881746</v>
      </c>
      <c r="AK84" s="2002">
        <f>'#1CCL'!AM38</f>
        <v>154911.75686852363</v>
      </c>
      <c r="AL84" s="762">
        <f>SUM(Y84:AJ84)</f>
        <v>-168262.12607201465</v>
      </c>
      <c r="AM84" s="5217">
        <f t="shared" si="35"/>
        <v>-1.086180477669114</v>
      </c>
      <c r="AN84" s="1985"/>
      <c r="AP84" s="718"/>
      <c r="AQ84" s="7001" t="s">
        <v>2022</v>
      </c>
      <c r="AR84" s="7002">
        <v>68.98</v>
      </c>
      <c r="AS84" s="7004">
        <v>53.02000000000001</v>
      </c>
      <c r="AT84" s="7004">
        <v>95</v>
      </c>
      <c r="AU84" s="7005">
        <v>73.749999999999986</v>
      </c>
      <c r="AV84" s="7005">
        <v>73.5</v>
      </c>
      <c r="AW84" s="2891">
        <v>37.170000000000009</v>
      </c>
      <c r="AY84" s="710" t="s">
        <v>661</v>
      </c>
      <c r="AZ84" s="466">
        <f>AV84/12</f>
        <v>6.125</v>
      </c>
      <c r="BA84" s="1341"/>
      <c r="BB84" s="2479">
        <f t="shared" si="36"/>
        <v>2.29</v>
      </c>
      <c r="BC84" s="2479">
        <f t="shared" si="36"/>
        <v>0</v>
      </c>
      <c r="BD84" s="2479">
        <f t="shared" si="36"/>
        <v>6.6899999999999995</v>
      </c>
      <c r="BE84" s="2479">
        <f t="shared" si="36"/>
        <v>0</v>
      </c>
      <c r="BF84" s="2479">
        <f t="shared" si="36"/>
        <v>4.9000000000000004</v>
      </c>
      <c r="BG84" s="2479">
        <f t="shared" si="36"/>
        <v>0</v>
      </c>
      <c r="BH84" s="2479">
        <f t="shared" si="36"/>
        <v>1.97</v>
      </c>
      <c r="BI84" s="2479">
        <f t="shared" si="36"/>
        <v>8.39</v>
      </c>
      <c r="BJ84" s="2479">
        <f t="shared" si="36"/>
        <v>6.67</v>
      </c>
      <c r="BK84" s="2479">
        <f t="shared" si="36"/>
        <v>2.2400000000000002</v>
      </c>
      <c r="BL84" s="2479">
        <f t="shared" si="36"/>
        <v>1.46</v>
      </c>
      <c r="BM84" s="2479">
        <f t="shared" si="36"/>
        <v>2.56</v>
      </c>
      <c r="BN84" s="7009">
        <f>SUM(BB84:BM84)</f>
        <v>37.170000000000009</v>
      </c>
    </row>
    <row r="85" spans="1:66" ht="21.75" customHeight="1">
      <c r="A85" s="7180"/>
      <c r="B85" s="1980" t="s">
        <v>443</v>
      </c>
      <c r="C85" s="1981" t="s">
        <v>456</v>
      </c>
      <c r="D85" s="1949">
        <f>'#2CCL'!F36</f>
        <v>48.587586323475612</v>
      </c>
      <c r="E85" s="1949">
        <f>'#2CCL'!G36</f>
        <v>42.61</v>
      </c>
      <c r="F85" s="1949">
        <f>'#2CCL'!H36</f>
        <v>42.62</v>
      </c>
      <c r="G85" s="1949">
        <f>'#2CCL'!I36</f>
        <v>48.67</v>
      </c>
      <c r="H85" s="1949">
        <f>'#2CCL'!J36</f>
        <v>52.269771847106512</v>
      </c>
      <c r="I85" s="1949">
        <f>'#2CCL'!K36</f>
        <v>61.248628266089717</v>
      </c>
      <c r="J85" s="4881">
        <f>'#2CCL'!L36</f>
        <v>60.71</v>
      </c>
      <c r="K85" s="4882">
        <f>J85</f>
        <v>60.71</v>
      </c>
      <c r="L85" s="4613">
        <f>'#2CCL'!N36</f>
        <v>58.191442854894575</v>
      </c>
      <c r="M85" s="5227">
        <f>'#2CCL'!O36</f>
        <v>56.771319352476212</v>
      </c>
      <c r="N85" s="5228">
        <f>'#2CCL'!P36</f>
        <v>67.732361201707945</v>
      </c>
      <c r="O85" s="5228">
        <f>'#2CCL'!Q36</f>
        <v>62.560980855335757</v>
      </c>
      <c r="P85" s="5227">
        <f>'#2CCL'!R36</f>
        <v>58.778670298930237</v>
      </c>
      <c r="Q85" s="5227">
        <f>'#2CCL'!S36</f>
        <v>57.711249392034134</v>
      </c>
      <c r="R85" s="5227">
        <f>'#2CCL'!T36</f>
        <v>56.51194483893088</v>
      </c>
      <c r="S85" s="5227">
        <f>'#2CCL'!U36</f>
        <v>49.374302845774942</v>
      </c>
      <c r="T85" s="5228">
        <f>'#2CCL'!V36</f>
        <v>64.418829532739196</v>
      </c>
      <c r="U85" s="5228">
        <f>'#2CCL'!W36</f>
        <v>66.926858525424876</v>
      </c>
      <c r="V85" s="6960">
        <f>'#2CCL'!X36</f>
        <v>67.253001284554259</v>
      </c>
      <c r="W85" s="6839">
        <f>'#2CCL'!Y36</f>
        <v>75.824576639013472</v>
      </c>
      <c r="X85" s="6955">
        <f>'#2CCL'!Z36</f>
        <v>61.837961468484707</v>
      </c>
      <c r="Y85" s="2001">
        <f>'#2CCL'!AA36</f>
        <v>9509.2976408569048</v>
      </c>
      <c r="Z85" s="2002">
        <f>'#2CCL'!AB36</f>
        <v>13875.527404275237</v>
      </c>
      <c r="AA85" s="2002">
        <f>'#2CCL'!AC36</f>
        <v>-16061.041275109274</v>
      </c>
      <c r="AB85" s="2002">
        <f>'#2CCL'!AD36</f>
        <v>-3513.8553651896391</v>
      </c>
      <c r="AC85" s="2002">
        <f>'#2CCL'!AE36</f>
        <v>5853.9859254104613</v>
      </c>
      <c r="AD85" s="2002">
        <f>'#2CCL'!AF36</f>
        <v>10930.205278948193</v>
      </c>
      <c r="AE85" s="2002">
        <f>'#2CCL'!AG36</f>
        <v>13852.766418847337</v>
      </c>
      <c r="AF85" s="2002">
        <f>'#2CCL'!AH36</f>
        <v>32239.443279241623</v>
      </c>
      <c r="AG85" s="2002">
        <f>'#2CCL'!AI36</f>
        <v>-7640.9223780358398</v>
      </c>
      <c r="AH85" s="2002">
        <f>'#2CCL'!AJ36</f>
        <v>-14783.803054014519</v>
      </c>
      <c r="AI85" s="2002">
        <f>'#2CCL'!AK36</f>
        <v>-17158.541381692401</v>
      </c>
      <c r="AJ85" s="2002">
        <f>'#2CCL'!AL36</f>
        <v>-41091.839508046432</v>
      </c>
      <c r="AK85" s="2002">
        <f>'#2CCL'!AM36</f>
        <v>17351.517686153813</v>
      </c>
      <c r="AL85" s="762">
        <f>SUM(Y85:AJ85)</f>
        <v>-13988.777014508345</v>
      </c>
      <c r="AM85" s="1983">
        <f t="shared" si="35"/>
        <v>-0.80619904653476671</v>
      </c>
      <c r="AN85" s="1985"/>
      <c r="AP85" s="718"/>
      <c r="AQ85" s="7011" t="s">
        <v>2019</v>
      </c>
      <c r="AR85" s="7006" t="s">
        <v>258</v>
      </c>
      <c r="AS85" s="7006" t="s">
        <v>259</v>
      </c>
      <c r="AT85" s="7006" t="s">
        <v>716</v>
      </c>
      <c r="AU85" s="7006" t="s">
        <v>720</v>
      </c>
      <c r="AV85" s="7006" t="s">
        <v>999</v>
      </c>
      <c r="AW85" s="7007" t="s">
        <v>2016</v>
      </c>
    </row>
    <row r="86" spans="1:66" ht="21.75" customHeight="1" thickBot="1">
      <c r="A86" s="7180"/>
      <c r="B86" s="3170" t="s">
        <v>448</v>
      </c>
      <c r="C86" s="2003" t="s">
        <v>456</v>
      </c>
      <c r="D86" s="2004">
        <v>25.142994592000413</v>
      </c>
      <c r="E86" s="3207">
        <f t="shared" ref="E86:X86" si="37">(E82+E83+E84+E85)/4</f>
        <v>24.939625598065753</v>
      </c>
      <c r="F86" s="3207">
        <f t="shared" si="37"/>
        <v>25.376548706868441</v>
      </c>
      <c r="G86" s="3207">
        <f t="shared" si="37"/>
        <v>25.127500000000001</v>
      </c>
      <c r="H86" s="3207">
        <f t="shared" si="37"/>
        <v>25.829942961776627</v>
      </c>
      <c r="I86" s="3207">
        <f t="shared" si="37"/>
        <v>27.972445994779161</v>
      </c>
      <c r="J86" s="4883">
        <f t="shared" si="37"/>
        <v>27.132590567547624</v>
      </c>
      <c r="K86" s="4884">
        <f t="shared" si="37"/>
        <v>27.132590567547624</v>
      </c>
      <c r="L86" s="4614">
        <f t="shared" si="37"/>
        <v>27.642444859980909</v>
      </c>
      <c r="M86" s="5229">
        <f t="shared" si="37"/>
        <v>26.460607832878413</v>
      </c>
      <c r="N86" s="5229">
        <f t="shared" si="37"/>
        <v>30.117609864093591</v>
      </c>
      <c r="O86" s="5229">
        <f t="shared" si="37"/>
        <v>27.960962863906765</v>
      </c>
      <c r="P86" s="5229">
        <f t="shared" si="37"/>
        <v>27.228640845852418</v>
      </c>
      <c r="Q86" s="5229">
        <f t="shared" si="37"/>
        <v>27.851669412674394</v>
      </c>
      <c r="R86" s="5229">
        <f t="shared" si="37"/>
        <v>26.410263521981456</v>
      </c>
      <c r="S86" s="5229">
        <f t="shared" si="37"/>
        <v>24.886985601942946</v>
      </c>
      <c r="T86" s="5229">
        <f t="shared" si="37"/>
        <v>28.372104267743921</v>
      </c>
      <c r="U86" s="5229">
        <f t="shared" si="37"/>
        <v>29.894531764088764</v>
      </c>
      <c r="V86" s="5078">
        <f t="shared" si="37"/>
        <v>38.460556173066081</v>
      </c>
      <c r="W86" s="4620">
        <f t="shared" si="37"/>
        <v>26.286422396037022</v>
      </c>
      <c r="X86" s="6690">
        <f t="shared" si="37"/>
        <v>29.066783497369741</v>
      </c>
      <c r="Y86" s="2005">
        <f t="shared" ref="Y86:AL86" si="38">SUM(Y82:Y85)</f>
        <v>-10091.632359073144</v>
      </c>
      <c r="Z86" s="2006">
        <f t="shared" si="38"/>
        <v>39799.642069016256</v>
      </c>
      <c r="AA86" s="2006">
        <f t="shared" si="38"/>
        <v>-37524.181565276987</v>
      </c>
      <c r="AB86" s="2006">
        <f t="shared" si="38"/>
        <v>22546.217531850336</v>
      </c>
      <c r="AC86" s="2006">
        <f t="shared" si="38"/>
        <v>19616.505547951238</v>
      </c>
      <c r="AD86" s="2006">
        <f t="shared" si="38"/>
        <v>-8319.6385820175747</v>
      </c>
      <c r="AE86" s="2006">
        <f t="shared" si="38"/>
        <v>49261.017608415648</v>
      </c>
      <c r="AF86" s="2006">
        <f t="shared" si="38"/>
        <v>49333.049452025618</v>
      </c>
      <c r="AG86" s="2006">
        <f t="shared" si="38"/>
        <v>32883.890353638992</v>
      </c>
      <c r="AH86" s="2006">
        <f t="shared" si="38"/>
        <v>-32690.099467544373</v>
      </c>
      <c r="AI86" s="2006">
        <f t="shared" si="38"/>
        <v>-67599.822481676005</v>
      </c>
      <c r="AJ86" s="2006">
        <f t="shared" si="38"/>
        <v>-83709.633638928179</v>
      </c>
      <c r="AK86" s="2006">
        <f t="shared" si="38"/>
        <v>386352.00989427505</v>
      </c>
      <c r="AL86" s="2006">
        <f t="shared" si="38"/>
        <v>-26494.685531618157</v>
      </c>
      <c r="AM86" s="2418">
        <f t="shared" si="35"/>
        <v>-6.8576543807468249E-2</v>
      </c>
      <c r="AN86" s="2008"/>
      <c r="AP86" s="718"/>
      <c r="AQ86" s="6998" t="s">
        <v>2020</v>
      </c>
      <c r="AR86" s="6997">
        <f t="shared" ref="AR86:AW88" si="39">AR82/12</f>
        <v>164.49</v>
      </c>
      <c r="AS86" s="6997">
        <f t="shared" si="39"/>
        <v>68.384999999999977</v>
      </c>
      <c r="AT86" s="6997">
        <f t="shared" si="39"/>
        <v>26.666666666666668</v>
      </c>
      <c r="AU86" s="6997">
        <f t="shared" si="39"/>
        <v>25.624166666666667</v>
      </c>
      <c r="AV86" s="6997">
        <f t="shared" si="39"/>
        <v>30.270000000000007</v>
      </c>
      <c r="AW86" s="7012">
        <f t="shared" si="39"/>
        <v>17.127500000000001</v>
      </c>
      <c r="AY86" s="2480" t="s">
        <v>1175</v>
      </c>
      <c r="AZ86" s="698" t="s">
        <v>720</v>
      </c>
      <c r="BA86" s="844" t="s">
        <v>15</v>
      </c>
      <c r="BB86" s="844" t="s">
        <v>111</v>
      </c>
      <c r="BC86" s="844" t="s">
        <v>85</v>
      </c>
      <c r="BD86" s="844" t="s">
        <v>87</v>
      </c>
      <c r="BE86" s="844" t="s">
        <v>7</v>
      </c>
      <c r="BF86" s="844" t="s">
        <v>8</v>
      </c>
      <c r="BG86" s="844" t="s">
        <v>9</v>
      </c>
      <c r="BH86" s="844" t="s">
        <v>10</v>
      </c>
      <c r="BI86" s="844" t="s">
        <v>11</v>
      </c>
      <c r="BJ86" s="844" t="s">
        <v>12</v>
      </c>
      <c r="BK86" s="844" t="s">
        <v>13</v>
      </c>
      <c r="BL86" s="844" t="s">
        <v>14</v>
      </c>
      <c r="BM86" s="844" t="s">
        <v>15</v>
      </c>
      <c r="BN86" s="334" t="s">
        <v>2025</v>
      </c>
    </row>
    <row r="87" spans="1:66" ht="21.75" customHeight="1">
      <c r="A87" s="7179" t="s">
        <v>454</v>
      </c>
      <c r="B87" s="3159" t="s">
        <v>441</v>
      </c>
      <c r="C87" s="1225" t="s">
        <v>457</v>
      </c>
      <c r="D87" s="1249">
        <f>CPL!F26</f>
        <v>15.439654361120386</v>
      </c>
      <c r="E87" s="1249">
        <f>CPL!G26</f>
        <v>15.3</v>
      </c>
      <c r="F87" s="1249">
        <f>CPL!H26</f>
        <v>14.92</v>
      </c>
      <c r="G87" s="1249">
        <f>CPL!I26</f>
        <v>14.55</v>
      </c>
      <c r="H87" s="1342">
        <f>CPL!J26</f>
        <v>13.6</v>
      </c>
      <c r="I87" s="1342">
        <f>CPL!K26</f>
        <v>13.953402383827582</v>
      </c>
      <c r="J87" s="1957">
        <f>CPL!L26</f>
        <v>13.674334336151031</v>
      </c>
      <c r="K87" s="4885">
        <f>J87</f>
        <v>13.674334336151031</v>
      </c>
      <c r="L87" s="5062">
        <f>CPL!N26</f>
        <v>18.337987334516225</v>
      </c>
      <c r="M87" s="2495">
        <f>CPL!O26</f>
        <v>14.568369124112346</v>
      </c>
      <c r="N87" s="2335">
        <f>CPL!P26</f>
        <v>14.951002262726682</v>
      </c>
      <c r="O87" s="2495">
        <f>CPL!Q26</f>
        <v>12.019155322754465</v>
      </c>
      <c r="P87" s="2495">
        <f>CPL!R26</f>
        <v>13.580370177903321</v>
      </c>
      <c r="Q87" s="2495">
        <f>CPL!S26</f>
        <v>13.304061545346972</v>
      </c>
      <c r="R87" s="2495">
        <f>CPL!T26</f>
        <v>11.636357245617617</v>
      </c>
      <c r="S87" s="1250">
        <f>CPL!U26</f>
        <v>13.853810875983182</v>
      </c>
      <c r="T87" s="2495">
        <f>CPL!V26</f>
        <v>12.851220601394616</v>
      </c>
      <c r="U87" s="2335">
        <f>CPL!W26</f>
        <v>16.99141293643158</v>
      </c>
      <c r="V87" s="6959">
        <f>CPL!X26</f>
        <v>140.3074423737126</v>
      </c>
      <c r="W87" s="6838">
        <f>CPL!Y26</f>
        <v>0</v>
      </c>
      <c r="X87" s="6954">
        <f>CPL!Z26</f>
        <v>25.672835436409059</v>
      </c>
      <c r="Y87" s="1494">
        <f>CPL!AA26</f>
        <v>-11671.134352173071</v>
      </c>
      <c r="Z87" s="1251">
        <f>CPL!AB26</f>
        <v>-1804.3719615030527</v>
      </c>
      <c r="AA87" s="1251">
        <f>CPL!AC26</f>
        <v>-2408.3202917474473</v>
      </c>
      <c r="AB87" s="1251">
        <f>CPL!AD26</f>
        <v>5087.7722833521393</v>
      </c>
      <c r="AC87" s="1251">
        <f>CPL!AE26</f>
        <v>962.4567825089423</v>
      </c>
      <c r="AD87" s="1251">
        <f>CPL!AF26</f>
        <v>1942.3414675103679</v>
      </c>
      <c r="AE87" s="1251">
        <f>CPL!AG26</f>
        <v>7621.6447848369771</v>
      </c>
      <c r="AF87" s="1251">
        <f>CPL!AH26</f>
        <v>288.58979986178724</v>
      </c>
      <c r="AG87" s="1251">
        <f>CPL!AI26</f>
        <v>3306.6510379348165</v>
      </c>
      <c r="AH87" s="1251">
        <f>CPL!AJ26</f>
        <v>-9436.5225638351676</v>
      </c>
      <c r="AI87" s="1251">
        <f>CPL!AK26</f>
        <v>-8361.4181485579102</v>
      </c>
      <c r="AJ87" s="1251">
        <f>CPL!AL26</f>
        <v>0</v>
      </c>
      <c r="AK87" s="1251">
        <f>CPL!AM26</f>
        <v>7828.2926769786773</v>
      </c>
      <c r="AL87" s="760">
        <f>SUM(Y87:AJ87)</f>
        <v>-14472.31116181162</v>
      </c>
      <c r="AM87" s="5218">
        <f t="shared" si="35"/>
        <v>-1.848718712877403</v>
      </c>
      <c r="AN87" s="761"/>
      <c r="AQ87" s="6998" t="s">
        <v>2021</v>
      </c>
      <c r="AR87" s="6997">
        <f t="shared" si="39"/>
        <v>9.8641666666666676</v>
      </c>
      <c r="AS87" s="6997">
        <f t="shared" si="39"/>
        <v>11.648333333333333</v>
      </c>
      <c r="AT87" s="6997">
        <f t="shared" si="39"/>
        <v>10.4925</v>
      </c>
      <c r="AU87" s="6997">
        <f t="shared" si="39"/>
        <v>7.7206666666666663</v>
      </c>
      <c r="AV87" s="6997">
        <f t="shared" si="39"/>
        <v>6.9916666666666671</v>
      </c>
      <c r="AW87" s="7012">
        <f t="shared" si="39"/>
        <v>4.1808333333333332</v>
      </c>
      <c r="AY87" s="710" t="s">
        <v>659</v>
      </c>
      <c r="AZ87" s="466"/>
      <c r="BA87" s="1341"/>
      <c r="BB87" s="2205"/>
      <c r="BC87" s="1341"/>
      <c r="BD87" s="1341"/>
      <c r="BE87" s="2242"/>
      <c r="BF87" s="2329"/>
      <c r="BG87" s="2329"/>
      <c r="BH87" s="2329"/>
      <c r="BI87" s="2479"/>
      <c r="BJ87" s="2479"/>
      <c r="BK87" s="2479"/>
      <c r="BL87" s="2479"/>
      <c r="BM87" s="2479"/>
    </row>
    <row r="88" spans="1:66" ht="21.75" customHeight="1" thickBot="1">
      <c r="A88" s="7180"/>
      <c r="B88" s="3162" t="s">
        <v>241</v>
      </c>
      <c r="C88" s="2702" t="s">
        <v>457</v>
      </c>
      <c r="D88" s="3208">
        <f>CRM!F24</f>
        <v>75.248907066369782</v>
      </c>
      <c r="E88" s="3208">
        <f>CRM!G24</f>
        <v>77.760000000000005</v>
      </c>
      <c r="F88" s="3208">
        <f>CRM!H24</f>
        <v>78.94</v>
      </c>
      <c r="G88" s="3208">
        <f>CRM!I24</f>
        <v>77.63</v>
      </c>
      <c r="H88" s="2460">
        <f>CRM!J24</f>
        <v>77.150000000000006</v>
      </c>
      <c r="I88" s="2460">
        <f>CRM!K24</f>
        <v>76.986409573006</v>
      </c>
      <c r="J88" s="4881">
        <f>CRM!L24</f>
        <v>75.599999999999994</v>
      </c>
      <c r="K88" s="4886">
        <f>J88</f>
        <v>75.599999999999994</v>
      </c>
      <c r="L88" s="5060">
        <f>CRM!N24</f>
        <v>79.119246963523423</v>
      </c>
      <c r="M88" s="5228">
        <f>CRM!O24</f>
        <v>78.904765770211327</v>
      </c>
      <c r="N88" s="5228">
        <f>CRM!P24</f>
        <v>87.163773911562046</v>
      </c>
      <c r="O88" s="5227">
        <f>CRM!Q24</f>
        <v>74.561565253796033</v>
      </c>
      <c r="P88" s="5228">
        <f>CRM!R24</f>
        <v>83.524562190849849</v>
      </c>
      <c r="Q88" s="5227">
        <f>CRM!S24</f>
        <v>73.667790804059663</v>
      </c>
      <c r="R88" s="5227">
        <f>CRM!T24</f>
        <v>71.601674214257002</v>
      </c>
      <c r="S88" s="5227">
        <f>CRM!U24</f>
        <v>72.925056812486062</v>
      </c>
      <c r="T88" s="5227">
        <f>CRM!V24</f>
        <v>74.183103395569546</v>
      </c>
      <c r="U88" s="5227">
        <f>CRM!W24</f>
        <v>71.914617661577736</v>
      </c>
      <c r="V88" s="6960">
        <f>CRM!X24</f>
        <v>0</v>
      </c>
      <c r="W88" s="6839">
        <f>CRM!Y24</f>
        <v>0</v>
      </c>
      <c r="X88" s="6955">
        <f>CRM!Z24</f>
        <v>76.756615697789272</v>
      </c>
      <c r="Y88" s="2001">
        <f>CRM!AA24</f>
        <v>-4899.568152831479</v>
      </c>
      <c r="Z88" s="3209">
        <f>CRM!AB24</f>
        <v>-5446.7056859017457</v>
      </c>
      <c r="AA88" s="3209">
        <f>CRM!AC24</f>
        <v>-23208.413295162598</v>
      </c>
      <c r="AB88" s="3209">
        <f>CRM!AD24</f>
        <v>6738.4064257322398</v>
      </c>
      <c r="AC88" s="3209">
        <f>CRM!AE24</f>
        <v>-16857.306472096821</v>
      </c>
      <c r="AD88" s="3209">
        <f>CRM!AF24</f>
        <v>9171.1396950764829</v>
      </c>
      <c r="AE88" s="3209">
        <f>CRM!AG24</f>
        <v>17537.903482521273</v>
      </c>
      <c r="AF88" s="3209">
        <f>CRM!AH24</f>
        <v>12094.068106418332</v>
      </c>
      <c r="AG88" s="3209">
        <f>CRM!AI24</f>
        <v>7799.1103542669989</v>
      </c>
      <c r="AH88" s="3209">
        <f>CRM!AJ24</f>
        <v>15929.452641021957</v>
      </c>
      <c r="AI88" s="3209">
        <f>CRM!AK24</f>
        <v>0</v>
      </c>
      <c r="AJ88" s="3209">
        <f>CRM!AL24</f>
        <v>0</v>
      </c>
      <c r="AK88" s="3209">
        <f>CRM!AM24</f>
        <v>37447.726795357325</v>
      </c>
      <c r="AL88" s="762">
        <f>SUM(Y88:AJ88)</f>
        <v>18858.087099044635</v>
      </c>
      <c r="AM88" s="4929">
        <f t="shared" si="35"/>
        <v>0.50358429503877422</v>
      </c>
      <c r="AN88" s="3210"/>
      <c r="AQ88" s="6999" t="s">
        <v>2023</v>
      </c>
      <c r="AR88" s="7000">
        <f t="shared" si="39"/>
        <v>5.748333333333334</v>
      </c>
      <c r="AS88" s="7000">
        <f t="shared" si="39"/>
        <v>4.4183333333333339</v>
      </c>
      <c r="AT88" s="7000">
        <f t="shared" si="39"/>
        <v>7.916666666666667</v>
      </c>
      <c r="AU88" s="7000">
        <f t="shared" si="39"/>
        <v>6.1458333333333321</v>
      </c>
      <c r="AV88" s="7000">
        <f t="shared" si="39"/>
        <v>6.125</v>
      </c>
      <c r="AW88" s="7013">
        <f t="shared" si="39"/>
        <v>3.0975000000000006</v>
      </c>
      <c r="AY88" s="710" t="s">
        <v>660</v>
      </c>
      <c r="AZ88" s="466"/>
      <c r="BA88" s="1341"/>
      <c r="BB88" s="2205"/>
      <c r="BC88" s="1341"/>
      <c r="BD88" s="1341"/>
      <c r="BE88" s="2242"/>
      <c r="BF88" s="2329"/>
      <c r="BG88" s="2329"/>
      <c r="BH88" s="2329"/>
      <c r="BI88" s="2479"/>
      <c r="BJ88" s="2479"/>
      <c r="BK88" s="2479"/>
      <c r="BL88" s="2479"/>
      <c r="BM88" s="2479"/>
    </row>
    <row r="89" spans="1:66" ht="21.75" customHeight="1">
      <c r="A89" s="7180"/>
      <c r="B89" s="3162" t="s">
        <v>43</v>
      </c>
      <c r="C89" s="2702" t="s">
        <v>457</v>
      </c>
      <c r="D89" s="3208">
        <f>CGL!F28</f>
        <v>75.72</v>
      </c>
      <c r="E89" s="3208">
        <f>CGL!G28</f>
        <v>80.17</v>
      </c>
      <c r="F89" s="3208">
        <f>CGL!H28</f>
        <v>81.21731478694231</v>
      </c>
      <c r="G89" s="3208">
        <f>CGL!I28</f>
        <v>85.08</v>
      </c>
      <c r="H89" s="2460">
        <f>CGL!J28</f>
        <v>82.8</v>
      </c>
      <c r="I89" s="2460">
        <f>CGL!K28</f>
        <v>82.462816674231007</v>
      </c>
      <c r="J89" s="4881">
        <f>CGL!L28</f>
        <v>81.225874424117535</v>
      </c>
      <c r="K89" s="4886">
        <f>J89</f>
        <v>81.225874424117535</v>
      </c>
      <c r="L89" s="5061">
        <f>CGL!N28</f>
        <v>79.290355297528436</v>
      </c>
      <c r="M89" s="5227">
        <f>CGL!O28</f>
        <v>78.765102545199298</v>
      </c>
      <c r="N89" s="5227">
        <f>CGL!P28</f>
        <v>78.709590987448664</v>
      </c>
      <c r="O89" s="5227">
        <f>CGL!Q28</f>
        <v>76.58236562344598</v>
      </c>
      <c r="P89" s="5228">
        <f>CGL!R28</f>
        <v>82.539588602059794</v>
      </c>
      <c r="Q89" s="5227">
        <f>CGL!S28</f>
        <v>74.823900757777963</v>
      </c>
      <c r="R89" s="5227">
        <f>CGL!T28</f>
        <v>69.994703218135356</v>
      </c>
      <c r="S89" s="5227">
        <f>CGL!U28</f>
        <v>74.467009414445101</v>
      </c>
      <c r="T89" s="5227">
        <f>CGL!V28</f>
        <v>64.833699111404613</v>
      </c>
      <c r="U89" s="5227">
        <f>CGL!W28</f>
        <v>71.735139925999434</v>
      </c>
      <c r="V89" s="6960">
        <f>CGL!X28</f>
        <v>349.79191570291516</v>
      </c>
      <c r="W89" s="6839">
        <f>CGL!Y28</f>
        <v>0</v>
      </c>
      <c r="X89" s="6955">
        <f>CGL!Z28</f>
        <v>100.13939738057816</v>
      </c>
      <c r="Y89" s="2001">
        <f>CGL!AA28</f>
        <v>7959.5220951737701</v>
      </c>
      <c r="Z89" s="3209">
        <f>CGL!AB28</f>
        <v>9233.3645195545905</v>
      </c>
      <c r="AA89" s="3209">
        <f>CGL!AC28</f>
        <v>10250.117328931699</v>
      </c>
      <c r="AB89" s="3209">
        <f>CGL!AD28</f>
        <v>14727.410519334651</v>
      </c>
      <c r="AC89" s="3209">
        <f>CGL!AE28</f>
        <v>-177.61502692551466</v>
      </c>
      <c r="AD89" s="3209">
        <f>CGL!AF28</f>
        <v>19360.85562324911</v>
      </c>
      <c r="AE89" s="3209">
        <f>CGL!AG28</f>
        <v>39008.954980874201</v>
      </c>
      <c r="AF89" s="3209">
        <f>CGL!AH28</f>
        <v>22487.861874002112</v>
      </c>
      <c r="AG89" s="3209">
        <f>CGL!AI28</f>
        <v>52326.680810029968</v>
      </c>
      <c r="AH89" s="3209">
        <f>CGL!AJ28</f>
        <v>29602.667830022521</v>
      </c>
      <c r="AI89" s="3209">
        <f>CGL!AK28</f>
        <v>-36153.836792074966</v>
      </c>
      <c r="AJ89" s="3209">
        <f>CGL!AL28</f>
        <v>0</v>
      </c>
      <c r="AK89" s="3209">
        <f>CGL!AM28</f>
        <v>34314.525322770227</v>
      </c>
      <c r="AL89" s="762">
        <f>SUM(Y89:AJ89)</f>
        <v>168625.98376217214</v>
      </c>
      <c r="AM89" s="2964">
        <f t="shared" si="35"/>
        <v>4.9141284099382929</v>
      </c>
      <c r="AN89" s="3210"/>
      <c r="AQ89" s="336"/>
      <c r="AY89" s="710" t="s">
        <v>661</v>
      </c>
      <c r="AZ89" s="466"/>
      <c r="BA89" s="1341"/>
      <c r="BB89" s="2205"/>
      <c r="BC89" s="1341"/>
      <c r="BD89" s="1341"/>
      <c r="BE89" s="2242"/>
      <c r="BF89" s="2329"/>
      <c r="BG89" s="2329"/>
      <c r="BH89" s="2329"/>
      <c r="BI89" s="2479"/>
      <c r="BJ89" s="2479"/>
      <c r="BK89" s="2479"/>
      <c r="BL89" s="2479"/>
      <c r="BM89" s="2479"/>
    </row>
    <row r="90" spans="1:66" ht="21.75" customHeight="1">
      <c r="A90" s="7180"/>
      <c r="B90" s="3162" t="s">
        <v>442</v>
      </c>
      <c r="C90" s="2702" t="s">
        <v>457</v>
      </c>
      <c r="D90" s="3208">
        <f>'#1CCL'!F40</f>
        <v>77.702166010315011</v>
      </c>
      <c r="E90" s="3208">
        <f>'#1CCL'!G40</f>
        <v>84.58</v>
      </c>
      <c r="F90" s="3208">
        <f>'#1CCL'!H40</f>
        <v>79.070682134390594</v>
      </c>
      <c r="G90" s="3208">
        <f>'#1CCL'!I40</f>
        <v>72.349999999999994</v>
      </c>
      <c r="H90" s="2460">
        <f>'#1CCL'!J40</f>
        <v>65.83</v>
      </c>
      <c r="I90" s="2460">
        <f>'#1CCL'!K40</f>
        <v>67.750527960591967</v>
      </c>
      <c r="J90" s="4881">
        <f>'#1CCL'!L40</f>
        <v>63.356954989929271</v>
      </c>
      <c r="K90" s="4886">
        <f>J90</f>
        <v>63.356954989929271</v>
      </c>
      <c r="L90" s="5060">
        <f>'#1CCL'!N40</f>
        <v>63.412496115856392</v>
      </c>
      <c r="M90" s="5228">
        <f>'#1CCL'!O40</f>
        <v>72.355967566665313</v>
      </c>
      <c r="N90" s="5227">
        <f>'#1CCL'!P40</f>
        <v>58.194672112657422</v>
      </c>
      <c r="O90" s="5227">
        <f>'#1CCL'!Q40</f>
        <v>59.030926780583513</v>
      </c>
      <c r="P90" s="5227">
        <f>'#1CCL'!R40</f>
        <v>56.592481753638232</v>
      </c>
      <c r="Q90" s="5227">
        <f>'#1CCL'!S40</f>
        <v>63.324271730373781</v>
      </c>
      <c r="R90" s="5227">
        <f>'#1CCL'!T40</f>
        <v>53.561811310430194</v>
      </c>
      <c r="S90" s="5227">
        <f>'#1CCL'!U40</f>
        <v>60.199259442431199</v>
      </c>
      <c r="T90" s="5227">
        <f>'#1CCL'!V40</f>
        <v>57.911399054691742</v>
      </c>
      <c r="U90" s="5227">
        <f>'#1CCL'!W40</f>
        <v>56.2657646693971</v>
      </c>
      <c r="V90" s="6960">
        <f>'#1CCL'!X40</f>
        <v>52.788360107069849</v>
      </c>
      <c r="W90" s="6839">
        <f>'#1CCL'!Y40</f>
        <v>60.293634841534761</v>
      </c>
      <c r="X90" s="6955">
        <f>'#1CCL'!Z40</f>
        <v>59.494253790444112</v>
      </c>
      <c r="Y90" s="2001">
        <f>'#1CCL'!AA40</f>
        <v>6033.7915720397314</v>
      </c>
      <c r="Z90" s="3209">
        <f>'#1CCL'!AB40</f>
        <v>-5517.0294989164304</v>
      </c>
      <c r="AA90" s="3209">
        <f>'#1CCL'!AC40</f>
        <v>13343.829595965681</v>
      </c>
      <c r="AB90" s="3209">
        <f>'#1CCL'!AD40</f>
        <v>11815.570567540602</v>
      </c>
      <c r="AC90" s="3209">
        <f>'#1CCL'!AE40</f>
        <v>14807.738124033496</v>
      </c>
      <c r="AD90" s="3209">
        <f>'#1CCL'!AF40</f>
        <v>6317.0455550538127</v>
      </c>
      <c r="AE90" s="3209">
        <f>'#1CCL'!AG40</f>
        <v>22434.368017875928</v>
      </c>
      <c r="AF90" s="3209">
        <f>'#1CCL'!AH40</f>
        <v>9843.6210720655909</v>
      </c>
      <c r="AG90" s="3209">
        <f>'#1CCL'!AI40</f>
        <v>13446.796057920803</v>
      </c>
      <c r="AH90" s="3209">
        <f>'#1CCL'!AJ40</f>
        <v>16449.044758717711</v>
      </c>
      <c r="AI90" s="3209">
        <f>'#1CCL'!AK40</f>
        <v>20864.896433957088</v>
      </c>
      <c r="AJ90" s="3209">
        <f>'#1CCL'!AL40</f>
        <v>9575.9176760965966</v>
      </c>
      <c r="AK90" s="3209">
        <f>'#1CCL'!AM40</f>
        <v>74583.887049190133</v>
      </c>
      <c r="AL90" s="762">
        <f>SUM(Y90:AJ90)</f>
        <v>139415.58993235062</v>
      </c>
      <c r="AM90" s="2964">
        <f t="shared" si="35"/>
        <v>1.8692454288471474</v>
      </c>
      <c r="AN90" s="3210"/>
      <c r="AQ90" s="56"/>
      <c r="AR90" s="49"/>
    </row>
    <row r="91" spans="1:66" ht="21.75" customHeight="1">
      <c r="A91" s="7180"/>
      <c r="B91" s="3162" t="s">
        <v>443</v>
      </c>
      <c r="C91" s="2702" t="s">
        <v>457</v>
      </c>
      <c r="D91" s="3208">
        <f>'#2CCL'!F38</f>
        <v>127.9226131142583</v>
      </c>
      <c r="E91" s="3208">
        <f>'#2CCL'!G38</f>
        <v>127.69</v>
      </c>
      <c r="F91" s="3208">
        <f>'#2CCL'!H38</f>
        <v>114.7</v>
      </c>
      <c r="G91" s="3208">
        <f>'#2CCL'!I38</f>
        <v>144.24</v>
      </c>
      <c r="H91" s="2460">
        <f>'#2CCL'!J38</f>
        <v>126.50420240387075</v>
      </c>
      <c r="I91" s="2460">
        <f>'#2CCL'!K38</f>
        <v>130.19365474477331</v>
      </c>
      <c r="J91" s="4881">
        <f>'#2CCL'!L38</f>
        <v>130</v>
      </c>
      <c r="K91" s="4882">
        <f>J91</f>
        <v>130</v>
      </c>
      <c r="L91" s="5061">
        <f>'#2CCL'!N38</f>
        <v>113.92732245798852</v>
      </c>
      <c r="M91" s="5227">
        <f>'#2CCL'!O38</f>
        <v>106.17750742808138</v>
      </c>
      <c r="N91" s="5228">
        <f>'#2CCL'!P38</f>
        <v>132.57977347154056</v>
      </c>
      <c r="O91" s="5227">
        <f>'#2CCL'!Q38</f>
        <v>126.94010820421239</v>
      </c>
      <c r="P91" s="5228">
        <f>'#2CCL'!R38</f>
        <v>137.60971930712475</v>
      </c>
      <c r="Q91" s="5227">
        <f>'#2CCL'!S38</f>
        <v>113.0160838522082</v>
      </c>
      <c r="R91" s="5227">
        <f>'#2CCL'!T38</f>
        <v>122.16150357073923</v>
      </c>
      <c r="S91" s="5227">
        <f>'#2CCL'!U38</f>
        <v>116.3436882774871</v>
      </c>
      <c r="T91" s="5228">
        <f>'#2CCL'!V38</f>
        <v>141.42895218021533</v>
      </c>
      <c r="U91" s="5228">
        <f>'#2CCL'!W38</f>
        <v>134.54320408412491</v>
      </c>
      <c r="V91" s="6960">
        <f>'#2CCL'!X38</f>
        <v>112.54000265432336</v>
      </c>
      <c r="W91" s="6839">
        <f>'#2CCL'!Y38</f>
        <v>121.62397074239458</v>
      </c>
      <c r="X91" s="6955">
        <f>'#2CCL'!Z38</f>
        <v>123.24098635253669</v>
      </c>
      <c r="Y91" s="2001">
        <f>'#2CCL'!AA38</f>
        <v>8490.8541724759471</v>
      </c>
      <c r="Z91" s="3209">
        <f>'#2CCL'!AB38</f>
        <v>13290.696833244336</v>
      </c>
      <c r="AA91" s="3209">
        <f>'#2CCL'!AC38</f>
        <v>-1055.4863042429977</v>
      </c>
      <c r="AB91" s="3209">
        <f>'#2CCL'!AD38</f>
        <v>1555.615799813952</v>
      </c>
      <c r="AC91" s="3209">
        <f>'#2CCL'!AE38</f>
        <v>-3138.6839477755057</v>
      </c>
      <c r="AD91" s="3209">
        <f>'#2CCL'!AF38</f>
        <v>9478.0820334473683</v>
      </c>
      <c r="AE91" s="3209">
        <f>'#2CCL'!AG38</f>
        <v>4194.7491834531957</v>
      </c>
      <c r="AF91" s="3209">
        <f>'#2CCL'!AH38</f>
        <v>6714.8958622941345</v>
      </c>
      <c r="AG91" s="3209">
        <f>'#2CCL'!AI38</f>
        <v>-4835.6571294451442</v>
      </c>
      <c r="AH91" s="3209">
        <f>'#2CCL'!AJ38</f>
        <v>-2022.2246655164558</v>
      </c>
      <c r="AI91" s="3209">
        <f>'#2CCL'!AK38</f>
        <v>9008.6401254219145</v>
      </c>
      <c r="AJ91" s="3209">
        <f>'#2CCL'!AL38</f>
        <v>4054.3258432557882</v>
      </c>
      <c r="AK91" s="3209">
        <f>'#2CCL'!AM38</f>
        <v>1046.9153045115249</v>
      </c>
      <c r="AL91" s="762">
        <f>SUM(Y91:AJ91)</f>
        <v>45735.807806426536</v>
      </c>
      <c r="AM91" s="2964">
        <f t="shared" si="35"/>
        <v>43.686253901662255</v>
      </c>
      <c r="AN91" s="3210"/>
      <c r="AQ91" s="336"/>
      <c r="AY91" s="2480" t="s">
        <v>1174</v>
      </c>
      <c r="AZ91" s="698" t="s">
        <v>720</v>
      </c>
      <c r="BA91" s="844" t="s">
        <v>15</v>
      </c>
      <c r="BB91" s="844" t="s">
        <v>111</v>
      </c>
      <c r="BC91" s="844" t="s">
        <v>85</v>
      </c>
      <c r="BD91" s="844" t="s">
        <v>87</v>
      </c>
      <c r="BE91" s="844" t="s">
        <v>7</v>
      </c>
      <c r="BF91" s="844" t="s">
        <v>8</v>
      </c>
      <c r="BG91" s="844" t="s">
        <v>9</v>
      </c>
      <c r="BH91" s="844" t="s">
        <v>10</v>
      </c>
      <c r="BI91" s="844" t="s">
        <v>11</v>
      </c>
      <c r="BJ91" s="844" t="s">
        <v>12</v>
      </c>
      <c r="BK91" s="844" t="s">
        <v>13</v>
      </c>
      <c r="BL91" s="844" t="s">
        <v>14</v>
      </c>
      <c r="BM91" s="844" t="s">
        <v>15</v>
      </c>
    </row>
    <row r="92" spans="1:66" ht="21.75" customHeight="1" thickBot="1">
      <c r="A92" s="7207"/>
      <c r="B92" s="3175" t="s">
        <v>448</v>
      </c>
      <c r="C92" s="2355" t="s">
        <v>457</v>
      </c>
      <c r="D92" s="2461">
        <v>76.561818663149694</v>
      </c>
      <c r="E92" s="2357">
        <f t="shared" ref="E92:M92" si="40">(E87+E88+E89+E90+E91)/5</f>
        <v>77.099999999999994</v>
      </c>
      <c r="F92" s="2357">
        <f t="shared" si="40"/>
        <v>73.76959938426657</v>
      </c>
      <c r="G92" s="2357">
        <f t="shared" si="40"/>
        <v>78.77000000000001</v>
      </c>
      <c r="H92" s="2358">
        <f>(H87+H88+H89+H90+H91)/5</f>
        <v>73.176840480774146</v>
      </c>
      <c r="I92" s="2358">
        <f>(I87+I88+I89+I90+I91)/5</f>
        <v>74.26936226728597</v>
      </c>
      <c r="J92" s="1959">
        <f t="shared" si="40"/>
        <v>72.771432750039565</v>
      </c>
      <c r="K92" s="2359">
        <f t="shared" si="40"/>
        <v>72.771432750039565</v>
      </c>
      <c r="L92" s="2234">
        <f t="shared" si="40"/>
        <v>70.817481633882593</v>
      </c>
      <c r="M92" s="2358">
        <f t="shared" si="40"/>
        <v>70.154342486853949</v>
      </c>
      <c r="N92" s="2358">
        <f t="shared" ref="N92:X92" si="41">(N87+N88+N89+N90+N91)/5</f>
        <v>74.319762549187061</v>
      </c>
      <c r="O92" s="2358">
        <f t="shared" si="41"/>
        <v>69.826824236958473</v>
      </c>
      <c r="P92" s="2358">
        <f t="shared" si="41"/>
        <v>74.769344406315184</v>
      </c>
      <c r="Q92" s="2358">
        <f t="shared" si="41"/>
        <v>67.62722173795332</v>
      </c>
      <c r="R92" s="2358">
        <f t="shared" si="41"/>
        <v>65.791209911835878</v>
      </c>
      <c r="S92" s="2358">
        <f t="shared" si="41"/>
        <v>67.55776496456653</v>
      </c>
      <c r="T92" s="2358">
        <f t="shared" si="41"/>
        <v>70.241674868655167</v>
      </c>
      <c r="U92" s="2358">
        <f t="shared" si="41"/>
        <v>70.290027855506153</v>
      </c>
      <c r="V92" s="5079">
        <f t="shared" si="41"/>
        <v>131.08554416760421</v>
      </c>
      <c r="W92" s="4588">
        <f t="shared" si="41"/>
        <v>36.383521116785872</v>
      </c>
      <c r="X92" s="5809">
        <f t="shared" si="41"/>
        <v>77.060817731551467</v>
      </c>
      <c r="Y92" s="2360">
        <f t="shared" ref="Y92:AK92" si="42">SUM(Y87:Y91)</f>
        <v>5913.4653346849</v>
      </c>
      <c r="Z92" s="2361">
        <f t="shared" si="42"/>
        <v>9755.9542064776979</v>
      </c>
      <c r="AA92" s="2361">
        <f t="shared" si="42"/>
        <v>-3078.272966255664</v>
      </c>
      <c r="AB92" s="2361">
        <f t="shared" si="42"/>
        <v>39924.775595773586</v>
      </c>
      <c r="AC92" s="2361">
        <f t="shared" si="42"/>
        <v>-4403.4105402554032</v>
      </c>
      <c r="AD92" s="2361">
        <f t="shared" si="42"/>
        <v>46269.464374337142</v>
      </c>
      <c r="AE92" s="2361">
        <f t="shared" si="42"/>
        <v>90797.620449561582</v>
      </c>
      <c r="AF92" s="2361">
        <f t="shared" si="42"/>
        <v>51429.036714641952</v>
      </c>
      <c r="AG92" s="2361">
        <f t="shared" si="42"/>
        <v>72043.581130707447</v>
      </c>
      <c r="AH92" s="2361">
        <f t="shared" si="42"/>
        <v>50522.418000410566</v>
      </c>
      <c r="AI92" s="2361">
        <f t="shared" si="42"/>
        <v>-14641.718381253873</v>
      </c>
      <c r="AJ92" s="2361">
        <f t="shared" si="42"/>
        <v>13630.243519352385</v>
      </c>
      <c r="AK92" s="2361">
        <f t="shared" si="42"/>
        <v>155221.34714880786</v>
      </c>
      <c r="AL92" s="2361">
        <f>SUM(AL87:AL91)</f>
        <v>358163.15743818227</v>
      </c>
      <c r="AM92" s="3211">
        <f t="shared" si="35"/>
        <v>2.3074349244941019</v>
      </c>
      <c r="AN92" s="2363"/>
      <c r="AO92" s="702"/>
      <c r="AQ92" s="336"/>
      <c r="AY92" s="710" t="s">
        <v>659</v>
      </c>
      <c r="AZ92" s="466"/>
      <c r="BA92" s="1341"/>
      <c r="BB92" s="2205"/>
      <c r="BC92" s="1341"/>
      <c r="BD92" s="1341"/>
      <c r="BE92" s="2242"/>
      <c r="BF92" s="2329"/>
      <c r="BG92" s="2329"/>
      <c r="BH92" s="2329"/>
      <c r="BI92" s="2479">
        <v>0</v>
      </c>
      <c r="BJ92" s="2479">
        <v>0</v>
      </c>
      <c r="BK92" s="2479"/>
      <c r="BL92" s="2479"/>
      <c r="BM92" s="2479"/>
    </row>
    <row r="93" spans="1:66" ht="21.75" customHeight="1">
      <c r="A93" s="7346" t="s">
        <v>1360</v>
      </c>
      <c r="B93" s="2255" t="s">
        <v>1361</v>
      </c>
      <c r="C93" s="1223" t="s">
        <v>321</v>
      </c>
      <c r="D93" s="699">
        <f>CPL!F29</f>
        <v>0</v>
      </c>
      <c r="E93" s="699">
        <f>CPL!G29</f>
        <v>3.01</v>
      </c>
      <c r="F93" s="699">
        <f>CPL!H29</f>
        <v>2.1</v>
      </c>
      <c r="G93" s="699">
        <f>CPL!I29</f>
        <v>1.87</v>
      </c>
      <c r="H93" s="699">
        <f>CPL!J29</f>
        <v>1.7517361678383541</v>
      </c>
      <c r="I93" s="1308">
        <f>CPL!K29</f>
        <v>1.5030626334880381</v>
      </c>
      <c r="J93" s="1962">
        <f>CPL!L29</f>
        <v>1.45</v>
      </c>
      <c r="K93" s="4873">
        <f>CPL!M29</f>
        <v>1.45</v>
      </c>
      <c r="L93" s="5063">
        <f>CPL!N29</f>
        <v>2.1748183618984624</v>
      </c>
      <c r="M93" s="5230">
        <f>CPL!O29</f>
        <v>1.0884834373539587</v>
      </c>
      <c r="N93" s="5295">
        <f>CPL!P29</f>
        <v>1.9472220891865528</v>
      </c>
      <c r="O93" s="5230">
        <f>CPL!Q29</f>
        <v>1.2612129776540515</v>
      </c>
      <c r="P93" s="5230">
        <f>CPL!R29</f>
        <v>1.2724226660261968</v>
      </c>
      <c r="Q93" s="5230">
        <f>CPL!S29</f>
        <v>1.1595696708110546</v>
      </c>
      <c r="R93" s="5295">
        <f>CPL!T29</f>
        <v>1.7765713344881151</v>
      </c>
      <c r="S93" s="5295">
        <f>CPL!U29</f>
        <v>1.9757358636098958</v>
      </c>
      <c r="T93" s="5230">
        <f>CPL!V29</f>
        <v>0.96278309220372205</v>
      </c>
      <c r="U93" s="1307">
        <f>CPL!W29</f>
        <v>2.2173519495555207</v>
      </c>
      <c r="V93" s="6841">
        <f>CPL!X29</f>
        <v>0</v>
      </c>
      <c r="W93" s="6695">
        <f>CPL!Y29</f>
        <v>0</v>
      </c>
      <c r="X93" s="6956">
        <f>CPL!Z29</f>
        <v>1.5836171442787532</v>
      </c>
      <c r="Y93" s="4353">
        <f>CPL!AA29</f>
        <v>-2009.9127412361445</v>
      </c>
      <c r="Z93" s="4353">
        <f>CPL!AB29</f>
        <v>1367.2980423586541</v>
      </c>
      <c r="AA93" s="4353">
        <f>CPL!AC29</f>
        <v>-1205.2524265199718</v>
      </c>
      <c r="AB93" s="4353">
        <f>CPL!AD29</f>
        <v>715.05992374347443</v>
      </c>
      <c r="AC93" s="4353">
        <f>CPL!AE29</f>
        <v>668.88386842899502</v>
      </c>
      <c r="AD93" s="4353">
        <f>CPL!AF29</f>
        <v>1154.9201368369013</v>
      </c>
      <c r="AE93" s="4353">
        <f>CPL!AG29</f>
        <v>-1011.2687845449442</v>
      </c>
      <c r="AF93" s="6709">
        <f>CPL!AH29</f>
        <v>-1539.5752508361541</v>
      </c>
      <c r="AG93" s="6709">
        <f>CPL!AI29</f>
        <v>1821.9434953552809</v>
      </c>
      <c r="AH93" s="6709">
        <f>CPL!AJ29</f>
        <v>-2493.8946525294537</v>
      </c>
      <c r="AI93" s="6709">
        <f>CPL!AK29</f>
        <v>111.80188700920337</v>
      </c>
      <c r="AJ93" s="6709">
        <f>CPL!AL29</f>
        <v>0</v>
      </c>
      <c r="AK93" s="6709">
        <f>CPL!AM29</f>
        <v>1673.1195945156037</v>
      </c>
      <c r="AL93" s="762">
        <f t="shared" ref="AL93:AL98" si="43">SUM(Y93:AJ93)</f>
        <v>-2419.9965019341594</v>
      </c>
      <c r="AM93" s="4930">
        <f t="shared" ref="AM93:AM98" si="44">AL93/AK93</f>
        <v>-1.4463978007709539</v>
      </c>
      <c r="AN93" s="1965"/>
      <c r="AQ93" s="336"/>
    </row>
    <row r="94" spans="1:66" ht="21.75" customHeight="1">
      <c r="A94" s="7096"/>
      <c r="B94" s="1228" t="s">
        <v>1362</v>
      </c>
      <c r="C94" s="1229" t="s">
        <v>329</v>
      </c>
      <c r="D94" s="874">
        <v>169</v>
      </c>
      <c r="E94" s="874">
        <v>170</v>
      </c>
      <c r="F94" s="874">
        <f>CRM!H28</f>
        <v>1298</v>
      </c>
      <c r="G94" s="874">
        <f>CRM!I28</f>
        <v>1232</v>
      </c>
      <c r="H94" s="874">
        <f>CRM!J28</f>
        <v>2157.8430560543561</v>
      </c>
      <c r="I94" s="2236">
        <f>CRM!K28</f>
        <v>1232.6363636363637</v>
      </c>
      <c r="J94" s="4851">
        <f>CRM!L28</f>
        <v>1189</v>
      </c>
      <c r="K94" s="4852">
        <f>CRM!M28</f>
        <v>1189</v>
      </c>
      <c r="L94" s="5064">
        <f>CRM!N28</f>
        <v>1473</v>
      </c>
      <c r="M94" s="5231">
        <f>CRM!O28</f>
        <v>1316</v>
      </c>
      <c r="N94" s="5231">
        <f>CRM!P28</f>
        <v>1308</v>
      </c>
      <c r="O94" s="5241">
        <f>CRM!Q28</f>
        <v>947</v>
      </c>
      <c r="P94" s="5231">
        <f>CRM!R28</f>
        <v>1346</v>
      </c>
      <c r="Q94" s="5241">
        <f>CRM!S28</f>
        <v>1147</v>
      </c>
      <c r="R94" s="5241">
        <f>CRM!T28</f>
        <v>1049</v>
      </c>
      <c r="S94" s="5241">
        <f>CRM!U28</f>
        <v>1085</v>
      </c>
      <c r="T94" s="5241">
        <f>CRM!V28</f>
        <v>810</v>
      </c>
      <c r="U94" s="4597">
        <f>CRM!W28</f>
        <v>965</v>
      </c>
      <c r="V94" s="6842">
        <f>CRM!X28</f>
        <v>0</v>
      </c>
      <c r="W94" s="6696">
        <f>CRM!Y28</f>
        <v>0</v>
      </c>
      <c r="X94" s="6957">
        <f>CRM!Z28</f>
        <v>1144.5999999999999</v>
      </c>
      <c r="Y94" s="4354">
        <f>CRM!AA29</f>
        <v>-5438.8212515999994</v>
      </c>
      <c r="Z94" s="4354">
        <f>CRM!AB29</f>
        <v>-2251.3953604000026</v>
      </c>
      <c r="AA94" s="4354">
        <f>CRM!AC29</f>
        <v>-1643.4048435000018</v>
      </c>
      <c r="AB94" s="4354">
        <f>CRM!AD29</f>
        <v>7572.3775287999997</v>
      </c>
      <c r="AC94" s="4354">
        <f>CRM!AE29</f>
        <v>-2789.9640964000027</v>
      </c>
      <c r="AD94" s="4354">
        <f>CRM!AF29</f>
        <v>2270.0516999999977</v>
      </c>
      <c r="AE94" s="4354">
        <f>CRM!AG29</f>
        <v>5657.5061647000002</v>
      </c>
      <c r="AF94" s="6710">
        <f>CRM!AH29</f>
        <v>4168.1284289099985</v>
      </c>
      <c r="AG94" s="6710">
        <f>CRM!AI29</f>
        <v>11201.045861999997</v>
      </c>
      <c r="AH94" s="6710">
        <f>CRM!AJ29</f>
        <v>8028.7663480199999</v>
      </c>
      <c r="AI94" s="6710">
        <f>CRM!AK29</f>
        <v>0</v>
      </c>
      <c r="AJ94" s="6710">
        <f>CRM!AL29</f>
        <v>0</v>
      </c>
      <c r="AK94" s="6710">
        <f>CRM!AM29</f>
        <v>24991.844159999982</v>
      </c>
      <c r="AL94" s="762">
        <f t="shared" si="43"/>
        <v>26774.290480529984</v>
      </c>
      <c r="AM94" s="4929">
        <f t="shared" si="44"/>
        <v>1.0713211201669883</v>
      </c>
      <c r="AN94" s="845"/>
      <c r="AQ94" s="336"/>
    </row>
    <row r="95" spans="1:66" ht="21.75" customHeight="1">
      <c r="A95" s="7096"/>
      <c r="B95" s="1226" t="s">
        <v>1363</v>
      </c>
      <c r="C95" s="1227" t="s">
        <v>1705</v>
      </c>
      <c r="D95" s="324">
        <f>CRM!F29</f>
        <v>0.5</v>
      </c>
      <c r="E95" s="324">
        <f>CRM!G29</f>
        <v>0.57999999999999996</v>
      </c>
      <c r="F95" s="324">
        <f>CGL!H24</f>
        <v>102.28</v>
      </c>
      <c r="G95" s="324">
        <f>CGL!I24</f>
        <v>101.81</v>
      </c>
      <c r="H95" s="324">
        <f>CGL!J24</f>
        <v>101.58</v>
      </c>
      <c r="I95" s="2224">
        <f>CGL!K24</f>
        <v>99.984010721754942</v>
      </c>
      <c r="J95" s="4610">
        <f>CGL!L24</f>
        <v>100</v>
      </c>
      <c r="K95" s="4277">
        <f>CGL!M24</f>
        <v>100</v>
      </c>
      <c r="L95" s="4383">
        <f>CGL!N24</f>
        <v>99.622247799999997</v>
      </c>
      <c r="M95" s="4723">
        <f>CGL!O24</f>
        <v>100.06858792211101</v>
      </c>
      <c r="N95" s="4723">
        <f>CGL!P24</f>
        <v>100.7185573</v>
      </c>
      <c r="O95" s="4723">
        <f>CGL!Q24</f>
        <v>100.8135599</v>
      </c>
      <c r="P95" s="4723">
        <f>CGL!R24</f>
        <v>100.5854544</v>
      </c>
      <c r="Q95" s="4723">
        <f>CGL!S24</f>
        <v>100.080066</v>
      </c>
      <c r="R95" s="4723">
        <f>CGL!T24</f>
        <v>100.220308</v>
      </c>
      <c r="S95" s="4723">
        <f>CGL!U24</f>
        <v>100.20377581177</v>
      </c>
      <c r="T95" s="4723">
        <f>CGL!V24</f>
        <v>100.71383498362999</v>
      </c>
      <c r="U95" s="3593">
        <f>CGL!W24</f>
        <v>100.346099148183</v>
      </c>
      <c r="V95" s="5477">
        <f>CGL!X24</f>
        <v>0</v>
      </c>
      <c r="W95" s="5294">
        <f>CGL!Y24</f>
        <v>0</v>
      </c>
      <c r="X95" s="6958">
        <f>CGL!Z24</f>
        <v>100.3372491265694</v>
      </c>
      <c r="Y95" s="4354">
        <f>CGL!AA24</f>
        <v>9502.1259669158953</v>
      </c>
      <c r="Z95" s="4354">
        <f>CGL!AB24</f>
        <v>-2210.9862174032073</v>
      </c>
      <c r="AA95" s="4354">
        <f>CGL!AC24</f>
        <v>-21001.464393208895</v>
      </c>
      <c r="AB95" s="4354">
        <f>CGL!AD24</f>
        <v>-21750.235950475198</v>
      </c>
      <c r="AC95" s="4354">
        <f>CGL!AE24</f>
        <v>-14567.274558024737</v>
      </c>
      <c r="AD95" s="4354">
        <f>CGL!AF24</f>
        <v>-2548.7082970768656</v>
      </c>
      <c r="AE95" s="4354">
        <f>CGL!AG24</f>
        <v>-7739.7756381341514</v>
      </c>
      <c r="AF95" s="6710">
        <f>CGL!AH24</f>
        <v>-6470.6906138933582</v>
      </c>
      <c r="AG95" s="6710">
        <f>CGL!AI24</f>
        <v>-22678.639204469258</v>
      </c>
      <c r="AH95" s="6710">
        <f>CGL!AJ24</f>
        <v>-10460.34235015724</v>
      </c>
      <c r="AI95" s="6710">
        <f>CGL!AK24</f>
        <v>141561.38207548391</v>
      </c>
      <c r="AJ95" s="6710">
        <f>CGL!AL24</f>
        <v>0</v>
      </c>
      <c r="AK95" s="6710">
        <f>CGL!AM24</f>
        <v>-4643.6931414636501</v>
      </c>
      <c r="AL95" s="762">
        <f t="shared" si="43"/>
        <v>41635.390819556895</v>
      </c>
      <c r="AM95" s="4929">
        <f>1-(AL95/AK95)</f>
        <v>9.9660082075177332</v>
      </c>
      <c r="AN95" s="766"/>
      <c r="AQ95" s="336"/>
    </row>
    <row r="96" spans="1:66" ht="21.75" customHeight="1">
      <c r="A96" s="7096"/>
      <c r="B96" s="1226" t="s">
        <v>1364</v>
      </c>
      <c r="C96" s="1227" t="s">
        <v>334</v>
      </c>
      <c r="D96" s="323">
        <f>CGL!F37</f>
        <v>0</v>
      </c>
      <c r="E96" s="323">
        <f>CGL!G37</f>
        <v>0</v>
      </c>
      <c r="F96" s="323">
        <f>CGL!H25</f>
        <v>5.35</v>
      </c>
      <c r="G96" s="323">
        <f>CGL!I25</f>
        <v>4.5</v>
      </c>
      <c r="H96" s="323">
        <f>CGL!J25</f>
        <v>4.18</v>
      </c>
      <c r="I96" s="2274">
        <f>CGL!K25</f>
        <v>4.1374715776825299</v>
      </c>
      <c r="J96" s="4320">
        <f>CGL!L25</f>
        <v>3.5</v>
      </c>
      <c r="K96" s="3682">
        <f>CGL!M25</f>
        <v>3.5</v>
      </c>
      <c r="L96" s="5065">
        <f>CGL!N25</f>
        <v>3.80206434275172</v>
      </c>
      <c r="M96" s="5232">
        <f>CGL!O25</f>
        <v>4.8069420836404904</v>
      </c>
      <c r="N96" s="5232">
        <f>CGL!P25</f>
        <v>5.9326465085499098</v>
      </c>
      <c r="O96" s="4349">
        <f>CGL!Q25</f>
        <v>3.97261849417916</v>
      </c>
      <c r="P96" s="5232">
        <f>CGL!R25</f>
        <v>5.4446246168049504</v>
      </c>
      <c r="Q96" s="5232">
        <f>CGL!S25</f>
        <v>4.6098125783057897</v>
      </c>
      <c r="R96" s="5232">
        <f>CGL!T25</f>
        <v>4.36157894668598</v>
      </c>
      <c r="S96" s="5236">
        <f>CGL!U25</f>
        <v>3.4564467871272302</v>
      </c>
      <c r="T96" s="5236">
        <f>CGL!V25</f>
        <v>2.9983209402734499</v>
      </c>
      <c r="U96" s="4349">
        <f>CGL!W25</f>
        <v>3.3739692027913502</v>
      </c>
      <c r="V96" s="6843">
        <f>CGL!X25</f>
        <v>0</v>
      </c>
      <c r="W96" s="6693">
        <f>CGL!Y25</f>
        <v>0</v>
      </c>
      <c r="X96" s="6944">
        <f>CGL!Z25</f>
        <v>4.275902450111003</v>
      </c>
      <c r="Y96" s="4354">
        <f>CGL!AA25</f>
        <v>5357.1681654369731</v>
      </c>
      <c r="Z96" s="4354">
        <f>CGL!AB25</f>
        <v>-10642.172665290196</v>
      </c>
      <c r="AA96" s="4354">
        <f>CGL!AC25</f>
        <v>-31210.673130931995</v>
      </c>
      <c r="AB96" s="4354">
        <f>CGL!AD25</f>
        <v>2628.361107447859</v>
      </c>
      <c r="AC96" s="4354">
        <f>CGL!AE25</f>
        <v>-19252.002104160212</v>
      </c>
      <c r="AD96" s="4354">
        <f>CGL!AF25</f>
        <v>-7621.1527432602606</v>
      </c>
      <c r="AE96" s="4354">
        <f>CGL!AG25</f>
        <v>-4463.6682708326261</v>
      </c>
      <c r="AF96" s="6710">
        <f>CGL!AH25</f>
        <v>12193.291976668226</v>
      </c>
      <c r="AG96" s="6710">
        <f>CGL!AI25</f>
        <v>21525.139505818061</v>
      </c>
      <c r="AH96" s="6710">
        <f>CGL!AJ25</f>
        <v>13412.439298472706</v>
      </c>
      <c r="AI96" s="6710">
        <f>CGL!AK25</f>
        <v>3562.1761021851457</v>
      </c>
      <c r="AJ96" s="6710">
        <f>CGL!AL25</f>
        <v>0</v>
      </c>
      <c r="AK96" s="6710">
        <f>CGL!AM25</f>
        <v>112580.09262027605</v>
      </c>
      <c r="AL96" s="762">
        <f t="shared" si="43"/>
        <v>-14511.092758446324</v>
      </c>
      <c r="AM96" s="4929">
        <f t="shared" si="44"/>
        <v>-0.12889572588460305</v>
      </c>
      <c r="AN96" s="766"/>
      <c r="AQ96" s="336"/>
    </row>
    <row r="97" spans="1:62" ht="21.75" customHeight="1">
      <c r="A97" s="7096"/>
      <c r="B97" s="2972" t="s">
        <v>1366</v>
      </c>
      <c r="C97" s="2702" t="s">
        <v>1365</v>
      </c>
      <c r="D97" s="2962"/>
      <c r="E97" s="2962"/>
      <c r="F97" s="2962">
        <f>'#1CCL'!H30</f>
        <v>26.925635918047181</v>
      </c>
      <c r="G97" s="2962">
        <f>'#1CCL'!I30</f>
        <v>24.51</v>
      </c>
      <c r="H97" s="2962">
        <f>'#1CCL'!J30</f>
        <v>25.5164081871166</v>
      </c>
      <c r="I97" s="2274">
        <f>'#1CCL'!K30</f>
        <v>24.863893783777399</v>
      </c>
      <c r="J97" s="4320">
        <f>'#1CCL'!L30</f>
        <v>24.363893783777399</v>
      </c>
      <c r="K97" s="3682">
        <f>'#1CCL'!M30</f>
        <v>24.35</v>
      </c>
      <c r="L97" s="5065">
        <f>'#1CCL'!N30</f>
        <v>23.86</v>
      </c>
      <c r="M97" s="5232">
        <f>'#1CCL'!O30</f>
        <v>25.8</v>
      </c>
      <c r="N97" s="4349">
        <f>'#1CCL'!P30</f>
        <v>24.39</v>
      </c>
      <c r="O97" s="5236">
        <f>'#1CCL'!Q30</f>
        <v>23.94</v>
      </c>
      <c r="P97" s="4349">
        <f>'#1CCL'!R30</f>
        <v>25.22</v>
      </c>
      <c r="Q97" s="5236">
        <f>'#1CCL'!S30</f>
        <v>24.06</v>
      </c>
      <c r="R97" s="5236">
        <f>'#1CCL'!T30</f>
        <v>23.66</v>
      </c>
      <c r="S97" s="5236">
        <f>'#1CCL'!U30</f>
        <v>24.03</v>
      </c>
      <c r="T97" s="5236">
        <f>'#1CCL'!V30</f>
        <v>23.96</v>
      </c>
      <c r="U97" s="4349">
        <f>'#1CCL'!W30</f>
        <v>24.45</v>
      </c>
      <c r="V97" s="6843">
        <f>'#1CCL'!X30</f>
        <v>25.211862013922094</v>
      </c>
      <c r="W97" s="6693">
        <f>'#1CCL'!Y30</f>
        <v>25.48</v>
      </c>
      <c r="X97" s="6944">
        <f>'#1CCL'!Z30</f>
        <v>24.505155167826842</v>
      </c>
      <c r="Y97" s="4354">
        <f>'#1CCL'!AA30</f>
        <v>52110.784461258751</v>
      </c>
      <c r="Z97" s="4354">
        <f>'#1CCL'!AB30</f>
        <v>-40423.68756070266</v>
      </c>
      <c r="AA97" s="4354">
        <f>'#1CCL'!AC30</f>
        <v>23854.399829312279</v>
      </c>
      <c r="AB97" s="4354">
        <f>'#1CCL'!AD30</f>
        <v>45129.103543616031</v>
      </c>
      <c r="AC97" s="4354">
        <f>'#1CCL'!AE30</f>
        <v>-17035.571566774495</v>
      </c>
      <c r="AD97" s="4354">
        <f>'#1CCL'!AF30</f>
        <v>41357.350920648445</v>
      </c>
      <c r="AE97" s="4354">
        <f>'#1CCL'!AG30</f>
        <v>68617.593177920586</v>
      </c>
      <c r="AF97" s="6710">
        <f>'#1CCL'!AH30</f>
        <v>39185.220478743227</v>
      </c>
      <c r="AG97" s="6710">
        <f>'#1CCL'!AI30</f>
        <v>44530.354464996439</v>
      </c>
      <c r="AH97" s="6710">
        <f>'#1CCL'!AJ30</f>
        <v>21368.996228936001</v>
      </c>
      <c r="AI97" s="6710">
        <f>'#1CCL'!AK30</f>
        <v>-17491.936407315679</v>
      </c>
      <c r="AJ97" s="6710">
        <f>'#1CCL'!AL30</f>
        <v>-29527.070007430186</v>
      </c>
      <c r="AK97" s="6710">
        <f>'#1CCL'!AM30</f>
        <v>316766.65000000002</v>
      </c>
      <c r="AL97" s="762">
        <f t="shared" si="43"/>
        <v>231675.53756320872</v>
      </c>
      <c r="AM97" s="2964">
        <f t="shared" si="44"/>
        <v>0.73137603836517739</v>
      </c>
      <c r="AN97" s="2964"/>
      <c r="AQ97" s="336"/>
    </row>
    <row r="98" spans="1:62" ht="21.75" customHeight="1" thickBot="1">
      <c r="A98" s="7081"/>
      <c r="B98" s="2972" t="s">
        <v>1367</v>
      </c>
      <c r="C98" s="2702" t="s">
        <v>1365</v>
      </c>
      <c r="D98" s="2962"/>
      <c r="E98" s="2962"/>
      <c r="F98" s="2962">
        <f>'#2CCL'!H30</f>
        <v>32.450000000000003</v>
      </c>
      <c r="G98" s="2962">
        <f>'#2CCL'!I30</f>
        <v>33.229999999999997</v>
      </c>
      <c r="H98" s="2962">
        <f>'#2CCL'!J30</f>
        <v>38.068566825581534</v>
      </c>
      <c r="I98" s="2274">
        <f>'#2CCL'!K30</f>
        <v>36.189847966144271</v>
      </c>
      <c r="J98" s="4320">
        <f>'#2CCL'!L30</f>
        <v>35.49126354565324</v>
      </c>
      <c r="K98" s="3682">
        <f>'#2CCL'!M30</f>
        <v>35.49126354565324</v>
      </c>
      <c r="L98" s="5066">
        <f>'#2CCL'!N30</f>
        <v>35.114729636954607</v>
      </c>
      <c r="M98" s="5233">
        <f>'#2CCL'!O30</f>
        <v>34.141379863289046</v>
      </c>
      <c r="N98" s="4349">
        <f>'#2CCL'!P30</f>
        <v>31.489715638325446</v>
      </c>
      <c r="O98" s="4349">
        <f>'#2CCL'!Q30</f>
        <v>35.601408288628896</v>
      </c>
      <c r="P98" s="5233">
        <f>'#2CCL'!R30</f>
        <v>35.390523824409414</v>
      </c>
      <c r="Q98" s="5232">
        <f>'#2CCL'!S30</f>
        <v>36.704370727845692</v>
      </c>
      <c r="R98" s="5236">
        <f>'#2CCL'!T30</f>
        <v>34.693069227304896</v>
      </c>
      <c r="S98" s="5236">
        <f>'#2CCL'!U30</f>
        <v>30.280848262240546</v>
      </c>
      <c r="T98" s="5232">
        <f>'#2CCL'!V30</f>
        <v>44.107942479144484</v>
      </c>
      <c r="U98" s="4349">
        <f>'#2CCL'!W30</f>
        <v>41.098674760833624</v>
      </c>
      <c r="V98" s="6843">
        <f>'#2CCL'!X30</f>
        <v>35.97</v>
      </c>
      <c r="W98" s="6693">
        <f>'#2CCL'!Y30</f>
        <v>40.82</v>
      </c>
      <c r="X98" s="6944">
        <f>'#2CCL'!Z30</f>
        <v>36.284388559081385</v>
      </c>
      <c r="Y98" s="4354">
        <f>'#2CCL'!AA30</f>
        <v>28104.289790943945</v>
      </c>
      <c r="Z98" s="4354">
        <f>'#2CCL'!AB30</f>
        <v>54835.591487023856</v>
      </c>
      <c r="AA98" s="4354">
        <f>'#2CCL'!AC30</f>
        <v>100567.93952124426</v>
      </c>
      <c r="AB98" s="4354">
        <f>'#2CCL'!AD30</f>
        <v>13609.312436218701</v>
      </c>
      <c r="AC98" s="4354">
        <f>'#2CCL'!AE30</f>
        <v>16363.866510775244</v>
      </c>
      <c r="AD98" s="4354">
        <f>'#2CCL'!AF30</f>
        <v>-13732.582585167118</v>
      </c>
      <c r="AE98" s="4354">
        <f>'#2CCL'!AG30</f>
        <v>37811.215939835725</v>
      </c>
      <c r="AF98" s="6710">
        <f>'#2CCL'!AH30</f>
        <v>138577.72963979674</v>
      </c>
      <c r="AG98" s="6710">
        <f>'#2CCL'!AI30</f>
        <v>-164846.79988730472</v>
      </c>
      <c r="AH98" s="6710">
        <f>'#2CCL'!AJ30</f>
        <v>-110395.59992137134</v>
      </c>
      <c r="AI98" s="6710">
        <f>'#2CCL'!AK30</f>
        <v>5426.7028393490373</v>
      </c>
      <c r="AJ98" s="6710">
        <f>'#2CCL'!AL30</f>
        <v>-109699.26046478056</v>
      </c>
      <c r="AK98" s="6710">
        <f>'#2CCL'!AM30</f>
        <v>197283.44824632601</v>
      </c>
      <c r="AL98" s="762">
        <f t="shared" si="43"/>
        <v>-3377.5946934362</v>
      </c>
      <c r="AM98" s="2964">
        <f t="shared" si="44"/>
        <v>-1.712051732398235E-2</v>
      </c>
      <c r="AN98" s="2964"/>
      <c r="AO98" s="334">
        <f>285832.738884978*1000</f>
        <v>285832738.884978</v>
      </c>
      <c r="AQ98" s="336"/>
    </row>
    <row r="99" spans="1:62" ht="17.399999999999999" hidden="1" customHeight="1">
      <c r="A99" s="7134" t="s">
        <v>1020</v>
      </c>
      <c r="B99" s="1770" t="s">
        <v>1026</v>
      </c>
      <c r="C99" s="1625" t="s">
        <v>1027</v>
      </c>
      <c r="D99" s="873"/>
      <c r="E99" s="1767"/>
      <c r="F99" s="1767"/>
      <c r="G99" s="1767"/>
      <c r="H99" s="2190">
        <v>78802</v>
      </c>
      <c r="I99" s="2190"/>
      <c r="J99" s="3662">
        <v>75000</v>
      </c>
      <c r="K99" s="3663">
        <v>75000</v>
      </c>
      <c r="L99" s="4616">
        <f>'#1CCL'!N32</f>
        <v>0</v>
      </c>
      <c r="M99" s="2475">
        <f>'#1CCL'!O32</f>
        <v>0</v>
      </c>
      <c r="N99" s="5234">
        <f>'#1CCL'!P32</f>
        <v>0</v>
      </c>
      <c r="O99" s="5234">
        <f>'#1CCL'!Q32</f>
        <v>0</v>
      </c>
      <c r="P99" s="2475">
        <f>'#1CCL'!R32</f>
        <v>0</v>
      </c>
      <c r="Q99" s="2475">
        <f>'#1CCL'!S32</f>
        <v>0</v>
      </c>
      <c r="R99" s="5234">
        <f>'#1CCL'!T32</f>
        <v>0</v>
      </c>
      <c r="S99" s="5234">
        <f>'#1CCL'!U32</f>
        <v>0</v>
      </c>
      <c r="T99" s="5234">
        <f>'#1CCL'!V32</f>
        <v>0</v>
      </c>
      <c r="U99" s="5234">
        <f>'#1CCL'!W32</f>
        <v>0</v>
      </c>
      <c r="V99" s="5080">
        <f>'#1CCL'!X32</f>
        <v>0</v>
      </c>
      <c r="W99" s="5557">
        <f>'#1CCL'!Y32</f>
        <v>0</v>
      </c>
      <c r="X99" s="6691">
        <f>AVERAGE(L99:W99)</f>
        <v>0</v>
      </c>
      <c r="Y99" s="4355"/>
      <c r="Z99" s="4356"/>
      <c r="AA99" s="4356"/>
      <c r="AB99" s="4356"/>
      <c r="AC99" s="4356"/>
      <c r="AD99" s="4356"/>
      <c r="AE99" s="4356"/>
      <c r="AF99" s="4356"/>
      <c r="AG99" s="4356"/>
      <c r="AH99" s="4356"/>
      <c r="AI99" s="4356"/>
      <c r="AJ99" s="4356"/>
      <c r="AK99" s="4356"/>
      <c r="AL99" s="805"/>
      <c r="AM99" s="805"/>
      <c r="AN99" s="2057" t="s">
        <v>838</v>
      </c>
      <c r="AO99" s="702">
        <v>1.7949999999999999</v>
      </c>
      <c r="AQ99" s="336"/>
    </row>
    <row r="100" spans="1:62" ht="15.6" hidden="1" customHeight="1">
      <c r="A100" s="7180"/>
      <c r="B100" s="1770" t="s">
        <v>1021</v>
      </c>
      <c r="C100" s="1625" t="s">
        <v>801</v>
      </c>
      <c r="D100" s="873"/>
      <c r="E100" s="1768"/>
      <c r="F100" s="1768"/>
      <c r="G100" s="1768"/>
      <c r="H100" s="2190">
        <v>390300</v>
      </c>
      <c r="I100" s="2190"/>
      <c r="J100" s="3662">
        <v>290000</v>
      </c>
      <c r="K100" s="3663">
        <v>290000</v>
      </c>
      <c r="L100" s="4616">
        <f>'#1CCL'!N33</f>
        <v>0</v>
      </c>
      <c r="M100" s="5234">
        <f>'#1CCL'!O33</f>
        <v>0</v>
      </c>
      <c r="N100" s="5234">
        <f>'#1CCL'!P33</f>
        <v>0</v>
      </c>
      <c r="O100" s="5234">
        <f>'#1CCL'!Q33</f>
        <v>0</v>
      </c>
      <c r="P100" s="5234">
        <f>'#1CCL'!R33</f>
        <v>0</v>
      </c>
      <c r="Q100" s="5234">
        <f>'#1CCL'!S33</f>
        <v>0</v>
      </c>
      <c r="R100" s="5234">
        <f>'#1CCL'!T33</f>
        <v>0</v>
      </c>
      <c r="S100" s="5234">
        <f>'#1CCL'!U33</f>
        <v>0</v>
      </c>
      <c r="T100" s="5234">
        <f>'#1CCL'!V33</f>
        <v>0</v>
      </c>
      <c r="U100" s="5234">
        <f>'#1CCL'!W33</f>
        <v>0</v>
      </c>
      <c r="V100" s="5080">
        <f>'#1CCL'!X33</f>
        <v>0</v>
      </c>
      <c r="W100" s="5557">
        <f>'#1CCL'!Y33</f>
        <v>0</v>
      </c>
      <c r="X100" s="6691">
        <f>AVERAGE(L100:W100)</f>
        <v>0</v>
      </c>
      <c r="Y100" s="4355"/>
      <c r="Z100" s="4356"/>
      <c r="AA100" s="4356"/>
      <c r="AB100" s="4356"/>
      <c r="AC100" s="4356"/>
      <c r="AD100" s="4356"/>
      <c r="AE100" s="4356"/>
      <c r="AF100" s="4356"/>
      <c r="AG100" s="4356"/>
      <c r="AH100" s="4356"/>
      <c r="AI100" s="4356"/>
      <c r="AJ100" s="4356"/>
      <c r="AK100" s="4356"/>
      <c r="AL100" s="805"/>
      <c r="AM100" s="805"/>
      <c r="AN100" s="2058"/>
      <c r="AO100" s="702">
        <v>4.8650000000000002</v>
      </c>
      <c r="AQ100" s="336"/>
    </row>
    <row r="101" spans="1:62" ht="18" hidden="1" customHeight="1" thickBot="1">
      <c r="A101" s="7180"/>
      <c r="B101" s="1771" t="s">
        <v>1022</v>
      </c>
      <c r="C101" s="1772" t="s">
        <v>1024</v>
      </c>
      <c r="D101" s="873"/>
      <c r="E101" s="1768"/>
      <c r="F101" s="1768"/>
      <c r="G101" s="1768"/>
      <c r="H101" s="1281">
        <v>360</v>
      </c>
      <c r="I101" s="1281"/>
      <c r="J101" s="3662">
        <v>160</v>
      </c>
      <c r="K101" s="3663">
        <v>160</v>
      </c>
      <c r="L101" s="4616">
        <f>'#1CCL'!N34</f>
        <v>0</v>
      </c>
      <c r="M101" s="5234">
        <f>'#1CCL'!O34</f>
        <v>0</v>
      </c>
      <c r="N101" s="5234">
        <f>'#1CCL'!P34</f>
        <v>0</v>
      </c>
      <c r="O101" s="5234">
        <f>'#1CCL'!Q34</f>
        <v>0</v>
      </c>
      <c r="P101" s="5234">
        <f>'#1CCL'!R34</f>
        <v>0</v>
      </c>
      <c r="Q101" s="5234">
        <f>'#1CCL'!S34</f>
        <v>0</v>
      </c>
      <c r="R101" s="5234">
        <f>'#1CCL'!T34</f>
        <v>0</v>
      </c>
      <c r="S101" s="5234">
        <f>'#1CCL'!U34</f>
        <v>0</v>
      </c>
      <c r="T101" s="5234">
        <f>'#1CCL'!V34</f>
        <v>0</v>
      </c>
      <c r="U101" s="5234">
        <f>'#1CCL'!W34</f>
        <v>0</v>
      </c>
      <c r="V101" s="5080">
        <f>'#1CCL'!X34</f>
        <v>0</v>
      </c>
      <c r="W101" s="5557">
        <f>'#1CCL'!Y34</f>
        <v>0</v>
      </c>
      <c r="X101" s="6691">
        <f>AVERAGE(L101:W101)</f>
        <v>0</v>
      </c>
      <c r="Y101" s="4355"/>
      <c r="Z101" s="4356"/>
      <c r="AA101" s="4356"/>
      <c r="AB101" s="4356"/>
      <c r="AC101" s="4356"/>
      <c r="AD101" s="4356"/>
      <c r="AE101" s="4356"/>
      <c r="AF101" s="4356"/>
      <c r="AG101" s="4356"/>
      <c r="AH101" s="4356"/>
      <c r="AI101" s="4356"/>
      <c r="AJ101" s="4356"/>
      <c r="AK101" s="4356"/>
      <c r="AL101" s="805"/>
      <c r="AM101" s="805"/>
      <c r="AN101" s="2058"/>
      <c r="AO101" s="702">
        <v>1.19</v>
      </c>
      <c r="AQ101" s="336"/>
    </row>
    <row r="102" spans="1:62" ht="21.6" hidden="1" customHeight="1" thickBot="1">
      <c r="A102" s="7207"/>
      <c r="B102" s="1967" t="s">
        <v>1023</v>
      </c>
      <c r="C102" s="1968" t="s">
        <v>1024</v>
      </c>
      <c r="D102" s="1969"/>
      <c r="E102" s="1970"/>
      <c r="F102" s="1970"/>
      <c r="G102" s="1970"/>
      <c r="H102" s="1670">
        <v>170</v>
      </c>
      <c r="I102" s="1670"/>
      <c r="J102" s="4887">
        <v>120</v>
      </c>
      <c r="K102" s="4888">
        <v>120</v>
      </c>
      <c r="L102" s="4617">
        <f>'#1CCL'!N35</f>
        <v>0</v>
      </c>
      <c r="M102" s="5235">
        <f>'#1CCL'!O35</f>
        <v>0</v>
      </c>
      <c r="N102" s="5235">
        <f>'#1CCL'!P35</f>
        <v>0</v>
      </c>
      <c r="O102" s="5235">
        <f>'#1CCL'!Q35</f>
        <v>0</v>
      </c>
      <c r="P102" s="5235">
        <f>'#1CCL'!R35</f>
        <v>0</v>
      </c>
      <c r="Q102" s="5235">
        <f>'#1CCL'!S35</f>
        <v>0</v>
      </c>
      <c r="R102" s="5235">
        <f>'#1CCL'!T35</f>
        <v>0</v>
      </c>
      <c r="S102" s="5235">
        <f>'#1CCL'!U35</f>
        <v>0</v>
      </c>
      <c r="T102" s="5235">
        <f>'#1CCL'!V35</f>
        <v>0</v>
      </c>
      <c r="U102" s="5235">
        <f>'#1CCL'!W35</f>
        <v>0</v>
      </c>
      <c r="V102" s="5081">
        <f>'#1CCL'!X35</f>
        <v>0</v>
      </c>
      <c r="W102" s="5558">
        <f>'#1CCL'!Y35</f>
        <v>0</v>
      </c>
      <c r="X102" s="2903">
        <f>AVERAGE(L102:W102)</f>
        <v>0</v>
      </c>
      <c r="Y102" s="4357"/>
      <c r="Z102" s="4358"/>
      <c r="AA102" s="4358"/>
      <c r="AB102" s="4358"/>
      <c r="AC102" s="4358"/>
      <c r="AD102" s="4358"/>
      <c r="AE102" s="4358"/>
      <c r="AF102" s="4358"/>
      <c r="AG102" s="4358"/>
      <c r="AH102" s="4358"/>
      <c r="AI102" s="4358"/>
      <c r="AJ102" s="4358"/>
      <c r="AK102" s="4358"/>
      <c r="AL102" s="1971"/>
      <c r="AM102" s="1971"/>
      <c r="AN102" s="2058"/>
      <c r="AQ102" s="336"/>
    </row>
    <row r="103" spans="1:62" ht="21.75" customHeight="1" thickBot="1">
      <c r="A103" s="7214" t="s">
        <v>448</v>
      </c>
      <c r="B103" s="7345"/>
      <c r="C103" s="1972" t="s">
        <v>445</v>
      </c>
      <c r="D103" s="1973"/>
      <c r="E103" s="1974"/>
      <c r="F103" s="1974"/>
      <c r="G103" s="1974"/>
      <c r="H103" s="1975"/>
      <c r="I103" s="1975"/>
      <c r="J103" s="1976"/>
      <c r="K103" s="4889"/>
      <c r="L103" s="4618"/>
      <c r="M103" s="2238"/>
      <c r="N103" s="2238"/>
      <c r="O103" s="2238"/>
      <c r="P103" s="2238"/>
      <c r="Q103" s="1975"/>
      <c r="R103" s="2238"/>
      <c r="S103" s="2238"/>
      <c r="T103" s="2238"/>
      <c r="U103" s="2238"/>
      <c r="V103" s="5890"/>
      <c r="W103" s="5559"/>
      <c r="X103" s="1977"/>
      <c r="Y103" s="4359">
        <f t="shared" ref="Y103:AM103" si="45">SUM(Y93:Y102)</f>
        <v>87625.634391719417</v>
      </c>
      <c r="Z103" s="4360">
        <f t="shared" si="45"/>
        <v>674.64772558644472</v>
      </c>
      <c r="AA103" s="4360">
        <f t="shared" si="45"/>
        <v>69361.544556395675</v>
      </c>
      <c r="AB103" s="4360">
        <f t="shared" si="45"/>
        <v>47903.978589350867</v>
      </c>
      <c r="AC103" s="4360">
        <f t="shared" si="45"/>
        <v>-36612.061946155212</v>
      </c>
      <c r="AD103" s="4360">
        <f t="shared" si="45"/>
        <v>20879.879131981099</v>
      </c>
      <c r="AE103" s="4360">
        <f t="shared" si="45"/>
        <v>98871.602588944588</v>
      </c>
      <c r="AF103" s="4360">
        <f t="shared" si="45"/>
        <v>186114.10465938869</v>
      </c>
      <c r="AG103" s="4360">
        <f t="shared" si="45"/>
        <v>-108446.9557636042</v>
      </c>
      <c r="AH103" s="4360">
        <f t="shared" si="45"/>
        <v>-80539.635048629323</v>
      </c>
      <c r="AI103" s="4360">
        <f t="shared" si="45"/>
        <v>133170.12649671163</v>
      </c>
      <c r="AJ103" s="4360">
        <f t="shared" si="45"/>
        <v>-139226.33047221074</v>
      </c>
      <c r="AK103" s="4360">
        <f t="shared" si="45"/>
        <v>648651.46147965407</v>
      </c>
      <c r="AL103" s="1978">
        <f t="shared" si="45"/>
        <v>279776.53490947897</v>
      </c>
      <c r="AM103" s="4611">
        <f t="shared" si="45"/>
        <v>10.176291322070359</v>
      </c>
      <c r="AN103" s="1979"/>
      <c r="AO103" s="6831">
        <v>285832738.884978</v>
      </c>
      <c r="AQ103" s="336"/>
    </row>
    <row r="104" spans="1:62" ht="21.75" customHeight="1">
      <c r="J104" s="334">
        <f>CPL!L12+CPL!L13+CRM!L13+CGL!L10+CGL!L12+'#1CCL'!L13+'#1CCL'!L15+'#2CCL'!L12+'#2CCL'!L15</f>
        <v>682.75199999999995</v>
      </c>
      <c r="K104" s="334">
        <f>J104/12</f>
        <v>56.895999999999994</v>
      </c>
      <c r="AP104" s="334" t="s">
        <v>1339</v>
      </c>
      <c r="AQ104" s="336"/>
    </row>
    <row r="105" spans="1:62" ht="21.75" customHeight="1">
      <c r="A105" s="2383"/>
      <c r="B105" s="2383"/>
      <c r="C105" s="2383"/>
      <c r="D105" s="2383"/>
      <c r="E105" s="2383"/>
      <c r="F105" s="2383"/>
      <c r="G105" s="2383"/>
      <c r="H105" s="2383"/>
      <c r="I105" s="2383"/>
      <c r="J105" s="2383"/>
      <c r="K105" s="2383"/>
      <c r="L105" s="2383"/>
      <c r="M105" s="2383"/>
      <c r="N105" s="2383"/>
      <c r="O105" s="2383"/>
      <c r="P105" s="2383"/>
      <c r="Q105" s="2383"/>
      <c r="R105" s="2383"/>
      <c r="S105" s="2383"/>
      <c r="T105" s="2383"/>
      <c r="U105" s="2383"/>
      <c r="V105" s="2383"/>
      <c r="W105" s="2383"/>
      <c r="X105" s="2383"/>
      <c r="Y105" s="2383"/>
      <c r="Z105" s="2383"/>
      <c r="AA105" s="2383"/>
      <c r="AB105" s="2383"/>
      <c r="AC105" s="2383"/>
      <c r="AD105" s="2383"/>
      <c r="AE105" s="2383"/>
      <c r="AF105" s="2383"/>
      <c r="AG105" s="2383"/>
      <c r="AH105" s="2383"/>
      <c r="AI105" s="2383"/>
      <c r="AJ105" s="2383"/>
      <c r="AK105" s="2383"/>
      <c r="AL105" s="2383"/>
      <c r="AM105" s="2383"/>
      <c r="AN105" s="2383"/>
    </row>
    <row r="106" spans="1:62" ht="21.75" customHeight="1">
      <c r="A106" s="7344"/>
      <c r="B106" s="2381"/>
      <c r="C106" s="6139"/>
      <c r="D106" s="1505"/>
      <c r="E106" s="6140"/>
      <c r="F106" s="6140"/>
      <c r="G106" s="6140"/>
      <c r="H106" s="6140"/>
      <c r="I106" s="6140"/>
      <c r="J106" s="6140"/>
      <c r="K106" s="6141"/>
      <c r="L106" s="6141"/>
      <c r="M106" s="6142"/>
      <c r="N106" s="6142"/>
      <c r="O106" s="6143"/>
      <c r="P106" s="6143"/>
      <c r="Q106" s="6143"/>
      <c r="R106" s="6143"/>
      <c r="S106" s="6144"/>
      <c r="T106" s="6145"/>
      <c r="U106" s="6144"/>
      <c r="V106" s="6144"/>
      <c r="W106" s="6144"/>
      <c r="X106" s="6144"/>
      <c r="Y106" s="6146"/>
      <c r="Z106" s="6146"/>
      <c r="AA106" s="6146"/>
      <c r="AB106" s="6146"/>
      <c r="AC106" s="6146"/>
      <c r="AD106" s="6146"/>
      <c r="AE106" s="6146"/>
      <c r="AF106" s="6146"/>
      <c r="AG106" s="6146"/>
      <c r="AH106" s="6146"/>
      <c r="AI106" s="6146"/>
      <c r="AJ106" s="6146"/>
      <c r="AK106" s="6146"/>
      <c r="AL106" s="6146"/>
      <c r="AM106" s="6147"/>
      <c r="AN106" s="6147"/>
    </row>
    <row r="107" spans="1:62" ht="21.75" customHeight="1">
      <c r="A107" s="7344"/>
      <c r="B107" s="2381"/>
      <c r="C107" s="6139"/>
      <c r="D107" s="1505"/>
      <c r="E107" s="6140"/>
      <c r="F107" s="6140"/>
      <c r="G107" s="6140"/>
      <c r="H107" s="6140"/>
      <c r="I107" s="6140"/>
      <c r="J107" s="6140"/>
      <c r="K107" s="6141"/>
      <c r="L107" s="6142"/>
      <c r="M107" s="6142"/>
      <c r="N107" s="6142"/>
      <c r="O107" s="6148"/>
      <c r="P107" s="6143"/>
      <c r="Q107" s="6143"/>
      <c r="R107" s="6143"/>
      <c r="S107" s="6144"/>
      <c r="T107" s="6145"/>
      <c r="U107" s="6144"/>
      <c r="V107" s="6144"/>
      <c r="W107" s="6144"/>
      <c r="X107" s="6144"/>
      <c r="Y107" s="6149"/>
      <c r="Z107" s="6150"/>
      <c r="AA107" s="6146"/>
      <c r="AB107" s="6146"/>
      <c r="AC107" s="6146"/>
      <c r="AD107" s="6146"/>
      <c r="AE107" s="6146"/>
      <c r="AF107" s="6146"/>
      <c r="AG107" s="6151"/>
      <c r="AH107" s="6151"/>
      <c r="AI107" s="6151"/>
      <c r="AJ107" s="6152"/>
      <c r="AK107" s="6150"/>
      <c r="AL107" s="6150"/>
      <c r="AM107" s="6147"/>
      <c r="AN107" s="6147"/>
    </row>
    <row r="108" spans="1:62" ht="21.75" customHeight="1">
      <c r="A108" s="7344"/>
      <c r="B108" s="2381"/>
      <c r="C108" s="6139"/>
      <c r="D108" s="1505"/>
      <c r="E108" s="6140"/>
      <c r="F108" s="6140"/>
      <c r="G108" s="6140"/>
      <c r="H108" s="6140"/>
      <c r="I108" s="6140"/>
      <c r="J108" s="6140"/>
      <c r="K108" s="6140"/>
      <c r="L108" s="6140"/>
      <c r="M108" s="6142"/>
      <c r="N108" s="6142"/>
      <c r="O108" s="6148"/>
      <c r="P108" s="6143"/>
      <c r="Q108" s="6143"/>
      <c r="R108" s="6143"/>
      <c r="S108" s="6144"/>
      <c r="T108" s="6145"/>
      <c r="U108" s="6144"/>
      <c r="V108" s="6144"/>
      <c r="W108" s="6144"/>
      <c r="X108" s="6144"/>
      <c r="Y108" s="6149"/>
      <c r="Z108" s="6146"/>
      <c r="AA108" s="6146"/>
      <c r="AB108" s="6146"/>
      <c r="AC108" s="6146"/>
      <c r="AD108" s="6146"/>
      <c r="AE108" s="6146"/>
      <c r="AF108" s="6146"/>
      <c r="AG108" s="6151"/>
      <c r="AH108" s="6151"/>
      <c r="AI108" s="6151"/>
      <c r="AJ108" s="6151"/>
      <c r="AK108" s="6146"/>
      <c r="AL108" s="6146"/>
      <c r="AM108" s="6147"/>
      <c r="AN108" s="6153"/>
    </row>
    <row r="109" spans="1:62" ht="21.75" customHeight="1">
      <c r="A109" s="7344"/>
      <c r="B109" s="2381"/>
      <c r="C109" s="6139"/>
      <c r="D109" s="1505"/>
      <c r="E109" s="6140"/>
      <c r="F109" s="6140"/>
      <c r="G109" s="6140"/>
      <c r="H109" s="6140"/>
      <c r="I109" s="6140"/>
      <c r="J109" s="6140"/>
      <c r="K109" s="6141"/>
      <c r="L109" s="6142"/>
      <c r="M109" s="6142"/>
      <c r="N109" s="6142"/>
      <c r="O109" s="6148"/>
      <c r="P109" s="6143"/>
      <c r="Q109" s="6143"/>
      <c r="R109" s="6143"/>
      <c r="S109" s="6144"/>
      <c r="T109" s="6145"/>
      <c r="U109" s="6144"/>
      <c r="V109" s="6144"/>
      <c r="W109" s="6144"/>
      <c r="X109" s="6144"/>
      <c r="Y109" s="6149"/>
      <c r="Z109" s="6146"/>
      <c r="AA109" s="6146"/>
      <c r="AB109" s="6146"/>
      <c r="AC109" s="6146"/>
      <c r="AD109" s="6146"/>
      <c r="AE109" s="6146"/>
      <c r="AF109" s="6146"/>
      <c r="AG109" s="6151"/>
      <c r="AH109" s="6151"/>
      <c r="AI109" s="6151"/>
      <c r="AJ109" s="6151"/>
      <c r="AK109" s="6146"/>
      <c r="AL109" s="6146"/>
      <c r="AM109" s="6147"/>
      <c r="AN109" s="6147"/>
    </row>
    <row r="110" spans="1:62" ht="21.75" customHeight="1">
      <c r="A110" s="7344"/>
      <c r="B110" s="2381"/>
      <c r="C110" s="6139"/>
      <c r="D110" s="1505"/>
      <c r="E110" s="6140"/>
      <c r="F110" s="6140"/>
      <c r="G110" s="6140"/>
      <c r="H110" s="6140"/>
      <c r="I110" s="6140"/>
      <c r="J110" s="6140"/>
      <c r="K110" s="6141"/>
      <c r="L110" s="6154"/>
      <c r="M110" s="6154"/>
      <c r="N110" s="6154"/>
      <c r="O110" s="6143"/>
      <c r="P110" s="6143"/>
      <c r="Q110" s="6143"/>
      <c r="R110" s="6143"/>
      <c r="S110" s="6144"/>
      <c r="T110" s="6145"/>
      <c r="U110" s="6144"/>
      <c r="V110" s="6144"/>
      <c r="W110" s="6144"/>
      <c r="X110" s="6144"/>
      <c r="Y110" s="6146"/>
      <c r="Z110" s="6146"/>
      <c r="AA110" s="6146"/>
      <c r="AB110" s="6146"/>
      <c r="AC110" s="6146"/>
      <c r="AD110" s="6146"/>
      <c r="AE110" s="6146"/>
      <c r="AF110" s="6146"/>
      <c r="AG110" s="6146"/>
      <c r="AH110" s="6146"/>
      <c r="AI110" s="6146"/>
      <c r="AJ110" s="6146"/>
      <c r="AK110" s="6146"/>
      <c r="AL110" s="6146"/>
      <c r="AM110" s="6147"/>
      <c r="AN110" s="6147"/>
    </row>
    <row r="111" spans="1:62" ht="21.75" customHeight="1">
      <c r="A111" s="7344"/>
      <c r="B111" s="2381"/>
      <c r="C111" s="6139"/>
      <c r="D111" s="1505"/>
      <c r="E111" s="1505"/>
      <c r="F111" s="1505"/>
      <c r="G111" s="1505"/>
      <c r="H111" s="1505"/>
      <c r="I111" s="1505"/>
      <c r="J111" s="1505"/>
      <c r="K111" s="6141"/>
      <c r="L111" s="6155"/>
      <c r="M111" s="6154"/>
      <c r="N111" s="6154"/>
      <c r="O111" s="6156"/>
      <c r="P111" s="6154"/>
      <c r="Q111" s="6154"/>
      <c r="R111" s="6154"/>
      <c r="S111" s="6157"/>
      <c r="T111" s="6155"/>
      <c r="U111" s="6157"/>
      <c r="V111" s="6157"/>
      <c r="W111" s="6157"/>
      <c r="X111" s="6157"/>
      <c r="Y111" s="6157"/>
      <c r="Z111" s="6157"/>
      <c r="AA111" s="6157"/>
      <c r="AB111" s="6157"/>
      <c r="AC111" s="6157"/>
      <c r="AD111" s="6157"/>
      <c r="AE111" s="6157"/>
      <c r="AF111" s="6157"/>
      <c r="AG111" s="6157"/>
      <c r="AH111" s="6157"/>
      <c r="AI111" s="6157"/>
      <c r="AJ111" s="6157"/>
      <c r="AK111" s="6157"/>
      <c r="AL111" s="6146"/>
      <c r="AM111" s="6157"/>
      <c r="AN111" s="6147"/>
      <c r="AR111" s="334" t="s">
        <v>664</v>
      </c>
      <c r="AS111" s="334" t="s">
        <v>687</v>
      </c>
      <c r="AT111" s="334" t="s">
        <v>533</v>
      </c>
      <c r="AU111" s="334" t="s">
        <v>945</v>
      </c>
      <c r="AV111" s="334" t="s">
        <v>721</v>
      </c>
      <c r="BI111" s="844"/>
      <c r="BJ111" s="844"/>
    </row>
    <row r="112" spans="1:62" ht="21.75" customHeight="1">
      <c r="A112" s="7344"/>
      <c r="B112" s="2381"/>
      <c r="C112" s="2382"/>
      <c r="D112" s="6158"/>
      <c r="E112" s="6159"/>
      <c r="F112" s="2465"/>
      <c r="G112" s="2465"/>
      <c r="H112" s="2465"/>
      <c r="I112" s="2465"/>
      <c r="J112" s="2465"/>
      <c r="K112" s="6160"/>
      <c r="L112" s="6161"/>
      <c r="M112" s="6161"/>
      <c r="N112" s="6161"/>
      <c r="O112" s="6161"/>
      <c r="P112" s="6161"/>
      <c r="Q112" s="6161"/>
      <c r="R112" s="6161"/>
      <c r="S112" s="6161"/>
      <c r="T112" s="6161"/>
      <c r="U112" s="6161"/>
      <c r="V112" s="6161"/>
      <c r="W112" s="6161"/>
      <c r="X112" s="6161"/>
      <c r="Y112" s="6162"/>
      <c r="Z112" s="6162"/>
      <c r="AA112" s="6162"/>
      <c r="AB112" s="6162"/>
      <c r="AC112" s="6162"/>
      <c r="AD112" s="6162"/>
      <c r="AE112" s="6162"/>
      <c r="AF112" s="6162"/>
      <c r="AG112" s="6162"/>
      <c r="AH112" s="6162"/>
      <c r="AI112" s="6162"/>
      <c r="AJ112" s="6162"/>
      <c r="AK112" s="6162"/>
      <c r="AL112" s="6162"/>
      <c r="AM112" s="6163"/>
      <c r="AN112" s="6163"/>
      <c r="AR112" s="711" t="s">
        <v>666</v>
      </c>
      <c r="AS112" s="334">
        <v>5</v>
      </c>
      <c r="AU112" s="334">
        <f>BE211</f>
        <v>1</v>
      </c>
      <c r="AV112" s="334">
        <v>4</v>
      </c>
      <c r="BI112" s="1296"/>
      <c r="BJ112" s="844"/>
    </row>
    <row r="113" spans="1:81">
      <c r="A113" s="7344"/>
      <c r="B113" s="2381"/>
      <c r="C113" s="2382"/>
      <c r="D113" s="4469"/>
      <c r="E113" s="2465"/>
      <c r="F113" s="2465"/>
      <c r="G113" s="2465"/>
      <c r="H113" s="2465"/>
      <c r="I113" s="2465"/>
      <c r="J113" s="2465"/>
      <c r="K113" s="6160"/>
      <c r="L113" s="6161"/>
      <c r="M113" s="6161"/>
      <c r="N113" s="6161"/>
      <c r="O113" s="6161"/>
      <c r="P113" s="6161"/>
      <c r="Q113" s="6161"/>
      <c r="R113" s="6161"/>
      <c r="S113" s="6161"/>
      <c r="T113" s="6161"/>
      <c r="U113" s="6161"/>
      <c r="V113" s="6161"/>
      <c r="W113" s="6161"/>
      <c r="X113" s="6161"/>
      <c r="Y113" s="6164"/>
      <c r="Z113" s="6164"/>
      <c r="AA113" s="6164"/>
      <c r="AB113" s="6164"/>
      <c r="AC113" s="6164"/>
      <c r="AD113" s="6164"/>
      <c r="AE113" s="6162"/>
      <c r="AF113" s="6162"/>
      <c r="AG113" s="6162"/>
      <c r="AH113" s="6162"/>
      <c r="AI113" s="6162"/>
      <c r="AJ113" s="6162"/>
      <c r="AK113" s="6162"/>
      <c r="AL113" s="6162"/>
      <c r="AM113" s="6163"/>
      <c r="AN113" s="6163"/>
      <c r="AR113" s="711" t="s">
        <v>667</v>
      </c>
      <c r="AS113" s="334">
        <v>16</v>
      </c>
      <c r="AU113" s="334">
        <f>BE213</f>
        <v>6</v>
      </c>
      <c r="AV113" s="334">
        <v>7</v>
      </c>
      <c r="BI113" s="1296"/>
      <c r="BJ113" s="844"/>
    </row>
    <row r="114" spans="1:81">
      <c r="A114" s="2383"/>
      <c r="B114" s="2383"/>
      <c r="C114" s="2383"/>
      <c r="D114" s="2383"/>
      <c r="E114" s="2383"/>
      <c r="F114" s="2383"/>
      <c r="G114" s="2383"/>
      <c r="H114" s="2383"/>
      <c r="I114" s="2383"/>
      <c r="J114" s="2383"/>
      <c r="K114" s="2383"/>
      <c r="L114" s="2383"/>
      <c r="M114" s="2383"/>
      <c r="N114" s="2383"/>
      <c r="O114" s="2383"/>
      <c r="P114" s="2383"/>
      <c r="Q114" s="2383"/>
      <c r="R114" s="2383"/>
      <c r="S114" s="2383"/>
      <c r="T114" s="2383"/>
      <c r="U114" s="2383"/>
      <c r="V114" s="2383"/>
      <c r="W114" s="2383"/>
      <c r="X114" s="2383"/>
      <c r="Y114" s="2383"/>
      <c r="Z114" s="2383"/>
      <c r="AA114" s="2383"/>
      <c r="AB114" s="2383"/>
      <c r="AC114" s="2383"/>
      <c r="AD114" s="2383"/>
      <c r="AE114" s="2383"/>
      <c r="AF114" s="2383"/>
      <c r="AG114" s="2383"/>
      <c r="AH114" s="2383"/>
      <c r="AI114" s="2383"/>
      <c r="AJ114" s="2383"/>
      <c r="AK114" s="2383"/>
      <c r="AL114" s="2383"/>
      <c r="AM114" s="2383"/>
      <c r="AN114" s="2383"/>
      <c r="AR114" s="711" t="s">
        <v>668</v>
      </c>
      <c r="AS114" s="334">
        <v>20</v>
      </c>
      <c r="AU114" s="334">
        <f>BE214</f>
        <v>8</v>
      </c>
      <c r="AV114" s="334">
        <v>6</v>
      </c>
      <c r="BI114" s="1296"/>
      <c r="BJ114" s="844"/>
    </row>
    <row r="115" spans="1:81" ht="17.25" customHeight="1">
      <c r="A115" s="2383"/>
      <c r="B115" s="2383"/>
      <c r="C115" s="2383"/>
      <c r="D115" s="2383"/>
      <c r="E115" s="2383"/>
      <c r="F115" s="2383"/>
      <c r="G115" s="2383"/>
      <c r="H115" s="2383"/>
      <c r="I115" s="2383"/>
      <c r="J115" s="2383"/>
      <c r="K115" s="2383"/>
      <c r="L115" s="2383"/>
      <c r="M115" s="2383"/>
      <c r="N115" s="2383"/>
      <c r="O115" s="2383"/>
      <c r="P115" s="2383"/>
      <c r="Q115" s="2383"/>
      <c r="R115" s="2383"/>
      <c r="S115" s="2383"/>
      <c r="T115" s="2383"/>
      <c r="U115" s="2383"/>
      <c r="V115" s="2383"/>
      <c r="W115" s="2383"/>
      <c r="X115" s="2383"/>
      <c r="Y115" s="2383"/>
      <c r="Z115" s="2383"/>
      <c r="AA115" s="2383"/>
      <c r="AB115" s="2383"/>
      <c r="AC115" s="2383"/>
      <c r="AD115" s="2383"/>
      <c r="AE115" s="2383"/>
      <c r="AF115" s="2383"/>
      <c r="AG115" s="2383"/>
      <c r="AH115" s="2383"/>
      <c r="AI115" s="2383"/>
      <c r="AJ115" s="2383"/>
      <c r="AK115" s="2383"/>
      <c r="AL115" s="2383"/>
      <c r="AM115" s="2383"/>
      <c r="AN115" s="2383"/>
      <c r="AR115" s="1889"/>
      <c r="BI115" s="1296"/>
      <c r="BJ115" s="844"/>
    </row>
    <row r="116" spans="1:81">
      <c r="A116" s="7343"/>
      <c r="B116" s="2381"/>
      <c r="C116" s="6139"/>
      <c r="D116" s="2383"/>
      <c r="E116" s="2383"/>
      <c r="F116" s="4466"/>
      <c r="G116" s="4466"/>
      <c r="H116" s="4466"/>
      <c r="I116" s="4466"/>
      <c r="J116" s="4466"/>
      <c r="K116" s="4466"/>
      <c r="L116" s="6165"/>
      <c r="M116" s="6165"/>
      <c r="N116" s="6165"/>
      <c r="O116" s="6165"/>
      <c r="P116" s="6165"/>
      <c r="Q116" s="6165"/>
      <c r="R116" s="6165"/>
      <c r="S116" s="6165"/>
      <c r="T116" s="6165"/>
      <c r="U116" s="6165"/>
      <c r="V116" s="6165"/>
      <c r="W116" s="6165"/>
      <c r="X116" s="6165"/>
      <c r="Y116" s="4466"/>
      <c r="Z116" s="4468"/>
      <c r="AA116" s="4468"/>
      <c r="AB116" s="4468"/>
      <c r="AC116" s="4468"/>
      <c r="AD116" s="4468"/>
      <c r="AE116" s="4468"/>
      <c r="AF116" s="4468"/>
      <c r="AG116" s="4468"/>
      <c r="AH116" s="4468"/>
      <c r="AI116" s="4468"/>
      <c r="AJ116" s="4468"/>
      <c r="AK116" s="4468"/>
      <c r="AL116" s="4468"/>
      <c r="AM116" s="6166"/>
      <c r="AN116" s="2383"/>
      <c r="AR116" s="1889"/>
      <c r="BI116" s="1296"/>
      <c r="BJ116" s="844"/>
    </row>
    <row r="117" spans="1:81">
      <c r="A117" s="7343"/>
      <c r="B117" s="2381"/>
      <c r="C117" s="6139"/>
      <c r="D117" s="2383"/>
      <c r="E117" s="2383"/>
      <c r="F117" s="4466"/>
      <c r="G117" s="4466"/>
      <c r="H117" s="4466"/>
      <c r="I117" s="4466"/>
      <c r="J117" s="4466"/>
      <c r="K117" s="4466"/>
      <c r="L117" s="6167"/>
      <c r="M117" s="6167"/>
      <c r="N117" s="6167"/>
      <c r="O117" s="6167"/>
      <c r="P117" s="6167"/>
      <c r="Q117" s="6167"/>
      <c r="R117" s="6167"/>
      <c r="S117" s="6167"/>
      <c r="T117" s="6167"/>
      <c r="U117" s="6167"/>
      <c r="V117" s="6167"/>
      <c r="W117" s="6167"/>
      <c r="X117" s="6167"/>
      <c r="Y117" s="4466"/>
      <c r="Z117" s="4468"/>
      <c r="AA117" s="4468"/>
      <c r="AB117" s="4468"/>
      <c r="AC117" s="4468"/>
      <c r="AD117" s="4468"/>
      <c r="AE117" s="4468"/>
      <c r="AF117" s="4468"/>
      <c r="AG117" s="4468"/>
      <c r="AH117" s="4468"/>
      <c r="AI117" s="4468"/>
      <c r="AJ117" s="4468"/>
      <c r="AK117" s="4468"/>
      <c r="AL117" s="4468"/>
      <c r="AM117" s="6168"/>
      <c r="AN117" s="2383"/>
      <c r="AR117" s="1889"/>
      <c r="BI117" s="1296"/>
      <c r="BJ117" s="844"/>
    </row>
    <row r="118" spans="1:81">
      <c r="A118" s="7343"/>
      <c r="B118" s="2381"/>
      <c r="C118" s="6139"/>
      <c r="D118" s="2383"/>
      <c r="E118" s="2383"/>
      <c r="F118" s="2027"/>
      <c r="G118" s="2027"/>
      <c r="H118" s="2027"/>
      <c r="I118" s="2027"/>
      <c r="J118" s="2027"/>
      <c r="K118" s="2027"/>
      <c r="L118" s="2027"/>
      <c r="M118" s="2027"/>
      <c r="N118" s="2027"/>
      <c r="O118" s="2027"/>
      <c r="P118" s="2027"/>
      <c r="Q118" s="2027"/>
      <c r="R118" s="2027"/>
      <c r="S118" s="2027"/>
      <c r="T118" s="2027"/>
      <c r="U118" s="2027"/>
      <c r="V118" s="2027"/>
      <c r="W118" s="2027"/>
      <c r="X118" s="2027"/>
      <c r="Y118" s="4466"/>
      <c r="Z118" s="4468"/>
      <c r="AA118" s="4468"/>
      <c r="AB118" s="4468"/>
      <c r="AC118" s="4468"/>
      <c r="AD118" s="4468"/>
      <c r="AE118" s="4468"/>
      <c r="AF118" s="4468"/>
      <c r="AG118" s="4468"/>
      <c r="AH118" s="4468"/>
      <c r="AI118" s="4468"/>
      <c r="AJ118" s="4468"/>
      <c r="AK118" s="4468"/>
      <c r="AL118" s="4468"/>
      <c r="AM118" s="6166"/>
      <c r="AN118" s="2383"/>
      <c r="AR118" s="1889"/>
      <c r="BI118" s="1296"/>
      <c r="BJ118" s="844"/>
    </row>
    <row r="119" spans="1:81">
      <c r="A119" s="7343"/>
      <c r="B119" s="2381"/>
      <c r="C119" s="6139"/>
      <c r="D119" s="2383"/>
      <c r="E119" s="2383"/>
      <c r="F119" s="4466"/>
      <c r="G119" s="4466"/>
      <c r="H119" s="4466"/>
      <c r="I119" s="4466"/>
      <c r="J119" s="2027"/>
      <c r="K119" s="2027"/>
      <c r="L119" s="2027"/>
      <c r="M119" s="2027"/>
      <c r="N119" s="2027"/>
      <c r="O119" s="2027"/>
      <c r="P119" s="2027"/>
      <c r="Q119" s="2027"/>
      <c r="R119" s="2027"/>
      <c r="S119" s="2027"/>
      <c r="T119" s="2027"/>
      <c r="U119" s="2027"/>
      <c r="V119" s="2027"/>
      <c r="W119" s="2027"/>
      <c r="X119" s="2027"/>
      <c r="Y119" s="4468"/>
      <c r="Z119" s="4468"/>
      <c r="AA119" s="4468"/>
      <c r="AB119" s="4468"/>
      <c r="AC119" s="4468"/>
      <c r="AD119" s="4468"/>
      <c r="AE119" s="4468"/>
      <c r="AF119" s="4468"/>
      <c r="AG119" s="4468"/>
      <c r="AH119" s="4468"/>
      <c r="AI119" s="4468"/>
      <c r="AJ119" s="4468"/>
      <c r="AK119" s="4468"/>
      <c r="AL119" s="4468"/>
      <c r="AM119" s="6168"/>
      <c r="AN119" s="2383"/>
      <c r="AR119" s="1889"/>
      <c r="BI119" s="1296"/>
      <c r="BJ119" s="844"/>
    </row>
    <row r="120" spans="1:81">
      <c r="A120" s="7343"/>
      <c r="B120" s="6169"/>
      <c r="C120" s="6139"/>
      <c r="D120" s="2383"/>
      <c r="E120" s="2383"/>
      <c r="F120" s="6170"/>
      <c r="G120" s="6170"/>
      <c r="H120" s="6170"/>
      <c r="I120" s="6170"/>
      <c r="J120" s="6170"/>
      <c r="K120" s="6170"/>
      <c r="L120" s="6170"/>
      <c r="M120" s="6170"/>
      <c r="N120" s="6170"/>
      <c r="O120" s="6170"/>
      <c r="P120" s="6170"/>
      <c r="Q120" s="6170"/>
      <c r="R120" s="6170"/>
      <c r="S120" s="6170"/>
      <c r="T120" s="6170"/>
      <c r="U120" s="6170"/>
      <c r="V120" s="6170"/>
      <c r="W120" s="6170"/>
      <c r="X120" s="6170"/>
      <c r="Y120" s="6171"/>
      <c r="Z120" s="6171"/>
      <c r="AA120" s="6171"/>
      <c r="AB120" s="6171"/>
      <c r="AC120" s="6171"/>
      <c r="AD120" s="6171"/>
      <c r="AE120" s="6171"/>
      <c r="AF120" s="6171"/>
      <c r="AG120" s="6171"/>
      <c r="AH120" s="6171"/>
      <c r="AI120" s="6171"/>
      <c r="AJ120" s="6171"/>
      <c r="AK120" s="6171"/>
      <c r="AL120" s="6171"/>
      <c r="AM120" s="6171"/>
      <c r="AN120" s="6171"/>
      <c r="AR120" s="1889"/>
      <c r="BI120" s="1296"/>
      <c r="BJ120" s="844"/>
    </row>
    <row r="121" spans="1:81">
      <c r="A121" s="7343"/>
      <c r="B121" s="6169"/>
      <c r="C121" s="6139"/>
      <c r="D121" s="2383"/>
      <c r="E121" s="2383"/>
      <c r="F121" s="6170"/>
      <c r="G121" s="6170"/>
      <c r="H121" s="6170"/>
      <c r="I121" s="6170"/>
      <c r="J121" s="7336"/>
      <c r="K121" s="7336"/>
      <c r="L121" s="7336"/>
      <c r="M121" s="7336"/>
      <c r="N121" s="7336"/>
      <c r="O121" s="7336"/>
      <c r="P121" s="7336"/>
      <c r="Q121" s="7336"/>
      <c r="R121" s="7336"/>
      <c r="S121" s="7336"/>
      <c r="T121" s="7336"/>
      <c r="U121" s="7336"/>
      <c r="V121" s="7336"/>
      <c r="W121" s="7336"/>
      <c r="X121" s="7336"/>
      <c r="Y121" s="6171"/>
      <c r="Z121" s="6171"/>
      <c r="AA121" s="6171"/>
      <c r="AB121" s="6171"/>
      <c r="AC121" s="6171"/>
      <c r="AD121" s="6171"/>
      <c r="AE121" s="6171"/>
      <c r="AF121" s="6171"/>
      <c r="AG121" s="6171"/>
      <c r="AH121" s="6171"/>
      <c r="AI121" s="6171"/>
      <c r="AJ121" s="6171"/>
      <c r="AK121" s="6171"/>
      <c r="AL121" s="6171"/>
      <c r="AM121" s="6171"/>
      <c r="AN121" s="6171"/>
      <c r="AR121" s="2374"/>
      <c r="BI121" s="1296"/>
      <c r="BJ121" s="844"/>
    </row>
    <row r="122" spans="1:81">
      <c r="A122" s="7343"/>
      <c r="B122" s="2381"/>
      <c r="C122" s="6139"/>
      <c r="D122" s="2383"/>
      <c r="E122" s="2383"/>
      <c r="F122" s="4466"/>
      <c r="G122" s="4466"/>
      <c r="H122" s="4466"/>
      <c r="I122" s="4466"/>
      <c r="J122" s="4466"/>
      <c r="K122" s="4466"/>
      <c r="L122" s="4466"/>
      <c r="M122" s="4466"/>
      <c r="N122" s="4466"/>
      <c r="O122" s="4466"/>
      <c r="P122" s="4466"/>
      <c r="Q122" s="4466"/>
      <c r="R122" s="4466"/>
      <c r="S122" s="4466"/>
      <c r="T122" s="4466"/>
      <c r="U122" s="4466"/>
      <c r="V122" s="4466"/>
      <c r="W122" s="4466"/>
      <c r="X122" s="4466"/>
      <c r="Y122" s="4468"/>
      <c r="Z122" s="4468"/>
      <c r="AA122" s="4468"/>
      <c r="AB122" s="4468"/>
      <c r="AC122" s="4468"/>
      <c r="AD122" s="4468"/>
      <c r="AE122" s="4468"/>
      <c r="AF122" s="4468"/>
      <c r="AG122" s="4468"/>
      <c r="AH122" s="4468"/>
      <c r="AI122" s="4468"/>
      <c r="AJ122" s="4468"/>
      <c r="AK122" s="4468"/>
      <c r="AL122" s="4468"/>
      <c r="AM122" s="6166"/>
      <c r="AN122" s="2383"/>
      <c r="AR122" s="2374"/>
      <c r="BI122" s="1296"/>
      <c r="BJ122" s="844"/>
    </row>
    <row r="123" spans="1:81">
      <c r="A123" s="7343"/>
      <c r="B123" s="2381"/>
      <c r="C123" s="6139"/>
      <c r="D123" s="2383"/>
      <c r="E123" s="2383"/>
      <c r="F123" s="4466"/>
      <c r="G123" s="4466"/>
      <c r="H123" s="4466"/>
      <c r="I123" s="4466"/>
      <c r="J123" s="4466"/>
      <c r="K123" s="4466"/>
      <c r="L123" s="4466"/>
      <c r="M123" s="4466"/>
      <c r="N123" s="4466"/>
      <c r="O123" s="4466"/>
      <c r="P123" s="4466"/>
      <c r="Q123" s="4466"/>
      <c r="R123" s="4466"/>
      <c r="S123" s="4466"/>
      <c r="T123" s="4466"/>
      <c r="U123" s="4466"/>
      <c r="V123" s="4466"/>
      <c r="W123" s="4466"/>
      <c r="X123" s="4466"/>
      <c r="Y123" s="4468"/>
      <c r="Z123" s="4468"/>
      <c r="AA123" s="4468"/>
      <c r="AB123" s="4468"/>
      <c r="AC123" s="4468"/>
      <c r="AD123" s="4468"/>
      <c r="AE123" s="4468"/>
      <c r="AF123" s="4468"/>
      <c r="AG123" s="4468"/>
      <c r="AH123" s="4468"/>
      <c r="AI123" s="4468"/>
      <c r="AJ123" s="4468"/>
      <c r="AK123" s="4468"/>
      <c r="AL123" s="4468"/>
      <c r="AM123" s="6166"/>
      <c r="AN123" s="2383"/>
      <c r="AR123" s="1889"/>
      <c r="BI123" s="1296"/>
      <c r="BJ123" s="844"/>
    </row>
    <row r="124" spans="1:81">
      <c r="A124" s="7343"/>
      <c r="B124" s="2381"/>
      <c r="C124" s="6139"/>
      <c r="D124" s="2383"/>
      <c r="E124" s="2383"/>
      <c r="F124" s="6172"/>
      <c r="G124" s="6172"/>
      <c r="H124" s="6172"/>
      <c r="I124" s="6172"/>
      <c r="J124" s="6172"/>
      <c r="K124" s="6172"/>
      <c r="L124" s="6172"/>
      <c r="M124" s="6172"/>
      <c r="N124" s="6172"/>
      <c r="O124" s="6172"/>
      <c r="P124" s="6172"/>
      <c r="Q124" s="6172"/>
      <c r="R124" s="6172"/>
      <c r="S124" s="6172"/>
      <c r="T124" s="6172"/>
      <c r="U124" s="6172"/>
      <c r="V124" s="6172"/>
      <c r="W124" s="6172"/>
      <c r="X124" s="6172"/>
      <c r="Y124" s="4468"/>
      <c r="Z124" s="4468"/>
      <c r="AA124" s="4468"/>
      <c r="AB124" s="4468"/>
      <c r="AC124" s="4468"/>
      <c r="AD124" s="4468"/>
      <c r="AE124" s="4468"/>
      <c r="AF124" s="4468"/>
      <c r="AG124" s="4468"/>
      <c r="AH124" s="4468"/>
      <c r="AI124" s="4468"/>
      <c r="AJ124" s="4468"/>
      <c r="AK124" s="4468"/>
      <c r="AL124" s="4468"/>
      <c r="AM124" s="6168"/>
      <c r="AN124" s="2383"/>
      <c r="AR124" s="1889"/>
      <c r="BI124" s="1296"/>
      <c r="BJ124" s="844"/>
    </row>
    <row r="125" spans="1:81">
      <c r="A125" s="7343"/>
      <c r="B125" s="2381"/>
      <c r="C125" s="6139"/>
      <c r="D125" s="2383"/>
      <c r="E125" s="2383"/>
      <c r="F125" s="4466"/>
      <c r="G125" s="4466"/>
      <c r="H125" s="4466"/>
      <c r="I125" s="4466"/>
      <c r="J125" s="4466"/>
      <c r="K125" s="4466"/>
      <c r="L125" s="4466"/>
      <c r="M125" s="4466"/>
      <c r="N125" s="4466"/>
      <c r="O125" s="4466"/>
      <c r="P125" s="4466"/>
      <c r="Q125" s="4466"/>
      <c r="R125" s="4466"/>
      <c r="S125" s="4466"/>
      <c r="T125" s="4466"/>
      <c r="U125" s="4466"/>
      <c r="V125" s="4466"/>
      <c r="W125" s="4466"/>
      <c r="X125" s="4466"/>
      <c r="Y125" s="4468"/>
      <c r="Z125" s="4468"/>
      <c r="AA125" s="4468"/>
      <c r="AB125" s="4468"/>
      <c r="AC125" s="4468"/>
      <c r="AD125" s="4468"/>
      <c r="AE125" s="4468"/>
      <c r="AF125" s="4468"/>
      <c r="AG125" s="4468"/>
      <c r="AH125" s="4468"/>
      <c r="AI125" s="4468"/>
      <c r="AJ125" s="4468"/>
      <c r="AK125" s="4468"/>
      <c r="AL125" s="4468"/>
      <c r="AM125" s="6166"/>
      <c r="AN125" s="2383"/>
      <c r="AR125" s="1889"/>
      <c r="BI125" s="1296"/>
      <c r="BJ125" s="844"/>
    </row>
    <row r="126" spans="1:81">
      <c r="A126" s="7343"/>
      <c r="B126" s="2381"/>
      <c r="C126" s="6139"/>
      <c r="D126" s="2383"/>
      <c r="E126" s="2383"/>
      <c r="F126" s="4466"/>
      <c r="G126" s="4466"/>
      <c r="H126" s="4466"/>
      <c r="I126" s="4466"/>
      <c r="J126" s="4466"/>
      <c r="K126" s="4466"/>
      <c r="L126" s="4466"/>
      <c r="M126" s="4466"/>
      <c r="N126" s="4466"/>
      <c r="O126" s="4466"/>
      <c r="P126" s="4466"/>
      <c r="Q126" s="4466"/>
      <c r="R126" s="4466"/>
      <c r="S126" s="4466"/>
      <c r="T126" s="4466"/>
      <c r="U126" s="4466"/>
      <c r="V126" s="4466"/>
      <c r="W126" s="4466"/>
      <c r="X126" s="4466"/>
      <c r="Y126" s="4468"/>
      <c r="Z126" s="4468"/>
      <c r="AA126" s="4468"/>
      <c r="AB126" s="4468"/>
      <c r="AC126" s="4468"/>
      <c r="AD126" s="4468"/>
      <c r="AE126" s="4468"/>
      <c r="AF126" s="4468"/>
      <c r="AG126" s="4468"/>
      <c r="AH126" s="4468"/>
      <c r="AI126" s="4468"/>
      <c r="AJ126" s="4468"/>
      <c r="AK126" s="4468"/>
      <c r="AL126" s="4468"/>
      <c r="AM126" s="6168"/>
      <c r="AN126" s="2383"/>
      <c r="AR126" s="711" t="s">
        <v>669</v>
      </c>
      <c r="AS126" s="334">
        <v>44</v>
      </c>
      <c r="AU126" s="334">
        <f>BE215</f>
        <v>9</v>
      </c>
      <c r="AV126" s="334">
        <v>13</v>
      </c>
      <c r="BI126" s="1296"/>
      <c r="BJ126" s="844"/>
    </row>
    <row r="127" spans="1:81" ht="21.75" customHeight="1">
      <c r="A127" s="7343"/>
      <c r="B127" s="2381"/>
      <c r="C127" s="2382"/>
      <c r="D127" s="2383"/>
      <c r="E127" s="2383"/>
      <c r="F127" s="6173"/>
      <c r="G127" s="6173"/>
      <c r="H127" s="6173"/>
      <c r="I127" s="6173"/>
      <c r="J127" s="6173"/>
      <c r="K127" s="6173"/>
      <c r="L127" s="6173"/>
      <c r="M127" s="6173"/>
      <c r="N127" s="6173"/>
      <c r="O127" s="6173"/>
      <c r="P127" s="6173"/>
      <c r="Q127" s="6173"/>
      <c r="R127" s="6173"/>
      <c r="S127" s="6173"/>
      <c r="T127" s="6173"/>
      <c r="U127" s="6173"/>
      <c r="V127" s="6173"/>
      <c r="W127" s="6173"/>
      <c r="X127" s="6173"/>
      <c r="Y127" s="2383"/>
      <c r="Z127" s="2383"/>
      <c r="AA127" s="2383"/>
      <c r="AB127" s="2383"/>
      <c r="AC127" s="2383"/>
      <c r="AD127" s="2383"/>
      <c r="AE127" s="2383"/>
      <c r="AF127" s="2383"/>
      <c r="AG127" s="2383"/>
      <c r="AH127" s="2383"/>
      <c r="AI127" s="2383"/>
      <c r="AJ127" s="2383"/>
      <c r="AK127" s="2383"/>
      <c r="AL127" s="2383"/>
      <c r="AM127" s="2383"/>
      <c r="AN127" s="2383"/>
      <c r="AO127" s="867">
        <f>H70/12</f>
        <v>74.561666666666667</v>
      </c>
      <c r="AQ127" s="336"/>
      <c r="AW127" s="334">
        <v>6.69</v>
      </c>
      <c r="AY127" s="334" t="s">
        <v>688</v>
      </c>
      <c r="AZ127" s="334">
        <v>5.19</v>
      </c>
      <c r="BA127" s="334">
        <v>1.5</v>
      </c>
      <c r="CC127" s="1399">
        <v>85.67</v>
      </c>
    </row>
    <row r="128" spans="1:81" ht="21.75" customHeight="1">
      <c r="A128" s="2380"/>
      <c r="B128" s="2381"/>
      <c r="C128" s="2382"/>
      <c r="D128" s="2383"/>
      <c r="E128" s="2383"/>
      <c r="F128" s="2383"/>
      <c r="G128" s="2383"/>
      <c r="H128" s="2383"/>
      <c r="I128" s="2383"/>
      <c r="J128" s="2383"/>
      <c r="K128" s="2383"/>
      <c r="L128" s="2383"/>
      <c r="M128" s="2383"/>
      <c r="N128" s="2383"/>
      <c r="O128" s="2383"/>
      <c r="P128" s="2383"/>
      <c r="Q128" s="2383"/>
      <c r="R128" s="2383"/>
      <c r="S128" s="2383"/>
      <c r="T128" s="2383"/>
      <c r="U128" s="2383"/>
      <c r="V128" s="2383"/>
      <c r="W128" s="2383"/>
      <c r="X128" s="2383"/>
      <c r="Y128" s="2383"/>
      <c r="Z128" s="2383"/>
      <c r="AA128" s="2383"/>
      <c r="AB128" s="2383"/>
      <c r="AC128" s="2383"/>
      <c r="AD128" s="2383"/>
      <c r="AE128" s="2383"/>
      <c r="AF128" s="2383"/>
      <c r="AG128" s="2383"/>
      <c r="AH128" s="2383"/>
      <c r="AI128" s="2383"/>
      <c r="AJ128" s="2383"/>
      <c r="AK128" s="2383"/>
      <c r="AL128" s="2383"/>
      <c r="AM128" s="2383"/>
      <c r="AN128" s="2383"/>
      <c r="AO128" s="867">
        <f>H71/12</f>
        <v>425.62416666666667</v>
      </c>
      <c r="AP128" s="1144" t="s">
        <v>871</v>
      </c>
      <c r="AY128" s="334" t="s">
        <v>693</v>
      </c>
      <c r="AZ128" s="334">
        <v>0.9</v>
      </c>
      <c r="BA128" s="334">
        <v>1.1299999999999999</v>
      </c>
      <c r="CC128" s="1399">
        <v>68.930000000000007</v>
      </c>
    </row>
    <row r="129" spans="1:62" ht="21.75" customHeight="1">
      <c r="A129" s="2380"/>
      <c r="B129" s="2383"/>
      <c r="C129" s="2383"/>
      <c r="D129" s="2383"/>
      <c r="E129" s="2383"/>
      <c r="F129" s="2383"/>
      <c r="G129" s="2383"/>
      <c r="H129" s="2383"/>
      <c r="I129" s="2383"/>
      <c r="J129" s="2383"/>
      <c r="K129" s="2383"/>
      <c r="L129" s="2383"/>
      <c r="M129" s="2383"/>
      <c r="N129" s="2383"/>
      <c r="O129" s="2383"/>
      <c r="P129" s="2383"/>
      <c r="Q129" s="2383"/>
      <c r="R129" s="2383"/>
      <c r="S129" s="2383"/>
      <c r="T129" s="2383"/>
      <c r="U129" s="2383"/>
      <c r="V129" s="2383"/>
      <c r="W129" s="2383"/>
      <c r="X129" s="2383"/>
      <c r="Y129" s="2383"/>
      <c r="Z129" s="2383"/>
      <c r="AA129" s="2383"/>
      <c r="AB129" s="2383"/>
      <c r="AC129" s="2383"/>
      <c r="AD129" s="2383"/>
      <c r="AE129" s="2383"/>
      <c r="AF129" s="2383"/>
      <c r="AG129" s="2383"/>
      <c r="AH129" s="2383"/>
      <c r="AI129" s="2383"/>
      <c r="AJ129" s="2383"/>
      <c r="AK129" s="2383"/>
      <c r="AL129" s="2383"/>
      <c r="AM129" s="2383"/>
      <c r="AN129" s="2383"/>
      <c r="AO129" s="867">
        <f>H72/12</f>
        <v>32.302500000000002</v>
      </c>
      <c r="AP129" s="1645" t="s">
        <v>1</v>
      </c>
      <c r="AQ129" s="1650" t="s">
        <v>1018</v>
      </c>
      <c r="AR129" s="1648" t="s">
        <v>508</v>
      </c>
      <c r="AS129" s="458" t="s">
        <v>509</v>
      </c>
      <c r="AT129" s="458" t="s">
        <v>510</v>
      </c>
      <c r="AU129" s="458" t="s">
        <v>511</v>
      </c>
      <c r="AV129" s="458" t="s">
        <v>512</v>
      </c>
      <c r="AW129" s="458" t="s">
        <v>513</v>
      </c>
      <c r="AX129" s="458" t="s">
        <v>514</v>
      </c>
      <c r="AY129" s="458" t="s">
        <v>515</v>
      </c>
      <c r="AZ129" s="458" t="s">
        <v>516</v>
      </c>
      <c r="BA129" s="458" t="s">
        <v>517</v>
      </c>
      <c r="BB129" s="458" t="s">
        <v>521</v>
      </c>
      <c r="BC129" s="1882" t="s">
        <v>522</v>
      </c>
      <c r="BD129" s="1883" t="s">
        <v>1047</v>
      </c>
    </row>
    <row r="130" spans="1:62" ht="21.75" customHeight="1">
      <c r="A130" s="2383"/>
      <c r="B130" s="2383"/>
      <c r="C130" s="2383"/>
      <c r="D130" s="2383"/>
      <c r="E130" s="2383"/>
      <c r="F130" s="2383"/>
      <c r="G130" s="2383"/>
      <c r="H130" s="2383"/>
      <c r="I130" s="2383"/>
      <c r="J130" s="2383"/>
      <c r="K130" s="2383"/>
      <c r="L130" s="2383"/>
      <c r="M130" s="2383"/>
      <c r="N130" s="2383"/>
      <c r="O130" s="2383"/>
      <c r="P130" s="2383"/>
      <c r="Q130" s="2383"/>
      <c r="R130" s="2383"/>
      <c r="S130" s="2383"/>
      <c r="T130" s="2383"/>
      <c r="U130" s="2383"/>
      <c r="V130" s="2383"/>
      <c r="W130" s="2383"/>
      <c r="X130" s="2383"/>
      <c r="Y130" s="2383"/>
      <c r="Z130" s="2383"/>
      <c r="AA130" s="2383"/>
      <c r="AB130" s="2383"/>
      <c r="AC130" s="2383"/>
      <c r="AD130" s="2383"/>
      <c r="AE130" s="2383"/>
      <c r="AF130" s="2383"/>
      <c r="AG130" s="2383"/>
      <c r="AH130" s="2383"/>
      <c r="AI130" s="2383"/>
      <c r="AJ130" s="2383"/>
      <c r="AK130" s="2383"/>
      <c r="AL130" s="2383"/>
      <c r="AM130" s="2383"/>
      <c r="AN130" s="2383"/>
      <c r="AO130" s="867">
        <f>H73/12</f>
        <v>41.044166666666662</v>
      </c>
      <c r="AP130" s="1646" t="s">
        <v>505</v>
      </c>
      <c r="AQ130" s="1875">
        <v>77.479915433403818</v>
      </c>
      <c r="AR130" s="164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1884"/>
      <c r="BD130" s="1885">
        <f>SUM(AR130:BC130)</f>
        <v>0</v>
      </c>
    </row>
    <row r="131" spans="1:62" ht="21.75" customHeight="1">
      <c r="A131" s="2383"/>
      <c r="B131" s="2383"/>
      <c r="C131" s="2383"/>
      <c r="D131" s="2383"/>
      <c r="E131" s="2383"/>
      <c r="F131" s="2383"/>
      <c r="G131" s="2383"/>
      <c r="H131" s="2383"/>
      <c r="I131" s="2383"/>
      <c r="J131" s="2383"/>
      <c r="K131" s="2383"/>
      <c r="L131" s="2383"/>
      <c r="M131" s="2383"/>
      <c r="N131" s="2383"/>
      <c r="O131" s="2383"/>
      <c r="P131" s="2383"/>
      <c r="Q131" s="2383"/>
      <c r="R131" s="2383"/>
      <c r="S131" s="2383"/>
      <c r="T131" s="2383"/>
      <c r="U131" s="2383"/>
      <c r="V131" s="2383"/>
      <c r="W131" s="2383"/>
      <c r="X131" s="2383"/>
      <c r="Y131" s="2383"/>
      <c r="Z131" s="2383"/>
      <c r="AA131" s="2383"/>
      <c r="AB131" s="2383"/>
      <c r="AC131" s="2383"/>
      <c r="AD131" s="2383"/>
      <c r="AE131" s="2383"/>
      <c r="AF131" s="2383"/>
      <c r="AG131" s="2383"/>
      <c r="AH131" s="2383"/>
      <c r="AI131" s="2383"/>
      <c r="AJ131" s="2383"/>
      <c r="AK131" s="2383"/>
      <c r="AL131" s="2383"/>
      <c r="AM131" s="2383"/>
      <c r="AN131" s="2383"/>
      <c r="AO131" s="867">
        <f>H74/12</f>
        <v>25.483333333333338</v>
      </c>
      <c r="AP131" s="1647" t="s">
        <v>492</v>
      </c>
      <c r="AQ131" s="1875">
        <v>42.520084566596182</v>
      </c>
      <c r="AR131" s="164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1884"/>
      <c r="BD131" s="1885">
        <f>SUM(AR131:BC131)</f>
        <v>0</v>
      </c>
    </row>
    <row r="132" spans="1:62" ht="21.75" customHeight="1">
      <c r="A132" s="2383"/>
      <c r="B132" s="2383"/>
      <c r="C132" s="2383"/>
      <c r="D132" s="2383"/>
      <c r="E132" s="2383"/>
      <c r="F132" s="2383"/>
      <c r="G132" s="2383"/>
      <c r="H132" s="2383"/>
      <c r="I132" s="2383"/>
      <c r="J132" s="2383"/>
      <c r="K132" s="2383"/>
      <c r="L132" s="2383"/>
      <c r="M132" s="2383"/>
      <c r="N132" s="2383"/>
      <c r="O132" s="2383"/>
      <c r="P132" s="2383"/>
      <c r="Q132" s="2383"/>
      <c r="R132" s="2383"/>
      <c r="S132" s="2383"/>
      <c r="T132" s="2383"/>
      <c r="U132" s="2383"/>
      <c r="V132" s="2383"/>
      <c r="W132" s="2383"/>
      <c r="X132" s="2383"/>
      <c r="Y132" s="2383"/>
      <c r="Z132" s="2383"/>
      <c r="AA132" s="2383"/>
      <c r="AB132" s="2383"/>
      <c r="AC132" s="2383"/>
      <c r="AD132" s="2383"/>
      <c r="AE132" s="2383"/>
      <c r="AF132" s="2383"/>
      <c r="AG132" s="2383"/>
      <c r="AH132" s="2383"/>
      <c r="AI132" s="2383"/>
      <c r="AJ132" s="2383"/>
      <c r="AK132" s="2383"/>
      <c r="AL132" s="2383"/>
      <c r="AM132" s="2383"/>
      <c r="AN132" s="2383"/>
      <c r="AO132" s="867" t="e">
        <f>#REF!/12</f>
        <v>#REF!</v>
      </c>
      <c r="AQ132" s="336"/>
    </row>
    <row r="133" spans="1:62" ht="21.75" customHeight="1">
      <c r="A133" s="2381"/>
      <c r="B133" s="2381"/>
      <c r="C133" s="2381"/>
      <c r="D133" s="6174"/>
      <c r="E133" s="6174"/>
      <c r="F133" s="6174"/>
      <c r="G133" s="6174"/>
      <c r="H133" s="6174"/>
      <c r="I133" s="6174"/>
      <c r="J133" s="2381"/>
      <c r="K133" s="2381"/>
      <c r="L133" s="2381"/>
      <c r="M133" s="2381"/>
      <c r="N133" s="2381"/>
      <c r="O133" s="2381"/>
      <c r="P133" s="2381"/>
      <c r="Q133" s="2381"/>
      <c r="R133" s="2381"/>
      <c r="S133" s="2381"/>
      <c r="T133" s="2381"/>
      <c r="U133" s="2381"/>
      <c r="V133" s="2381"/>
      <c r="W133" s="2381"/>
      <c r="X133" s="2381"/>
      <c r="Y133" s="2381"/>
      <c r="Z133" s="2381"/>
      <c r="AA133" s="2381"/>
      <c r="AB133" s="2381"/>
      <c r="AC133" s="2381"/>
      <c r="AD133" s="2381"/>
      <c r="AE133" s="2381"/>
      <c r="AF133" s="2381"/>
      <c r="AG133" s="2381"/>
      <c r="AH133" s="2381"/>
      <c r="AI133" s="2381"/>
      <c r="AJ133" s="2381"/>
      <c r="AK133" s="6174"/>
      <c r="AL133" s="6174"/>
      <c r="AM133" s="6174"/>
      <c r="AN133" s="6174"/>
      <c r="AP133" s="718">
        <v>5.09</v>
      </c>
      <c r="AQ133" s="718">
        <v>68.83</v>
      </c>
      <c r="AR133" s="718">
        <v>7.17</v>
      </c>
      <c r="AS133" s="719"/>
      <c r="AT133" s="720" t="s">
        <v>678</v>
      </c>
      <c r="AX133" s="334" t="s">
        <v>658</v>
      </c>
      <c r="AY133" s="698" t="s">
        <v>692</v>
      </c>
      <c r="AZ133" s="844" t="s">
        <v>982</v>
      </c>
      <c r="BA133" s="844" t="s">
        <v>981</v>
      </c>
      <c r="BB133" s="844" t="s">
        <v>983</v>
      </c>
    </row>
    <row r="134" spans="1:62" ht="21.75" customHeight="1">
      <c r="A134" s="2381"/>
      <c r="B134" s="2381"/>
      <c r="C134" s="2381"/>
      <c r="D134" s="6174"/>
      <c r="E134" s="6174"/>
      <c r="F134" s="6174"/>
      <c r="G134" s="6174"/>
      <c r="H134" s="6174"/>
      <c r="I134" s="6174"/>
      <c r="J134" s="2381"/>
      <c r="K134" s="2381"/>
      <c r="L134" s="1720"/>
      <c r="M134" s="1720"/>
      <c r="N134" s="1720"/>
      <c r="O134" s="1720"/>
      <c r="P134" s="1720"/>
      <c r="Q134" s="1720"/>
      <c r="R134" s="1720"/>
      <c r="S134" s="1720"/>
      <c r="T134" s="1720"/>
      <c r="U134" s="1720"/>
      <c r="V134" s="1720"/>
      <c r="W134" s="1720"/>
      <c r="X134" s="1720"/>
      <c r="Y134" s="2381"/>
      <c r="Z134" s="2381"/>
      <c r="AA134" s="2381"/>
      <c r="AB134" s="2381"/>
      <c r="AC134" s="2381"/>
      <c r="AD134" s="2381"/>
      <c r="AE134" s="2381"/>
      <c r="AF134" s="2381"/>
      <c r="AG134" s="2381"/>
      <c r="AH134" s="2381"/>
      <c r="AI134" s="2381"/>
      <c r="AJ134" s="2381"/>
      <c r="AK134" s="2381"/>
      <c r="AL134" s="2381"/>
      <c r="AM134" s="6174"/>
      <c r="AN134" s="6174"/>
      <c r="AO134" s="718"/>
      <c r="AP134" s="718"/>
      <c r="AQ134" s="718"/>
      <c r="AR134" s="718"/>
      <c r="AS134" s="719">
        <v>1.43</v>
      </c>
      <c r="AT134" s="720" t="s">
        <v>636</v>
      </c>
      <c r="AX134" s="710" t="s">
        <v>659</v>
      </c>
      <c r="AY134" s="466">
        <f>(SUM(E90:G90)/3)/12</f>
        <v>6.5555745037330722</v>
      </c>
      <c r="AZ134" s="1341">
        <v>19.59</v>
      </c>
      <c r="BA134" s="1341">
        <v>14.37</v>
      </c>
      <c r="BB134" s="1341">
        <v>6.69</v>
      </c>
    </row>
    <row r="135" spans="1:62">
      <c r="A135" s="2027"/>
      <c r="B135" s="2027"/>
      <c r="C135" s="2027"/>
      <c r="D135" s="2027"/>
      <c r="E135" s="2027"/>
      <c r="F135" s="2027"/>
      <c r="G135" s="2027"/>
      <c r="H135" s="2027"/>
      <c r="I135" s="2027"/>
      <c r="J135" s="6175"/>
      <c r="K135" s="6175"/>
      <c r="L135" s="2027"/>
      <c r="M135" s="2027"/>
      <c r="N135" s="2027"/>
      <c r="O135" s="2027"/>
      <c r="P135" s="2027"/>
      <c r="Q135" s="2027"/>
      <c r="R135" s="2027"/>
      <c r="S135" s="2027"/>
      <c r="T135" s="2027"/>
      <c r="U135" s="2027"/>
      <c r="V135" s="2027"/>
      <c r="W135" s="2027"/>
      <c r="X135" s="2027"/>
      <c r="Y135" s="2027"/>
      <c r="Z135" s="2027"/>
      <c r="AA135" s="2027"/>
      <c r="AB135" s="2027"/>
      <c r="AC135" s="2027"/>
      <c r="AD135" s="2027"/>
      <c r="AE135" s="2027"/>
      <c r="AF135" s="2027"/>
      <c r="AG135" s="2027"/>
      <c r="AH135" s="2027"/>
      <c r="AI135" s="2027"/>
      <c r="AJ135" s="2027"/>
      <c r="AK135" s="2027"/>
      <c r="AL135" s="2027"/>
      <c r="AM135" s="2027"/>
      <c r="AN135" s="2027"/>
      <c r="AR135" s="1889"/>
      <c r="BE135" s="1336"/>
      <c r="BF135" s="1336"/>
      <c r="BG135" s="1336"/>
      <c r="BH135" s="1296"/>
      <c r="BI135" s="1296"/>
      <c r="BJ135" s="844"/>
    </row>
    <row r="136" spans="1:62">
      <c r="A136" s="2027"/>
      <c r="B136" s="2027"/>
      <c r="C136" s="2027"/>
      <c r="D136" s="2027"/>
      <c r="E136" s="2027"/>
      <c r="F136" s="2027"/>
      <c r="G136" s="2027"/>
      <c r="H136" s="2027"/>
      <c r="I136" s="2027"/>
      <c r="J136" s="6175"/>
      <c r="K136" s="6175"/>
      <c r="L136" s="2027"/>
      <c r="M136" s="2027"/>
      <c r="N136" s="2027"/>
      <c r="O136" s="2027"/>
      <c r="P136" s="2027"/>
      <c r="Q136" s="2027"/>
      <c r="R136" s="2027"/>
      <c r="S136" s="2027"/>
      <c r="T136" s="2027"/>
      <c r="U136" s="2027"/>
      <c r="V136" s="2027"/>
      <c r="W136" s="2027"/>
      <c r="X136" s="2027"/>
      <c r="Y136" s="2027"/>
      <c r="Z136" s="2027"/>
      <c r="AA136" s="2027"/>
      <c r="AB136" s="2027"/>
      <c r="AC136" s="2027"/>
      <c r="AD136" s="2027"/>
      <c r="AE136" s="2027"/>
      <c r="AF136" s="2027"/>
      <c r="AG136" s="2027"/>
      <c r="AH136" s="2027"/>
      <c r="AI136" s="2027"/>
      <c r="AJ136" s="2027"/>
      <c r="AK136" s="2027"/>
      <c r="AL136" s="2027"/>
      <c r="AM136" s="2027"/>
      <c r="AN136" s="2027"/>
      <c r="AR136" s="1889"/>
      <c r="BE136" s="1336"/>
      <c r="BF136" s="1336"/>
      <c r="BG136" s="1336"/>
      <c r="BH136" s="1296"/>
      <c r="BI136" s="1296"/>
      <c r="BJ136" s="844"/>
    </row>
    <row r="137" spans="1:62" ht="16.5" customHeight="1">
      <c r="A137" s="2027"/>
      <c r="B137" s="2027"/>
      <c r="C137" s="2027"/>
      <c r="D137" s="2027"/>
      <c r="E137" s="2027"/>
      <c r="F137" s="2027"/>
      <c r="G137" s="2027"/>
      <c r="H137" s="4467"/>
      <c r="I137" s="4467"/>
      <c r="J137" s="6175"/>
      <c r="K137" s="6175"/>
      <c r="L137" s="6176"/>
      <c r="M137" s="2027"/>
      <c r="N137" s="2027"/>
      <c r="O137" s="2027"/>
      <c r="P137" s="2027"/>
      <c r="Q137" s="2027"/>
      <c r="R137" s="2027"/>
      <c r="S137" s="2027"/>
      <c r="T137" s="2027"/>
      <c r="U137" s="2027"/>
      <c r="V137" s="2027"/>
      <c r="W137" s="2027"/>
      <c r="X137" s="2027"/>
      <c r="Y137" s="2027"/>
      <c r="Z137" s="2027"/>
      <c r="AA137" s="2027"/>
      <c r="AB137" s="2027"/>
      <c r="AC137" s="2027"/>
      <c r="AD137" s="2027"/>
      <c r="AE137" s="2027"/>
      <c r="AF137" s="2027"/>
      <c r="AG137" s="2027"/>
      <c r="AH137" s="2027"/>
      <c r="AI137" s="2027"/>
      <c r="AJ137" s="2027"/>
      <c r="AK137" s="2027"/>
      <c r="AL137" s="2027"/>
      <c r="AM137" s="2027"/>
      <c r="AN137" s="2027"/>
      <c r="AO137" s="702"/>
      <c r="AQ137" s="336"/>
    </row>
    <row r="138" spans="1:62">
      <c r="A138" s="2027"/>
      <c r="B138" s="2027"/>
      <c r="C138" s="2027"/>
      <c r="D138" s="2027"/>
      <c r="E138" s="2027"/>
      <c r="F138" s="2027"/>
      <c r="G138" s="2027"/>
      <c r="H138" s="2027"/>
      <c r="I138" s="2027"/>
      <c r="J138" s="6175"/>
      <c r="K138" s="6175"/>
      <c r="L138" s="2027"/>
      <c r="M138" s="2027"/>
      <c r="N138" s="2027"/>
      <c r="O138" s="2027"/>
      <c r="P138" s="2027"/>
      <c r="Q138" s="2027"/>
      <c r="R138" s="2027"/>
      <c r="S138" s="2027"/>
      <c r="T138" s="2027"/>
      <c r="U138" s="2027"/>
      <c r="V138" s="2027"/>
      <c r="W138" s="2027"/>
      <c r="X138" s="2027"/>
      <c r="Y138" s="2027"/>
      <c r="Z138" s="2027"/>
      <c r="AA138" s="2027"/>
      <c r="AB138" s="2027"/>
      <c r="AC138" s="2027"/>
      <c r="AD138" s="2027"/>
      <c r="AE138" s="2027"/>
      <c r="AF138" s="2027"/>
      <c r="AG138" s="2027"/>
      <c r="AH138" s="2027"/>
      <c r="AI138" s="2027"/>
      <c r="AJ138" s="2027"/>
      <c r="AK138" s="2027"/>
      <c r="AL138" s="2027"/>
      <c r="AM138" s="2027"/>
      <c r="AN138" s="2027"/>
      <c r="AO138" s="702"/>
      <c r="AQ138" s="336"/>
    </row>
    <row r="139" spans="1:62">
      <c r="A139" s="2027"/>
      <c r="B139" s="2027"/>
      <c r="C139" s="2027"/>
      <c r="D139" s="2027"/>
      <c r="E139" s="2027"/>
      <c r="F139" s="2027"/>
      <c r="G139" s="2027"/>
      <c r="H139" s="6177"/>
      <c r="I139" s="6177"/>
      <c r="J139" s="6177"/>
      <c r="K139" s="6177"/>
      <c r="L139" s="2027"/>
      <c r="M139" s="6177"/>
      <c r="N139" s="6177"/>
      <c r="O139" s="6177"/>
      <c r="P139" s="6177"/>
      <c r="Q139" s="6177"/>
      <c r="R139" s="6177"/>
      <c r="S139" s="6177"/>
      <c r="T139" s="6177"/>
      <c r="U139" s="6177"/>
      <c r="V139" s="6177"/>
      <c r="W139" s="6177"/>
      <c r="X139" s="2027"/>
      <c r="Y139" s="2027"/>
      <c r="Z139" s="2027"/>
      <c r="AA139" s="2027"/>
      <c r="AB139" s="2027"/>
      <c r="AC139" s="2027"/>
      <c r="AD139" s="2027"/>
      <c r="AE139" s="2027"/>
      <c r="AF139" s="2027"/>
      <c r="AG139" s="2027"/>
      <c r="AH139" s="2027"/>
      <c r="AI139" s="2027"/>
      <c r="AJ139" s="2027"/>
      <c r="AK139" s="2027"/>
      <c r="AL139" s="2027"/>
      <c r="AM139" s="2027"/>
      <c r="AN139" s="2027"/>
      <c r="AR139" s="1889"/>
      <c r="BE139" s="1336"/>
      <c r="BF139" s="1336"/>
      <c r="BG139" s="1336"/>
      <c r="BH139" s="1296"/>
      <c r="BI139" s="1296"/>
      <c r="BJ139" s="844"/>
    </row>
    <row r="140" spans="1:62">
      <c r="A140" s="2027"/>
      <c r="B140" s="2027"/>
      <c r="C140" s="2027"/>
      <c r="D140" s="2027"/>
      <c r="E140" s="2027"/>
      <c r="F140" s="2027"/>
      <c r="G140" s="2027"/>
      <c r="H140" s="6172"/>
      <c r="I140" s="6172"/>
      <c r="J140" s="6175"/>
      <c r="K140" s="6175"/>
      <c r="L140" s="6176"/>
      <c r="M140" s="2027"/>
      <c r="N140" s="2027"/>
      <c r="O140" s="2027"/>
      <c r="P140" s="2027"/>
      <c r="Q140" s="2027"/>
      <c r="R140" s="2027"/>
      <c r="S140" s="2027"/>
      <c r="T140" s="2027"/>
      <c r="U140" s="2027"/>
      <c r="V140" s="2027"/>
      <c r="W140" s="2027"/>
      <c r="X140" s="2027"/>
      <c r="Y140" s="2027"/>
      <c r="Z140" s="2027"/>
      <c r="AA140" s="2027"/>
      <c r="AB140" s="2027"/>
      <c r="AC140" s="2027"/>
      <c r="AD140" s="2027"/>
      <c r="AE140" s="2027"/>
      <c r="AF140" s="2027"/>
      <c r="AG140" s="2027"/>
      <c r="AH140" s="2027"/>
      <c r="AI140" s="2027"/>
      <c r="AJ140" s="2027"/>
      <c r="AK140" s="2027"/>
      <c r="AL140" s="2027"/>
      <c r="AM140" s="2027"/>
      <c r="AN140" s="2027"/>
      <c r="AR140" s="1889"/>
      <c r="BE140" s="1336"/>
      <c r="BF140" s="1336"/>
      <c r="BG140" s="1336"/>
      <c r="BH140" s="1296"/>
      <c r="BI140" s="1296"/>
      <c r="BJ140" s="844"/>
    </row>
    <row r="141" spans="1:62">
      <c r="A141" s="2027"/>
      <c r="B141" s="2027"/>
      <c r="C141" s="2027"/>
      <c r="D141" s="2027"/>
      <c r="E141" s="2027"/>
      <c r="F141" s="2027"/>
      <c r="G141" s="2027"/>
      <c r="H141" s="6172"/>
      <c r="I141" s="6172"/>
      <c r="J141" s="6175"/>
      <c r="K141" s="6175"/>
      <c r="L141" s="6172"/>
      <c r="M141" s="2027"/>
      <c r="N141" s="2027"/>
      <c r="O141" s="2027"/>
      <c r="P141" s="2027"/>
      <c r="Q141" s="2027"/>
      <c r="R141" s="2027"/>
      <c r="S141" s="2027"/>
      <c r="T141" s="2027"/>
      <c r="U141" s="2027"/>
      <c r="V141" s="2027"/>
      <c r="W141" s="2027"/>
      <c r="X141" s="2027"/>
      <c r="Y141" s="2027"/>
      <c r="Z141" s="2027"/>
      <c r="AA141" s="2027"/>
      <c r="AB141" s="2027"/>
      <c r="AC141" s="2027"/>
      <c r="AD141" s="2027"/>
      <c r="AE141" s="2027"/>
      <c r="AF141" s="2027"/>
      <c r="AG141" s="2027"/>
      <c r="AH141" s="2027"/>
      <c r="AI141" s="2027"/>
      <c r="AJ141" s="2027"/>
      <c r="AK141" s="2027"/>
      <c r="AL141" s="2027"/>
      <c r="AM141" s="2027"/>
      <c r="AN141" s="2027"/>
      <c r="AR141" s="1889"/>
      <c r="BE141" s="1336"/>
      <c r="BF141" s="1336"/>
      <c r="BG141" s="1336"/>
      <c r="BH141" s="1296"/>
      <c r="BI141" s="1296"/>
      <c r="BJ141" s="844"/>
    </row>
    <row r="142" spans="1:62">
      <c r="A142" s="2027"/>
      <c r="B142" s="2027"/>
      <c r="C142" s="2027"/>
      <c r="D142" s="2027"/>
      <c r="E142" s="2027"/>
      <c r="F142" s="2027"/>
      <c r="G142" s="2027"/>
      <c r="H142" s="2027"/>
      <c r="I142" s="2027"/>
      <c r="J142" s="2027"/>
      <c r="K142" s="2027"/>
      <c r="L142" s="2027"/>
      <c r="M142" s="2027"/>
      <c r="N142" s="2027"/>
      <c r="O142" s="2027"/>
      <c r="P142" s="2027"/>
      <c r="Q142" s="2027"/>
      <c r="R142" s="2027"/>
      <c r="S142" s="2027"/>
      <c r="T142" s="2027"/>
      <c r="U142" s="2027"/>
      <c r="V142" s="2027"/>
      <c r="W142" s="2027"/>
      <c r="X142" s="2027"/>
      <c r="Y142" s="2027"/>
      <c r="Z142" s="2027"/>
      <c r="AA142" s="2027"/>
      <c r="AB142" s="2027"/>
      <c r="AC142" s="2027"/>
      <c r="AD142" s="2027"/>
      <c r="AE142" s="2027"/>
      <c r="AF142" s="2027"/>
      <c r="AG142" s="2027"/>
      <c r="AH142" s="2027"/>
      <c r="AI142" s="2027"/>
      <c r="AJ142" s="2027"/>
      <c r="AK142" s="2027"/>
      <c r="AL142" s="2027"/>
      <c r="AM142" s="2027"/>
      <c r="AN142" s="2027"/>
      <c r="AR142" s="1889"/>
      <c r="BE142" s="1336"/>
      <c r="BF142" s="1336"/>
      <c r="BG142" s="1336"/>
      <c r="BH142" s="1296"/>
      <c r="BI142" s="1296"/>
      <c r="BJ142" s="844"/>
    </row>
    <row r="143" spans="1:62">
      <c r="A143" s="2027"/>
      <c r="B143" s="2027"/>
      <c r="C143" s="2027"/>
      <c r="D143" s="2027"/>
      <c r="E143" s="2027"/>
      <c r="F143" s="2027"/>
      <c r="G143" s="2027"/>
      <c r="H143" s="6176"/>
      <c r="I143" s="6176"/>
      <c r="J143" s="6176"/>
      <c r="K143" s="6176"/>
      <c r="L143" s="6176"/>
      <c r="M143" s="2027"/>
      <c r="N143" s="2027"/>
      <c r="O143" s="2027"/>
      <c r="P143" s="2027"/>
      <c r="Q143" s="2027"/>
      <c r="R143" s="2027"/>
      <c r="S143" s="2027"/>
      <c r="T143" s="2027"/>
      <c r="U143" s="2027"/>
      <c r="V143" s="2027"/>
      <c r="W143" s="2027"/>
      <c r="X143" s="2027"/>
      <c r="Y143" s="2027"/>
      <c r="Z143" s="2027"/>
      <c r="AA143" s="2027"/>
      <c r="AB143" s="2027"/>
      <c r="AC143" s="2027"/>
      <c r="AD143" s="2027"/>
      <c r="AE143" s="2027"/>
      <c r="AF143" s="2027"/>
      <c r="AG143" s="2027"/>
      <c r="AH143" s="2027"/>
      <c r="AI143" s="2027"/>
      <c r="AJ143" s="2027"/>
      <c r="AK143" s="2027"/>
      <c r="AL143" s="2027"/>
      <c r="AM143" s="2027"/>
      <c r="AN143" s="2027"/>
      <c r="AR143" s="1889"/>
      <c r="BE143" s="1336"/>
      <c r="BF143" s="1336"/>
      <c r="BG143" s="1336"/>
      <c r="BH143" s="1296"/>
      <c r="BI143" s="1296"/>
      <c r="BJ143" s="844"/>
    </row>
    <row r="144" spans="1:62">
      <c r="A144" s="2027"/>
      <c r="B144" s="2027"/>
      <c r="C144" s="2027"/>
      <c r="D144" s="2027"/>
      <c r="E144" s="2027"/>
      <c r="F144" s="2027"/>
      <c r="G144" s="2027"/>
      <c r="H144" s="6176"/>
      <c r="I144" s="6176"/>
      <c r="J144" s="6176"/>
      <c r="K144" s="6176"/>
      <c r="L144" s="6176"/>
      <c r="M144" s="2027"/>
      <c r="N144" s="2027"/>
      <c r="O144" s="2027"/>
      <c r="P144" s="2027"/>
      <c r="Q144" s="2027"/>
      <c r="R144" s="2027"/>
      <c r="S144" s="2027"/>
      <c r="T144" s="2027"/>
      <c r="U144" s="2027"/>
      <c r="V144" s="2027"/>
      <c r="W144" s="2027"/>
      <c r="X144" s="2027"/>
      <c r="Y144" s="2027"/>
      <c r="Z144" s="2027"/>
      <c r="AA144" s="2027"/>
      <c r="AB144" s="2027"/>
      <c r="AC144" s="2027"/>
      <c r="AD144" s="2027"/>
      <c r="AE144" s="2027"/>
      <c r="AF144" s="2027"/>
      <c r="AG144" s="2027"/>
      <c r="AH144" s="2027"/>
      <c r="AI144" s="2027"/>
      <c r="AJ144" s="2027"/>
      <c r="AK144" s="2027"/>
      <c r="AL144" s="2027"/>
      <c r="AM144" s="2027"/>
      <c r="AN144" s="2027"/>
      <c r="AR144" s="1889"/>
      <c r="BE144" s="1336"/>
      <c r="BF144" s="1336"/>
      <c r="BG144" s="1336"/>
      <c r="BH144" s="1296"/>
      <c r="BI144" s="1296"/>
      <c r="BJ144" s="844"/>
    </row>
    <row r="145" spans="1:62">
      <c r="A145" s="2027"/>
      <c r="B145" s="2027"/>
      <c r="C145" s="2027"/>
      <c r="D145" s="2027"/>
      <c r="E145" s="2027"/>
      <c r="F145" s="2027"/>
      <c r="G145" s="2027"/>
      <c r="H145" s="6176"/>
      <c r="I145" s="6176"/>
      <c r="J145" s="6176"/>
      <c r="K145" s="6176"/>
      <c r="L145" s="6176"/>
      <c r="M145" s="2027"/>
      <c r="N145" s="2027"/>
      <c r="O145" s="2027"/>
      <c r="P145" s="2027"/>
      <c r="Q145" s="2027"/>
      <c r="R145" s="2027"/>
      <c r="S145" s="2027"/>
      <c r="T145" s="2027"/>
      <c r="U145" s="2027"/>
      <c r="V145" s="2027"/>
      <c r="W145" s="2027"/>
      <c r="X145" s="2027"/>
      <c r="Y145" s="2027"/>
      <c r="Z145" s="2027"/>
      <c r="AA145" s="2027"/>
      <c r="AB145" s="2027"/>
      <c r="AC145" s="2027"/>
      <c r="AD145" s="2027"/>
      <c r="AE145" s="2027"/>
      <c r="AF145" s="2027"/>
      <c r="AG145" s="2027"/>
      <c r="AH145" s="2027"/>
      <c r="AI145" s="2027"/>
      <c r="AJ145" s="2027"/>
      <c r="AK145" s="2027"/>
      <c r="AL145" s="2027"/>
      <c r="AM145" s="2027"/>
      <c r="AN145" s="2027"/>
      <c r="AR145" s="1889"/>
      <c r="BE145" s="1336"/>
      <c r="BF145" s="1336"/>
      <c r="BG145" s="1336"/>
      <c r="BH145" s="1296"/>
      <c r="BI145" s="1296"/>
      <c r="BJ145" s="844"/>
    </row>
    <row r="146" spans="1:62">
      <c r="A146" s="7360"/>
      <c r="B146" s="2027"/>
      <c r="C146" s="2027"/>
      <c r="D146" s="2027"/>
      <c r="E146" s="2027"/>
      <c r="F146" s="2027"/>
      <c r="G146" s="2027"/>
      <c r="H146" s="6176"/>
      <c r="I146" s="6176"/>
      <c r="J146" s="6176"/>
      <c r="K146" s="6176"/>
      <c r="L146" s="6176"/>
      <c r="M146" s="2027"/>
      <c r="N146" s="2027"/>
      <c r="O146" s="2027"/>
      <c r="P146" s="2027"/>
      <c r="Q146" s="2027"/>
      <c r="R146" s="2027"/>
      <c r="S146" s="2027"/>
      <c r="T146" s="2027"/>
      <c r="U146" s="2027"/>
      <c r="V146" s="2027"/>
      <c r="W146" s="2027"/>
      <c r="X146" s="2027"/>
      <c r="Y146" s="2027"/>
      <c r="Z146" s="2027"/>
      <c r="AA146" s="2027"/>
      <c r="AB146" s="2027"/>
      <c r="AC146" s="2027"/>
      <c r="AD146" s="2027"/>
      <c r="AE146" s="2027"/>
      <c r="AF146" s="2027"/>
      <c r="AG146" s="2027"/>
      <c r="AH146" s="2027"/>
      <c r="AI146" s="2027"/>
      <c r="AJ146" s="2027"/>
      <c r="AK146" s="2027"/>
      <c r="AL146" s="2027"/>
      <c r="AM146" s="2027"/>
      <c r="AN146" s="2027"/>
      <c r="AR146" s="1889"/>
      <c r="BE146" s="1336"/>
      <c r="BF146" s="1336"/>
      <c r="BG146" s="1336"/>
      <c r="BH146" s="1296"/>
      <c r="BI146" s="1296"/>
      <c r="BJ146" s="844"/>
    </row>
    <row r="147" spans="1:62">
      <c r="A147" s="7360"/>
      <c r="B147" s="2027"/>
      <c r="C147" s="2027"/>
      <c r="D147" s="2027"/>
      <c r="E147" s="2027"/>
      <c r="F147" s="2027"/>
      <c r="G147" s="2027"/>
      <c r="H147" s="6176"/>
      <c r="I147" s="6176"/>
      <c r="J147" s="6176"/>
      <c r="K147" s="6176"/>
      <c r="L147" s="6176"/>
      <c r="M147" s="2027"/>
      <c r="N147" s="2027"/>
      <c r="O147" s="2027"/>
      <c r="P147" s="2027"/>
      <c r="Q147" s="2027"/>
      <c r="R147" s="2027"/>
      <c r="S147" s="2027"/>
      <c r="T147" s="2027"/>
      <c r="U147" s="2027"/>
      <c r="V147" s="2027"/>
      <c r="W147" s="2027"/>
      <c r="X147" s="2027"/>
      <c r="Y147" s="2027"/>
      <c r="Z147" s="2027"/>
      <c r="AA147" s="2027"/>
      <c r="AB147" s="2027"/>
      <c r="AC147" s="2027"/>
      <c r="AD147" s="2027"/>
      <c r="AE147" s="2027"/>
      <c r="AF147" s="2027"/>
      <c r="AG147" s="2027"/>
      <c r="AH147" s="2027"/>
      <c r="AI147" s="2027"/>
      <c r="AJ147" s="2027"/>
      <c r="AK147" s="2027"/>
      <c r="AL147" s="2027"/>
      <c r="AM147" s="2027"/>
      <c r="AN147" s="2027"/>
      <c r="AR147" s="1889"/>
      <c r="BE147" s="1336"/>
      <c r="BF147" s="1336"/>
      <c r="BG147" s="1336"/>
      <c r="BH147" s="1296"/>
      <c r="BI147" s="1296"/>
      <c r="BJ147" s="844"/>
    </row>
    <row r="148" spans="1:62">
      <c r="A148" s="2383"/>
      <c r="B148" s="2027"/>
      <c r="C148" s="2027"/>
      <c r="D148" s="2027"/>
      <c r="E148" s="2027"/>
      <c r="F148" s="2027"/>
      <c r="G148" s="2027"/>
      <c r="H148" s="2027"/>
      <c r="I148" s="2027"/>
      <c r="J148" s="2027"/>
      <c r="K148" s="2027"/>
      <c r="L148" s="2027"/>
      <c r="M148" s="2027"/>
      <c r="N148" s="2027"/>
      <c r="O148" s="2027"/>
      <c r="P148" s="2027"/>
      <c r="Q148" s="2027"/>
      <c r="R148" s="2027"/>
      <c r="S148" s="2027"/>
      <c r="T148" s="2027"/>
      <c r="U148" s="2027"/>
      <c r="V148" s="2027"/>
      <c r="W148" s="2027"/>
      <c r="X148" s="2027"/>
      <c r="Y148" s="2027"/>
      <c r="Z148" s="2027"/>
      <c r="AA148" s="2027"/>
      <c r="AB148" s="2027"/>
      <c r="AC148" s="2027"/>
      <c r="AD148" s="2027"/>
      <c r="AE148" s="2027"/>
      <c r="AF148" s="2027"/>
      <c r="AG148" s="2027"/>
      <c r="AH148" s="2027"/>
      <c r="AI148" s="2027"/>
      <c r="AJ148" s="2027"/>
      <c r="AK148" s="2027"/>
      <c r="AL148" s="2027"/>
      <c r="AM148" s="2027"/>
      <c r="AN148" s="2027"/>
      <c r="AR148" s="1889"/>
      <c r="BE148" s="1336"/>
      <c r="BF148" s="1336"/>
      <c r="BG148" s="1336"/>
      <c r="BH148" s="1296"/>
      <c r="BI148" s="1296"/>
      <c r="BJ148" s="844"/>
    </row>
    <row r="149" spans="1:62">
      <c r="A149" s="2383"/>
      <c r="B149" s="2383"/>
      <c r="C149" s="2383"/>
      <c r="D149" s="2383"/>
      <c r="E149" s="2383"/>
      <c r="F149" s="2383"/>
      <c r="G149" s="2383"/>
      <c r="H149" s="2383"/>
      <c r="I149" s="2383"/>
      <c r="J149" s="2383"/>
      <c r="K149" s="2383"/>
      <c r="L149" s="2383"/>
      <c r="M149" s="2383"/>
      <c r="N149" s="2383"/>
      <c r="O149" s="2383"/>
      <c r="P149" s="2383"/>
      <c r="Q149" s="2383"/>
      <c r="R149" s="2383"/>
      <c r="S149" s="2383"/>
      <c r="T149" s="2383"/>
      <c r="U149" s="2383"/>
      <c r="V149" s="2383"/>
      <c r="W149" s="2383"/>
      <c r="X149" s="2383"/>
      <c r="Y149" s="2383"/>
      <c r="Z149" s="2383"/>
      <c r="AA149" s="2383"/>
      <c r="AB149" s="2383"/>
      <c r="AC149" s="2383"/>
      <c r="AD149" s="2383"/>
      <c r="AE149" s="2383"/>
      <c r="AF149" s="2383"/>
      <c r="AG149" s="2383"/>
      <c r="AH149" s="2383"/>
      <c r="AI149" s="2383"/>
      <c r="AJ149" s="2383"/>
      <c r="AK149" s="2383"/>
      <c r="AL149" s="2383"/>
      <c r="AM149" s="2383"/>
      <c r="AN149" s="2383"/>
      <c r="AR149" s="1889"/>
      <c r="BE149" s="1336"/>
      <c r="BF149" s="1336"/>
      <c r="BG149" s="1336"/>
      <c r="BH149" s="1296"/>
      <c r="BI149" s="1296"/>
      <c r="BJ149" s="844"/>
    </row>
    <row r="150" spans="1:62">
      <c r="AR150" s="1889"/>
      <c r="BE150" s="1336"/>
      <c r="BF150" s="1336"/>
      <c r="BG150" s="1336"/>
      <c r="BH150" s="1296"/>
      <c r="BI150" s="1296"/>
      <c r="BJ150" s="844"/>
    </row>
    <row r="151" spans="1:62">
      <c r="AR151" s="1889"/>
      <c r="BE151" s="1336"/>
      <c r="BF151" s="1336"/>
      <c r="BG151" s="1336"/>
      <c r="BH151" s="1296"/>
      <c r="BI151" s="1296"/>
      <c r="BJ151" s="844"/>
    </row>
    <row r="152" spans="1:62">
      <c r="AR152" s="1889"/>
      <c r="BE152" s="1336"/>
      <c r="BF152" s="1336"/>
      <c r="BG152" s="1336"/>
      <c r="BH152" s="1296"/>
      <c r="BI152" s="1296"/>
      <c r="BJ152" s="844"/>
    </row>
    <row r="153" spans="1:62">
      <c r="AR153" s="1889"/>
      <c r="BE153" s="1336"/>
      <c r="BF153" s="1336"/>
      <c r="BG153" s="1336"/>
      <c r="BH153" s="1296"/>
      <c r="BI153" s="1296"/>
      <c r="BJ153" s="844"/>
    </row>
    <row r="154" spans="1:62">
      <c r="AR154" s="1889"/>
      <c r="BE154" s="1336"/>
      <c r="BF154" s="1336"/>
      <c r="BG154" s="1336"/>
      <c r="BH154" s="1296"/>
      <c r="BI154" s="1296"/>
      <c r="BJ154" s="844"/>
    </row>
    <row r="155" spans="1:62">
      <c r="AR155" s="1889"/>
      <c r="BE155" s="1336"/>
      <c r="BF155" s="1336"/>
      <c r="BG155" s="1336"/>
      <c r="BH155" s="1296"/>
      <c r="BI155" s="1296"/>
      <c r="BJ155" s="844"/>
    </row>
    <row r="156" spans="1:62">
      <c r="AR156" s="1889"/>
      <c r="BE156" s="844"/>
      <c r="BF156" s="844"/>
      <c r="BG156" s="844"/>
      <c r="BH156" s="844"/>
      <c r="BI156" s="1296"/>
      <c r="BJ156" s="844"/>
    </row>
    <row r="157" spans="1:62">
      <c r="AR157" s="1889"/>
      <c r="BE157" s="1336"/>
      <c r="BF157" s="1336"/>
      <c r="BG157" s="1336"/>
      <c r="BH157" s="1296"/>
      <c r="BI157" s="1296"/>
      <c r="BJ157" s="844"/>
    </row>
    <row r="158" spans="1:62">
      <c r="AR158" s="1889"/>
      <c r="BE158" s="1336"/>
      <c r="BF158" s="1336"/>
      <c r="BG158" s="1336"/>
      <c r="BH158" s="1296"/>
      <c r="BI158" s="1296"/>
      <c r="BJ158" s="844"/>
    </row>
    <row r="159" spans="1:62">
      <c r="AR159" s="1889"/>
      <c r="BE159" s="1336"/>
      <c r="BF159" s="1336"/>
      <c r="BG159" s="1336"/>
      <c r="BH159" s="1296"/>
      <c r="BI159" s="1296"/>
      <c r="BJ159" s="844"/>
    </row>
    <row r="160" spans="1:62">
      <c r="AR160" s="1889"/>
      <c r="BE160" s="1336"/>
      <c r="BF160" s="1336"/>
      <c r="BG160" s="1336"/>
      <c r="BH160" s="1296"/>
      <c r="BI160" s="1296"/>
      <c r="BJ160" s="844"/>
    </row>
    <row r="161" spans="3:88">
      <c r="AR161" s="711" t="s">
        <v>665</v>
      </c>
      <c r="AS161" s="334">
        <f>(145+172+85)/3</f>
        <v>134</v>
      </c>
      <c r="AU161" s="334">
        <f>BE216</f>
        <v>24</v>
      </c>
      <c r="AV161" s="334">
        <f>SUM(AV112:AV126)</f>
        <v>30</v>
      </c>
      <c r="BE161" s="1336"/>
      <c r="BF161" s="1336"/>
      <c r="BG161" s="1336"/>
      <c r="BH161" s="1296"/>
      <c r="BI161" s="1296"/>
      <c r="BJ161" s="844"/>
    </row>
    <row r="162" spans="3:88" ht="18" thickBot="1">
      <c r="BE162" s="1336"/>
      <c r="BF162" s="1336"/>
      <c r="BG162" s="1336"/>
      <c r="BH162" s="1296"/>
      <c r="BI162" s="1296"/>
      <c r="BJ162" s="844"/>
    </row>
    <row r="163" spans="3:88" ht="19.8" thickBot="1">
      <c r="F163" s="336"/>
      <c r="P163" s="334">
        <v>148</v>
      </c>
      <c r="BA163" s="722">
        <v>10.36</v>
      </c>
      <c r="BB163" s="723" t="s">
        <v>681</v>
      </c>
      <c r="BC163" s="724" t="s">
        <v>682</v>
      </c>
    </row>
    <row r="164" spans="3:88" ht="19.8" thickBot="1">
      <c r="C164" s="868" t="s">
        <v>830</v>
      </c>
      <c r="D164" s="7357" t="s">
        <v>831</v>
      </c>
      <c r="E164" s="7358"/>
      <c r="F164" s="7359"/>
      <c r="G164" s="868" t="s">
        <v>832</v>
      </c>
      <c r="H164" s="1515"/>
      <c r="I164" s="1515"/>
      <c r="P164" s="334">
        <f>P163-P165</f>
        <v>135</v>
      </c>
      <c r="AR164" s="334" t="s">
        <v>662</v>
      </c>
      <c r="AS164" s="334" t="s">
        <v>670</v>
      </c>
      <c r="AT164" s="334" t="s">
        <v>672</v>
      </c>
      <c r="AU164" s="334" t="s">
        <v>680</v>
      </c>
      <c r="BA164" s="722">
        <v>5.68</v>
      </c>
      <c r="BB164" s="723" t="s">
        <v>683</v>
      </c>
      <c r="BC164" s="724" t="s">
        <v>682</v>
      </c>
    </row>
    <row r="165" spans="3:88" ht="19.8" thickBot="1">
      <c r="C165" s="845" t="s">
        <v>3</v>
      </c>
      <c r="D165" s="869" t="s">
        <v>835</v>
      </c>
      <c r="E165" s="870"/>
      <c r="F165" s="871"/>
      <c r="G165" s="845">
        <v>17.5</v>
      </c>
      <c r="H165" s="1506"/>
      <c r="I165" s="2738"/>
      <c r="P165" s="334">
        <f>117/9</f>
        <v>13</v>
      </c>
      <c r="AR165" s="711" t="s">
        <v>671</v>
      </c>
      <c r="AS165" s="334">
        <v>5</v>
      </c>
      <c r="AT165" s="334">
        <v>2</v>
      </c>
      <c r="AU165" s="334">
        <v>0</v>
      </c>
      <c r="BA165" s="722">
        <v>3.78</v>
      </c>
      <c r="BB165" s="723" t="s">
        <v>681</v>
      </c>
      <c r="BC165" s="724" t="s">
        <v>682</v>
      </c>
    </row>
    <row r="166" spans="3:88" ht="19.8" thickBot="1">
      <c r="C166" s="845" t="s">
        <v>828</v>
      </c>
      <c r="D166" s="869" t="s">
        <v>836</v>
      </c>
      <c r="E166" s="870"/>
      <c r="F166" s="871"/>
      <c r="G166" s="845">
        <v>69.22</v>
      </c>
      <c r="H166" s="1506"/>
      <c r="I166" s="2738"/>
      <c r="Q166" s="334">
        <f>P164/P163</f>
        <v>0.91216216216216217</v>
      </c>
      <c r="AR166" s="334" t="s">
        <v>680</v>
      </c>
      <c r="AT166" s="334">
        <v>0</v>
      </c>
      <c r="BA166" s="722">
        <v>3.03</v>
      </c>
      <c r="BB166" s="723" t="s">
        <v>681</v>
      </c>
      <c r="BC166" s="724" t="s">
        <v>684</v>
      </c>
    </row>
    <row r="167" spans="3:88" ht="19.8" thickBot="1">
      <c r="C167" s="845" t="s">
        <v>829</v>
      </c>
      <c r="D167" s="869" t="s">
        <v>833</v>
      </c>
      <c r="E167" s="870"/>
      <c r="F167" s="871"/>
      <c r="G167" s="845">
        <v>46.5</v>
      </c>
      <c r="H167" s="1506"/>
      <c r="I167" s="2738"/>
      <c r="BA167" s="722">
        <v>4.41</v>
      </c>
      <c r="BB167" s="723" t="s">
        <v>681</v>
      </c>
      <c r="BC167" s="724" t="s">
        <v>685</v>
      </c>
    </row>
    <row r="168" spans="3:88" ht="19.8" thickBot="1">
      <c r="C168" s="7357" t="s">
        <v>834</v>
      </c>
      <c r="D168" s="7358"/>
      <c r="E168" s="7358"/>
      <c r="F168" s="7359"/>
      <c r="G168" s="868">
        <v>133.22</v>
      </c>
      <c r="H168" s="1515"/>
      <c r="I168" s="1515"/>
      <c r="BA168" s="722">
        <v>2.41</v>
      </c>
      <c r="BB168" s="723" t="s">
        <v>681</v>
      </c>
      <c r="BC168" s="724" t="s">
        <v>685</v>
      </c>
    </row>
    <row r="169" spans="3:88" ht="19.8" thickBot="1">
      <c r="AR169" s="334" t="s">
        <v>662</v>
      </c>
      <c r="AS169" s="334" t="s">
        <v>670</v>
      </c>
      <c r="AT169" s="334" t="s">
        <v>673</v>
      </c>
      <c r="BA169" s="722">
        <v>3.24</v>
      </c>
      <c r="BB169" s="723" t="s">
        <v>683</v>
      </c>
      <c r="BC169" s="724" t="s">
        <v>684</v>
      </c>
    </row>
    <row r="170" spans="3:88">
      <c r="AR170" s="711" t="s">
        <v>671</v>
      </c>
      <c r="AS170" s="334">
        <v>16</v>
      </c>
    </row>
    <row r="171" spans="3:88">
      <c r="AR171" s="334" t="s">
        <v>680</v>
      </c>
      <c r="AT171" s="334">
        <v>4</v>
      </c>
      <c r="BQ171" s="6826" t="s">
        <v>40</v>
      </c>
      <c r="BR171" s="6826" t="s">
        <v>258</v>
      </c>
      <c r="BS171" s="6826" t="s">
        <v>259</v>
      </c>
      <c r="BT171" s="6826" t="s">
        <v>1429</v>
      </c>
      <c r="BU171" s="6826" t="s">
        <v>1075</v>
      </c>
      <c r="BV171" s="6826" t="s">
        <v>1032</v>
      </c>
      <c r="BW171" s="6826" t="s">
        <v>2016</v>
      </c>
      <c r="BX171" s="6826" t="s">
        <v>18</v>
      </c>
      <c r="BY171" s="6826" t="s">
        <v>5</v>
      </c>
      <c r="BZ171" s="6826" t="s">
        <v>6</v>
      </c>
      <c r="CA171" s="6826" t="s">
        <v>927</v>
      </c>
      <c r="CB171" s="6826" t="s">
        <v>8</v>
      </c>
      <c r="CC171" s="6826" t="s">
        <v>9</v>
      </c>
      <c r="CD171" s="6826" t="s">
        <v>10</v>
      </c>
      <c r="CE171" s="6826" t="s">
        <v>11</v>
      </c>
      <c r="CF171" s="6826" t="s">
        <v>12</v>
      </c>
      <c r="CG171" s="6826" t="s">
        <v>13</v>
      </c>
      <c r="CH171" s="6826" t="s">
        <v>14</v>
      </c>
      <c r="CI171" s="6826" t="s">
        <v>15</v>
      </c>
      <c r="CJ171" s="6826" t="s">
        <v>1430</v>
      </c>
    </row>
    <row r="172" spans="3:88">
      <c r="BQ172" s="6826" t="s">
        <v>902</v>
      </c>
      <c r="BR172" s="6823">
        <v>51.24</v>
      </c>
      <c r="BS172" s="6823">
        <v>54.062042613628726</v>
      </c>
      <c r="BT172" s="6823">
        <v>58.04</v>
      </c>
      <c r="BU172" s="6823">
        <v>60.206775876441782</v>
      </c>
      <c r="BV172" s="6823">
        <v>58.694362011852697</v>
      </c>
      <c r="BW172" s="6823">
        <v>60.293596370134942</v>
      </c>
      <c r="BX172" s="6823">
        <v>60.874104140090452</v>
      </c>
      <c r="BY172" s="6823">
        <v>62.159699194270374</v>
      </c>
      <c r="BZ172" s="6823">
        <v>60.15957877000843</v>
      </c>
      <c r="CA172" s="6824">
        <v>62.721523579201929</v>
      </c>
      <c r="CB172" s="6824">
        <v>57.555791855203616</v>
      </c>
      <c r="CC172" s="6824">
        <v>60.661661867544225</v>
      </c>
      <c r="CD172" s="6824">
        <v>60.070862787467199</v>
      </c>
      <c r="CE172" s="6824">
        <v>60.769159163417235</v>
      </c>
      <c r="CF172" s="6824">
        <v>62.188318149964957</v>
      </c>
      <c r="CG172" s="6824">
        <v>56.385312058913776</v>
      </c>
      <c r="CH172" s="6824">
        <v>0</v>
      </c>
      <c r="CI172" s="6824">
        <v>0</v>
      </c>
      <c r="CJ172" s="6827">
        <v>60.293596370134942</v>
      </c>
    </row>
    <row r="173" spans="3:88">
      <c r="AR173" s="334" t="s">
        <v>662</v>
      </c>
      <c r="AS173" s="334" t="s">
        <v>670</v>
      </c>
      <c r="AT173" s="334" t="s">
        <v>673</v>
      </c>
      <c r="AW173" s="334">
        <v>1.22</v>
      </c>
      <c r="BQ173" s="6826" t="s">
        <v>903</v>
      </c>
      <c r="BR173" s="6823">
        <v>46.19</v>
      </c>
      <c r="BS173" s="6823">
        <v>45.65</v>
      </c>
      <c r="BT173" s="6823">
        <v>44.71</v>
      </c>
      <c r="BU173" s="6823">
        <v>46.04272455659865</v>
      </c>
      <c r="BV173" s="6823">
        <v>46.906486455981941</v>
      </c>
      <c r="BW173" s="6823">
        <v>49.260056236092275</v>
      </c>
      <c r="BX173" s="6823">
        <v>45.826335311572706</v>
      </c>
      <c r="BY173" s="6823">
        <v>46.538706901497335</v>
      </c>
      <c r="BZ173" s="6823">
        <v>46.942721279585001</v>
      </c>
      <c r="CA173" s="6824">
        <v>51.131646058732613</v>
      </c>
      <c r="CB173" s="6824">
        <v>46.019465875370919</v>
      </c>
      <c r="CC173" s="6824">
        <v>50.388206764518188</v>
      </c>
      <c r="CD173" s="6824">
        <v>52.402404550061938</v>
      </c>
      <c r="CE173" s="6824">
        <v>52.771722127461615</v>
      </c>
      <c r="CF173" s="6824">
        <v>52.825319820568197</v>
      </c>
      <c r="CG173" s="6824">
        <v>47.64499508879981</v>
      </c>
      <c r="CH173" s="6824">
        <v>0</v>
      </c>
      <c r="CI173" s="6824">
        <v>0</v>
      </c>
      <c r="CJ173" s="6827">
        <v>49.260056236092275</v>
      </c>
    </row>
    <row r="174" spans="3:88">
      <c r="AR174" s="711" t="s">
        <v>671</v>
      </c>
      <c r="AS174" s="334">
        <v>20</v>
      </c>
      <c r="AT174" s="334">
        <v>1</v>
      </c>
      <c r="AW174" s="334">
        <v>1</v>
      </c>
      <c r="BQ174" s="6826" t="s">
        <v>904</v>
      </c>
      <c r="BR174" s="6823">
        <v>40.952245905022799</v>
      </c>
      <c r="BS174" s="6823">
        <v>39.301413955784739</v>
      </c>
      <c r="BT174" s="6823">
        <v>39.29</v>
      </c>
      <c r="BU174" s="6823">
        <v>39.056847287531163</v>
      </c>
      <c r="BV174" s="6823">
        <v>39.078220717254119</v>
      </c>
      <c r="BW174" s="6823">
        <v>39.517993080100446</v>
      </c>
      <c r="BX174" s="6823">
        <v>39.686855614973261</v>
      </c>
      <c r="BY174" s="6823">
        <v>38.205425955619923</v>
      </c>
      <c r="BZ174" s="6823">
        <v>37.873108298171587</v>
      </c>
      <c r="CA174" s="6824">
        <v>41.862582996637755</v>
      </c>
      <c r="CB174" s="6824">
        <v>37.883401145893878</v>
      </c>
      <c r="CC174" s="6824">
        <v>40.279656145063804</v>
      </c>
      <c r="CD174" s="6824">
        <v>41.477539495798318</v>
      </c>
      <c r="CE174" s="6824">
        <v>39.763105821623178</v>
      </c>
      <c r="CF174" s="6824">
        <v>42.75064637857578</v>
      </c>
      <c r="CG174" s="6824">
        <v>36.644188552188552</v>
      </c>
      <c r="CH174" s="6824">
        <v>0</v>
      </c>
      <c r="CI174" s="6824">
        <v>0</v>
      </c>
      <c r="CJ174" s="6827">
        <v>39.517993080100446</v>
      </c>
    </row>
    <row r="175" spans="3:88">
      <c r="AR175" s="334" t="s">
        <v>680</v>
      </c>
      <c r="AT175" s="334">
        <v>1</v>
      </c>
      <c r="AW175" s="334">
        <v>0.5</v>
      </c>
      <c r="BQ175" s="6826" t="s">
        <v>905</v>
      </c>
      <c r="BR175" s="6823">
        <v>21.43</v>
      </c>
      <c r="BS175" s="6823">
        <v>20.03</v>
      </c>
      <c r="BT175" s="6823">
        <v>22.3</v>
      </c>
      <c r="BU175" s="6823">
        <v>23.635136290988044</v>
      </c>
      <c r="BV175" s="6823">
        <v>23.126629659404287</v>
      </c>
      <c r="BW175" s="6823">
        <v>22.529190340300048</v>
      </c>
      <c r="BX175" s="6823">
        <v>23.168020947715178</v>
      </c>
      <c r="BY175" s="6823">
        <v>22.388742436631237</v>
      </c>
      <c r="BZ175" s="6823">
        <v>24.288338964478129</v>
      </c>
      <c r="CA175" s="6824">
        <v>22.942111344849042</v>
      </c>
      <c r="CB175" s="6824">
        <v>21.184386401095065</v>
      </c>
      <c r="CC175" s="6824">
        <v>22.248172195547795</v>
      </c>
      <c r="CD175" s="6824">
        <v>23.236019956794568</v>
      </c>
      <c r="CE175" s="6824">
        <v>22.968708951312014</v>
      </c>
      <c r="CF175" s="6824">
        <v>22.938130764260119</v>
      </c>
      <c r="CG175" s="6824">
        <v>22.080294609615283</v>
      </c>
      <c r="CH175" s="6824">
        <v>21.626852304184986</v>
      </c>
      <c r="CI175" s="6824">
        <v>21.470551661768035</v>
      </c>
      <c r="CJ175" s="6827">
        <v>22.529190340300048</v>
      </c>
    </row>
    <row r="176" spans="3:88">
      <c r="AW176" s="334">
        <v>1.67</v>
      </c>
      <c r="BQ176" s="6826" t="s">
        <v>906</v>
      </c>
      <c r="BR176" s="6823">
        <v>11.56</v>
      </c>
      <c r="BS176" s="6823">
        <v>11.59</v>
      </c>
      <c r="BT176" s="6823">
        <v>9.3511203248380532</v>
      </c>
      <c r="BU176" s="6823">
        <v>9.9899535671630861</v>
      </c>
      <c r="BV176" s="6823">
        <v>9.3511203248380532</v>
      </c>
      <c r="BW176" s="6823">
        <v>9.5212979035692769</v>
      </c>
      <c r="BX176" s="6823">
        <v>9.7591442025092441</v>
      </c>
      <c r="BY176" s="6823">
        <v>10.472311819054873</v>
      </c>
      <c r="BZ176" s="6823">
        <v>9.9624877818067148</v>
      </c>
      <c r="CA176" s="6824">
        <v>9.7368752672843897</v>
      </c>
      <c r="CB176" s="6824">
        <v>9.1052445314558934</v>
      </c>
      <c r="CC176" s="6824">
        <v>9.7512711078122098</v>
      </c>
      <c r="CD176" s="6824">
        <v>9.6621640872887404</v>
      </c>
      <c r="CE176" s="6824">
        <v>10.378213148529689</v>
      </c>
      <c r="CF176" s="6824">
        <v>8.9028814479638001</v>
      </c>
      <c r="CG176" s="6824">
        <v>8.7014542119743208</v>
      </c>
      <c r="CH176" s="6824">
        <v>9.1654691183404058</v>
      </c>
      <c r="CI176" s="6824">
        <v>8.7790909946363058</v>
      </c>
      <c r="CJ176" s="6827">
        <v>9.5212979035692769</v>
      </c>
    </row>
    <row r="177" spans="3:88">
      <c r="AW177" s="334">
        <v>1.68</v>
      </c>
      <c r="BQ177" s="6826" t="s">
        <v>907</v>
      </c>
      <c r="BR177" s="6823">
        <v>34.274449181004563</v>
      </c>
      <c r="BS177" s="6823">
        <v>34.126691313882688</v>
      </c>
      <c r="BT177" s="6823">
        <v>34.738224064967611</v>
      </c>
      <c r="BU177" s="6823">
        <v>35.786287515744547</v>
      </c>
      <c r="BV177" s="6823">
        <v>35.431363833866229</v>
      </c>
      <c r="BW177" s="6823">
        <v>36.224426786039395</v>
      </c>
      <c r="BX177" s="6823">
        <v>35.86289204337217</v>
      </c>
      <c r="BY177" s="6823">
        <v>35.952977261414752</v>
      </c>
      <c r="BZ177" s="6823">
        <v>35.845247018809971</v>
      </c>
      <c r="CA177" s="6824">
        <v>37.678947849341149</v>
      </c>
      <c r="CB177" s="6824">
        <v>34.349657961803871</v>
      </c>
      <c r="CC177" s="6824">
        <v>36.665793616097247</v>
      </c>
      <c r="CD177" s="6824">
        <v>37.369798175482153</v>
      </c>
      <c r="CE177" s="6824">
        <v>37.330181842468747</v>
      </c>
      <c r="CF177" s="6824">
        <v>37.921059312266571</v>
      </c>
      <c r="CG177" s="6824">
        <v>34.291248904298349</v>
      </c>
      <c r="CH177" s="6824">
        <f>(CH175+CH176)/2</f>
        <v>15.396160711262695</v>
      </c>
      <c r="CI177" s="6824">
        <f>(CI175+CI176)/2</f>
        <v>15.12482132820217</v>
      </c>
      <c r="CJ177" s="6824">
        <v>36.224426786039395</v>
      </c>
    </row>
    <row r="178" spans="3:88">
      <c r="AR178" s="334" t="s">
        <v>662</v>
      </c>
      <c r="AS178" s="334" t="s">
        <v>670</v>
      </c>
      <c r="AT178" s="334" t="s">
        <v>673</v>
      </c>
      <c r="AW178" s="334">
        <f>SUM(AW173:AW177)</f>
        <v>6.0699999999999994</v>
      </c>
    </row>
    <row r="179" spans="3:88">
      <c r="AR179" s="711" t="s">
        <v>671</v>
      </c>
      <c r="AS179" s="334">
        <v>44</v>
      </c>
      <c r="AT179" s="334">
        <v>6</v>
      </c>
    </row>
    <row r="180" spans="3:88">
      <c r="AR180" s="334" t="s">
        <v>680</v>
      </c>
      <c r="AT180" s="334">
        <v>2</v>
      </c>
    </row>
    <row r="183" spans="3:88">
      <c r="AS183" s="334" t="s">
        <v>718</v>
      </c>
      <c r="AT183" s="844" t="s">
        <v>5</v>
      </c>
      <c r="AU183" s="844" t="s">
        <v>6</v>
      </c>
      <c r="AV183" s="844" t="s">
        <v>1128</v>
      </c>
    </row>
    <row r="184" spans="3:88">
      <c r="AR184" s="334" t="s">
        <v>674</v>
      </c>
      <c r="AS184" s="519">
        <v>222.89699999999999</v>
      </c>
      <c r="AT184" s="1345">
        <v>8.25</v>
      </c>
      <c r="AU184" s="1345">
        <v>134.38</v>
      </c>
      <c r="AV184" s="867">
        <f>BF202</f>
        <v>183.21099999999998</v>
      </c>
    </row>
    <row r="185" spans="3:88">
      <c r="C185" s="334">
        <f>67-36-5.65</f>
        <v>25.35</v>
      </c>
      <c r="AT185" s="867"/>
      <c r="AU185" s="519"/>
      <c r="AV185" s="519"/>
    </row>
    <row r="187" spans="3:88">
      <c r="Q187" s="334">
        <v>1</v>
      </c>
    </row>
    <row r="188" spans="3:88">
      <c r="Q188" s="334">
        <v>0.5</v>
      </c>
      <c r="AD188" s="334">
        <v>1.1000000000000001</v>
      </c>
      <c r="AS188" s="867"/>
    </row>
    <row r="189" spans="3:88">
      <c r="C189" s="334">
        <v>0.4</v>
      </c>
      <c r="E189" s="334">
        <v>2.21</v>
      </c>
      <c r="O189" s="334">
        <f>526/2</f>
        <v>263</v>
      </c>
      <c r="Q189" s="334">
        <v>1.67</v>
      </c>
    </row>
    <row r="190" spans="3:88">
      <c r="C190" s="334">
        <v>1.34</v>
      </c>
      <c r="E190" s="334">
        <v>5.12</v>
      </c>
      <c r="Q190" s="334">
        <v>1.68</v>
      </c>
      <c r="AR190" s="844" t="s">
        <v>664</v>
      </c>
      <c r="AS190" s="844" t="s">
        <v>718</v>
      </c>
      <c r="AT190" s="844" t="s">
        <v>5</v>
      </c>
      <c r="AU190" s="844" t="s">
        <v>6</v>
      </c>
      <c r="AV190" s="844" t="s">
        <v>1079</v>
      </c>
    </row>
    <row r="191" spans="3:88">
      <c r="C191" s="334">
        <v>0.5</v>
      </c>
      <c r="E191" s="334">
        <v>3.92</v>
      </c>
      <c r="Q191" s="334">
        <f>SUM(Q187:Q190)</f>
        <v>4.8499999999999996</v>
      </c>
      <c r="AR191" s="728" t="s">
        <v>896</v>
      </c>
      <c r="AS191" s="867">
        <v>40</v>
      </c>
      <c r="AT191" s="334">
        <v>2</v>
      </c>
      <c r="AU191" s="334">
        <v>4</v>
      </c>
      <c r="AV191" s="334">
        <f>BF201</f>
        <v>24</v>
      </c>
    </row>
    <row r="192" spans="3:88" ht="22.8">
      <c r="C192" s="334">
        <v>2.27</v>
      </c>
      <c r="E192" s="334">
        <v>4</v>
      </c>
      <c r="AR192" s="844" t="s">
        <v>895</v>
      </c>
      <c r="AZ192" s="806"/>
      <c r="BA192" s="6828"/>
      <c r="BB192" s="6829"/>
    </row>
    <row r="193" spans="3:62" ht="22.8">
      <c r="C193" s="334">
        <f>SUM(C189:C192)</f>
        <v>4.51</v>
      </c>
      <c r="E193" s="334">
        <f>SUM(E189:E192)</f>
        <v>15.25</v>
      </c>
      <c r="F193" s="334">
        <f>SUM(F189:F192)</f>
        <v>0</v>
      </c>
      <c r="AZ193" s="806"/>
      <c r="BA193" s="6830"/>
      <c r="BB193" s="6829"/>
    </row>
    <row r="194" spans="3:62">
      <c r="AU194" s="334">
        <v>4</v>
      </c>
    </row>
    <row r="195" spans="3:62">
      <c r="AU195" s="334">
        <v>2</v>
      </c>
    </row>
    <row r="199" spans="3:62">
      <c r="AN199" s="844"/>
      <c r="AO199" s="844"/>
      <c r="AP199" s="844"/>
    </row>
    <row r="200" spans="3:62">
      <c r="AM200" s="334" t="s">
        <v>1178</v>
      </c>
      <c r="AN200" s="805"/>
      <c r="AO200" s="2205" t="s">
        <v>1234</v>
      </c>
      <c r="AP200" s="2205" t="s">
        <v>1235</v>
      </c>
      <c r="AQ200" s="2205" t="s">
        <v>1236</v>
      </c>
      <c r="AR200" s="2743" t="s">
        <v>1348</v>
      </c>
      <c r="AS200" s="2205" t="s">
        <v>2016</v>
      </c>
      <c r="AT200" s="805" t="s">
        <v>804</v>
      </c>
      <c r="AU200" s="805" t="s">
        <v>5</v>
      </c>
      <c r="AV200" s="805" t="s">
        <v>6</v>
      </c>
      <c r="AW200" s="805" t="s">
        <v>7</v>
      </c>
      <c r="AX200" s="805" t="s">
        <v>8</v>
      </c>
      <c r="AY200" s="805" t="s">
        <v>9</v>
      </c>
      <c r="AZ200" s="805" t="s">
        <v>10</v>
      </c>
      <c r="BA200" s="805" t="s">
        <v>11</v>
      </c>
      <c r="BB200" s="805" t="s">
        <v>12</v>
      </c>
      <c r="BC200" s="805" t="s">
        <v>13</v>
      </c>
      <c r="BD200" s="805" t="s">
        <v>14</v>
      </c>
      <c r="BE200" s="805" t="s">
        <v>15</v>
      </c>
      <c r="BF200" s="1292" t="s">
        <v>893</v>
      </c>
      <c r="BG200" s="844" t="s">
        <v>1075</v>
      </c>
      <c r="BH200" s="844" t="s">
        <v>1425</v>
      </c>
      <c r="BI200" s="844" t="s">
        <v>1424</v>
      </c>
    </row>
    <row r="201" spans="3:62">
      <c r="AN201" s="805" t="s">
        <v>802</v>
      </c>
      <c r="AO201" s="2205">
        <v>57</v>
      </c>
      <c r="AP201" s="2205">
        <v>35</v>
      </c>
      <c r="AQ201" s="2205">
        <v>30</v>
      </c>
      <c r="AR201" s="2743">
        <v>53</v>
      </c>
      <c r="AS201" s="2743">
        <v>24</v>
      </c>
      <c r="AT201" s="805">
        <f t="shared" ref="AT201:BE201" si="46">AS216</f>
        <v>4</v>
      </c>
      <c r="AU201" s="805">
        <f t="shared" si="46"/>
        <v>0</v>
      </c>
      <c r="AV201" s="805">
        <f t="shared" si="46"/>
        <v>1</v>
      </c>
      <c r="AW201" s="805">
        <f t="shared" si="46"/>
        <v>1</v>
      </c>
      <c r="AX201" s="805">
        <f t="shared" si="46"/>
        <v>2</v>
      </c>
      <c r="AY201" s="805">
        <f t="shared" si="46"/>
        <v>2</v>
      </c>
      <c r="AZ201" s="805">
        <f t="shared" si="46"/>
        <v>4</v>
      </c>
      <c r="BA201" s="805">
        <f t="shared" si="46"/>
        <v>2</v>
      </c>
      <c r="BB201" s="805">
        <f t="shared" si="46"/>
        <v>2</v>
      </c>
      <c r="BC201" s="805">
        <f t="shared" si="46"/>
        <v>1</v>
      </c>
      <c r="BD201" s="805">
        <f t="shared" si="46"/>
        <v>3</v>
      </c>
      <c r="BE201" s="805">
        <f t="shared" si="46"/>
        <v>2</v>
      </c>
      <c r="BF201" s="1292">
        <f>SUM(AT201:BE201)</f>
        <v>24</v>
      </c>
      <c r="BG201" s="1292">
        <v>30</v>
      </c>
      <c r="BH201" s="844">
        <v>53</v>
      </c>
      <c r="BI201" s="334">
        <f>AR201*0.9</f>
        <v>47.7</v>
      </c>
      <c r="BJ201" s="334">
        <f>AV201/(BH201/12)</f>
        <v>0.22641509433962262</v>
      </c>
    </row>
    <row r="202" spans="3:62">
      <c r="AN202" s="805" t="s">
        <v>803</v>
      </c>
      <c r="AO202" s="2205">
        <v>967</v>
      </c>
      <c r="AP202" s="2205">
        <v>242</v>
      </c>
      <c r="AQ202" s="2377">
        <v>222.89699999999999</v>
      </c>
      <c r="AR202" s="2742">
        <v>605.98</v>
      </c>
      <c r="AS202" s="2742">
        <v>183.21099999999998</v>
      </c>
      <c r="AT202" s="805">
        <f>AS231</f>
        <v>31.07</v>
      </c>
      <c r="AU202" s="805">
        <v>15.41</v>
      </c>
      <c r="AV202" s="805">
        <f t="shared" ref="AV202:BD202" si="47">AU231</f>
        <v>21.61</v>
      </c>
      <c r="AW202" s="805">
        <f t="shared" si="47"/>
        <v>4.32</v>
      </c>
      <c r="AX202" s="805">
        <f t="shared" si="47"/>
        <v>23.19</v>
      </c>
      <c r="AY202" s="805">
        <f t="shared" si="47"/>
        <v>18.257999999999999</v>
      </c>
      <c r="AZ202" s="805">
        <f t="shared" si="47"/>
        <v>2.12</v>
      </c>
      <c r="BA202" s="805">
        <f t="shared" si="47"/>
        <v>0</v>
      </c>
      <c r="BB202" s="805">
        <f t="shared" si="47"/>
        <v>4.83</v>
      </c>
      <c r="BC202" s="805">
        <f t="shared" si="47"/>
        <v>0</v>
      </c>
      <c r="BD202" s="805">
        <f t="shared" si="47"/>
        <v>19.873000000000001</v>
      </c>
      <c r="BE202" s="805">
        <v>42.53</v>
      </c>
      <c r="BF202" s="1292">
        <f>SUM(AT202:BE202)</f>
        <v>183.21099999999998</v>
      </c>
      <c r="BG202" s="1292">
        <v>222.9</v>
      </c>
      <c r="BH202" s="844">
        <v>605.98</v>
      </c>
      <c r="BI202" s="334">
        <f>AR202*0.9</f>
        <v>545.38200000000006</v>
      </c>
    </row>
    <row r="203" spans="3:62">
      <c r="AN203" s="806" t="s">
        <v>944</v>
      </c>
      <c r="AT203" s="806">
        <f>AT202</f>
        <v>31.07</v>
      </c>
      <c r="AU203" s="806">
        <f>AT203+AU202</f>
        <v>46.480000000000004</v>
      </c>
      <c r="AV203" s="806">
        <f t="shared" ref="AV203:BE203" si="48">AU203+AV202</f>
        <v>68.09</v>
      </c>
      <c r="AW203" s="806">
        <f t="shared" si="48"/>
        <v>72.41</v>
      </c>
      <c r="AX203" s="806">
        <f t="shared" si="48"/>
        <v>95.6</v>
      </c>
      <c r="AY203" s="806">
        <f t="shared" si="48"/>
        <v>113.85799999999999</v>
      </c>
      <c r="AZ203" s="806">
        <f t="shared" si="48"/>
        <v>115.97799999999999</v>
      </c>
      <c r="BA203" s="806">
        <f t="shared" si="48"/>
        <v>115.97799999999999</v>
      </c>
      <c r="BB203" s="806">
        <f t="shared" si="48"/>
        <v>120.80799999999999</v>
      </c>
      <c r="BC203" s="806">
        <f t="shared" si="48"/>
        <v>120.80799999999999</v>
      </c>
      <c r="BD203" s="806">
        <f t="shared" si="48"/>
        <v>140.68099999999998</v>
      </c>
      <c r="BE203" s="806">
        <f t="shared" si="48"/>
        <v>183.21099999999998</v>
      </c>
      <c r="BF203" s="1292" t="s">
        <v>891</v>
      </c>
      <c r="BH203" s="844" t="s">
        <v>984</v>
      </c>
    </row>
    <row r="204" spans="3:62">
      <c r="AM204" s="334" t="s">
        <v>1177</v>
      </c>
      <c r="AN204" s="2242" t="s">
        <v>802</v>
      </c>
      <c r="AO204" s="2743">
        <v>57</v>
      </c>
      <c r="AP204" s="2743">
        <v>35</v>
      </c>
      <c r="AQ204" s="2743">
        <v>30</v>
      </c>
      <c r="AR204" s="2743">
        <v>61</v>
      </c>
      <c r="AS204" s="2743">
        <v>24</v>
      </c>
      <c r="AT204" s="805">
        <v>5</v>
      </c>
      <c r="AU204" s="805">
        <v>2</v>
      </c>
      <c r="AV204" s="805">
        <v>1</v>
      </c>
      <c r="AW204" s="805">
        <v>1</v>
      </c>
      <c r="AX204" s="805">
        <v>2</v>
      </c>
      <c r="AY204" s="805">
        <v>2</v>
      </c>
      <c r="AZ204" s="805">
        <v>4</v>
      </c>
      <c r="BA204" s="805">
        <v>2</v>
      </c>
      <c r="BB204" s="805">
        <v>2</v>
      </c>
      <c r="BC204" s="805">
        <v>1</v>
      </c>
      <c r="BD204" s="805">
        <v>3</v>
      </c>
      <c r="BE204" s="2242">
        <v>2</v>
      </c>
      <c r="BF204" s="1292">
        <f>SUM(AT204:BE204)</f>
        <v>27</v>
      </c>
      <c r="BG204" s="2242"/>
      <c r="BH204" s="844">
        <v>55</v>
      </c>
      <c r="BI204" s="334">
        <f>183-18</f>
        <v>165</v>
      </c>
    </row>
    <row r="205" spans="3:62">
      <c r="AN205" s="2242" t="s">
        <v>700</v>
      </c>
      <c r="AO205" s="2743">
        <v>967</v>
      </c>
      <c r="AP205" s="2743">
        <v>242</v>
      </c>
      <c r="AQ205" s="2743">
        <v>222.89699999999999</v>
      </c>
      <c r="AR205" s="2743">
        <v>605.98</v>
      </c>
      <c r="AS205" s="2743">
        <v>183.21099999999998</v>
      </c>
      <c r="AT205" s="805">
        <v>31.07</v>
      </c>
      <c r="AU205" s="805">
        <v>19.91</v>
      </c>
      <c r="AV205" s="805">
        <v>32.200000000000003</v>
      </c>
      <c r="AW205" s="805">
        <v>4.32</v>
      </c>
      <c r="AX205" s="805">
        <v>23.19</v>
      </c>
      <c r="AY205" s="805">
        <v>18.257999999999999</v>
      </c>
      <c r="AZ205" s="805">
        <v>29.97</v>
      </c>
      <c r="BA205" s="805">
        <v>0</v>
      </c>
      <c r="BB205" s="805">
        <v>26.23</v>
      </c>
      <c r="BC205" s="805">
        <v>0</v>
      </c>
      <c r="BD205" s="805">
        <v>19.873000000000001</v>
      </c>
      <c r="BE205" s="2242">
        <v>42.53</v>
      </c>
      <c r="BF205" s="1292">
        <f>SUM(AT205:BE205)</f>
        <v>247.55099999999999</v>
      </c>
      <c r="BG205" s="2242"/>
      <c r="BH205" s="844">
        <v>457.84000000000003</v>
      </c>
      <c r="BI205" s="334">
        <f>BI204/12</f>
        <v>13.75</v>
      </c>
    </row>
    <row r="206" spans="3:62">
      <c r="AN206" s="334" t="s">
        <v>1648</v>
      </c>
      <c r="AO206" s="2205" t="s">
        <v>556</v>
      </c>
      <c r="AP206" s="2205" t="s">
        <v>533</v>
      </c>
      <c r="AQ206" s="2205" t="s">
        <v>720</v>
      </c>
      <c r="AR206" s="2743" t="s">
        <v>999</v>
      </c>
      <c r="AS206" s="2743" t="s">
        <v>2016</v>
      </c>
    </row>
    <row r="207" spans="3:62">
      <c r="AN207" s="805" t="s">
        <v>802</v>
      </c>
      <c r="AO207" s="4322">
        <f>AO201/12</f>
        <v>4.75</v>
      </c>
      <c r="AP207" s="4322">
        <f t="shared" ref="AP207:AR208" si="49">AP201/12</f>
        <v>2.9166666666666665</v>
      </c>
      <c r="AQ207" s="4322">
        <f t="shared" si="49"/>
        <v>2.5</v>
      </c>
      <c r="AR207" s="4322">
        <f t="shared" si="49"/>
        <v>4.416666666666667</v>
      </c>
    </row>
    <row r="208" spans="3:62">
      <c r="AN208" s="805" t="s">
        <v>700</v>
      </c>
      <c r="AO208" s="4323">
        <f>AO202/12</f>
        <v>80.583333333333329</v>
      </c>
      <c r="AP208" s="4323">
        <f t="shared" si="49"/>
        <v>20.166666666666668</v>
      </c>
      <c r="AQ208" s="4323">
        <f t="shared" si="49"/>
        <v>18.574749999999998</v>
      </c>
      <c r="AR208" s="4323">
        <f t="shared" si="49"/>
        <v>50.498333333333335</v>
      </c>
    </row>
    <row r="209" spans="31:76">
      <c r="AR209" s="4362" t="s">
        <v>1649</v>
      </c>
      <c r="BJ209" s="4361" t="s">
        <v>1655</v>
      </c>
    </row>
    <row r="210" spans="31:76">
      <c r="AN210" s="334" t="s">
        <v>1234</v>
      </c>
      <c r="AO210" s="334" t="s">
        <v>1235</v>
      </c>
      <c r="AP210" s="334" t="s">
        <v>1236</v>
      </c>
      <c r="AR210" s="2036" t="s">
        <v>805</v>
      </c>
      <c r="AS210" s="845" t="s">
        <v>804</v>
      </c>
      <c r="AT210" s="845" t="s">
        <v>5</v>
      </c>
      <c r="AU210" s="845" t="s">
        <v>6</v>
      </c>
      <c r="AV210" s="845" t="s">
        <v>7</v>
      </c>
      <c r="AW210" s="845" t="s">
        <v>8</v>
      </c>
      <c r="AX210" s="845" t="s">
        <v>9</v>
      </c>
      <c r="AY210" s="845" t="s">
        <v>10</v>
      </c>
      <c r="AZ210" s="845" t="s">
        <v>11</v>
      </c>
      <c r="BA210" s="845" t="s">
        <v>12</v>
      </c>
      <c r="BB210" s="845" t="s">
        <v>13</v>
      </c>
      <c r="BC210" s="845" t="s">
        <v>14</v>
      </c>
      <c r="BD210" s="845" t="s">
        <v>15</v>
      </c>
      <c r="BE210" s="1292" t="s">
        <v>893</v>
      </c>
      <c r="BF210" s="844" t="s">
        <v>1075</v>
      </c>
      <c r="BG210" s="844" t="s">
        <v>1425</v>
      </c>
      <c r="BH210" s="844" t="s">
        <v>1424</v>
      </c>
      <c r="BJ210" s="2036" t="s">
        <v>802</v>
      </c>
      <c r="BK210" s="845" t="s">
        <v>86</v>
      </c>
      <c r="BL210" s="845" t="s">
        <v>5</v>
      </c>
      <c r="BM210" s="845" t="s">
        <v>6</v>
      </c>
      <c r="BN210" s="845" t="s">
        <v>7</v>
      </c>
      <c r="BO210" s="845" t="s">
        <v>8</v>
      </c>
      <c r="BP210" s="845" t="s">
        <v>9</v>
      </c>
      <c r="BQ210" s="845" t="s">
        <v>10</v>
      </c>
      <c r="BR210" s="845" t="s">
        <v>11</v>
      </c>
      <c r="BS210" s="845" t="s">
        <v>12</v>
      </c>
      <c r="BT210" s="845" t="s">
        <v>13</v>
      </c>
      <c r="BU210" s="845" t="s">
        <v>14</v>
      </c>
      <c r="BV210" s="845" t="s">
        <v>15</v>
      </c>
      <c r="BW210" s="6981" t="s">
        <v>891</v>
      </c>
      <c r="BX210" s="7023" t="s">
        <v>2034</v>
      </c>
    </row>
    <row r="211" spans="31:76">
      <c r="AR211" s="845" t="s">
        <v>531</v>
      </c>
      <c r="AS211" s="845">
        <v>1</v>
      </c>
      <c r="AT211" s="845">
        <v>0</v>
      </c>
      <c r="AU211" s="845">
        <v>0</v>
      </c>
      <c r="AV211" s="845">
        <v>0</v>
      </c>
      <c r="AW211" s="845">
        <v>0</v>
      </c>
      <c r="AX211" s="845">
        <v>0</v>
      </c>
      <c r="AY211" s="845">
        <v>0</v>
      </c>
      <c r="AZ211" s="845">
        <v>0</v>
      </c>
      <c r="BA211" s="845">
        <v>0</v>
      </c>
      <c r="BB211" s="845">
        <v>0</v>
      </c>
      <c r="BC211" s="6826">
        <v>0</v>
      </c>
      <c r="BD211" s="845">
        <v>0</v>
      </c>
      <c r="BE211" s="1293">
        <f>SUM(AS211:BD211)</f>
        <v>1</v>
      </c>
      <c r="BG211" s="844">
        <v>3</v>
      </c>
      <c r="BH211" s="334">
        <f>BE211</f>
        <v>1</v>
      </c>
      <c r="BJ211" s="845" t="s">
        <v>531</v>
      </c>
      <c r="BK211" s="4479">
        <v>2402000</v>
      </c>
      <c r="BL211" s="4479">
        <v>0</v>
      </c>
      <c r="BM211" s="4479">
        <v>0</v>
      </c>
      <c r="BN211" s="4479">
        <v>0</v>
      </c>
      <c r="BO211" s="4479">
        <v>0</v>
      </c>
      <c r="BP211" s="4479">
        <v>0</v>
      </c>
      <c r="BQ211" s="4479">
        <v>0</v>
      </c>
      <c r="BR211" s="4479">
        <v>0</v>
      </c>
      <c r="BS211" s="4479">
        <v>0</v>
      </c>
      <c r="BT211" s="4479">
        <v>0</v>
      </c>
      <c r="BU211" s="4479">
        <v>0</v>
      </c>
      <c r="BV211" s="4479">
        <v>0</v>
      </c>
      <c r="BW211" s="7022">
        <f>SUM(BK211:BV211)</f>
        <v>2402000</v>
      </c>
      <c r="BX211" s="7023">
        <v>2402000</v>
      </c>
    </row>
    <row r="212" spans="31:76">
      <c r="AR212" s="845" t="s">
        <v>570</v>
      </c>
      <c r="AS212" s="845">
        <v>0</v>
      </c>
      <c r="AT212" s="845">
        <v>0</v>
      </c>
      <c r="AU212" s="845">
        <v>0</v>
      </c>
      <c r="AV212" s="845">
        <v>0</v>
      </c>
      <c r="AW212" s="845">
        <v>0</v>
      </c>
      <c r="AX212" s="845">
        <v>0</v>
      </c>
      <c r="AY212" s="845">
        <v>0</v>
      </c>
      <c r="AZ212" s="845">
        <v>0</v>
      </c>
      <c r="BA212" s="845">
        <v>0</v>
      </c>
      <c r="BB212" s="845">
        <v>0</v>
      </c>
      <c r="BC212" s="6826">
        <v>0</v>
      </c>
      <c r="BD212" s="845">
        <v>0</v>
      </c>
      <c r="BE212" s="1293">
        <f>SUM(AS212:BD212)</f>
        <v>0</v>
      </c>
      <c r="BG212" s="844">
        <v>0</v>
      </c>
      <c r="BH212" s="334">
        <f t="shared" ref="BH212:BH223" si="50">BE212</f>
        <v>0</v>
      </c>
      <c r="BJ212" s="845" t="s">
        <v>185</v>
      </c>
      <c r="BK212" s="4479">
        <v>0</v>
      </c>
      <c r="BL212" s="4479">
        <v>0</v>
      </c>
      <c r="BM212" s="4479">
        <v>0</v>
      </c>
      <c r="BN212" s="4479">
        <v>0</v>
      </c>
      <c r="BO212" s="4479">
        <v>0</v>
      </c>
      <c r="BP212" s="4479">
        <v>0</v>
      </c>
      <c r="BQ212" s="4479">
        <v>0</v>
      </c>
      <c r="BR212" s="4479">
        <v>0</v>
      </c>
      <c r="BS212" s="4479">
        <v>0</v>
      </c>
      <c r="BT212" s="4479">
        <v>0</v>
      </c>
      <c r="BU212" s="4479">
        <v>0</v>
      </c>
      <c r="BV212" s="4479">
        <v>0</v>
      </c>
      <c r="BW212" s="7022">
        <f>SUM(BK212:BV212)</f>
        <v>0</v>
      </c>
      <c r="BX212" s="7023">
        <v>0</v>
      </c>
    </row>
    <row r="213" spans="31:76">
      <c r="AR213" s="845" t="s">
        <v>946</v>
      </c>
      <c r="AS213" s="845">
        <v>1</v>
      </c>
      <c r="AT213" s="845">
        <v>0</v>
      </c>
      <c r="AU213" s="845">
        <v>1</v>
      </c>
      <c r="AV213" s="845">
        <v>0</v>
      </c>
      <c r="AW213" s="845">
        <v>1</v>
      </c>
      <c r="AX213" s="845">
        <v>1</v>
      </c>
      <c r="AY213" s="845">
        <v>0</v>
      </c>
      <c r="AZ213" s="845">
        <v>0</v>
      </c>
      <c r="BA213" s="845">
        <v>1</v>
      </c>
      <c r="BB213" s="845">
        <v>0</v>
      </c>
      <c r="BC213" s="6826">
        <v>1</v>
      </c>
      <c r="BD213" s="845">
        <v>0</v>
      </c>
      <c r="BE213" s="1293">
        <f>SUM(AS213:BD213)</f>
        <v>6</v>
      </c>
      <c r="BG213" s="844">
        <v>9</v>
      </c>
      <c r="BH213" s="334">
        <f t="shared" si="50"/>
        <v>6</v>
      </c>
      <c r="BJ213" s="845" t="s">
        <v>707</v>
      </c>
      <c r="BK213" s="4479">
        <v>1447854</v>
      </c>
      <c r="BL213" s="4479">
        <v>0</v>
      </c>
      <c r="BM213" s="4479">
        <v>2786633</v>
      </c>
      <c r="BN213" s="4479">
        <v>0</v>
      </c>
      <c r="BO213" s="4479">
        <v>2075684</v>
      </c>
      <c r="BP213" s="4479">
        <v>3371800</v>
      </c>
      <c r="BQ213" s="4479">
        <v>0</v>
      </c>
      <c r="BR213" s="4479">
        <v>0</v>
      </c>
      <c r="BS213" s="4479">
        <v>2181120</v>
      </c>
      <c r="BT213" s="4479">
        <v>0</v>
      </c>
      <c r="BU213" s="4479">
        <v>2248305</v>
      </c>
      <c r="BV213" s="4479">
        <v>0</v>
      </c>
      <c r="BW213" s="7022">
        <f>SUM(BK213:BV213)</f>
        <v>14111396</v>
      </c>
      <c r="BX213" s="7023">
        <v>14111396</v>
      </c>
    </row>
    <row r="214" spans="31:76">
      <c r="AR214" s="845" t="s">
        <v>785</v>
      </c>
      <c r="AS214" s="845">
        <v>1</v>
      </c>
      <c r="AT214" s="845">
        <v>0</v>
      </c>
      <c r="AU214" s="845">
        <v>0</v>
      </c>
      <c r="AV214" s="845">
        <v>1</v>
      </c>
      <c r="AW214" s="845">
        <v>0</v>
      </c>
      <c r="AX214" s="845">
        <v>0</v>
      </c>
      <c r="AY214" s="845">
        <v>1</v>
      </c>
      <c r="AZ214" s="845">
        <v>2</v>
      </c>
      <c r="BA214" s="845">
        <v>0</v>
      </c>
      <c r="BB214" s="845">
        <v>1</v>
      </c>
      <c r="BC214" s="6826">
        <v>0</v>
      </c>
      <c r="BD214" s="845">
        <v>2</v>
      </c>
      <c r="BE214" s="1293">
        <f>SUM(AS214:BD214)</f>
        <v>8</v>
      </c>
      <c r="BG214" s="844">
        <v>20</v>
      </c>
      <c r="BH214" s="334">
        <f t="shared" si="50"/>
        <v>8</v>
      </c>
      <c r="BJ214" s="845" t="s">
        <v>505</v>
      </c>
      <c r="BK214" s="4479">
        <v>6424450</v>
      </c>
      <c r="BL214" s="4479">
        <v>0</v>
      </c>
      <c r="BM214" s="4479">
        <v>0</v>
      </c>
      <c r="BN214" s="4479">
        <v>0</v>
      </c>
      <c r="BO214" s="4479">
        <v>0</v>
      </c>
      <c r="BP214" s="4479">
        <v>0</v>
      </c>
      <c r="BQ214" s="4479">
        <v>6035000</v>
      </c>
      <c r="BR214" s="4479">
        <v>0</v>
      </c>
      <c r="BS214" s="4479">
        <v>0</v>
      </c>
      <c r="BT214" s="4479">
        <v>0</v>
      </c>
      <c r="BU214" s="4479">
        <v>0</v>
      </c>
      <c r="BV214" s="4479">
        <v>9800000</v>
      </c>
      <c r="BW214" s="7022">
        <f>SUM(BK214:BV214)</f>
        <v>22259450</v>
      </c>
      <c r="BX214" s="7023">
        <v>22259450</v>
      </c>
    </row>
    <row r="215" spans="31:76">
      <c r="AR215" s="845" t="s">
        <v>1062</v>
      </c>
      <c r="AS215" s="845">
        <v>1</v>
      </c>
      <c r="AT215" s="845">
        <v>0</v>
      </c>
      <c r="AU215" s="845">
        <v>0</v>
      </c>
      <c r="AV215" s="845">
        <v>0</v>
      </c>
      <c r="AW215" s="845">
        <v>1</v>
      </c>
      <c r="AX215" s="845">
        <v>1</v>
      </c>
      <c r="AY215" s="845">
        <v>3</v>
      </c>
      <c r="AZ215" s="845">
        <v>0</v>
      </c>
      <c r="BA215" s="845">
        <v>1</v>
      </c>
      <c r="BB215" s="845">
        <v>0</v>
      </c>
      <c r="BC215" s="6826">
        <v>2</v>
      </c>
      <c r="BD215" s="845">
        <v>0</v>
      </c>
      <c r="BE215" s="1293">
        <f>SUM(AS215:BD215)</f>
        <v>9</v>
      </c>
      <c r="BG215" s="844">
        <v>21</v>
      </c>
      <c r="BH215" s="334">
        <f t="shared" si="50"/>
        <v>9</v>
      </c>
      <c r="BJ215" s="845" t="s">
        <v>786</v>
      </c>
      <c r="BK215" s="4479">
        <v>0</v>
      </c>
      <c r="BL215" s="4479">
        <v>0</v>
      </c>
      <c r="BM215" s="4479">
        <v>0</v>
      </c>
      <c r="BN215" s="4479">
        <v>0</v>
      </c>
      <c r="BO215" s="4479">
        <v>5538400</v>
      </c>
      <c r="BP215" s="4479">
        <v>0</v>
      </c>
      <c r="BQ215" s="4479">
        <v>9347956</v>
      </c>
      <c r="BR215" s="4479">
        <v>0</v>
      </c>
      <c r="BS215" s="4479">
        <v>4999600</v>
      </c>
      <c r="BT215" s="4479">
        <v>0</v>
      </c>
      <c r="BU215" s="4479">
        <v>1635600</v>
      </c>
      <c r="BV215" s="4479">
        <v>0</v>
      </c>
      <c r="BW215" s="7022">
        <f>SUM(BK215:BV215)</f>
        <v>21521556</v>
      </c>
      <c r="BX215" s="7023">
        <v>21521556</v>
      </c>
    </row>
    <row r="216" spans="31:76">
      <c r="AR216" s="844" t="s">
        <v>1092</v>
      </c>
      <c r="AS216" s="844">
        <f>SUM(AS211:AS215)</f>
        <v>4</v>
      </c>
      <c r="AT216" s="844">
        <f t="shared" ref="AT216:BD216" si="51">SUM(AT211:AT215)</f>
        <v>0</v>
      </c>
      <c r="AU216" s="844">
        <f t="shared" si="51"/>
        <v>1</v>
      </c>
      <c r="AV216" s="844">
        <f t="shared" si="51"/>
        <v>1</v>
      </c>
      <c r="AW216" s="844">
        <f t="shared" si="51"/>
        <v>2</v>
      </c>
      <c r="AX216" s="844">
        <f t="shared" si="51"/>
        <v>2</v>
      </c>
      <c r="AY216" s="844">
        <f t="shared" si="51"/>
        <v>4</v>
      </c>
      <c r="AZ216" s="844">
        <f t="shared" si="51"/>
        <v>2</v>
      </c>
      <c r="BA216" s="844">
        <f t="shared" si="51"/>
        <v>2</v>
      </c>
      <c r="BB216" s="844">
        <f t="shared" si="51"/>
        <v>1</v>
      </c>
      <c r="BC216" s="844">
        <f t="shared" si="51"/>
        <v>3</v>
      </c>
      <c r="BD216" s="844">
        <f t="shared" si="51"/>
        <v>2</v>
      </c>
      <c r="BE216" s="2028">
        <f>SUM(BE211:BE215)</f>
        <v>24</v>
      </c>
      <c r="BF216" s="2028" t="s">
        <v>894</v>
      </c>
      <c r="BG216" s="844">
        <v>53</v>
      </c>
      <c r="BH216" s="334">
        <f t="shared" si="50"/>
        <v>24</v>
      </c>
      <c r="BK216" s="6831">
        <v>10274304</v>
      </c>
      <c r="BL216" s="6831">
        <v>0</v>
      </c>
      <c r="BM216" s="6831">
        <v>2786633</v>
      </c>
      <c r="BN216" s="6831">
        <v>0</v>
      </c>
      <c r="BO216" s="6831">
        <v>7614084</v>
      </c>
      <c r="BP216" s="6831">
        <v>3371800</v>
      </c>
      <c r="BQ216" s="6831">
        <v>15382956</v>
      </c>
      <c r="BR216" s="6831">
        <v>0</v>
      </c>
      <c r="BS216" s="6831">
        <v>7180720</v>
      </c>
      <c r="BT216" s="6831">
        <v>0</v>
      </c>
      <c r="BU216" s="6831">
        <v>3883905</v>
      </c>
      <c r="BV216" s="6831">
        <v>9800000</v>
      </c>
      <c r="BW216" s="6832">
        <f>SUM(BW211:BW215)</f>
        <v>60294402</v>
      </c>
      <c r="BX216" s="7023">
        <v>60294402</v>
      </c>
    </row>
    <row r="217" spans="31:76">
      <c r="AE217" s="334">
        <v>1.63</v>
      </c>
      <c r="AR217" s="1944" t="s">
        <v>1065</v>
      </c>
      <c r="AS217" s="1944">
        <v>1</v>
      </c>
      <c r="AT217" s="1944">
        <v>0</v>
      </c>
      <c r="AU217" s="1944">
        <v>0</v>
      </c>
      <c r="AV217" s="1944">
        <v>0</v>
      </c>
      <c r="AW217" s="1944">
        <v>0</v>
      </c>
      <c r="AX217" s="1944">
        <v>0</v>
      </c>
      <c r="AY217" s="1944">
        <v>0</v>
      </c>
      <c r="AZ217" s="1944">
        <v>0</v>
      </c>
      <c r="BA217" s="1944">
        <v>0</v>
      </c>
      <c r="BB217" s="1944">
        <v>0</v>
      </c>
      <c r="BC217" s="6826">
        <v>0</v>
      </c>
      <c r="BD217" s="1944">
        <v>0</v>
      </c>
      <c r="BE217" s="1944">
        <f>SUM(AS217:BD217)</f>
        <v>1</v>
      </c>
      <c r="BF217" s="2026"/>
      <c r="BG217" s="844">
        <v>3</v>
      </c>
      <c r="BH217" s="334">
        <f t="shared" si="50"/>
        <v>1</v>
      </c>
      <c r="BJ217" s="4361" t="s">
        <v>1650</v>
      </c>
    </row>
    <row r="218" spans="31:76">
      <c r="AE218" s="334">
        <v>1.06</v>
      </c>
      <c r="AR218" s="1944" t="s">
        <v>1064</v>
      </c>
      <c r="AS218" s="1944">
        <v>1</v>
      </c>
      <c r="AT218" s="1944">
        <v>0</v>
      </c>
      <c r="AU218" s="1944">
        <v>1</v>
      </c>
      <c r="AV218" s="1944">
        <v>0</v>
      </c>
      <c r="AW218" s="1944">
        <v>1</v>
      </c>
      <c r="AX218" s="1944">
        <v>1</v>
      </c>
      <c r="AY218" s="1944">
        <v>0</v>
      </c>
      <c r="AZ218" s="1944">
        <v>0</v>
      </c>
      <c r="BA218" s="1944">
        <v>1</v>
      </c>
      <c r="BB218" s="1944">
        <v>0</v>
      </c>
      <c r="BC218" s="6826">
        <v>1</v>
      </c>
      <c r="BD218" s="1944">
        <v>0</v>
      </c>
      <c r="BE218" s="1944">
        <f t="shared" ref="BE218:BE223" si="52">SUM(AS218:BD218)</f>
        <v>6</v>
      </c>
      <c r="BF218" s="2026"/>
      <c r="BG218" s="844">
        <v>9</v>
      </c>
      <c r="BH218" s="334">
        <f t="shared" si="50"/>
        <v>6</v>
      </c>
      <c r="BJ218" s="2036" t="s">
        <v>802</v>
      </c>
      <c r="BK218" s="845" t="s">
        <v>111</v>
      </c>
      <c r="BL218" s="845" t="s">
        <v>5</v>
      </c>
      <c r="BM218" s="845" t="s">
        <v>6</v>
      </c>
      <c r="BN218" s="845" t="s">
        <v>7</v>
      </c>
      <c r="BO218" s="845" t="s">
        <v>8</v>
      </c>
      <c r="BP218" s="845" t="s">
        <v>9</v>
      </c>
      <c r="BQ218" s="845" t="s">
        <v>10</v>
      </c>
      <c r="BR218" s="845" t="s">
        <v>11</v>
      </c>
      <c r="BS218" s="845" t="s">
        <v>12</v>
      </c>
      <c r="BT218" s="845" t="s">
        <v>13</v>
      </c>
      <c r="BU218" s="845" t="s">
        <v>14</v>
      </c>
      <c r="BV218" s="845" t="s">
        <v>15</v>
      </c>
      <c r="BW218" s="1292" t="s">
        <v>891</v>
      </c>
      <c r="BX218" s="7023" t="s">
        <v>2034</v>
      </c>
    </row>
    <row r="219" spans="31:76">
      <c r="AE219" s="334">
        <v>2.44</v>
      </c>
      <c r="AR219" s="1944" t="s">
        <v>1066</v>
      </c>
      <c r="AS219" s="1944">
        <v>1</v>
      </c>
      <c r="AT219" s="1944">
        <v>0</v>
      </c>
      <c r="AU219" s="1944">
        <v>0</v>
      </c>
      <c r="AV219" s="1944">
        <v>1</v>
      </c>
      <c r="AW219" s="1944">
        <v>0</v>
      </c>
      <c r="AX219" s="1944">
        <v>0</v>
      </c>
      <c r="AY219" s="1944">
        <v>1</v>
      </c>
      <c r="AZ219" s="1944">
        <v>2</v>
      </c>
      <c r="BA219" s="1944">
        <v>0</v>
      </c>
      <c r="BB219" s="1944">
        <v>1</v>
      </c>
      <c r="BC219" s="6826">
        <v>1</v>
      </c>
      <c r="BD219" s="1944">
        <v>0</v>
      </c>
      <c r="BE219" s="1944">
        <f t="shared" si="52"/>
        <v>7</v>
      </c>
      <c r="BF219" s="2026"/>
      <c r="BG219" s="844">
        <v>20</v>
      </c>
      <c r="BH219" s="334">
        <f t="shared" si="50"/>
        <v>7</v>
      </c>
      <c r="BJ219" s="845" t="s">
        <v>27</v>
      </c>
      <c r="BK219" s="845">
        <v>1</v>
      </c>
      <c r="BL219" s="845">
        <v>0</v>
      </c>
      <c r="BM219" s="845">
        <v>0</v>
      </c>
      <c r="BN219" s="845">
        <v>0</v>
      </c>
      <c r="BO219" s="845">
        <v>0</v>
      </c>
      <c r="BP219" s="845">
        <v>0</v>
      </c>
      <c r="BQ219" s="845">
        <v>0</v>
      </c>
      <c r="BR219" s="845">
        <v>0</v>
      </c>
      <c r="BS219" s="845">
        <v>0</v>
      </c>
      <c r="BT219" s="845">
        <v>0</v>
      </c>
      <c r="BU219" s="845">
        <v>0</v>
      </c>
      <c r="BV219" s="845">
        <v>0</v>
      </c>
      <c r="BW219" s="1292">
        <f>SUM(BK219:BV219)</f>
        <v>1</v>
      </c>
      <c r="BX219" s="7023">
        <v>1</v>
      </c>
    </row>
    <row r="220" spans="31:76">
      <c r="AE220" s="334">
        <v>6.14</v>
      </c>
      <c r="AR220" s="1944" t="s">
        <v>1067</v>
      </c>
      <c r="AS220" s="1944">
        <v>0</v>
      </c>
      <c r="AT220" s="1944">
        <v>0</v>
      </c>
      <c r="AU220" s="1944">
        <v>0</v>
      </c>
      <c r="AV220" s="1944">
        <v>0</v>
      </c>
      <c r="AW220" s="1944">
        <v>0</v>
      </c>
      <c r="AX220" s="1944">
        <v>0</v>
      </c>
      <c r="AY220" s="1944">
        <v>0</v>
      </c>
      <c r="AZ220" s="1944">
        <v>0</v>
      </c>
      <c r="BA220" s="1944">
        <v>0</v>
      </c>
      <c r="BB220" s="1944">
        <v>0</v>
      </c>
      <c r="BC220" s="6826">
        <v>0</v>
      </c>
      <c r="BD220" s="1944">
        <v>2</v>
      </c>
      <c r="BE220" s="1944">
        <f t="shared" si="52"/>
        <v>2</v>
      </c>
      <c r="BF220" s="2026"/>
      <c r="BG220" s="844">
        <v>7</v>
      </c>
      <c r="BH220" s="334">
        <f t="shared" si="50"/>
        <v>2</v>
      </c>
      <c r="BJ220" s="845" t="s">
        <v>185</v>
      </c>
      <c r="BK220" s="845">
        <v>0</v>
      </c>
      <c r="BL220" s="845">
        <v>0</v>
      </c>
      <c r="BM220" s="845">
        <v>0</v>
      </c>
      <c r="BN220" s="845">
        <v>0</v>
      </c>
      <c r="BO220" s="845">
        <v>0</v>
      </c>
      <c r="BP220" s="845">
        <v>0</v>
      </c>
      <c r="BQ220" s="845">
        <v>0</v>
      </c>
      <c r="BR220" s="845">
        <v>0</v>
      </c>
      <c r="BS220" s="845">
        <v>0</v>
      </c>
      <c r="BT220" s="845">
        <v>0</v>
      </c>
      <c r="BU220" s="845">
        <v>0</v>
      </c>
      <c r="BV220" s="845">
        <v>0</v>
      </c>
      <c r="BW220" s="1292">
        <f>SUM(BK220:BV220)</f>
        <v>0</v>
      </c>
      <c r="BX220" s="7023">
        <v>0</v>
      </c>
    </row>
    <row r="221" spans="31:76">
      <c r="AR221" s="1944" t="s">
        <v>1068</v>
      </c>
      <c r="AS221" s="1944">
        <v>0</v>
      </c>
      <c r="AT221" s="1944">
        <v>0</v>
      </c>
      <c r="AU221" s="1944">
        <v>0</v>
      </c>
      <c r="AV221" s="1944">
        <v>0</v>
      </c>
      <c r="AW221" s="1944">
        <v>0</v>
      </c>
      <c r="AX221" s="1944">
        <v>0</v>
      </c>
      <c r="AY221" s="1944">
        <v>2</v>
      </c>
      <c r="AZ221" s="1944">
        <v>0</v>
      </c>
      <c r="BA221" s="1944">
        <v>0</v>
      </c>
      <c r="BB221" s="1944">
        <v>0</v>
      </c>
      <c r="BC221" s="6826">
        <v>0</v>
      </c>
      <c r="BD221" s="1944">
        <v>0</v>
      </c>
      <c r="BE221" s="1944">
        <f t="shared" si="52"/>
        <v>2</v>
      </c>
      <c r="BF221" s="2026"/>
      <c r="BG221" s="844">
        <v>2</v>
      </c>
      <c r="BH221" s="334">
        <f t="shared" si="50"/>
        <v>2</v>
      </c>
      <c r="BJ221" s="845" t="s">
        <v>29</v>
      </c>
      <c r="BK221" s="845">
        <v>1</v>
      </c>
      <c r="BL221" s="845">
        <v>0</v>
      </c>
      <c r="BM221" s="845">
        <v>1</v>
      </c>
      <c r="BN221" s="845">
        <v>0</v>
      </c>
      <c r="BO221" s="845">
        <v>1</v>
      </c>
      <c r="BP221" s="845">
        <v>1</v>
      </c>
      <c r="BQ221" s="845">
        <v>0</v>
      </c>
      <c r="BR221" s="845">
        <v>0</v>
      </c>
      <c r="BS221" s="845">
        <v>1</v>
      </c>
      <c r="BT221" s="845">
        <v>0</v>
      </c>
      <c r="BU221" s="845">
        <v>1</v>
      </c>
      <c r="BV221" s="845">
        <v>0</v>
      </c>
      <c r="BW221" s="1292">
        <f>SUM(BK221:BV221)</f>
        <v>6</v>
      </c>
      <c r="BX221" s="7023">
        <v>6</v>
      </c>
    </row>
    <row r="222" spans="31:76">
      <c r="AR222" s="1944" t="s">
        <v>1070</v>
      </c>
      <c r="AS222" s="1944">
        <v>0</v>
      </c>
      <c r="AT222" s="1944">
        <v>0</v>
      </c>
      <c r="AU222" s="1944">
        <v>0</v>
      </c>
      <c r="AV222" s="1944">
        <v>0</v>
      </c>
      <c r="AW222" s="1944">
        <v>0</v>
      </c>
      <c r="AX222" s="1944">
        <v>0</v>
      </c>
      <c r="AY222" s="1944">
        <v>0</v>
      </c>
      <c r="AZ222" s="1944">
        <v>0</v>
      </c>
      <c r="BA222" s="1944">
        <v>0</v>
      </c>
      <c r="BB222" s="1944">
        <v>0</v>
      </c>
      <c r="BC222" s="6826">
        <v>0</v>
      </c>
      <c r="BD222" s="1944">
        <v>0</v>
      </c>
      <c r="BE222" s="1944">
        <f t="shared" si="52"/>
        <v>0</v>
      </c>
      <c r="BF222" s="2026"/>
      <c r="BG222" s="844">
        <v>1</v>
      </c>
      <c r="BH222" s="334">
        <f t="shared" si="50"/>
        <v>0</v>
      </c>
      <c r="BJ222" s="845" t="s">
        <v>505</v>
      </c>
      <c r="BK222" s="845">
        <v>1</v>
      </c>
      <c r="BL222" s="845">
        <v>0</v>
      </c>
      <c r="BM222" s="845">
        <v>0</v>
      </c>
      <c r="BN222" s="845">
        <v>1</v>
      </c>
      <c r="BO222" s="845">
        <v>0</v>
      </c>
      <c r="BP222" s="845">
        <v>0</v>
      </c>
      <c r="BQ222" s="845">
        <v>1</v>
      </c>
      <c r="BR222" s="845">
        <v>2</v>
      </c>
      <c r="BS222" s="845">
        <v>0</v>
      </c>
      <c r="BT222" s="845">
        <v>1</v>
      </c>
      <c r="BU222" s="845">
        <v>0</v>
      </c>
      <c r="BV222" s="845">
        <v>2</v>
      </c>
      <c r="BW222" s="1292">
        <f>SUM(BK222:BV222)</f>
        <v>8</v>
      </c>
      <c r="BX222" s="7023">
        <v>8</v>
      </c>
    </row>
    <row r="223" spans="31:76">
      <c r="AR223" s="1944" t="s">
        <v>1069</v>
      </c>
      <c r="AS223" s="1944">
        <v>1</v>
      </c>
      <c r="AT223" s="1944">
        <v>0</v>
      </c>
      <c r="AU223" s="1944">
        <v>0</v>
      </c>
      <c r="AV223" s="1944">
        <v>0</v>
      </c>
      <c r="AW223" s="1944">
        <v>1</v>
      </c>
      <c r="AX223" s="1944">
        <v>1</v>
      </c>
      <c r="AY223" s="1944">
        <v>1</v>
      </c>
      <c r="AZ223" s="1944">
        <v>0</v>
      </c>
      <c r="BA223" s="1944">
        <v>1</v>
      </c>
      <c r="BB223" s="1944">
        <v>0</v>
      </c>
      <c r="BC223" s="6826">
        <v>1</v>
      </c>
      <c r="BD223" s="1944">
        <v>0</v>
      </c>
      <c r="BE223" s="1944">
        <f t="shared" si="52"/>
        <v>6</v>
      </c>
      <c r="BF223" s="2026"/>
      <c r="BG223" s="844">
        <v>15</v>
      </c>
      <c r="BH223" s="334">
        <f t="shared" si="50"/>
        <v>6</v>
      </c>
      <c r="BJ223" s="845" t="s">
        <v>786</v>
      </c>
      <c r="BK223" s="845">
        <v>1</v>
      </c>
      <c r="BL223" s="845">
        <v>0</v>
      </c>
      <c r="BM223" s="845">
        <v>0</v>
      </c>
      <c r="BN223" s="845">
        <v>0</v>
      </c>
      <c r="BO223" s="845">
        <v>1</v>
      </c>
      <c r="BP223" s="845">
        <v>1</v>
      </c>
      <c r="BQ223" s="845">
        <v>3</v>
      </c>
      <c r="BR223" s="845">
        <v>0</v>
      </c>
      <c r="BS223" s="845">
        <v>1</v>
      </c>
      <c r="BT223" s="845">
        <v>0</v>
      </c>
      <c r="BU223" s="845">
        <v>2</v>
      </c>
      <c r="BV223" s="845">
        <v>0</v>
      </c>
      <c r="BW223" s="1292">
        <f>SUM(BK223:BV223)</f>
        <v>9</v>
      </c>
      <c r="BX223" s="7023">
        <v>9</v>
      </c>
    </row>
    <row r="224" spans="31:76">
      <c r="AR224" s="844" t="s">
        <v>1091</v>
      </c>
      <c r="AS224" s="844"/>
      <c r="AT224" s="844"/>
      <c r="AU224" s="844"/>
      <c r="AV224" s="844"/>
      <c r="AW224" s="844"/>
      <c r="AX224" s="844"/>
      <c r="AY224" s="844"/>
      <c r="AZ224" s="844"/>
      <c r="BA224" s="844"/>
      <c r="BB224" s="844"/>
      <c r="BC224" s="844"/>
      <c r="BD224" s="844"/>
      <c r="BE224" s="2027"/>
      <c r="BF224" s="2027"/>
      <c r="BG224" s="844"/>
    </row>
    <row r="225" spans="40:76">
      <c r="AN225" s="334" t="s">
        <v>1234</v>
      </c>
      <c r="AO225" s="334" t="s">
        <v>1235</v>
      </c>
      <c r="AP225" s="334" t="s">
        <v>1236</v>
      </c>
      <c r="AR225" s="2036" t="s">
        <v>803</v>
      </c>
      <c r="AS225" s="845" t="s">
        <v>804</v>
      </c>
      <c r="AT225" s="845" t="s">
        <v>5</v>
      </c>
      <c r="AU225" s="845" t="s">
        <v>6</v>
      </c>
      <c r="AV225" s="845" t="s">
        <v>7</v>
      </c>
      <c r="AW225" s="845" t="s">
        <v>8</v>
      </c>
      <c r="AX225" s="845" t="s">
        <v>9</v>
      </c>
      <c r="AY225" s="845" t="s">
        <v>10</v>
      </c>
      <c r="AZ225" s="845" t="s">
        <v>11</v>
      </c>
      <c r="BA225" s="845" t="s">
        <v>12</v>
      </c>
      <c r="BB225" s="845" t="s">
        <v>13</v>
      </c>
      <c r="BC225" s="6826" t="s">
        <v>14</v>
      </c>
      <c r="BD225" s="845" t="s">
        <v>15</v>
      </c>
      <c r="BE225" s="6826" t="s">
        <v>893</v>
      </c>
      <c r="BG225" s="844" t="s">
        <v>984</v>
      </c>
      <c r="BJ225" s="4361" t="s">
        <v>1655</v>
      </c>
    </row>
    <row r="226" spans="40:76">
      <c r="AR226" s="845" t="s">
        <v>531</v>
      </c>
      <c r="AS226" s="845">
        <v>0</v>
      </c>
      <c r="AT226" s="845">
        <v>0</v>
      </c>
      <c r="AU226" s="845">
        <v>0</v>
      </c>
      <c r="AV226" s="845">
        <v>0</v>
      </c>
      <c r="AW226" s="845">
        <v>0</v>
      </c>
      <c r="AX226" s="845">
        <v>0</v>
      </c>
      <c r="AY226" s="845">
        <v>0</v>
      </c>
      <c r="AZ226" s="845">
        <v>0</v>
      </c>
      <c r="BA226" s="845">
        <v>0</v>
      </c>
      <c r="BB226" s="845">
        <v>0</v>
      </c>
      <c r="BC226" s="6826">
        <v>0</v>
      </c>
      <c r="BD226" s="845">
        <v>0</v>
      </c>
      <c r="BE226" s="1293">
        <f>SUM(AS226:BD226)</f>
        <v>0</v>
      </c>
      <c r="BG226" s="844">
        <v>0</v>
      </c>
      <c r="BH226" s="334">
        <f>BE226</f>
        <v>0</v>
      </c>
      <c r="BJ226" s="2036" t="s">
        <v>700</v>
      </c>
      <c r="BK226" s="845" t="s">
        <v>111</v>
      </c>
      <c r="BL226" s="845" t="s">
        <v>5</v>
      </c>
      <c r="BM226" s="845" t="s">
        <v>6</v>
      </c>
      <c r="BN226" s="845" t="s">
        <v>7</v>
      </c>
      <c r="BO226" s="845" t="s">
        <v>8</v>
      </c>
      <c r="BP226" s="845" t="s">
        <v>9</v>
      </c>
      <c r="BQ226" s="845" t="s">
        <v>10</v>
      </c>
      <c r="BR226" s="845" t="s">
        <v>11</v>
      </c>
      <c r="BS226" s="845" t="s">
        <v>12</v>
      </c>
      <c r="BT226" s="845" t="s">
        <v>13</v>
      </c>
      <c r="BU226" s="845" t="s">
        <v>14</v>
      </c>
      <c r="BV226" s="845" t="s">
        <v>15</v>
      </c>
      <c r="BW226" s="1292" t="s">
        <v>891</v>
      </c>
      <c r="BX226" s="7023" t="s">
        <v>2034</v>
      </c>
    </row>
    <row r="227" spans="40:76">
      <c r="AR227" s="845" t="s">
        <v>570</v>
      </c>
      <c r="AS227" s="845">
        <v>0</v>
      </c>
      <c r="AT227" s="845">
        <v>0</v>
      </c>
      <c r="AU227" s="845">
        <v>0</v>
      </c>
      <c r="AV227" s="845">
        <v>0</v>
      </c>
      <c r="AW227" s="845">
        <v>0</v>
      </c>
      <c r="AX227" s="845">
        <v>0</v>
      </c>
      <c r="AY227" s="845">
        <v>0</v>
      </c>
      <c r="AZ227" s="845">
        <v>0</v>
      </c>
      <c r="BA227" s="845">
        <v>0</v>
      </c>
      <c r="BB227" s="845">
        <v>0</v>
      </c>
      <c r="BC227" s="6826">
        <v>0</v>
      </c>
      <c r="BD227" s="845">
        <v>0</v>
      </c>
      <c r="BE227" s="1293">
        <f>SUM(AS227:BD227)</f>
        <v>0</v>
      </c>
      <c r="BG227" s="844">
        <v>0</v>
      </c>
      <c r="BH227" s="334">
        <f t="shared" ref="BH227:BH237" si="53">BE227</f>
        <v>0</v>
      </c>
      <c r="BJ227" s="845" t="s">
        <v>27</v>
      </c>
      <c r="BK227" s="4479">
        <v>0</v>
      </c>
      <c r="BL227" s="4479">
        <v>0</v>
      </c>
      <c r="BM227" s="4479">
        <v>0</v>
      </c>
      <c r="BN227" s="4479">
        <v>0</v>
      </c>
      <c r="BO227" s="4479">
        <v>0</v>
      </c>
      <c r="BP227" s="4479">
        <v>0</v>
      </c>
      <c r="BQ227" s="4479">
        <v>0</v>
      </c>
      <c r="BR227" s="4479">
        <v>0</v>
      </c>
      <c r="BS227" s="4479">
        <v>0</v>
      </c>
      <c r="BT227" s="4479">
        <v>0</v>
      </c>
      <c r="BU227" s="4479">
        <v>0</v>
      </c>
      <c r="BV227" s="4479">
        <v>0</v>
      </c>
      <c r="BW227" s="1292">
        <f>SUM(BK227:BV227)</f>
        <v>0</v>
      </c>
      <c r="BX227" s="7023">
        <v>0</v>
      </c>
    </row>
    <row r="228" spans="40:76">
      <c r="AR228" s="845" t="s">
        <v>1063</v>
      </c>
      <c r="AS228" s="845">
        <v>28.92</v>
      </c>
      <c r="AT228" s="845">
        <v>13.26</v>
      </c>
      <c r="AU228" s="845">
        <v>14.71</v>
      </c>
      <c r="AV228" s="845">
        <v>0</v>
      </c>
      <c r="AW228" s="845">
        <v>0</v>
      </c>
      <c r="AX228" s="845">
        <v>0</v>
      </c>
      <c r="AY228" s="845">
        <v>0</v>
      </c>
      <c r="AZ228" s="845">
        <v>0</v>
      </c>
      <c r="BA228" s="845">
        <v>4.83</v>
      </c>
      <c r="BB228" s="845">
        <v>0</v>
      </c>
      <c r="BC228" s="6826">
        <v>0</v>
      </c>
      <c r="BD228" s="845">
        <v>11.26</v>
      </c>
      <c r="BE228" s="1293">
        <f>SUM(AS228:BD228)</f>
        <v>72.98</v>
      </c>
      <c r="BG228" s="844">
        <v>68.194000000000003</v>
      </c>
      <c r="BH228" s="334">
        <f t="shared" si="53"/>
        <v>72.98</v>
      </c>
      <c r="BJ228" s="845" t="s">
        <v>185</v>
      </c>
      <c r="BK228" s="4479">
        <v>0</v>
      </c>
      <c r="BL228" s="4479">
        <v>0</v>
      </c>
      <c r="BM228" s="4479">
        <v>0</v>
      </c>
      <c r="BN228" s="4479">
        <v>0</v>
      </c>
      <c r="BO228" s="4479">
        <v>0</v>
      </c>
      <c r="BP228" s="4479">
        <v>0</v>
      </c>
      <c r="BQ228" s="4479">
        <v>0</v>
      </c>
      <c r="BR228" s="4479">
        <v>0</v>
      </c>
      <c r="BS228" s="4479">
        <v>0</v>
      </c>
      <c r="BT228" s="4479">
        <v>0</v>
      </c>
      <c r="BU228" s="4479">
        <v>0</v>
      </c>
      <c r="BV228" s="4479">
        <v>0</v>
      </c>
      <c r="BW228" s="1292">
        <f>SUM(BK228:BV228)</f>
        <v>0</v>
      </c>
      <c r="BX228" s="7023">
        <v>0</v>
      </c>
    </row>
    <row r="229" spans="40:76">
      <c r="AR229" s="845" t="s">
        <v>785</v>
      </c>
      <c r="AS229" s="845">
        <v>0</v>
      </c>
      <c r="AT229" s="845">
        <v>0</v>
      </c>
      <c r="AU229" s="845">
        <v>6.9</v>
      </c>
      <c r="AV229" s="845">
        <v>4.32</v>
      </c>
      <c r="AW229" s="845">
        <v>0</v>
      </c>
      <c r="AX229" s="845">
        <v>0</v>
      </c>
      <c r="AY229" s="845">
        <v>2.12</v>
      </c>
      <c r="AZ229" s="845">
        <v>0</v>
      </c>
      <c r="BA229" s="845">
        <v>0</v>
      </c>
      <c r="BB229" s="845">
        <v>0</v>
      </c>
      <c r="BC229" s="6826">
        <v>0</v>
      </c>
      <c r="BD229" s="845">
        <v>31.27</v>
      </c>
      <c r="BE229" s="1293">
        <f>SUM(AS229:BD229)</f>
        <v>44.61</v>
      </c>
      <c r="BG229" s="844">
        <v>308.73</v>
      </c>
      <c r="BH229" s="334">
        <f t="shared" si="53"/>
        <v>44.61</v>
      </c>
      <c r="BJ229" s="845" t="s">
        <v>29</v>
      </c>
      <c r="BK229" s="4479">
        <v>937500</v>
      </c>
      <c r="BL229" s="4479">
        <v>416750</v>
      </c>
      <c r="BM229" s="4479">
        <v>625500</v>
      </c>
      <c r="BN229" s="4479">
        <v>0</v>
      </c>
      <c r="BO229" s="4479">
        <v>0</v>
      </c>
      <c r="BP229" s="4479">
        <v>0</v>
      </c>
      <c r="BQ229" s="4479">
        <v>0</v>
      </c>
      <c r="BR229" s="4479">
        <v>0</v>
      </c>
      <c r="BS229" s="4479">
        <v>309500</v>
      </c>
      <c r="BT229" s="4479">
        <v>0</v>
      </c>
      <c r="BU229" s="4479">
        <v>0</v>
      </c>
      <c r="BV229" s="4479">
        <v>416750</v>
      </c>
      <c r="BW229" s="1292">
        <f>SUM(BK229:BV229)</f>
        <v>2706000</v>
      </c>
      <c r="BX229" s="7023">
        <v>2706000</v>
      </c>
    </row>
    <row r="230" spans="40:76">
      <c r="AR230" s="845" t="s">
        <v>1062</v>
      </c>
      <c r="AS230" s="845">
        <v>2.15</v>
      </c>
      <c r="AT230" s="845">
        <v>2.15</v>
      </c>
      <c r="AU230" s="845">
        <v>0</v>
      </c>
      <c r="AV230" s="845">
        <v>0</v>
      </c>
      <c r="AW230" s="845">
        <v>23.19</v>
      </c>
      <c r="AX230" s="845">
        <v>18.257999999999999</v>
      </c>
      <c r="AY230" s="845">
        <v>0</v>
      </c>
      <c r="AZ230" s="845">
        <v>0</v>
      </c>
      <c r="BA230" s="845">
        <v>0</v>
      </c>
      <c r="BB230" s="845">
        <v>0</v>
      </c>
      <c r="BC230" s="6826">
        <v>19.873000000000001</v>
      </c>
      <c r="BD230" s="845">
        <v>0</v>
      </c>
      <c r="BE230" s="1293">
        <f>SUM(AS230:BD230)</f>
        <v>65.621000000000009</v>
      </c>
      <c r="BG230" s="844">
        <v>229.05600000000001</v>
      </c>
      <c r="BH230" s="334">
        <f t="shared" si="53"/>
        <v>65.621000000000009</v>
      </c>
      <c r="BJ230" s="845" t="s">
        <v>505</v>
      </c>
      <c r="BK230" s="4479">
        <v>0</v>
      </c>
      <c r="BL230" s="4479">
        <v>0</v>
      </c>
      <c r="BM230" s="4479">
        <v>284000</v>
      </c>
      <c r="BN230" s="4479">
        <v>237500</v>
      </c>
      <c r="BO230" s="4479">
        <v>0</v>
      </c>
      <c r="BP230" s="4479">
        <v>0</v>
      </c>
      <c r="BQ230" s="4479">
        <v>284000</v>
      </c>
      <c r="BR230" s="4479">
        <v>0</v>
      </c>
      <c r="BS230" s="4479">
        <v>345250</v>
      </c>
      <c r="BT230" s="4479">
        <v>0</v>
      </c>
      <c r="BU230" s="4479">
        <v>0</v>
      </c>
      <c r="BV230" s="4479">
        <v>720000</v>
      </c>
      <c r="BW230" s="1292">
        <f>SUM(BK230:BV230)</f>
        <v>1870750</v>
      </c>
      <c r="BX230" s="7023">
        <v>1870750</v>
      </c>
    </row>
    <row r="231" spans="40:76">
      <c r="AS231" s="844">
        <f>SUM(AS226:AS230)</f>
        <v>31.07</v>
      </c>
      <c r="AT231" s="844">
        <f t="shared" ref="AT231:BD231" si="54">SUM(AT226:AT230)</f>
        <v>15.41</v>
      </c>
      <c r="AU231" s="844">
        <f t="shared" si="54"/>
        <v>21.61</v>
      </c>
      <c r="AV231" s="844">
        <f t="shared" si="54"/>
        <v>4.32</v>
      </c>
      <c r="AW231" s="844">
        <f t="shared" si="54"/>
        <v>23.19</v>
      </c>
      <c r="AX231" s="844">
        <f t="shared" si="54"/>
        <v>18.257999999999999</v>
      </c>
      <c r="AY231" s="844">
        <f t="shared" si="54"/>
        <v>2.12</v>
      </c>
      <c r="AZ231" s="844">
        <f t="shared" si="54"/>
        <v>0</v>
      </c>
      <c r="BA231" s="844">
        <f t="shared" si="54"/>
        <v>4.83</v>
      </c>
      <c r="BB231" s="844">
        <f t="shared" si="54"/>
        <v>0</v>
      </c>
      <c r="BC231" s="844">
        <f t="shared" si="54"/>
        <v>19.873000000000001</v>
      </c>
      <c r="BD231" s="844">
        <f t="shared" si="54"/>
        <v>42.53</v>
      </c>
      <c r="BE231" s="1294">
        <f>SUM(BE226:BE230)</f>
        <v>183.21100000000001</v>
      </c>
      <c r="BF231" s="1294" t="s">
        <v>894</v>
      </c>
      <c r="BG231" s="844">
        <v>605.98000000000013</v>
      </c>
      <c r="BH231" s="334">
        <f t="shared" si="53"/>
        <v>183.21100000000001</v>
      </c>
      <c r="BJ231" s="845" t="s">
        <v>786</v>
      </c>
      <c r="BK231" s="4479">
        <v>249700</v>
      </c>
      <c r="BL231" s="4479">
        <v>218800</v>
      </c>
      <c r="BM231" s="4479">
        <v>0</v>
      </c>
      <c r="BN231" s="4479">
        <v>0</v>
      </c>
      <c r="BO231" s="4479">
        <v>836700</v>
      </c>
      <c r="BP231" s="4479">
        <v>639500</v>
      </c>
      <c r="BQ231" s="4479">
        <v>0</v>
      </c>
      <c r="BR231" s="4479">
        <v>0</v>
      </c>
      <c r="BS231" s="4479">
        <v>0</v>
      </c>
      <c r="BT231" s="4479">
        <v>0</v>
      </c>
      <c r="BU231" s="4479">
        <v>617200</v>
      </c>
      <c r="BV231" s="4479">
        <v>0</v>
      </c>
      <c r="BW231" s="1292">
        <f>SUM(BK231:BV231)</f>
        <v>2561900</v>
      </c>
      <c r="BX231" s="7023">
        <v>2561900</v>
      </c>
    </row>
    <row r="232" spans="40:76">
      <c r="AR232" s="1944" t="s">
        <v>1065</v>
      </c>
      <c r="AS232" s="2582">
        <v>0</v>
      </c>
      <c r="AT232" s="2582"/>
      <c r="AU232" s="2582">
        <v>0</v>
      </c>
      <c r="AV232" s="2582">
        <v>0</v>
      </c>
      <c r="AW232" s="2582">
        <v>0</v>
      </c>
      <c r="AX232" s="2582">
        <v>0</v>
      </c>
      <c r="AY232" s="2582">
        <v>0</v>
      </c>
      <c r="AZ232" s="2582">
        <v>0</v>
      </c>
      <c r="BA232" s="2582">
        <v>0</v>
      </c>
      <c r="BB232" s="2582">
        <v>0</v>
      </c>
      <c r="BC232" s="6824">
        <v>0</v>
      </c>
      <c r="BD232" s="2582">
        <v>0</v>
      </c>
      <c r="BE232" s="2583">
        <f t="shared" ref="BE232:BE238" si="55">SUM(AS232:BD232)</f>
        <v>0</v>
      </c>
      <c r="BF232" s="2026"/>
      <c r="BG232" s="844">
        <v>0</v>
      </c>
      <c r="BH232" s="334">
        <f t="shared" si="53"/>
        <v>0</v>
      </c>
      <c r="BK232" s="6831">
        <f>SUM(BK227:BK231)</f>
        <v>1187200</v>
      </c>
      <c r="BL232" s="6831">
        <f t="shared" ref="BL232:BV232" si="56">SUM(BL227:BL231)</f>
        <v>635550</v>
      </c>
      <c r="BM232" s="6831">
        <f t="shared" si="56"/>
        <v>909500</v>
      </c>
      <c r="BN232" s="6831">
        <f t="shared" si="56"/>
        <v>237500</v>
      </c>
      <c r="BO232" s="6831">
        <f t="shared" si="56"/>
        <v>836700</v>
      </c>
      <c r="BP232" s="6831">
        <f t="shared" si="56"/>
        <v>639500</v>
      </c>
      <c r="BQ232" s="6831">
        <f t="shared" si="56"/>
        <v>284000</v>
      </c>
      <c r="BR232" s="6831">
        <f t="shared" si="56"/>
        <v>0</v>
      </c>
      <c r="BS232" s="6831">
        <f t="shared" si="56"/>
        <v>654750</v>
      </c>
      <c r="BT232" s="6831">
        <f t="shared" si="56"/>
        <v>0</v>
      </c>
      <c r="BU232" s="6831">
        <f t="shared" si="56"/>
        <v>617200</v>
      </c>
      <c r="BV232" s="6831">
        <f t="shared" si="56"/>
        <v>1136750</v>
      </c>
      <c r="BW232" s="6832">
        <f>SUM(BW227:BW231)</f>
        <v>7138650</v>
      </c>
      <c r="BX232" s="7024">
        <v>7138650</v>
      </c>
    </row>
    <row r="233" spans="40:76">
      <c r="AR233" s="1944" t="s">
        <v>1064</v>
      </c>
      <c r="AS233" s="2582">
        <v>28.92</v>
      </c>
      <c r="AT233" s="2582">
        <v>13.26</v>
      </c>
      <c r="AU233" s="2582">
        <v>14.71</v>
      </c>
      <c r="AV233" s="2582">
        <v>0</v>
      </c>
      <c r="AW233" s="2582">
        <v>0</v>
      </c>
      <c r="AX233" s="2582">
        <v>0</v>
      </c>
      <c r="AY233" s="2582">
        <v>0</v>
      </c>
      <c r="AZ233" s="2582">
        <v>0</v>
      </c>
      <c r="BA233" s="2582">
        <v>4.83</v>
      </c>
      <c r="BB233" s="2582">
        <v>0</v>
      </c>
      <c r="BC233" s="6824">
        <v>0</v>
      </c>
      <c r="BD233" s="2582">
        <v>11.26</v>
      </c>
      <c r="BE233" s="2583">
        <f t="shared" si="55"/>
        <v>72.98</v>
      </c>
      <c r="BF233" s="2026"/>
      <c r="BG233" s="844">
        <v>45.478999999999999</v>
      </c>
      <c r="BH233" s="334">
        <f t="shared" si="53"/>
        <v>72.98</v>
      </c>
    </row>
    <row r="234" spans="40:76">
      <c r="AR234" s="1944" t="s">
        <v>1066</v>
      </c>
      <c r="AS234" s="2582">
        <v>0</v>
      </c>
      <c r="AT234" s="2582">
        <v>4.5199999999999996</v>
      </c>
      <c r="AU234" s="2582">
        <v>6.9</v>
      </c>
      <c r="AV234" s="2582">
        <v>4.32</v>
      </c>
      <c r="AW234" s="2582">
        <v>0</v>
      </c>
      <c r="AX234" s="2582">
        <v>16.46</v>
      </c>
      <c r="AY234" s="2582">
        <v>2.12</v>
      </c>
      <c r="AZ234" s="2582">
        <v>0</v>
      </c>
      <c r="BA234" s="2582">
        <v>0</v>
      </c>
      <c r="BB234" s="2582">
        <v>0</v>
      </c>
      <c r="BC234" s="6824">
        <v>0</v>
      </c>
      <c r="BD234" s="2582">
        <v>31.27</v>
      </c>
      <c r="BE234" s="2583">
        <f t="shared" si="55"/>
        <v>65.59</v>
      </c>
      <c r="BF234" s="2026"/>
      <c r="BG234" s="844">
        <v>200.87900000000002</v>
      </c>
      <c r="BH234" s="334">
        <f t="shared" si="53"/>
        <v>65.59</v>
      </c>
      <c r="BJ234" s="334" t="s">
        <v>2026</v>
      </c>
      <c r="BL234" s="334">
        <v>249700</v>
      </c>
      <c r="BM234" s="334">
        <v>296400</v>
      </c>
      <c r="BQ234" s="334">
        <v>582750</v>
      </c>
    </row>
    <row r="235" spans="40:76">
      <c r="AR235" s="1944" t="s">
        <v>1067</v>
      </c>
      <c r="AS235" s="2582">
        <v>0</v>
      </c>
      <c r="AT235" s="2582"/>
      <c r="AU235" s="2582">
        <v>0</v>
      </c>
      <c r="AV235" s="2582">
        <v>0</v>
      </c>
      <c r="AW235" s="2582">
        <v>0</v>
      </c>
      <c r="AX235" s="2582">
        <v>0</v>
      </c>
      <c r="AY235" s="2582">
        <v>0</v>
      </c>
      <c r="AZ235" s="2582">
        <v>0</v>
      </c>
      <c r="BA235" s="2582">
        <v>0</v>
      </c>
      <c r="BB235" s="2582">
        <v>0</v>
      </c>
      <c r="BC235" s="6824">
        <v>0</v>
      </c>
      <c r="BD235" s="2582">
        <v>0</v>
      </c>
      <c r="BE235" s="2583">
        <f t="shared" si="55"/>
        <v>0</v>
      </c>
      <c r="BF235" s="2026"/>
      <c r="BG235" s="844">
        <v>260.64</v>
      </c>
      <c r="BH235" s="334">
        <f t="shared" si="53"/>
        <v>0</v>
      </c>
    </row>
    <row r="236" spans="40:76">
      <c r="AR236" s="1944" t="s">
        <v>1068</v>
      </c>
      <c r="AS236" s="2582">
        <v>0</v>
      </c>
      <c r="AT236" s="2582"/>
      <c r="AU236" s="2582">
        <v>0</v>
      </c>
      <c r="AV236" s="2582">
        <v>0</v>
      </c>
      <c r="AW236" s="2582">
        <v>0</v>
      </c>
      <c r="AX236" s="2582">
        <v>0</v>
      </c>
      <c r="AY236" s="2582">
        <v>0</v>
      </c>
      <c r="AZ236" s="2582">
        <v>0</v>
      </c>
      <c r="BA236" s="2582">
        <v>0</v>
      </c>
      <c r="BB236" s="2582">
        <v>0</v>
      </c>
      <c r="BC236" s="6824">
        <v>0</v>
      </c>
      <c r="BD236" s="2582">
        <v>0</v>
      </c>
      <c r="BE236" s="2583">
        <f t="shared" si="55"/>
        <v>0</v>
      </c>
      <c r="BF236" s="2026"/>
      <c r="BG236" s="844">
        <v>0</v>
      </c>
      <c r="BH236" s="334">
        <f t="shared" si="53"/>
        <v>0</v>
      </c>
    </row>
    <row r="237" spans="40:76">
      <c r="AR237" s="1944" t="s">
        <v>1070</v>
      </c>
      <c r="AS237" s="2582">
        <v>0</v>
      </c>
      <c r="AT237" s="2582"/>
      <c r="AU237" s="2582">
        <v>0</v>
      </c>
      <c r="AV237" s="2582">
        <v>0</v>
      </c>
      <c r="AW237" s="2582">
        <v>0</v>
      </c>
      <c r="AX237" s="2582">
        <v>0</v>
      </c>
      <c r="AY237" s="2582">
        <v>0</v>
      </c>
      <c r="AZ237" s="2582">
        <v>0</v>
      </c>
      <c r="BA237" s="2582">
        <v>0</v>
      </c>
      <c r="BB237" s="2582">
        <v>0</v>
      </c>
      <c r="BC237" s="6824">
        <v>0</v>
      </c>
      <c r="BD237" s="2582">
        <v>0</v>
      </c>
      <c r="BE237" s="2583">
        <f t="shared" si="55"/>
        <v>0</v>
      </c>
      <c r="BF237" s="2026"/>
      <c r="BG237" s="844">
        <v>0</v>
      </c>
      <c r="BH237" s="334">
        <f t="shared" si="53"/>
        <v>0</v>
      </c>
    </row>
    <row r="238" spans="40:76">
      <c r="AR238" s="1944" t="s">
        <v>1069</v>
      </c>
      <c r="AS238" s="2582">
        <v>2.9119999999999999</v>
      </c>
      <c r="AT238" s="2582">
        <v>2.13</v>
      </c>
      <c r="AU238" s="2582">
        <v>0</v>
      </c>
      <c r="AV238" s="2582">
        <v>0</v>
      </c>
      <c r="AW238" s="2582">
        <v>23.19</v>
      </c>
      <c r="AX238" s="2582">
        <v>1.798</v>
      </c>
      <c r="AY238" s="2582">
        <v>0</v>
      </c>
      <c r="AZ238" s="2582">
        <v>0</v>
      </c>
      <c r="BA238" s="2582">
        <v>0</v>
      </c>
      <c r="BB238" s="2582">
        <v>0</v>
      </c>
      <c r="BC238" s="6824">
        <v>19.873000000000001</v>
      </c>
      <c r="BD238" s="2582">
        <v>0</v>
      </c>
      <c r="BE238" s="2583">
        <f t="shared" si="55"/>
        <v>49.903000000000006</v>
      </c>
      <c r="BF238" s="2026"/>
      <c r="BG238" s="844">
        <v>84.001999999999981</v>
      </c>
    </row>
    <row r="239" spans="40:76">
      <c r="AR239" s="334" t="s">
        <v>1082</v>
      </c>
      <c r="BG239" s="844"/>
    </row>
    <row r="240" spans="40:76">
      <c r="AR240" s="845" t="s">
        <v>803</v>
      </c>
      <c r="AS240" s="845" t="s">
        <v>804</v>
      </c>
      <c r="AT240" s="845" t="s">
        <v>5</v>
      </c>
      <c r="AU240" s="845" t="s">
        <v>6</v>
      </c>
      <c r="AV240" s="845" t="s">
        <v>7</v>
      </c>
      <c r="AW240" s="845" t="s">
        <v>8</v>
      </c>
      <c r="AX240" s="845" t="s">
        <v>9</v>
      </c>
      <c r="AY240" s="845" t="s">
        <v>10</v>
      </c>
      <c r="AZ240" s="845" t="s">
        <v>11</v>
      </c>
      <c r="BA240" s="845" t="s">
        <v>12</v>
      </c>
      <c r="BB240" s="845" t="s">
        <v>13</v>
      </c>
      <c r="BC240" s="6826" t="s">
        <v>14</v>
      </c>
      <c r="BD240" s="845" t="s">
        <v>15</v>
      </c>
      <c r="BE240" s="2029" t="s">
        <v>197</v>
      </c>
      <c r="BG240" s="844" t="s">
        <v>984</v>
      </c>
    </row>
    <row r="241" spans="42:60">
      <c r="AR241" s="845" t="s">
        <v>27</v>
      </c>
      <c r="AS241" s="845">
        <v>0</v>
      </c>
      <c r="AT241" s="845">
        <v>0</v>
      </c>
      <c r="AU241" s="845">
        <v>0</v>
      </c>
      <c r="AV241" s="845">
        <v>0</v>
      </c>
      <c r="AW241" s="845">
        <v>0</v>
      </c>
      <c r="AX241" s="845">
        <v>0</v>
      </c>
      <c r="AY241" s="845">
        <v>0</v>
      </c>
      <c r="AZ241" s="845">
        <v>0</v>
      </c>
      <c r="BA241" s="845">
        <v>0</v>
      </c>
      <c r="BB241" s="845">
        <v>0</v>
      </c>
      <c r="BC241" s="6826">
        <v>0</v>
      </c>
      <c r="BD241" s="845">
        <v>0</v>
      </c>
      <c r="BE241" s="1293">
        <f>SUM(AS241:BD241)</f>
        <v>0</v>
      </c>
      <c r="BG241" s="844">
        <v>0</v>
      </c>
      <c r="BH241" s="334">
        <f t="shared" ref="BH241:BH246" si="57">BE241</f>
        <v>0</v>
      </c>
    </row>
    <row r="242" spans="42:60">
      <c r="AR242" s="845" t="s">
        <v>28</v>
      </c>
      <c r="AS242" s="845">
        <v>0</v>
      </c>
      <c r="AT242" s="845">
        <v>0</v>
      </c>
      <c r="AU242" s="845">
        <v>0</v>
      </c>
      <c r="AV242" s="845">
        <v>0</v>
      </c>
      <c r="AW242" s="845">
        <v>0</v>
      </c>
      <c r="AX242" s="845">
        <v>0</v>
      </c>
      <c r="AY242" s="845">
        <v>0</v>
      </c>
      <c r="AZ242" s="845">
        <v>0</v>
      </c>
      <c r="BA242" s="845">
        <v>0</v>
      </c>
      <c r="BB242" s="845">
        <v>0</v>
      </c>
      <c r="BC242" s="6826">
        <v>0</v>
      </c>
      <c r="BD242" s="845">
        <v>0</v>
      </c>
      <c r="BE242" s="1293">
        <f>SUM(AS242:BD242)</f>
        <v>0</v>
      </c>
      <c r="BG242" s="844">
        <v>0</v>
      </c>
      <c r="BH242" s="334">
        <f t="shared" si="57"/>
        <v>0</v>
      </c>
    </row>
    <row r="243" spans="42:60">
      <c r="AR243" s="845" t="s">
        <v>1063</v>
      </c>
      <c r="AS243" s="845">
        <v>1</v>
      </c>
      <c r="AT243" s="845">
        <v>1</v>
      </c>
      <c r="AU243" s="845">
        <v>2</v>
      </c>
      <c r="AV243" s="845">
        <v>0</v>
      </c>
      <c r="AW243" s="845">
        <v>0</v>
      </c>
      <c r="AX243" s="845">
        <v>0</v>
      </c>
      <c r="AY243" s="845">
        <v>0</v>
      </c>
      <c r="AZ243" s="845">
        <v>0</v>
      </c>
      <c r="BA243" s="845">
        <v>1</v>
      </c>
      <c r="BB243" s="845">
        <v>0</v>
      </c>
      <c r="BC243" s="6826">
        <v>0</v>
      </c>
      <c r="BD243" s="845">
        <v>1</v>
      </c>
      <c r="BE243" s="1293">
        <f>SUM(AS243:BD243)</f>
        <v>6</v>
      </c>
      <c r="BG243" s="844">
        <v>6</v>
      </c>
      <c r="BH243" s="334">
        <f t="shared" si="57"/>
        <v>6</v>
      </c>
    </row>
    <row r="244" spans="42:60">
      <c r="AR244" s="845" t="s">
        <v>785</v>
      </c>
      <c r="AS244" s="845">
        <v>0</v>
      </c>
      <c r="AT244" s="845">
        <v>0</v>
      </c>
      <c r="AU244" s="845">
        <v>1</v>
      </c>
      <c r="AV244" s="845">
        <v>1</v>
      </c>
      <c r="AW244" s="845">
        <v>0</v>
      </c>
      <c r="AX244" s="845">
        <v>0</v>
      </c>
      <c r="AY244" s="845">
        <v>1</v>
      </c>
      <c r="AZ244" s="845">
        <v>0</v>
      </c>
      <c r="BA244" s="845">
        <v>0</v>
      </c>
      <c r="BB244" s="845">
        <v>0</v>
      </c>
      <c r="BC244" s="6826">
        <v>0</v>
      </c>
      <c r="BD244" s="845">
        <v>2</v>
      </c>
      <c r="BE244" s="1293">
        <f>SUM(AS244:BD244)</f>
        <v>5</v>
      </c>
      <c r="BG244" s="844">
        <v>11</v>
      </c>
      <c r="BH244" s="334">
        <f t="shared" si="57"/>
        <v>5</v>
      </c>
    </row>
    <row r="245" spans="42:60">
      <c r="AR245" s="845" t="s">
        <v>1062</v>
      </c>
      <c r="AS245" s="845">
        <v>1</v>
      </c>
      <c r="AT245" s="845">
        <v>2</v>
      </c>
      <c r="AU245" s="845">
        <v>0</v>
      </c>
      <c r="AV245" s="845">
        <v>0</v>
      </c>
      <c r="AW245" s="845">
        <v>3</v>
      </c>
      <c r="AX245" s="845">
        <v>2</v>
      </c>
      <c r="AY245" s="845">
        <v>0</v>
      </c>
      <c r="AZ245" s="845">
        <v>0</v>
      </c>
      <c r="BA245" s="845">
        <v>0</v>
      </c>
      <c r="BB245" s="845">
        <v>0</v>
      </c>
      <c r="BC245" s="6826">
        <v>1</v>
      </c>
      <c r="BD245" s="845">
        <v>0</v>
      </c>
      <c r="BE245" s="1293">
        <f>SUM(AS245:BD245)</f>
        <v>9</v>
      </c>
      <c r="BG245" s="844">
        <v>25</v>
      </c>
      <c r="BH245" s="334">
        <f t="shared" si="57"/>
        <v>9</v>
      </c>
    </row>
    <row r="246" spans="42:60">
      <c r="AS246" s="334">
        <f t="shared" ref="AS246:BA246" si="58">SUM(AS241:AS245)</f>
        <v>2</v>
      </c>
      <c r="AT246" s="334">
        <f t="shared" si="58"/>
        <v>3</v>
      </c>
      <c r="AU246" s="334">
        <f t="shared" si="58"/>
        <v>3</v>
      </c>
      <c r="AV246" s="334">
        <f t="shared" si="58"/>
        <v>1</v>
      </c>
      <c r="AW246" s="334">
        <f t="shared" si="58"/>
        <v>3</v>
      </c>
      <c r="AX246" s="334">
        <f t="shared" si="58"/>
        <v>2</v>
      </c>
      <c r="AY246" s="334">
        <f t="shared" si="58"/>
        <v>1</v>
      </c>
      <c r="AZ246" s="334">
        <f t="shared" si="58"/>
        <v>0</v>
      </c>
      <c r="BA246" s="334">
        <f t="shared" si="58"/>
        <v>1</v>
      </c>
      <c r="BB246" s="334">
        <f>SUM(BB241:BB245)</f>
        <v>0</v>
      </c>
      <c r="BC246" s="334">
        <f>SUM(BC241:BC245)</f>
        <v>1</v>
      </c>
      <c r="BD246" s="334">
        <f>SUM(BD241:BD245)</f>
        <v>3</v>
      </c>
      <c r="BE246" s="1294">
        <f>SUM(BE241:BE245)</f>
        <v>20</v>
      </c>
      <c r="BF246" s="1294" t="s">
        <v>894</v>
      </c>
      <c r="BG246" s="844">
        <v>42</v>
      </c>
      <c r="BH246" s="334">
        <f t="shared" si="57"/>
        <v>20</v>
      </c>
    </row>
    <row r="251" spans="42:60">
      <c r="AP251" s="7363" t="s">
        <v>973</v>
      </c>
      <c r="AQ251" s="7364"/>
      <c r="AR251" s="1406" t="s">
        <v>901</v>
      </c>
      <c r="AS251" s="1292" t="s">
        <v>111</v>
      </c>
      <c r="AT251" s="1292" t="s">
        <v>5</v>
      </c>
      <c r="AU251" s="1292" t="s">
        <v>6</v>
      </c>
      <c r="AV251" s="1292" t="s">
        <v>7</v>
      </c>
      <c r="AW251" s="1292" t="s">
        <v>8</v>
      </c>
      <c r="AX251" s="1292" t="s">
        <v>9</v>
      </c>
      <c r="AY251" s="1292" t="s">
        <v>10</v>
      </c>
      <c r="AZ251" s="1292" t="s">
        <v>11</v>
      </c>
      <c r="BA251" s="1292" t="s">
        <v>12</v>
      </c>
      <c r="BB251" s="1292" t="s">
        <v>13</v>
      </c>
      <c r="BC251" s="1292" t="s">
        <v>14</v>
      </c>
      <c r="BD251" s="1292" t="s">
        <v>15</v>
      </c>
      <c r="BE251" s="1292" t="s">
        <v>977</v>
      </c>
    </row>
    <row r="252" spans="42:60">
      <c r="AP252" s="7361" t="s">
        <v>974</v>
      </c>
      <c r="AQ252" s="7362"/>
      <c r="AR252" s="1212">
        <v>86.503888888888881</v>
      </c>
      <c r="AS252" s="1292">
        <v>40.33</v>
      </c>
      <c r="AT252" s="1292">
        <v>41.39</v>
      </c>
      <c r="AU252" s="1292">
        <v>42.29</v>
      </c>
      <c r="AV252" s="1292">
        <v>0</v>
      </c>
      <c r="AW252" s="1292">
        <v>8.6300000000000008</v>
      </c>
      <c r="AX252" s="1341">
        <v>27.37</v>
      </c>
      <c r="AY252" s="1341">
        <v>3.81</v>
      </c>
      <c r="AZ252" s="1341">
        <v>10.57</v>
      </c>
      <c r="BA252" s="1292">
        <v>19.59</v>
      </c>
      <c r="BB252" s="1292"/>
      <c r="BC252" s="1292"/>
      <c r="BD252" s="1292"/>
      <c r="BE252" s="1292">
        <f>SUM(AS252:BD252)</f>
        <v>193.98</v>
      </c>
    </row>
    <row r="253" spans="42:60">
      <c r="AP253" s="7361" t="s">
        <v>975</v>
      </c>
      <c r="AQ253" s="7362"/>
      <c r="AR253" s="1212">
        <v>10.668333333333331</v>
      </c>
      <c r="AS253" s="1292">
        <v>16.36</v>
      </c>
      <c r="AT253" s="1292">
        <v>14.04</v>
      </c>
      <c r="AU253" s="1292">
        <v>11.667999999999999</v>
      </c>
      <c r="AV253" s="1292">
        <v>1.5</v>
      </c>
      <c r="AW253" s="1292">
        <v>6.87</v>
      </c>
      <c r="AX253" s="1341">
        <v>11.88</v>
      </c>
      <c r="AY253" s="1341">
        <v>1.39</v>
      </c>
      <c r="AZ253" s="1341">
        <v>0</v>
      </c>
      <c r="BA253" s="1292">
        <v>8.81</v>
      </c>
      <c r="BB253" s="1292"/>
      <c r="BC253" s="1292"/>
      <c r="BD253" s="1292"/>
      <c r="BE253" s="1292">
        <f>SUM(AS253:BD253)</f>
        <v>72.518000000000001</v>
      </c>
    </row>
    <row r="254" spans="42:60">
      <c r="AP254" s="7361" t="s">
        <v>976</v>
      </c>
      <c r="AQ254" s="7362"/>
      <c r="AR254" s="1212">
        <v>6.0269444444444451</v>
      </c>
      <c r="AS254" s="1292">
        <v>15.77</v>
      </c>
      <c r="AT254" s="1292">
        <v>14.940000000000001</v>
      </c>
      <c r="AU254" s="1292">
        <v>7.35</v>
      </c>
      <c r="AV254" s="1292">
        <v>1.1599999999999999</v>
      </c>
      <c r="AW254" s="1292">
        <v>7.8</v>
      </c>
      <c r="AX254" s="1341">
        <v>6.23</v>
      </c>
      <c r="AY254" s="1341">
        <v>4.16</v>
      </c>
      <c r="AZ254" s="1341">
        <v>0</v>
      </c>
      <c r="BA254" s="1292">
        <v>0</v>
      </c>
      <c r="BB254" s="1292"/>
      <c r="BC254" s="1292"/>
      <c r="BD254" s="1292"/>
      <c r="BE254" s="1292">
        <f>SUM(AS254:BD254)</f>
        <v>57.41</v>
      </c>
    </row>
  </sheetData>
  <mergeCells count="86">
    <mergeCell ref="E37:E38"/>
    <mergeCell ref="D37:D38"/>
    <mergeCell ref="A24:A29"/>
    <mergeCell ref="A37:A38"/>
    <mergeCell ref="A87:A92"/>
    <mergeCell ref="C37:C38"/>
    <mergeCell ref="A60:A63"/>
    <mergeCell ref="A46:A51"/>
    <mergeCell ref="C80:C81"/>
    <mergeCell ref="B80:B81"/>
    <mergeCell ref="A80:A81"/>
    <mergeCell ref="A77:B77"/>
    <mergeCell ref="A70:A76"/>
    <mergeCell ref="E80:E81"/>
    <mergeCell ref="D80:D81"/>
    <mergeCell ref="AN80:AN81"/>
    <mergeCell ref="AM80:AM81"/>
    <mergeCell ref="AL80:AL81"/>
    <mergeCell ref="AK80:AK81"/>
    <mergeCell ref="K80:K81"/>
    <mergeCell ref="L80:AJ80"/>
    <mergeCell ref="AN70:AN74"/>
    <mergeCell ref="AN52:AN57"/>
    <mergeCell ref="AN60:AN62"/>
    <mergeCell ref="AN46:AN50"/>
    <mergeCell ref="AN64:AN66"/>
    <mergeCell ref="AN37:AN38"/>
    <mergeCell ref="AK37:AK38"/>
    <mergeCell ref="AM37:AM38"/>
    <mergeCell ref="H37:H38"/>
    <mergeCell ref="AL37:AL38"/>
    <mergeCell ref="I37:I38"/>
    <mergeCell ref="BS1:BS2"/>
    <mergeCell ref="AL3:AL4"/>
    <mergeCell ref="AS1:BP1"/>
    <mergeCell ref="BQ1:BQ2"/>
    <mergeCell ref="BR1:BR2"/>
    <mergeCell ref="A1:AM1"/>
    <mergeCell ref="G3:G4"/>
    <mergeCell ref="AK3:AK4"/>
    <mergeCell ref="F3:F4"/>
    <mergeCell ref="AN3:AN4"/>
    <mergeCell ref="A3:A4"/>
    <mergeCell ref="B3:B4"/>
    <mergeCell ref="AQ1:AQ2"/>
    <mergeCell ref="AM3:AM4"/>
    <mergeCell ref="L3:AJ3"/>
    <mergeCell ref="C3:C4"/>
    <mergeCell ref="D164:F164"/>
    <mergeCell ref="C168:F168"/>
    <mergeCell ref="A146:A147"/>
    <mergeCell ref="AP254:AQ254"/>
    <mergeCell ref="AP253:AQ253"/>
    <mergeCell ref="AP252:AQ252"/>
    <mergeCell ref="AP251:AQ251"/>
    <mergeCell ref="I3:I4"/>
    <mergeCell ref="A64:A69"/>
    <mergeCell ref="A5:A10"/>
    <mergeCell ref="A11:A16"/>
    <mergeCell ref="K3:K4"/>
    <mergeCell ref="K37:K38"/>
    <mergeCell ref="H3:H4"/>
    <mergeCell ref="E3:E4"/>
    <mergeCell ref="D3:D4"/>
    <mergeCell ref="G37:G38"/>
    <mergeCell ref="A59:B59"/>
    <mergeCell ref="A40:A45"/>
    <mergeCell ref="A52:A58"/>
    <mergeCell ref="A17:A23"/>
    <mergeCell ref="B37:B38"/>
    <mergeCell ref="A30:A35"/>
    <mergeCell ref="A122:A127"/>
    <mergeCell ref="A116:A121"/>
    <mergeCell ref="A82:A86"/>
    <mergeCell ref="A106:A113"/>
    <mergeCell ref="A103:B103"/>
    <mergeCell ref="A93:A98"/>
    <mergeCell ref="A99:A102"/>
    <mergeCell ref="F37:F38"/>
    <mergeCell ref="H80:H81"/>
    <mergeCell ref="G80:G81"/>
    <mergeCell ref="F80:F81"/>
    <mergeCell ref="J121:X121"/>
    <mergeCell ref="I80:I81"/>
    <mergeCell ref="J37:J38"/>
    <mergeCell ref="L37:Z37"/>
  </mergeCells>
  <phoneticPr fontId="22" type="noConversion"/>
  <pageMargins left="0" right="0" top="0" bottom="0" header="0.31496062992125984" footer="0.31496062992125984"/>
  <pageSetup paperSize="9" scale="75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67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Z26" sqref="Z26"/>
    </sheetView>
  </sheetViews>
  <sheetFormatPr defaultColWidth="8.8984375" defaultRowHeight="21.75" customHeight="1"/>
  <cols>
    <col min="1" max="1" width="8.5" style="346" customWidth="1"/>
    <col min="2" max="2" width="12.296875" style="346" customWidth="1"/>
    <col min="3" max="3" width="7.796875" style="346" customWidth="1"/>
    <col min="4" max="8" width="7.796875" style="346" hidden="1" customWidth="1"/>
    <col min="9" max="9" width="7.796875" style="1535" customWidth="1"/>
    <col min="10" max="10" width="7.8984375" style="1535" customWidth="1"/>
    <col min="11" max="12" width="7.8984375" style="346" customWidth="1"/>
    <col min="13" max="13" width="7.796875" style="346" bestFit="1" customWidth="1"/>
    <col min="14" max="14" width="8.296875" style="346" hidden="1" customWidth="1"/>
    <col min="15" max="16" width="8.296875" style="354" hidden="1" customWidth="1"/>
    <col min="17" max="20" width="8.296875" style="346" hidden="1" customWidth="1"/>
    <col min="21" max="22" width="8.8984375" style="346" customWidth="1"/>
    <col min="23" max="24" width="9.796875" style="346" customWidth="1"/>
    <col min="25" max="25" width="9.796875" style="346" hidden="1" customWidth="1"/>
    <col min="26" max="26" width="9.19921875" style="346" customWidth="1"/>
    <col min="27" max="27" width="9.59765625" style="346" hidden="1" customWidth="1"/>
    <col min="28" max="28" width="8.8984375" style="346" hidden="1" customWidth="1"/>
    <col min="29" max="29" width="9.5" style="346" hidden="1" customWidth="1"/>
    <col min="30" max="30" width="8.8984375" style="346" hidden="1" customWidth="1"/>
    <col min="31" max="33" width="8.796875" style="346" hidden="1" customWidth="1"/>
    <col min="34" max="34" width="8.8984375" style="346" customWidth="1"/>
    <col min="35" max="35" width="9.69921875" style="346" customWidth="1"/>
    <col min="36" max="38" width="9.796875" style="346" customWidth="1"/>
    <col min="39" max="40" width="8.796875" style="346" customWidth="1"/>
    <col min="41" max="41" width="7.796875" style="354" customWidth="1"/>
    <col min="42" max="42" width="12.796875" style="346" bestFit="1" customWidth="1"/>
    <col min="43" max="44" width="12.796875" style="346" customWidth="1"/>
    <col min="45" max="46" width="8.8984375" style="346"/>
    <col min="47" max="47" width="11.59765625" style="346" bestFit="1" customWidth="1"/>
    <col min="48" max="48" width="8.8984375" style="346"/>
    <col min="49" max="49" width="9" style="346" bestFit="1" customWidth="1"/>
    <col min="50" max="50" width="12" style="346" bestFit="1" customWidth="1"/>
    <col min="51" max="51" width="9" style="346" bestFit="1" customWidth="1"/>
    <col min="52" max="52" width="9.296875" style="346" bestFit="1" customWidth="1"/>
    <col min="53" max="16384" width="8.8984375" style="346"/>
  </cols>
  <sheetData>
    <row r="1" spans="1:54" ht="21.75" customHeight="1">
      <c r="A1" s="7401" t="s">
        <v>1346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  <c r="AQ1" s="788"/>
      <c r="AR1" s="788"/>
    </row>
    <row r="2" spans="1:54" ht="21.75" customHeight="1" thickBot="1">
      <c r="L2" s="7403" t="s">
        <v>402</v>
      </c>
      <c r="M2" s="7403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  <c r="AQ2" s="792"/>
      <c r="AR2" s="1346"/>
    </row>
    <row r="3" spans="1:54" ht="21.75" customHeight="1" thickBot="1">
      <c r="A3" s="7132" t="s">
        <v>252</v>
      </c>
      <c r="B3" s="7223" t="s">
        <v>253</v>
      </c>
      <c r="C3" s="7225" t="s">
        <v>254</v>
      </c>
      <c r="D3" s="7400" t="s">
        <v>255</v>
      </c>
      <c r="E3" s="7377"/>
      <c r="F3" s="7377"/>
      <c r="G3" s="7377"/>
      <c r="H3" s="7377"/>
      <c r="I3" s="7377"/>
      <c r="J3" s="7377"/>
      <c r="K3" s="7377"/>
      <c r="L3" s="7132" t="s">
        <v>286</v>
      </c>
      <c r="M3" s="7223"/>
      <c r="N3" s="7342" t="s">
        <v>1340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1335</v>
      </c>
      <c r="AN3" s="7229" t="s">
        <v>437</v>
      </c>
      <c r="AO3" s="7332" t="s">
        <v>365</v>
      </c>
      <c r="AP3" s="7223" t="s">
        <v>287</v>
      </c>
      <c r="AQ3" s="793"/>
      <c r="AR3" s="793"/>
    </row>
    <row r="4" spans="1:54" ht="21.75" customHeight="1">
      <c r="A4" s="7397"/>
      <c r="B4" s="7395"/>
      <c r="C4" s="7398"/>
      <c r="D4" s="3415" t="s">
        <v>256</v>
      </c>
      <c r="E4" s="3217" t="s">
        <v>257</v>
      </c>
      <c r="F4" s="3217" t="s">
        <v>194</v>
      </c>
      <c r="G4" s="3416" t="s">
        <v>258</v>
      </c>
      <c r="H4" s="3417" t="s">
        <v>557</v>
      </c>
      <c r="I4" s="3418" t="s">
        <v>1006</v>
      </c>
      <c r="J4" s="3418" t="s">
        <v>720</v>
      </c>
      <c r="K4" s="3418" t="s">
        <v>999</v>
      </c>
      <c r="L4" s="3668" t="s">
        <v>1272</v>
      </c>
      <c r="M4" s="3669" t="s">
        <v>824</v>
      </c>
      <c r="N4" s="3419" t="s">
        <v>400</v>
      </c>
      <c r="O4" s="3420" t="s">
        <v>372</v>
      </c>
      <c r="P4" s="3420" t="s">
        <v>373</v>
      </c>
      <c r="Q4" s="3588" t="s">
        <v>374</v>
      </c>
      <c r="R4" s="3588" t="s">
        <v>375</v>
      </c>
      <c r="S4" s="3588" t="s">
        <v>376</v>
      </c>
      <c r="T4" s="3588" t="s">
        <v>377</v>
      </c>
      <c r="U4" s="3588" t="s">
        <v>378</v>
      </c>
      <c r="V4" s="3588" t="s">
        <v>379</v>
      </c>
      <c r="W4" s="5461" t="s">
        <v>380</v>
      </c>
      <c r="X4" s="5304" t="s">
        <v>381</v>
      </c>
      <c r="Y4" s="6626" t="s">
        <v>382</v>
      </c>
      <c r="Z4" s="3596" t="s">
        <v>996</v>
      </c>
      <c r="AA4" s="4623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3417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07"/>
      <c r="AN4" s="7407"/>
      <c r="AO4" s="7406"/>
      <c r="AP4" s="7395"/>
      <c r="AQ4" s="793"/>
      <c r="AR4" s="793"/>
    </row>
    <row r="5" spans="1:54" ht="21.75" customHeight="1">
      <c r="A5" s="7396" t="s">
        <v>260</v>
      </c>
      <c r="B5" s="3421" t="s">
        <v>261</v>
      </c>
      <c r="C5" s="3422" t="s">
        <v>262</v>
      </c>
      <c r="D5" s="3423">
        <v>291296.00400000007</v>
      </c>
      <c r="E5" s="3424">
        <v>329777</v>
      </c>
      <c r="F5" s="3424">
        <v>309881.74400000001</v>
      </c>
      <c r="G5" s="3424">
        <v>316522.94099999999</v>
      </c>
      <c r="H5" s="3425">
        <v>334967.51500000001</v>
      </c>
      <c r="I5" s="3425">
        <v>328724</v>
      </c>
      <c r="J5" s="3425">
        <v>331021.87099999993</v>
      </c>
      <c r="K5" s="3425">
        <f>년간!C8</f>
        <v>302401.17899999995</v>
      </c>
      <c r="L5" s="3670">
        <f>년간!D8</f>
        <v>276588</v>
      </c>
      <c r="M5" s="3671">
        <f>L5/10</f>
        <v>27658.799999999999</v>
      </c>
      <c r="N5" s="3426">
        <f>년간!F8</f>
        <v>26245.87</v>
      </c>
      <c r="O5" s="3427">
        <f>년간!G8</f>
        <v>28930.16</v>
      </c>
      <c r="P5" s="3427">
        <f>년간!H8</f>
        <v>23803.14</v>
      </c>
      <c r="Q5" s="5301">
        <f>년간!I8</f>
        <v>25935.35</v>
      </c>
      <c r="R5" s="3589">
        <f>년간!J8</f>
        <v>25439.66</v>
      </c>
      <c r="S5" s="3589">
        <f>년간!K8</f>
        <v>29493.7</v>
      </c>
      <c r="T5" s="3589">
        <f>년간!L8</f>
        <v>32433.26</v>
      </c>
      <c r="U5" s="3589">
        <f>년간!M8</f>
        <v>28571.633000000002</v>
      </c>
      <c r="V5" s="3589">
        <f>년간!N8</f>
        <v>29580.91</v>
      </c>
      <c r="W5" s="5462">
        <f>년간!O8</f>
        <v>30626.621999999999</v>
      </c>
      <c r="X5" s="5305">
        <f>년간!P8</f>
        <v>652.48</v>
      </c>
      <c r="Y5" s="6627">
        <f>년간!Q8</f>
        <v>0</v>
      </c>
      <c r="Z5" s="3597">
        <f>SUM(N5:Y5)</f>
        <v>281712.78499999997</v>
      </c>
      <c r="AA5" s="5727"/>
      <c r="AB5" s="3428"/>
      <c r="AC5" s="3428"/>
      <c r="AD5" s="3428"/>
      <c r="AE5" s="3428"/>
      <c r="AF5" s="3428"/>
      <c r="AG5" s="3429"/>
      <c r="AH5" s="3428"/>
      <c r="AI5" s="3428"/>
      <c r="AJ5" s="3428"/>
      <c r="AK5" s="3428"/>
      <c r="AL5" s="3428"/>
      <c r="AM5" s="3430"/>
      <c r="AN5" s="3430"/>
      <c r="AO5" s="3430"/>
      <c r="AP5" s="3431"/>
      <c r="AQ5" s="789"/>
      <c r="AR5" s="789">
        <f>Z5/7</f>
        <v>40244.68357142857</v>
      </c>
      <c r="AT5" s="346">
        <f>Z9/7</f>
        <v>1.2271428571428571</v>
      </c>
      <c r="AX5" s="1536" t="s">
        <v>1573</v>
      </c>
    </row>
    <row r="6" spans="1:54" ht="21.75" customHeight="1">
      <c r="A6" s="7184"/>
      <c r="B6" s="3421" t="s">
        <v>263</v>
      </c>
      <c r="C6" s="3262" t="s">
        <v>264</v>
      </c>
      <c r="D6" s="3240">
        <v>60.52</v>
      </c>
      <c r="E6" s="3226">
        <v>62.02</v>
      </c>
      <c r="F6" s="3227">
        <v>54.15</v>
      </c>
      <c r="G6" s="3227">
        <v>51.24</v>
      </c>
      <c r="H6" s="3432">
        <v>54.062042613628726</v>
      </c>
      <c r="I6" s="3432">
        <v>58.04</v>
      </c>
      <c r="J6" s="3432">
        <v>60.206775876441782</v>
      </c>
      <c r="K6" s="3432">
        <f>년간!C117</f>
        <v>58.694362011852682</v>
      </c>
      <c r="L6" s="3645">
        <f>년간!D117</f>
        <v>60</v>
      </c>
      <c r="M6" s="3646">
        <f>L6</f>
        <v>60</v>
      </c>
      <c r="N6" s="3433">
        <f>년간!F117</f>
        <v>60.874104140090452</v>
      </c>
      <c r="O6" s="3434">
        <f>년간!G117</f>
        <v>62.159699194270374</v>
      </c>
      <c r="P6" s="3434">
        <f>년간!H117</f>
        <v>60.15957877000843</v>
      </c>
      <c r="Q6" s="5302">
        <f>년간!I117</f>
        <v>62.721523579201929</v>
      </c>
      <c r="R6" s="3590">
        <f>년간!J117</f>
        <v>57.555791855203616</v>
      </c>
      <c r="S6" s="3590">
        <f>년간!K117</f>
        <v>60.661661867544225</v>
      </c>
      <c r="T6" s="3590">
        <f>년간!L117</f>
        <v>60.070862787467199</v>
      </c>
      <c r="U6" s="3590">
        <f>년간!M117</f>
        <v>60.769159163417235</v>
      </c>
      <c r="V6" s="3590">
        <f>년간!N117</f>
        <v>62.188318149964957</v>
      </c>
      <c r="W6" s="5463">
        <f>년간!O117</f>
        <v>56.385312058913776</v>
      </c>
      <c r="X6" s="5306">
        <f>년간!P117</f>
        <v>68.682105263157894</v>
      </c>
      <c r="Y6" s="6628" t="e">
        <f>년간!Q117</f>
        <v>#DIV/0!</v>
      </c>
      <c r="Z6" s="3598">
        <f>년간!V117</f>
        <v>60.293596370134942</v>
      </c>
      <c r="AA6" s="5728">
        <f>년간!F129/1000</f>
        <v>17715.634185618968</v>
      </c>
      <c r="AB6" s="3285">
        <f>년간!G129/1000</f>
        <v>30402.592980827081</v>
      </c>
      <c r="AC6" s="3285">
        <f>년간!H129/1000</f>
        <v>10928.348521921707</v>
      </c>
      <c r="AD6" s="3285">
        <f>년간!I129/1000</f>
        <v>31390.465998231091</v>
      </c>
      <c r="AE6" s="3285">
        <f>년간!J129/1000</f>
        <v>-9486.4836169369628</v>
      </c>
      <c r="AF6" s="3285">
        <f>년간!K129/1000</f>
        <v>18030.539019309399</v>
      </c>
      <c r="AG6" s="3285">
        <f>년간!L129/1000</f>
        <v>14009.621104853708</v>
      </c>
      <c r="AH6" s="3285">
        <f>년간!M129/1000</f>
        <v>18388.685040832468</v>
      </c>
      <c r="AI6" s="3285">
        <f>년간!N129/1000</f>
        <v>31328.7713122596</v>
      </c>
      <c r="AJ6" s="3285">
        <f>년간!O129/1000</f>
        <v>-23642.295102817043</v>
      </c>
      <c r="AK6" s="3285">
        <f>년간!P129/1000</f>
        <v>1788.603887845042</v>
      </c>
      <c r="AL6" s="3285" t="e">
        <f>년간!Q129/1000</f>
        <v>#DIV/0!</v>
      </c>
      <c r="AM6" s="3435">
        <f>년간!D129/1000</f>
        <v>113450.00077900608</v>
      </c>
      <c r="AN6" s="3436">
        <f>AA6+AB6+AC6+AD6+AE6+AF6+AG6+AH6+AI6+AJ6+AK6</f>
        <v>140854.48333194508</v>
      </c>
      <c r="AO6" s="3437">
        <f>AN6/AM6</f>
        <v>1.2415555959873577</v>
      </c>
      <c r="AP6" s="3438" t="s">
        <v>1541</v>
      </c>
      <c r="AR6" s="789"/>
      <c r="AU6" s="783"/>
    </row>
    <row r="7" spans="1:54" ht="21.75" customHeight="1" thickBot="1">
      <c r="A7" s="7184"/>
      <c r="B7" s="3439" t="s">
        <v>265</v>
      </c>
      <c r="C7" s="3440" t="s">
        <v>266</v>
      </c>
      <c r="D7" s="3441">
        <v>92.99</v>
      </c>
      <c r="E7" s="2092">
        <v>98.18</v>
      </c>
      <c r="F7" s="1619">
        <v>97.91</v>
      </c>
      <c r="G7" s="1619">
        <v>97.67</v>
      </c>
      <c r="H7" s="1576">
        <v>97.281674329511944</v>
      </c>
      <c r="I7" s="1576">
        <v>98.98</v>
      </c>
      <c r="J7" s="1576">
        <v>99.204284713304929</v>
      </c>
      <c r="K7" s="1576">
        <f>년간!C111*100</f>
        <v>99.351749184463827</v>
      </c>
      <c r="L7" s="3442">
        <f>년간!D111*100</f>
        <v>99.5</v>
      </c>
      <c r="M7" s="3443">
        <f>L7</f>
        <v>99.5</v>
      </c>
      <c r="N7" s="3444">
        <f>년간!F111*100</f>
        <v>97.512156507972406</v>
      </c>
      <c r="O7" s="3445">
        <f>년간!G111*100</f>
        <v>98.431441663729288</v>
      </c>
      <c r="P7" s="3445">
        <f>년간!H111*100</f>
        <v>100</v>
      </c>
      <c r="Q7" s="3446">
        <f>년간!I111*100</f>
        <v>99.478748997594224</v>
      </c>
      <c r="R7" s="3445">
        <f>년간!J111*100</f>
        <v>99.661781285231115</v>
      </c>
      <c r="S7" s="3445">
        <f>년간!K111*100</f>
        <v>99.699248120300751</v>
      </c>
      <c r="T7" s="3445">
        <f>년간!L111*100</f>
        <v>100</v>
      </c>
      <c r="U7" s="3445">
        <f>년간!M111*100</f>
        <v>97.849462365591393</v>
      </c>
      <c r="V7" s="3445">
        <f>년간!N111*100</f>
        <v>98.891198891198897</v>
      </c>
      <c r="W7" s="5464">
        <f>년간!O111*100</f>
        <v>99.602689486552563</v>
      </c>
      <c r="X7" s="5307">
        <f>년간!P111*100</f>
        <v>100</v>
      </c>
      <c r="Y7" s="6629" t="e">
        <f>년간!Q111*100</f>
        <v>#DIV/0!</v>
      </c>
      <c r="Z7" s="3447">
        <f>년간!V111*100</f>
        <v>99.12206884847113</v>
      </c>
      <c r="AA7" s="3448">
        <f>년간!F128/1000</f>
        <v>-8775.455013576342</v>
      </c>
      <c r="AB7" s="3449">
        <f>년간!G128/1000</f>
        <v>-4739.0848476804804</v>
      </c>
      <c r="AC7" s="3449">
        <f>년간!H128/1000</f>
        <v>2837.8675225939287</v>
      </c>
      <c r="AD7" s="3449">
        <f>년간!I128/1000</f>
        <v>581.0294929016236</v>
      </c>
      <c r="AE7" s="3449">
        <f>년간!J128/1000</f>
        <v>1516.1721473609991</v>
      </c>
      <c r="AF7" s="3449">
        <f>년간!K128/1000</f>
        <v>1869.3387784508691</v>
      </c>
      <c r="AG7" s="3449">
        <f>년간!L128/1000</f>
        <v>3872.4818194789518</v>
      </c>
      <c r="AH7" s="3449">
        <f>년간!M128/1000</f>
        <v>-7814.9152807715627</v>
      </c>
      <c r="AI7" s="3449">
        <f>년간!N128/1000</f>
        <v>-2423.8144115824484</v>
      </c>
      <c r="AJ7" s="3449">
        <f>년간!O128/1000</f>
        <v>1508.075582803823</v>
      </c>
      <c r="AK7" s="3449">
        <f>년간!P128/1000</f>
        <v>68.137510020157507</v>
      </c>
      <c r="AL7" s="3449" t="e">
        <f>년간!Q128/1000</f>
        <v>#DIV/0!</v>
      </c>
      <c r="AM7" s="3450">
        <f>년간!D128/1000</f>
        <v>7598.9243737040943</v>
      </c>
      <c r="AN7" s="3451">
        <f>AA7+AB7+AC7+AD7+AE7+AF7+AG7+AH7+AI7+AJ7+AK7</f>
        <v>-11500.166700000482</v>
      </c>
      <c r="AO7" s="4837">
        <f>AN7/AM7</f>
        <v>-1.5133940192636406</v>
      </c>
      <c r="AP7" s="3438" t="s">
        <v>1541</v>
      </c>
      <c r="AR7" s="789">
        <f>AR5*0.001</f>
        <v>40.244683571428574</v>
      </c>
      <c r="AT7" s="5874">
        <f>L8-Z8</f>
        <v>0.12793322246290018</v>
      </c>
      <c r="AU7" s="783">
        <f>년간!V2*AT7</f>
        <v>36822.892000006985</v>
      </c>
    </row>
    <row r="8" spans="1:54" ht="21.75" customHeight="1">
      <c r="A8" s="7183" t="s">
        <v>267</v>
      </c>
      <c r="B8" s="925" t="s">
        <v>268</v>
      </c>
      <c r="C8" s="926" t="s">
        <v>266</v>
      </c>
      <c r="D8" s="927">
        <v>97.95</v>
      </c>
      <c r="E8" s="928">
        <v>97.9</v>
      </c>
      <c r="F8" s="928">
        <v>97.5</v>
      </c>
      <c r="G8" s="928">
        <v>97.53</v>
      </c>
      <c r="H8" s="929">
        <v>98.00045319044726</v>
      </c>
      <c r="I8" s="929">
        <v>97.977320000000006</v>
      </c>
      <c r="J8" s="929">
        <v>97.970594907103475</v>
      </c>
      <c r="K8" s="929">
        <f>년간!C87*100</f>
        <v>97.749821155362042</v>
      </c>
      <c r="L8" s="930">
        <f>년간!D87*100</f>
        <v>98</v>
      </c>
      <c r="M8" s="1544">
        <f>L8</f>
        <v>98</v>
      </c>
      <c r="N8" s="1291">
        <f>년간!F87*100</f>
        <v>97.803964795466243</v>
      </c>
      <c r="O8" s="1074">
        <f>년간!G87*100</f>
        <v>97.894259760051099</v>
      </c>
      <c r="P8" s="1074">
        <f>년간!H87*100</f>
        <v>98.038576880174062</v>
      </c>
      <c r="Q8" s="2330">
        <f>년간!I87*100</f>
        <v>98.020622414048859</v>
      </c>
      <c r="R8" s="1074">
        <f>년간!J87*100</f>
        <v>97.780123233813313</v>
      </c>
      <c r="S8" s="1074">
        <f>년간!K87*100</f>
        <v>97.906406843466527</v>
      </c>
      <c r="T8" s="1074">
        <f>년간!L87*100</f>
        <v>97.872463970540053</v>
      </c>
      <c r="U8" s="1074">
        <f>년간!M87*100</f>
        <v>97.68295863040899</v>
      </c>
      <c r="V8" s="1074">
        <f>년간!N87*100</f>
        <v>97.903120660295514</v>
      </c>
      <c r="W8" s="5465">
        <f>년간!O87*100</f>
        <v>97.835967049888623</v>
      </c>
      <c r="X8" s="5308">
        <f>년간!P87*100</f>
        <v>98.270980179528891</v>
      </c>
      <c r="Y8" s="6630" t="e">
        <f>년간!Q87*100</f>
        <v>#DIV/0!</v>
      </c>
      <c r="Z8" s="5746">
        <f>년간!V87*100</f>
        <v>97.8720667775371</v>
      </c>
      <c r="AA8" s="5729">
        <f>년간!F127/1000</f>
        <v>6303.2825169454436</v>
      </c>
      <c r="AB8" s="931">
        <f>년간!G127/1000</f>
        <v>18517.89866170608</v>
      </c>
      <c r="AC8" s="931">
        <f>년간!H127/1000</f>
        <v>30414.638972170324</v>
      </c>
      <c r="AD8" s="931">
        <f>년간!I127/1000</f>
        <v>31084.232300518543</v>
      </c>
      <c r="AE8" s="931">
        <f>년간!J127/1000</f>
        <v>3420.1720265346344</v>
      </c>
      <c r="AF8" s="931">
        <f>년간!K127/1000</f>
        <v>20463.740561803996</v>
      </c>
      <c r="AG8" s="931">
        <f>년간!L127/1000</f>
        <v>17629.456687864786</v>
      </c>
      <c r="AH8" s="931">
        <f>년간!M127/1000</f>
        <v>-8226.4319991654029</v>
      </c>
      <c r="AI8" s="931">
        <f>년간!N127/1000</f>
        <v>20094.192444438882</v>
      </c>
      <c r="AJ8" s="931">
        <f>년간!O127/1000</f>
        <v>11699.032602735373</v>
      </c>
      <c r="AK8" s="931">
        <f>년간!P127/1000</f>
        <v>1501.1600164794886</v>
      </c>
      <c r="AL8" s="931" t="e">
        <f>년간!Q127/1000</f>
        <v>#DIV/0!</v>
      </c>
      <c r="AM8" s="932">
        <f>년간!D127/1000</f>
        <v>306301.48146716465</v>
      </c>
      <c r="AN8" s="1375">
        <f>AA8+AB8+AC8+AD8+AE8+AF8+AG8+AH8+AI8+AJ8+AK8</f>
        <v>152901.37479203218</v>
      </c>
      <c r="AO8" s="933">
        <f>AN8/AM8</f>
        <v>0.4991858807200158</v>
      </c>
      <c r="AP8" s="934" t="s">
        <v>1542</v>
      </c>
      <c r="AQ8" s="1347"/>
      <c r="AR8" s="789"/>
    </row>
    <row r="9" spans="1:54" ht="21.75" customHeight="1" thickBot="1">
      <c r="A9" s="7212"/>
      <c r="B9" s="2456" t="s">
        <v>269</v>
      </c>
      <c r="C9" s="3235" t="s">
        <v>262</v>
      </c>
      <c r="D9" s="3453">
        <v>23</v>
      </c>
      <c r="E9" s="3454">
        <v>83</v>
      </c>
      <c r="F9" s="3454">
        <v>143</v>
      </c>
      <c r="G9" s="3455">
        <v>155</v>
      </c>
      <c r="H9" s="1577">
        <v>59.260000000000005</v>
      </c>
      <c r="I9" s="1577">
        <v>32</v>
      </c>
      <c r="J9" s="1577">
        <v>8.3800000000000008</v>
      </c>
      <c r="K9" s="1577">
        <f>년간!C20</f>
        <v>24.889999999999997</v>
      </c>
      <c r="L9" s="3672">
        <f>년간!D20</f>
        <v>15</v>
      </c>
      <c r="M9" s="3673">
        <f>L9/10</f>
        <v>1.5</v>
      </c>
      <c r="N9" s="2302">
        <f>년간!F20</f>
        <v>0</v>
      </c>
      <c r="O9" s="3456">
        <f>년간!G20</f>
        <v>0</v>
      </c>
      <c r="P9" s="2427">
        <f>년간!H20</f>
        <v>0</v>
      </c>
      <c r="Q9" s="3457">
        <f>년간!I20</f>
        <v>0</v>
      </c>
      <c r="R9" s="2427">
        <f>[2]년간!J20</f>
        <v>0</v>
      </c>
      <c r="S9" s="2427">
        <f>년간!K20</f>
        <v>0</v>
      </c>
      <c r="T9" s="2427">
        <f>년간!L20</f>
        <v>3.59</v>
      </c>
      <c r="U9" s="2427">
        <f>년간!M20</f>
        <v>5</v>
      </c>
      <c r="V9" s="2427">
        <f>년간!N20</f>
        <v>0</v>
      </c>
      <c r="W9" s="5466">
        <f>년간!O20</f>
        <v>0</v>
      </c>
      <c r="X9" s="5309">
        <f>년간!P20</f>
        <v>0</v>
      </c>
      <c r="Y9" s="6631">
        <f>년간!Q20</f>
        <v>0</v>
      </c>
      <c r="Z9" s="5747">
        <f>SUM(N9:Y9)</f>
        <v>8.59</v>
      </c>
      <c r="AA9" s="5730"/>
      <c r="AB9" s="3458"/>
      <c r="AC9" s="3458"/>
      <c r="AD9" s="3458"/>
      <c r="AE9" s="3458"/>
      <c r="AF9" s="3458"/>
      <c r="AG9" s="3459"/>
      <c r="AH9" s="3458"/>
      <c r="AI9" s="3458"/>
      <c r="AJ9" s="3458"/>
      <c r="AK9" s="3458"/>
      <c r="AL9" s="3458"/>
      <c r="AM9" s="3460"/>
      <c r="AN9" s="3461"/>
      <c r="AO9" s="3239"/>
      <c r="AP9" s="3284"/>
      <c r="AQ9" s="789"/>
      <c r="AR9" s="789"/>
      <c r="AX9" s="346">
        <v>196402.28700000001</v>
      </c>
    </row>
    <row r="10" spans="1:54" ht="21.75" customHeight="1">
      <c r="A10" s="7183" t="s">
        <v>547</v>
      </c>
      <c r="B10" s="3177" t="s">
        <v>545</v>
      </c>
      <c r="C10" s="917" t="s">
        <v>761</v>
      </c>
      <c r="D10" s="918">
        <v>5185</v>
      </c>
      <c r="E10" s="919">
        <v>5089</v>
      </c>
      <c r="F10" s="919">
        <v>5094</v>
      </c>
      <c r="G10" s="919">
        <v>5445.77</v>
      </c>
      <c r="H10" s="920">
        <v>5375.46</v>
      </c>
      <c r="I10" s="920">
        <v>5472</v>
      </c>
      <c r="J10" s="920">
        <v>4957</v>
      </c>
      <c r="K10" s="920">
        <v>4739.51</v>
      </c>
      <c r="L10" s="921">
        <v>4220</v>
      </c>
      <c r="M10" s="2307">
        <f>L10/10</f>
        <v>422</v>
      </c>
      <c r="N10" s="2503">
        <f>스크!B18</f>
        <v>359.82</v>
      </c>
      <c r="O10" s="2504">
        <f>스크!B19</f>
        <v>382.75</v>
      </c>
      <c r="P10" s="2504">
        <f>스크!B20</f>
        <v>344.45</v>
      </c>
      <c r="Q10" s="4316">
        <f>스크!B22</f>
        <v>351.94</v>
      </c>
      <c r="R10" s="2504">
        <f>스크!B23</f>
        <v>394.88</v>
      </c>
      <c r="S10" s="2504">
        <f>스크!B24</f>
        <v>454.33</v>
      </c>
      <c r="T10" s="2504">
        <f>스크!B27</f>
        <v>441.21</v>
      </c>
      <c r="U10" s="2504">
        <f>스크!B28</f>
        <v>463.24</v>
      </c>
      <c r="V10" s="2504">
        <f>스크!B29</f>
        <v>403.85</v>
      </c>
      <c r="W10" s="5467">
        <f>스크!B31</f>
        <v>463.82</v>
      </c>
      <c r="X10" s="5310">
        <f>스크!B32</f>
        <v>0</v>
      </c>
      <c r="Y10" s="6632">
        <f>스크!B33</f>
        <v>0</v>
      </c>
      <c r="Z10" s="5748">
        <f>SUM(N10:Y10)</f>
        <v>4060.29</v>
      </c>
      <c r="AA10" s="5731"/>
      <c r="AB10" s="922"/>
      <c r="AC10" s="922"/>
      <c r="AD10" s="922"/>
      <c r="AE10" s="922"/>
      <c r="AF10" s="922"/>
      <c r="AG10" s="922"/>
      <c r="AH10" s="922"/>
      <c r="AI10" s="922"/>
      <c r="AJ10" s="922"/>
      <c r="AK10" s="922"/>
      <c r="AL10" s="922"/>
      <c r="AM10" s="824"/>
      <c r="AN10" s="923"/>
      <c r="AO10" s="924"/>
      <c r="AP10" s="3462" t="s">
        <v>1473</v>
      </c>
      <c r="AQ10" s="789"/>
      <c r="AR10" s="789"/>
      <c r="AT10" s="1535">
        <f>Z10/7</f>
        <v>580.04142857142858</v>
      </c>
      <c r="AX10" s="5875">
        <f>(Z5+189)/AX9</f>
        <v>1.4353284236450869</v>
      </c>
    </row>
    <row r="11" spans="1:54" ht="21.75" customHeight="1">
      <c r="A11" s="7184"/>
      <c r="B11" s="3463" t="s" ph="1">
        <v>883</v>
      </c>
      <c r="C11" s="3262" t="s">
        <v>761</v>
      </c>
      <c r="D11" s="3464"/>
      <c r="E11" s="3227">
        <v>462.49</v>
      </c>
      <c r="F11" s="3227">
        <v>875.56999999999994</v>
      </c>
      <c r="G11" s="3465">
        <f>스크!C12</f>
        <v>974.07999999999993</v>
      </c>
      <c r="H11" s="3466">
        <f>스크!C13</f>
        <v>808.61999999999989</v>
      </c>
      <c r="I11" s="3466">
        <f>스크!C14</f>
        <v>812.41000000000008</v>
      </c>
      <c r="J11" s="3466">
        <v>894.74</v>
      </c>
      <c r="K11" s="3466">
        <v>919.09999999999991</v>
      </c>
      <c r="L11" s="3674">
        <v>759</v>
      </c>
      <c r="M11" s="3646">
        <f>L11/10</f>
        <v>75.900000000000006</v>
      </c>
      <c r="N11" s="4317">
        <f>스크!C18</f>
        <v>60.41</v>
      </c>
      <c r="O11" s="4318">
        <f>스크!C19</f>
        <v>68.34</v>
      </c>
      <c r="P11" s="4318">
        <f>스크!C20</f>
        <v>48.74</v>
      </c>
      <c r="Q11" s="5201">
        <f>스크!C22</f>
        <v>52</v>
      </c>
      <c r="R11" s="4276">
        <f>스크!C23</f>
        <v>49.17</v>
      </c>
      <c r="S11" s="4276">
        <f>스크!C24</f>
        <v>80.95</v>
      </c>
      <c r="T11" s="4276">
        <f>스크!C27</f>
        <v>60.96</v>
      </c>
      <c r="U11" s="4276">
        <f>스크!C28</f>
        <v>82.16</v>
      </c>
      <c r="V11" s="4276">
        <f>스크!C29</f>
        <v>63.1</v>
      </c>
      <c r="W11" s="5468">
        <f>스크!C31</f>
        <v>66.069999999999993</v>
      </c>
      <c r="X11" s="5311">
        <f>스크!C32</f>
        <v>10.5</v>
      </c>
      <c r="Y11" s="6633">
        <f>스크!C33</f>
        <v>0</v>
      </c>
      <c r="Z11" s="3598">
        <f>SUM(N11:Y11)</f>
        <v>642.40000000000009</v>
      </c>
      <c r="AA11" s="5727"/>
      <c r="AB11" s="3468"/>
      <c r="AC11" s="3468"/>
      <c r="AD11" s="3468"/>
      <c r="AE11" s="3468"/>
      <c r="AF11" s="3468"/>
      <c r="AG11" s="3468"/>
      <c r="AH11" s="3468"/>
      <c r="AI11" s="3468"/>
      <c r="AJ11" s="3468"/>
      <c r="AK11" s="3468"/>
      <c r="AL11" s="3468"/>
      <c r="AM11" s="3430"/>
      <c r="AN11" s="3469"/>
      <c r="AO11" s="3470"/>
      <c r="AP11" s="3462" t="s">
        <v>1474</v>
      </c>
      <c r="AQ11" s="789" t="s">
        <v>1873</v>
      </c>
      <c r="AR11" s="789"/>
      <c r="AT11" s="1535">
        <f>Z11/7</f>
        <v>91.771428571428586</v>
      </c>
    </row>
    <row r="12" spans="1:54" ht="21.75" customHeight="1">
      <c r="A12" s="7184"/>
      <c r="B12" s="3421" t="s">
        <v>546</v>
      </c>
      <c r="C12" s="3262" t="s">
        <v>761</v>
      </c>
      <c r="D12" s="3464"/>
      <c r="E12" s="3227"/>
      <c r="F12" s="3227"/>
      <c r="G12" s="3471"/>
      <c r="H12" s="3466">
        <v>213.18</v>
      </c>
      <c r="I12" s="3466">
        <v>24</v>
      </c>
      <c r="J12" s="3466">
        <v>0</v>
      </c>
      <c r="K12" s="3466">
        <v>45.37</v>
      </c>
      <c r="L12" s="3674">
        <v>20</v>
      </c>
      <c r="M12" s="3646">
        <f>L12/10</f>
        <v>2</v>
      </c>
      <c r="N12" s="3433">
        <v>2.79</v>
      </c>
      <c r="O12" s="3434">
        <v>6.3</v>
      </c>
      <c r="P12" s="3434">
        <v>3.19</v>
      </c>
      <c r="Q12" s="5302">
        <v>10.76</v>
      </c>
      <c r="R12" s="3590">
        <v>0.502</v>
      </c>
      <c r="S12" s="3590">
        <v>0</v>
      </c>
      <c r="T12" s="3590">
        <v>3.92</v>
      </c>
      <c r="U12" s="3590">
        <v>15.462999999999999</v>
      </c>
      <c r="V12" s="3590">
        <v>2.6320000000000001</v>
      </c>
      <c r="W12" s="5463">
        <v>0</v>
      </c>
      <c r="X12" s="5306">
        <v>0</v>
      </c>
      <c r="Y12" s="6628">
        <v>0</v>
      </c>
      <c r="Z12" s="5749">
        <f>SUM(N12:Y12)</f>
        <v>45.556999999999995</v>
      </c>
      <c r="AA12" s="5727"/>
      <c r="AB12" s="3468"/>
      <c r="AC12" s="3468"/>
      <c r="AD12" s="3468"/>
      <c r="AE12" s="3468"/>
      <c r="AF12" s="3468"/>
      <c r="AG12" s="3468"/>
      <c r="AH12" s="3468"/>
      <c r="AI12" s="3468"/>
      <c r="AJ12" s="3468"/>
      <c r="AK12" s="3468"/>
      <c r="AL12" s="3468"/>
      <c r="AM12" s="3430"/>
      <c r="AN12" s="3469"/>
      <c r="AO12" s="3470"/>
      <c r="AP12" s="3462" t="s">
        <v>1475</v>
      </c>
      <c r="AQ12" s="789"/>
      <c r="AR12" s="789"/>
      <c r="AT12" s="1535">
        <f>Z12/7</f>
        <v>6.5081428571428566</v>
      </c>
    </row>
    <row r="13" spans="1:54" s="1535" customFormat="1" ht="21.75" customHeight="1">
      <c r="A13" s="7184"/>
      <c r="B13" s="3472" t="s">
        <v>1013</v>
      </c>
      <c r="C13" s="3440" t="s">
        <v>1014</v>
      </c>
      <c r="D13" s="1618"/>
      <c r="E13" s="1619"/>
      <c r="F13" s="1619"/>
      <c r="G13" s="1620"/>
      <c r="H13" s="1522">
        <v>80.09</v>
      </c>
      <c r="I13" s="1522">
        <v>31.93</v>
      </c>
      <c r="J13" s="1522">
        <v>12.39</v>
      </c>
      <c r="K13" s="1703">
        <v>24.68</v>
      </c>
      <c r="L13" s="3473">
        <v>15</v>
      </c>
      <c r="M13" s="3676">
        <f>L13/10</f>
        <v>1.5</v>
      </c>
      <c r="N13" s="3444">
        <v>0</v>
      </c>
      <c r="O13" s="3434">
        <v>0</v>
      </c>
      <c r="P13" s="3445">
        <v>0</v>
      </c>
      <c r="Q13" s="3446">
        <v>0</v>
      </c>
      <c r="R13" s="3445">
        <v>0</v>
      </c>
      <c r="S13" s="3445">
        <v>0</v>
      </c>
      <c r="T13" s="3445">
        <v>20.46</v>
      </c>
      <c r="U13" s="3445">
        <v>0</v>
      </c>
      <c r="V13" s="3445">
        <v>20.29</v>
      </c>
      <c r="W13" s="5464">
        <v>13.260000000000002</v>
      </c>
      <c r="X13" s="5307">
        <v>0</v>
      </c>
      <c r="Y13" s="6629"/>
      <c r="Z13" s="5749">
        <f>SUM(N13:Y13)</f>
        <v>54.010000000000005</v>
      </c>
      <c r="AA13" s="5732"/>
      <c r="AB13" s="3474"/>
      <c r="AC13" s="3474"/>
      <c r="AD13" s="3475"/>
      <c r="AE13" s="3475"/>
      <c r="AF13" s="3475"/>
      <c r="AG13" s="3475"/>
      <c r="AH13" s="3475"/>
      <c r="AI13" s="3475"/>
      <c r="AJ13" s="3476"/>
      <c r="AK13" s="3476"/>
      <c r="AL13" s="3476"/>
      <c r="AM13" s="3477"/>
      <c r="AN13" s="3478"/>
      <c r="AO13" s="3479"/>
      <c r="AP13" s="3462" t="s">
        <v>1476</v>
      </c>
      <c r="AQ13" s="1179"/>
      <c r="AR13" s="1734"/>
      <c r="AS13" s="798"/>
      <c r="AT13" s="1535">
        <f>Z13/7</f>
        <v>7.7157142857142862</v>
      </c>
      <c r="AU13" s="798"/>
      <c r="AV13" s="798"/>
      <c r="AW13" s="798"/>
      <c r="AX13" s="798"/>
      <c r="AY13" s="798">
        <f>Z5*0.001</f>
        <v>281.712785</v>
      </c>
      <c r="AZ13" s="798"/>
      <c r="BA13" s="798"/>
      <c r="BB13" s="798"/>
    </row>
    <row r="14" spans="1:54" ht="21.75" customHeight="1" thickBot="1">
      <c r="A14" s="7184"/>
      <c r="B14" s="3439" t="s">
        <v>880</v>
      </c>
      <c r="C14" s="3440" t="s">
        <v>885</v>
      </c>
      <c r="D14" s="1618"/>
      <c r="E14" s="1619"/>
      <c r="F14" s="1619"/>
      <c r="G14" s="1620">
        <f>(G10/12)+(G11/12)+(G12/12)+(CRM!G14/12)</f>
        <v>552.48750000000007</v>
      </c>
      <c r="H14" s="3480">
        <f>SUM(H10:H13)</f>
        <v>6477.35</v>
      </c>
      <c r="I14" s="3480">
        <f>SUM(I10:I13)</f>
        <v>6340.34</v>
      </c>
      <c r="J14" s="3480">
        <f>SUM(J10:J13)</f>
        <v>5864.13</v>
      </c>
      <c r="K14" s="3480">
        <f>SUM(K10:K13)</f>
        <v>5728.6600000000008</v>
      </c>
      <c r="L14" s="3481">
        <f>SUM(L10:L13)</f>
        <v>5014</v>
      </c>
      <c r="M14" s="3675">
        <f>SUM(M10:M12)</f>
        <v>499.9</v>
      </c>
      <c r="N14" s="3467">
        <f>SUM(N10:N13)</f>
        <v>423.02000000000004</v>
      </c>
      <c r="O14" s="3283">
        <f t="shared" ref="O14:Y14" si="0">SUM(O10:O13)</f>
        <v>457.39000000000004</v>
      </c>
      <c r="P14" s="3283">
        <f t="shared" si="0"/>
        <v>396.38</v>
      </c>
      <c r="Q14" s="3591">
        <f t="shared" si="0"/>
        <v>414.7</v>
      </c>
      <c r="R14" s="3591">
        <f t="shared" si="0"/>
        <v>444.55200000000002</v>
      </c>
      <c r="S14" s="3591">
        <f t="shared" si="0"/>
        <v>535.28</v>
      </c>
      <c r="T14" s="3591">
        <f t="shared" si="0"/>
        <v>526.54999999999995</v>
      </c>
      <c r="U14" s="3591">
        <f t="shared" si="0"/>
        <v>560.86299999999994</v>
      </c>
      <c r="V14" s="3591">
        <f t="shared" si="0"/>
        <v>489.87200000000007</v>
      </c>
      <c r="W14" s="5469">
        <f t="shared" si="0"/>
        <v>543.15</v>
      </c>
      <c r="X14" s="5312">
        <f t="shared" si="0"/>
        <v>10.5</v>
      </c>
      <c r="Y14" s="6634">
        <f t="shared" si="0"/>
        <v>0</v>
      </c>
      <c r="Z14" s="5749">
        <f t="shared" ref="Z14:Z23" si="1">SUM(N14:Y14)</f>
        <v>4802.2569999999996</v>
      </c>
      <c r="AA14" s="5732"/>
      <c r="AB14" s="3475"/>
      <c r="AC14" s="3475"/>
      <c r="AD14" s="3475"/>
      <c r="AE14" s="3475"/>
      <c r="AF14" s="3475"/>
      <c r="AG14" s="3475"/>
      <c r="AH14" s="3475"/>
      <c r="AI14" s="3475"/>
      <c r="AJ14" s="3476"/>
      <c r="AK14" s="3476"/>
      <c r="AL14" s="3476"/>
      <c r="AM14" s="3477"/>
      <c r="AN14" s="3478"/>
      <c r="AO14" s="3479"/>
      <c r="AP14" s="3462" t="s">
        <v>1477</v>
      </c>
      <c r="AQ14" s="1179"/>
      <c r="AT14" s="1535">
        <f>Z14/7</f>
        <v>686.0367142857142</v>
      </c>
      <c r="AU14" s="798"/>
      <c r="AV14" s="798"/>
      <c r="AW14" s="798"/>
      <c r="AX14" s="798"/>
      <c r="AY14" s="798"/>
      <c r="AZ14" s="798"/>
      <c r="BA14" s="798"/>
      <c r="BB14" s="798"/>
    </row>
    <row r="15" spans="1:54" ht="21.75" customHeight="1">
      <c r="A15" s="7184"/>
      <c r="B15" s="3439" t="s">
        <v>1511</v>
      </c>
      <c r="C15" s="3440" t="s">
        <v>270</v>
      </c>
      <c r="D15" s="1618">
        <v>17.801068084682683</v>
      </c>
      <c r="E15" s="1619">
        <v>16.835043074562506</v>
      </c>
      <c r="F15" s="1619">
        <v>19.265187819518658</v>
      </c>
      <c r="G15" s="1619">
        <v>20.282416117193858</v>
      </c>
      <c r="H15" s="1576">
        <v>18.464997227375001</v>
      </c>
      <c r="I15" s="1576">
        <v>19.12</v>
      </c>
      <c r="J15" s="1576">
        <v>17.968299139968313</v>
      </c>
      <c r="K15" s="1576">
        <v>19.001744698885588</v>
      </c>
      <c r="L15" s="3746">
        <f>(L10+L11+L12+CRM!L14)*1000/L5</f>
        <v>18.211202221354505</v>
      </c>
      <c r="M15" s="3482">
        <f>L15</f>
        <v>18.211202221354505</v>
      </c>
      <c r="N15" s="3483">
        <f>(N10+N11+N12+CRM!N14)*1000/N5</f>
        <v>16.117583452177431</v>
      </c>
      <c r="O15" s="3484">
        <f>(O10+O11+O12+CRM!O14)*1000/O5</f>
        <v>15.810144154059294</v>
      </c>
      <c r="P15" s="3484">
        <f>(P10+P11+P12+CRM!P14)*1000/P5</f>
        <v>16.691915436366799</v>
      </c>
      <c r="Q15" s="3485">
        <f>(Q10+Q11+Q12+CRM!Q14)*1000/Q5</f>
        <v>15.989759151119998</v>
      </c>
      <c r="R15" s="3484">
        <f>(R10+R11+R12+CRM!R14)*1000/R5</f>
        <v>17.495595460002217</v>
      </c>
      <c r="S15" s="3484">
        <f>(S10+S11+S12+CRM!S14)*1000/S5</f>
        <v>18.148960625489512</v>
      </c>
      <c r="T15" s="3484">
        <f>(T10+T11+T12+CRM!T14)*1000/T5</f>
        <v>15.613293267466792</v>
      </c>
      <c r="U15" s="3484">
        <f>(U10+U11+U12+CRM!U14)*1000/U5</f>
        <v>19.668914268918403</v>
      </c>
      <c r="V15" s="3484">
        <f>(V10+V11+V12+CRM!V14)*1000/V5</f>
        <v>15.874494733258715</v>
      </c>
      <c r="W15" s="5470">
        <f>(W10+W11+W12+CRM!W14)*1000/W5</f>
        <v>17.37671232563617</v>
      </c>
      <c r="X15" s="5313">
        <f>(X10+X11+X12+CRM!X14)*1000/X5</f>
        <v>16.09244727807749</v>
      </c>
      <c r="Y15" s="3483" t="e">
        <f>(Y10+Y11+Y12+CRM!Y14)*1000/Y5</f>
        <v>#DIV/0!</v>
      </c>
      <c r="Z15" s="3576">
        <f>(Z10+Z11+Z12+CRM!Z14)*1000/Z5</f>
        <v>16.873309459490812</v>
      </c>
      <c r="AA15" s="3448">
        <f>($K$15-N15)*N5*년간!$C$213/1000000</f>
        <v>32839.408074310726</v>
      </c>
      <c r="AB15" s="3448">
        <f>($K$15-O15)*O5*년간!$C$213/1000000</f>
        <v>40056.608519758825</v>
      </c>
      <c r="AC15" s="3448">
        <f>($K$15-P15)*P5*년간!$C$213/1000000</f>
        <v>23852.22733152617</v>
      </c>
      <c r="AD15" s="3448">
        <f>($K$15-Q15)*Q5*년간!$C$213/1000000</f>
        <v>33889.082169328918</v>
      </c>
      <c r="AE15" s="3448">
        <f>($K$15-R15)*R5*년간!$C$213/1000000</f>
        <v>16622.414941157018</v>
      </c>
      <c r="AF15" s="3448">
        <f>($K$15-S15)*S5*년간!$C$213/1000000</f>
        <v>10911.467143223388</v>
      </c>
      <c r="AG15" s="3448">
        <f>($K$15-T15)*T5*년간!$C$213/1000000</f>
        <v>47676.753901886652</v>
      </c>
      <c r="AH15" s="3448">
        <f>($K$15-U15)*U5*년간!$C$213/1000000</f>
        <v>-8269.6304542553335</v>
      </c>
      <c r="AI15" s="3448">
        <f>($K$15-V15)*V5*년간!$C$213/1000000</f>
        <v>40131.827465387738</v>
      </c>
      <c r="AJ15" s="3448">
        <f>($K$15-W15)*W5*년간!$C$213/1000000</f>
        <v>21591.157507621148</v>
      </c>
      <c r="AK15" s="3448">
        <f>($K$15-X15)*X5*년간!$C$213/1000000</f>
        <v>823.51238682494682</v>
      </c>
      <c r="AL15" s="3448" t="e">
        <f>($K$15-Y15)*Y5*년간!$C$213/1000000</f>
        <v>#DIV/0!</v>
      </c>
      <c r="AM15" s="3450">
        <f>(K15-L15)*L5*년간!C213/1000000</f>
        <v>94857.866911787773</v>
      </c>
      <c r="AN15" s="3486">
        <f>AA15+AB15+AC15+AD15+AE15+AF15+AG15+AH15+AI15+AJ15+AK15</f>
        <v>260124.82898677021</v>
      </c>
      <c r="AO15" s="3452">
        <f>AN15/AM15</f>
        <v>2.7422588917023716</v>
      </c>
      <c r="AP15" s="934" t="s">
        <v>1542</v>
      </c>
      <c r="AQ15" s="863" t="s">
        <v>1519</v>
      </c>
      <c r="AU15" s="798"/>
      <c r="AV15" s="798"/>
      <c r="AW15" s="798"/>
      <c r="AX15" s="798"/>
      <c r="AY15" s="798"/>
      <c r="AZ15" s="798"/>
      <c r="BA15" s="798"/>
      <c r="BB15" s="798"/>
    </row>
    <row r="16" spans="1:54" s="1535" customFormat="1" ht="21.75" customHeight="1" thickBot="1">
      <c r="A16" s="7212"/>
      <c r="B16" s="3495" t="s">
        <v>884</v>
      </c>
      <c r="C16" s="3440" t="s">
        <v>270</v>
      </c>
      <c r="D16" s="1618"/>
      <c r="E16" s="1619"/>
      <c r="F16" s="1619"/>
      <c r="G16" s="1619"/>
      <c r="H16" s="3577">
        <f>스크!G13</f>
        <v>18.464997227375001</v>
      </c>
      <c r="I16" s="3577">
        <f>스크!G14</f>
        <v>19.118195711389259</v>
      </c>
      <c r="J16" s="3577">
        <f>스크!G15</f>
        <v>17.677330236188251</v>
      </c>
      <c r="K16" s="3577">
        <f>스크!G16</f>
        <v>18.71226170054053</v>
      </c>
      <c r="L16" s="3578">
        <f>(L10+L11+L12)/L5*1000</f>
        <v>18.073813759092946</v>
      </c>
      <c r="M16" s="3579">
        <f>L16</f>
        <v>18.073813759092946</v>
      </c>
      <c r="N16" s="3580">
        <f>스크!G18</f>
        <v>16.011281012974614</v>
      </c>
      <c r="O16" s="3581">
        <f>스크!G19</f>
        <v>15.592378334582319</v>
      </c>
      <c r="P16" s="3581">
        <f>스크!G20</f>
        <v>16.974651243491405</v>
      </c>
      <c r="Q16" s="3582">
        <f>스크!G22</f>
        <v>15.848639019716334</v>
      </c>
      <c r="R16" s="3581">
        <f>스크!G23</f>
        <v>17.455028880102958</v>
      </c>
      <c r="S16" s="3581">
        <f>스크!G24</f>
        <v>18.498187748570032</v>
      </c>
      <c r="T16" s="3581">
        <f>스크!G27</f>
        <v>15.84762062154714</v>
      </c>
      <c r="U16" s="3581">
        <f>스크!G28</f>
        <v>19.352061535999706</v>
      </c>
      <c r="V16" s="3581">
        <f>스크!G29</f>
        <v>16.184762402508916</v>
      </c>
      <c r="W16" s="5471">
        <f>스크!G31</f>
        <v>17.725755063682833</v>
      </c>
      <c r="X16" s="5314">
        <f>스크!G32</f>
        <v>16.092447278077486</v>
      </c>
      <c r="Y16" s="3580" t="e">
        <f>스크!G33</f>
        <v>#DIV/0!</v>
      </c>
      <c r="Z16" s="5750">
        <f>스크!G36</f>
        <v>16.950206927953232</v>
      </c>
      <c r="AA16" s="3583"/>
      <c r="AB16" s="3583"/>
      <c r="AC16" s="3583"/>
      <c r="AD16" s="3583"/>
      <c r="AE16" s="3583"/>
      <c r="AF16" s="3583"/>
      <c r="AG16" s="3583"/>
      <c r="AH16" s="3583"/>
      <c r="AI16" s="3583"/>
      <c r="AJ16" s="3583"/>
      <c r="AK16" s="3583"/>
      <c r="AL16" s="3583"/>
      <c r="AM16" s="3584"/>
      <c r="AN16" s="3585"/>
      <c r="AO16" s="3586"/>
      <c r="AP16" s="3587"/>
      <c r="AQ16" s="863" t="s">
        <v>1520</v>
      </c>
      <c r="AU16" s="3407"/>
      <c r="AV16" s="3407"/>
      <c r="AW16" s="3407"/>
      <c r="AX16" s="3407"/>
      <c r="AY16" s="3407"/>
      <c r="AZ16" s="3407"/>
      <c r="BA16" s="3407"/>
      <c r="BB16" s="3407"/>
    </row>
    <row r="17" spans="1:54" ht="21.75" customHeight="1" thickBot="1">
      <c r="A17" s="3179" t="s">
        <v>265</v>
      </c>
      <c r="B17" s="3180" t="s">
        <v>821</v>
      </c>
      <c r="C17" s="945" t="s">
        <v>271</v>
      </c>
      <c r="D17" s="946"/>
      <c r="E17" s="947"/>
      <c r="F17" s="948"/>
      <c r="G17" s="949">
        <v>12060</v>
      </c>
      <c r="H17" s="950">
        <v>6867</v>
      </c>
      <c r="I17" s="950">
        <v>1908</v>
      </c>
      <c r="J17" s="950">
        <v>1070.9100000000001</v>
      </c>
      <c r="K17" s="950">
        <v>2761.3699999999994</v>
      </c>
      <c r="L17" s="951">
        <v>1500</v>
      </c>
      <c r="M17" s="2308">
        <f t="shared" ref="M17:M23" si="2">L17/10</f>
        <v>150</v>
      </c>
      <c r="N17" s="2303">
        <v>173.53</v>
      </c>
      <c r="O17" s="1269">
        <v>434.70000000000005</v>
      </c>
      <c r="P17" s="1269">
        <v>186.6</v>
      </c>
      <c r="Q17" s="2332">
        <v>541.08000000000004</v>
      </c>
      <c r="R17" s="1269">
        <v>685.14</v>
      </c>
      <c r="S17" s="1269">
        <v>1024.3</v>
      </c>
      <c r="T17" s="1269">
        <v>328.19</v>
      </c>
      <c r="U17" s="1269">
        <v>143.68</v>
      </c>
      <c r="V17" s="1269">
        <v>68.17</v>
      </c>
      <c r="W17" s="5472">
        <v>529.76</v>
      </c>
      <c r="X17" s="5315">
        <v>0</v>
      </c>
      <c r="Y17" s="6636"/>
      <c r="Z17" s="5751">
        <f t="shared" si="1"/>
        <v>4115.1500000000005</v>
      </c>
      <c r="AA17" s="1374">
        <f>($K$17/12-N17)*1106.418/60</f>
        <v>1043.4290085833322</v>
      </c>
      <c r="AB17" s="1374">
        <f>($K$17/12-O17)*1106.418/60</f>
        <v>-3772.6241424166678</v>
      </c>
      <c r="AC17" s="1374">
        <f t="shared" ref="AC17:AL17" si="3">($K$17/12-P17)*1106.418/60</f>
        <v>802.41428758333257</v>
      </c>
      <c r="AD17" s="1374">
        <f t="shared" si="3"/>
        <v>-5734.3032564166679</v>
      </c>
      <c r="AE17" s="1374">
        <f t="shared" si="3"/>
        <v>-8390.8128744166661</v>
      </c>
      <c r="AF17" s="1374">
        <f t="shared" si="3"/>
        <v>-14645.025022416665</v>
      </c>
      <c r="AG17" s="1374">
        <f t="shared" si="3"/>
        <v>-1808.5477894166675</v>
      </c>
      <c r="AH17" s="1374">
        <f t="shared" si="3"/>
        <v>1593.8719635833322</v>
      </c>
      <c r="AI17" s="1374">
        <f t="shared" si="3"/>
        <v>2986.2990165833321</v>
      </c>
      <c r="AJ17" s="1374">
        <f t="shared" si="3"/>
        <v>-5525.5590604166664</v>
      </c>
      <c r="AK17" s="1374">
        <f t="shared" si="3"/>
        <v>4243.3742675833319</v>
      </c>
      <c r="AL17" s="1374">
        <f t="shared" si="3"/>
        <v>4243.3742675833319</v>
      </c>
      <c r="AM17" s="1374">
        <f>($K$17-L17)*1106.418/60</f>
        <v>23260.041210999989</v>
      </c>
      <c r="AN17" s="954">
        <f>AA17+AB17+AC17+AD17+AE17+AF17+AG17+AH17+AI17+AJ17+AK17</f>
        <v>-29207.483601583339</v>
      </c>
      <c r="AO17" s="4838">
        <f>AN17/AM17</f>
        <v>-1.2556935448493842</v>
      </c>
      <c r="AP17" s="3438" t="s">
        <v>1386</v>
      </c>
      <c r="AT17" s="1535">
        <f>Z17/7</f>
        <v>587.87857142857149</v>
      </c>
      <c r="AU17" s="798"/>
      <c r="AV17" s="798"/>
      <c r="AW17" s="798"/>
      <c r="AX17" s="798"/>
      <c r="AY17" s="798"/>
      <c r="AZ17" s="798"/>
      <c r="BA17" s="798"/>
      <c r="BB17" s="798"/>
    </row>
    <row r="18" spans="1:54" s="799" customFormat="1" ht="21.75" customHeight="1">
      <c r="A18" s="7184" t="s">
        <v>788</v>
      </c>
      <c r="B18" s="7213" t="s">
        <v>784</v>
      </c>
      <c r="C18" s="913" t="s">
        <v>787</v>
      </c>
      <c r="D18" s="938"/>
      <c r="E18" s="939"/>
      <c r="F18" s="940"/>
      <c r="G18" s="941">
        <v>69</v>
      </c>
      <c r="H18" s="942">
        <v>35</v>
      </c>
      <c r="I18" s="942">
        <v>17</v>
      </c>
      <c r="J18" s="942">
        <v>14</v>
      </c>
      <c r="K18" s="942">
        <v>24</v>
      </c>
      <c r="L18" s="1787">
        <v>17</v>
      </c>
      <c r="M18" s="1321">
        <f t="shared" si="2"/>
        <v>1.7</v>
      </c>
      <c r="N18" s="2304">
        <v>1</v>
      </c>
      <c r="O18" s="1270">
        <v>4</v>
      </c>
      <c r="P18" s="1270">
        <v>0</v>
      </c>
      <c r="Q18" s="1270">
        <v>1</v>
      </c>
      <c r="R18" s="1270">
        <v>2</v>
      </c>
      <c r="S18" s="1270">
        <v>1</v>
      </c>
      <c r="T18" s="1270">
        <v>0</v>
      </c>
      <c r="U18" s="6650">
        <v>1</v>
      </c>
      <c r="V18" s="6650">
        <v>0</v>
      </c>
      <c r="W18" s="6091">
        <v>0</v>
      </c>
      <c r="X18" s="5878">
        <v>0</v>
      </c>
      <c r="Y18" s="6637"/>
      <c r="Z18" s="5752">
        <f t="shared" si="1"/>
        <v>10</v>
      </c>
      <c r="AA18" s="5733"/>
      <c r="AB18" s="825"/>
      <c r="AC18" s="825"/>
      <c r="AD18" s="825"/>
      <c r="AE18" s="825"/>
      <c r="AF18" s="825"/>
      <c r="AG18" s="825"/>
      <c r="AH18" s="825"/>
      <c r="AI18" s="825"/>
      <c r="AJ18" s="825"/>
      <c r="AK18" s="825"/>
      <c r="AL18" s="825"/>
      <c r="AM18" s="943"/>
      <c r="AN18" s="923"/>
      <c r="AO18" s="944"/>
      <c r="AP18" s="1273"/>
      <c r="AQ18" s="798"/>
      <c r="AY18" s="798"/>
      <c r="AZ18" s="798"/>
      <c r="BA18" s="798"/>
      <c r="BB18" s="798"/>
    </row>
    <row r="19" spans="1:54" s="799" customFormat="1" ht="21.75" customHeight="1">
      <c r="A19" s="7184"/>
      <c r="B19" s="7209"/>
      <c r="C19" s="3440" t="s">
        <v>792</v>
      </c>
      <c r="D19" s="3487"/>
      <c r="E19" s="3488"/>
      <c r="F19" s="2150"/>
      <c r="G19" s="1566">
        <v>63.916666666666664</v>
      </c>
      <c r="H19" s="1523">
        <v>55.75</v>
      </c>
      <c r="I19" s="1523">
        <v>20</v>
      </c>
      <c r="J19" s="1523">
        <v>19.18</v>
      </c>
      <c r="K19" s="1523">
        <v>24.533333333333335</v>
      </c>
      <c r="L19" s="3648">
        <v>20</v>
      </c>
      <c r="M19" s="3678">
        <f t="shared" si="2"/>
        <v>2</v>
      </c>
      <c r="N19" s="3489">
        <f>25/60</f>
        <v>0.41666666666666669</v>
      </c>
      <c r="O19" s="3490">
        <f>350/60</f>
        <v>5.833333333333333</v>
      </c>
      <c r="P19" s="3490">
        <v>0</v>
      </c>
      <c r="Q19" s="3490">
        <f>20/60</f>
        <v>0.33333333333333331</v>
      </c>
      <c r="R19" s="3490">
        <f>70/60</f>
        <v>1.1666666666666667</v>
      </c>
      <c r="S19" s="3490">
        <f>40/60</f>
        <v>0.66666666666666663</v>
      </c>
      <c r="T19" s="3490">
        <v>0</v>
      </c>
      <c r="U19" s="3490">
        <f>120/60</f>
        <v>2</v>
      </c>
      <c r="V19" s="3490">
        <v>0</v>
      </c>
      <c r="W19" s="5473">
        <v>0</v>
      </c>
      <c r="X19" s="5316">
        <v>0</v>
      </c>
      <c r="Y19" s="6638"/>
      <c r="Z19" s="5749">
        <f t="shared" si="1"/>
        <v>10.416666666666666</v>
      </c>
      <c r="AA19" s="3491">
        <f>($K$19/12-N19)*년간!$E$213/1000</f>
        <v>1801.0040815872114</v>
      </c>
      <c r="AB19" s="3491">
        <f>($K$19/12-O19)*년간!$E$213/1000</f>
        <v>-4192.0982376876373</v>
      </c>
      <c r="AC19" s="3491">
        <f>($K$19/12-P19)*년간!$E$213/1000</f>
        <v>2262.0119523006611</v>
      </c>
      <c r="AD19" s="3491">
        <f>($K$19/12-Q19)*년간!$E$213/1000</f>
        <v>1893.2056557299015</v>
      </c>
      <c r="AE19" s="3491">
        <f>($K$19/12-R19)*년간!$E$213/1000</f>
        <v>971.1899143030015</v>
      </c>
      <c r="AF19" s="3491">
        <f>($K$19/12-S19)*년간!$E$213/1000</f>
        <v>1524.3993591591418</v>
      </c>
      <c r="AG19" s="3491">
        <f>($K$19/12-T19)*년간!$E$213/1000</f>
        <v>2262.0119523006611</v>
      </c>
      <c r="AH19" s="3491">
        <f>($K$19/12-U19)*년간!$E$213/1000</f>
        <v>49.174172876101643</v>
      </c>
      <c r="AI19" s="3491">
        <f>($K$19/12-V19)*년간!$E$213/1000</f>
        <v>2262.0119523006611</v>
      </c>
      <c r="AJ19" s="3491">
        <f>($K$19/12-W19)*년간!$E$213/1000</f>
        <v>2262.0119523006611</v>
      </c>
      <c r="AK19" s="3491">
        <f>($K$19/12-X19)*년간!$E$213/1000</f>
        <v>2262.0119523006611</v>
      </c>
      <c r="AL19" s="3491">
        <f>($K$19/12-Y19)*년간!$E$213/1000</f>
        <v>2262.0119523006611</v>
      </c>
      <c r="AM19" s="3492">
        <f>(K19/12-M19)*년간!$E$213/1000</f>
        <v>49.174172876101643</v>
      </c>
      <c r="AN19" s="3493">
        <f>AA19+AB19+AC19+AD19+AE19+AF19+AG19+AH19+AI19+AJ19+AK19</f>
        <v>13356.934707471026</v>
      </c>
      <c r="AO19" s="4839">
        <f>AN19/AM19</f>
        <v>271.62499999999829</v>
      </c>
      <c r="AP19" s="3494"/>
      <c r="AQ19" s="1481"/>
      <c r="AY19" s="798"/>
      <c r="AZ19" s="798"/>
      <c r="BA19" s="798"/>
      <c r="BB19" s="798"/>
    </row>
    <row r="20" spans="1:54" s="799" customFormat="1" ht="21.75" customHeight="1">
      <c r="A20" s="7184"/>
      <c r="B20" s="7399" t="s">
        <v>789</v>
      </c>
      <c r="C20" s="3440" t="s">
        <v>787</v>
      </c>
      <c r="D20" s="3487"/>
      <c r="E20" s="3488"/>
      <c r="F20" s="2150"/>
      <c r="G20" s="1847">
        <v>61</v>
      </c>
      <c r="H20" s="1518">
        <v>51</v>
      </c>
      <c r="I20" s="1518">
        <v>23</v>
      </c>
      <c r="J20" s="1518">
        <v>10</v>
      </c>
      <c r="K20" s="1523">
        <v>3</v>
      </c>
      <c r="L20" s="3662">
        <f>년간!D40</f>
        <v>3</v>
      </c>
      <c r="M20" s="3679">
        <f t="shared" si="2"/>
        <v>0.3</v>
      </c>
      <c r="N20" s="3496">
        <f>년간!F40</f>
        <v>1</v>
      </c>
      <c r="O20" s="3497">
        <f>년간!G40</f>
        <v>2</v>
      </c>
      <c r="P20" s="3497">
        <f>년간!H40</f>
        <v>0</v>
      </c>
      <c r="Q20" s="3497">
        <f>년간!I40</f>
        <v>1</v>
      </c>
      <c r="R20" s="3497">
        <f>년간!J40</f>
        <v>0</v>
      </c>
      <c r="S20" s="3497">
        <f>년간!K40</f>
        <v>1</v>
      </c>
      <c r="T20" s="3497">
        <f>년간!L40</f>
        <v>0</v>
      </c>
      <c r="U20" s="3497">
        <f>년간!M40</f>
        <v>0</v>
      </c>
      <c r="V20" s="3497">
        <f>년간!N40</f>
        <v>1</v>
      </c>
      <c r="W20" s="5474">
        <f>년간!O40</f>
        <v>1</v>
      </c>
      <c r="X20" s="5317">
        <f>년간!P40</f>
        <v>0</v>
      </c>
      <c r="Y20" s="3496">
        <f>년간!Q40</f>
        <v>0</v>
      </c>
      <c r="Z20" s="5753">
        <f>년간!R40</f>
        <v>7</v>
      </c>
      <c r="AA20" s="5734"/>
      <c r="AB20" s="3498"/>
      <c r="AC20" s="3498"/>
      <c r="AD20" s="3498"/>
      <c r="AE20" s="3498"/>
      <c r="AF20" s="3498"/>
      <c r="AG20" s="3498"/>
      <c r="AH20" s="3498"/>
      <c r="AI20" s="3498"/>
      <c r="AJ20" s="3498"/>
      <c r="AK20" s="3498"/>
      <c r="AL20" s="3498"/>
      <c r="AM20" s="3499"/>
      <c r="AN20" s="3500"/>
      <c r="AO20" s="944"/>
      <c r="AP20" s="3284"/>
      <c r="AQ20" s="798"/>
      <c r="AR20" s="6202">
        <f>(327-229)*1082253/60</f>
        <v>1767679.9</v>
      </c>
      <c r="AY20" s="798"/>
      <c r="AZ20" s="798"/>
      <c r="BA20" s="798"/>
      <c r="BB20" s="798"/>
    </row>
    <row r="21" spans="1:54" s="799" customFormat="1" ht="21.75" customHeight="1">
      <c r="A21" s="7184"/>
      <c r="B21" s="7209"/>
      <c r="C21" s="3440" t="s">
        <v>792</v>
      </c>
      <c r="D21" s="3487"/>
      <c r="E21" s="3488"/>
      <c r="F21" s="2150"/>
      <c r="G21" s="1566">
        <v>107.4</v>
      </c>
      <c r="H21" s="1523">
        <v>93</v>
      </c>
      <c r="I21" s="1523">
        <v>27.933333333333334</v>
      </c>
      <c r="J21" s="1523">
        <v>17.75</v>
      </c>
      <c r="K21" s="1523">
        <v>8.1666666666666679</v>
      </c>
      <c r="L21" s="3757">
        <f>년간!D50/60</f>
        <v>5.2121212121212084</v>
      </c>
      <c r="M21" s="3680">
        <f t="shared" si="2"/>
        <v>0.52121212121212079</v>
      </c>
      <c r="N21" s="3489">
        <f>년간!F50/60</f>
        <v>1.6666666666666667</v>
      </c>
      <c r="O21" s="3501">
        <f>년간!G50/60</f>
        <v>1.25</v>
      </c>
      <c r="P21" s="3501">
        <f>년간!H50/60</f>
        <v>0</v>
      </c>
      <c r="Q21" s="3501">
        <f>년간!I50/60</f>
        <v>1.8333333333333333</v>
      </c>
      <c r="R21" s="3501">
        <f>년간!J50/60</f>
        <v>0</v>
      </c>
      <c r="S21" s="3501">
        <f>년간!K50/60</f>
        <v>0.05</v>
      </c>
      <c r="T21" s="3501">
        <f>년간!L50/60</f>
        <v>0</v>
      </c>
      <c r="U21" s="3501">
        <f>년간!M50/60</f>
        <v>0</v>
      </c>
      <c r="V21" s="3501">
        <f>년간!N50/60</f>
        <v>5.333333333333333</v>
      </c>
      <c r="W21" s="5475">
        <f>년간!O50/60</f>
        <v>2.1666666666666665</v>
      </c>
      <c r="X21" s="5318">
        <f>년간!P50/60</f>
        <v>0</v>
      </c>
      <c r="Y21" s="6640">
        <f>년간!Q50/60</f>
        <v>0</v>
      </c>
      <c r="Z21" s="5749">
        <f t="shared" si="1"/>
        <v>12.299999999999999</v>
      </c>
      <c r="AA21" s="5735">
        <f>년간!F176/1000</f>
        <v>-1046.9105033202272</v>
      </c>
      <c r="AB21" s="3541">
        <f>년간!G176/1000</f>
        <v>-550.37879399520591</v>
      </c>
      <c r="AC21" s="3502">
        <f>년간!H176/1000</f>
        <v>689.41749433367443</v>
      </c>
      <c r="AD21" s="3502">
        <f>년간!I176/1000</f>
        <v>-1297.3707451472251</v>
      </c>
      <c r="AE21" s="3502">
        <f>년간!J176/1000</f>
        <v>770.14961877544408</v>
      </c>
      <c r="AF21" s="3502">
        <f>년간!K176/1000</f>
        <v>792.01001494778234</v>
      </c>
      <c r="AG21" s="3502">
        <f>년간!L176/1000</f>
        <v>940.76157240688212</v>
      </c>
      <c r="AH21" s="3502">
        <f>년간!M176/1000</f>
        <v>819.22778075623228</v>
      </c>
      <c r="AI21" s="3502">
        <f>년간!N176/1000</f>
        <v>-5006.6604017487552</v>
      </c>
      <c r="AJ21" s="3502">
        <f>년간!O176/1000</f>
        <v>-1441.292000220664</v>
      </c>
      <c r="AK21" s="3502">
        <f>년간!P176/1000</f>
        <v>16.552989543816111</v>
      </c>
      <c r="AL21" s="3502" t="e">
        <f>년간!Q176/1000</f>
        <v>#DIV/0!</v>
      </c>
      <c r="AM21" s="3503">
        <f>년간!E176/1000</f>
        <v>2293.8164719142073</v>
      </c>
      <c r="AN21" s="3436">
        <f>AA21+AB21+AC21+AD21+AE21+AF21+AG21+AH21+AI21+AJ21+AK21</f>
        <v>-5314.4929736682461</v>
      </c>
      <c r="AO21" s="4840">
        <f>AN21/AM21</f>
        <v>-2.316878023477293</v>
      </c>
      <c r="AP21" s="3494"/>
      <c r="AQ21" s="798"/>
      <c r="AR21" s="798"/>
      <c r="AY21" s="798"/>
      <c r="AZ21" s="798"/>
      <c r="BA21" s="798"/>
      <c r="BB21" s="798"/>
    </row>
    <row r="22" spans="1:54" s="799" customFormat="1" ht="21.75" customHeight="1">
      <c r="A22" s="7184"/>
      <c r="B22" s="7399" t="s">
        <v>790</v>
      </c>
      <c r="C22" s="3440" t="s">
        <v>787</v>
      </c>
      <c r="D22" s="3487"/>
      <c r="E22" s="3488"/>
      <c r="F22" s="2150"/>
      <c r="G22" s="1847">
        <v>51.616666666666667</v>
      </c>
      <c r="H22" s="1518">
        <v>19</v>
      </c>
      <c r="I22" s="1518">
        <v>6</v>
      </c>
      <c r="J22" s="1518">
        <v>4</v>
      </c>
      <c r="K22" s="1523">
        <v>3</v>
      </c>
      <c r="L22" s="3662">
        <f>년간!D45</f>
        <v>3</v>
      </c>
      <c r="M22" s="3679">
        <f t="shared" si="2"/>
        <v>0.3</v>
      </c>
      <c r="N22" s="3496">
        <f>년간!F45</f>
        <v>0</v>
      </c>
      <c r="O22" s="3497">
        <f>년간!G45</f>
        <v>1</v>
      </c>
      <c r="P22" s="3497">
        <f>년간!H45</f>
        <v>0</v>
      </c>
      <c r="Q22" s="3497">
        <f>년간!I45</f>
        <v>0</v>
      </c>
      <c r="R22" s="3497">
        <f>년간!J45</f>
        <v>0</v>
      </c>
      <c r="S22" s="3497">
        <f>년간!K45</f>
        <v>1</v>
      </c>
      <c r="T22" s="3497">
        <f>년간!L45</f>
        <v>0</v>
      </c>
      <c r="U22" s="3497">
        <f>년간!M45</f>
        <v>1</v>
      </c>
      <c r="V22" s="3497">
        <f>년간!N45</f>
        <v>0</v>
      </c>
      <c r="W22" s="5474">
        <f>년간!O45</f>
        <v>0</v>
      </c>
      <c r="X22" s="5317">
        <f>년간!P45</f>
        <v>0</v>
      </c>
      <c r="Y22" s="6639">
        <f>년간!Q45</f>
        <v>0</v>
      </c>
      <c r="Z22" s="3597">
        <f t="shared" si="1"/>
        <v>3</v>
      </c>
      <c r="AA22" s="5736"/>
      <c r="AB22" s="3505"/>
      <c r="AC22" s="3505"/>
      <c r="AD22" s="3505"/>
      <c r="AE22" s="3505"/>
      <c r="AF22" s="3505"/>
      <c r="AG22" s="3505"/>
      <c r="AH22" s="3505"/>
      <c r="AI22" s="3505"/>
      <c r="AJ22" s="3505"/>
      <c r="AK22" s="3505"/>
      <c r="AL22" s="3505"/>
      <c r="AM22" s="3477"/>
      <c r="AN22" s="3469"/>
      <c r="AO22" s="3479"/>
      <c r="AP22" s="3284"/>
      <c r="AQ22" s="798"/>
      <c r="AR22" s="798"/>
      <c r="AS22" s="798"/>
      <c r="AT22" s="798"/>
      <c r="AU22" s="798"/>
      <c r="AV22" s="798"/>
      <c r="AW22" s="798"/>
      <c r="AX22" s="798"/>
      <c r="AY22" s="798"/>
      <c r="AZ22" s="798"/>
      <c r="BA22" s="798"/>
      <c r="BB22" s="798"/>
    </row>
    <row r="23" spans="1:54" s="799" customFormat="1" ht="21.75" customHeight="1" thickBot="1">
      <c r="A23" s="7184"/>
      <c r="B23" s="7213"/>
      <c r="C23" s="3440" t="s">
        <v>792</v>
      </c>
      <c r="D23" s="3487"/>
      <c r="E23" s="3488"/>
      <c r="F23" s="2150"/>
      <c r="G23" s="1566">
        <v>51.616666666666667</v>
      </c>
      <c r="H23" s="1523">
        <v>19</v>
      </c>
      <c r="I23" s="1523">
        <v>4.8</v>
      </c>
      <c r="J23" s="1523">
        <v>2.3333333333333335</v>
      </c>
      <c r="K23" s="1523">
        <v>0.91666666666666663</v>
      </c>
      <c r="L23" s="3758">
        <f>년간!D55/60</f>
        <v>0.75</v>
      </c>
      <c r="M23" s="3506">
        <f t="shared" si="2"/>
        <v>7.4999999999999997E-2</v>
      </c>
      <c r="N23" s="3489">
        <f>년간!F55/60</f>
        <v>0</v>
      </c>
      <c r="O23" s="3501">
        <f>년간!G55/60</f>
        <v>0.33333333333333331</v>
      </c>
      <c r="P23" s="3501">
        <f>년간!H55/60</f>
        <v>0</v>
      </c>
      <c r="Q23" s="3501">
        <f>년간!I55/60</f>
        <v>0</v>
      </c>
      <c r="R23" s="3501">
        <f>년간!J55/60</f>
        <v>0</v>
      </c>
      <c r="S23" s="3501">
        <f>년간!K55/60</f>
        <v>0.75</v>
      </c>
      <c r="T23" s="3501">
        <f>년간!L55/60</f>
        <v>0</v>
      </c>
      <c r="U23" s="3501">
        <f>년간!M55/60</f>
        <v>7.583333333333333</v>
      </c>
      <c r="V23" s="3501">
        <f>년간!N55/60</f>
        <v>0</v>
      </c>
      <c r="W23" s="5475">
        <f>년간!O55/60</f>
        <v>0</v>
      </c>
      <c r="X23" s="5318">
        <f>년간!P55/60</f>
        <v>0</v>
      </c>
      <c r="Y23" s="6640">
        <f>년간!Q55/60</f>
        <v>0</v>
      </c>
      <c r="Z23" s="5754">
        <f t="shared" si="1"/>
        <v>8.6666666666666661</v>
      </c>
      <c r="AA23" s="5737">
        <f>년간!F182/1000</f>
        <v>84.323346788377521</v>
      </c>
      <c r="AB23" s="1195">
        <f>년간!G182/1000</f>
        <v>-271.99621031602874</v>
      </c>
      <c r="AC23" s="1195">
        <f>년간!H182/1000</f>
        <v>77.383596302759386</v>
      </c>
      <c r="AD23" s="1195">
        <f>년간!I182/1000</f>
        <v>80.871399505958721</v>
      </c>
      <c r="AE23" s="1195">
        <f>년간!J182/1000</f>
        <v>86.445365372753955</v>
      </c>
      <c r="AF23" s="1195">
        <f>년간!K182/1000</f>
        <v>-732.2285836680627</v>
      </c>
      <c r="AG23" s="1195">
        <f>년간!L182/1000</f>
        <v>105.59568669873165</v>
      </c>
      <c r="AH23" s="1195">
        <f>년간!M182/1000</f>
        <v>-8117.9516191460089</v>
      </c>
      <c r="AI23" s="1195">
        <f>년간!N182/1000</f>
        <v>93.029816279728408</v>
      </c>
      <c r="AJ23" s="1195">
        <f>년간!O182/1000</f>
        <v>106.23131438529603</v>
      </c>
      <c r="AK23" s="1195">
        <f>년간!P182/1000</f>
        <v>1.8579886222650734</v>
      </c>
      <c r="AL23" s="1195" t="e">
        <f>년간!Q182/1000</f>
        <v>#DIV/0!</v>
      </c>
      <c r="AM23" s="3492">
        <f>년간!E182/1000</f>
        <v>75.86031973768155</v>
      </c>
      <c r="AN23" s="3507">
        <f>AA23+AB23+AC23+AD23+AE23+AF23+AG23+AH23+AI23+AJ23+AK23</f>
        <v>-8486.4378991742306</v>
      </c>
      <c r="AO23" s="4841">
        <f>AN23/AM23</f>
        <v>-111.86926087999103</v>
      </c>
      <c r="AP23" s="3494"/>
      <c r="AQ23" s="798"/>
      <c r="AR23" s="798"/>
      <c r="AS23" s="798"/>
      <c r="AT23" s="798"/>
      <c r="AU23" s="798"/>
      <c r="AV23" s="798"/>
      <c r="AW23" s="798"/>
      <c r="AX23" s="798"/>
      <c r="AY23" s="798"/>
      <c r="AZ23" s="798"/>
      <c r="BA23" s="798"/>
      <c r="BB23" s="798"/>
    </row>
    <row r="24" spans="1:54" ht="21.75" customHeight="1">
      <c r="A24" s="7183" t="s">
        <v>272</v>
      </c>
      <c r="B24" s="7208" t="s">
        <v>273</v>
      </c>
      <c r="C24" s="965" t="s">
        <v>274</v>
      </c>
      <c r="D24" s="966">
        <v>6.9061282462826474</v>
      </c>
      <c r="E24" s="967">
        <v>5.1010324315682736</v>
      </c>
      <c r="F24" s="967">
        <v>3.5936481824072213</v>
      </c>
      <c r="G24" s="967">
        <v>3.18</v>
      </c>
      <c r="H24" s="968">
        <v>3.7</v>
      </c>
      <c r="I24" s="968">
        <v>3.48</v>
      </c>
      <c r="J24" s="968">
        <v>6</v>
      </c>
      <c r="K24" s="968">
        <v>7.1107920973624523</v>
      </c>
      <c r="L24" s="1688">
        <v>6.6</v>
      </c>
      <c r="M24" s="2310">
        <f>L24</f>
        <v>6.6</v>
      </c>
      <c r="N24" s="2305">
        <v>7.740673103996933</v>
      </c>
      <c r="O24" s="2889">
        <v>6.6424620707248083</v>
      </c>
      <c r="P24" s="2889">
        <v>6.7953151474973463</v>
      </c>
      <c r="Q24" s="2889">
        <v>5.8767885085558067</v>
      </c>
      <c r="R24" s="5708">
        <v>6.1396442593686382</v>
      </c>
      <c r="S24" s="2889">
        <v>5.4748537109564506</v>
      </c>
      <c r="T24" s="2889">
        <v>5.4884445546922871</v>
      </c>
      <c r="U24" s="2889">
        <v>5.4210803795430582</v>
      </c>
      <c r="V24" s="2889">
        <v>5.3893528997677356</v>
      </c>
      <c r="W24" s="5709">
        <v>6.2621957352149931</v>
      </c>
      <c r="X24" s="5460">
        <v>17.681900268328771</v>
      </c>
      <c r="Y24" s="6641"/>
      <c r="Z24" s="1653">
        <f t="shared" ref="Z24:Z33" si="4">AVERAGE(N24:Y24)</f>
        <v>7.1738827853315295</v>
      </c>
      <c r="AA24" s="1495">
        <f>($K$24-N24)*604.35*N5/1000</f>
        <v>-9990.9782306764791</v>
      </c>
      <c r="AB24" s="1495">
        <f t="shared" ref="AB24:AL24" si="5">($K$24-O24)*604.35*O5/1000</f>
        <v>8188.2551143837081</v>
      </c>
      <c r="AC24" s="1495">
        <f t="shared" si="5"/>
        <v>4538.2708403664519</v>
      </c>
      <c r="AD24" s="1495">
        <f t="shared" si="5"/>
        <v>19341.807756323622</v>
      </c>
      <c r="AE24" s="1495">
        <f t="shared" si="5"/>
        <v>14930.872152994723</v>
      </c>
      <c r="AF24" s="1495">
        <f t="shared" si="5"/>
        <v>29159.812552829688</v>
      </c>
      <c r="AG24" s="1495">
        <f t="shared" si="5"/>
        <v>31799.700182598288</v>
      </c>
      <c r="AH24" s="1495">
        <f t="shared" si="5"/>
        <v>29176.702376787583</v>
      </c>
      <c r="AI24" s="1495">
        <f t="shared" si="5"/>
        <v>30774.552344902087</v>
      </c>
      <c r="AJ24" s="1495">
        <f t="shared" si="5"/>
        <v>15706.83894250039</v>
      </c>
      <c r="AK24" s="1495">
        <f t="shared" si="5"/>
        <v>-4168.4658451036184</v>
      </c>
      <c r="AL24" s="1495">
        <f t="shared" si="5"/>
        <v>0</v>
      </c>
      <c r="AM24" s="970">
        <f>((K24-L24)*L5/1000*604.35)</f>
        <v>85381.942271291628</v>
      </c>
      <c r="AN24" s="971">
        <f>SUM(AA24:AL24)</f>
        <v>169457.36818790645</v>
      </c>
      <c r="AO24" s="4842">
        <f>AN24/AM24</f>
        <v>1.9846979780510792</v>
      </c>
      <c r="AP24" s="972" t="s">
        <v>1329</v>
      </c>
      <c r="AQ24" s="3112"/>
      <c r="AR24" s="3112"/>
      <c r="AS24" s="798"/>
      <c r="AT24" s="7402"/>
      <c r="AU24" s="798"/>
      <c r="AV24" s="798"/>
      <c r="AW24" s="798"/>
      <c r="AX24" s="798"/>
      <c r="AY24" s="798"/>
      <c r="AZ24" s="798"/>
      <c r="BA24" s="798"/>
      <c r="BB24" s="798"/>
    </row>
    <row r="25" spans="1:54" ht="21.75" customHeight="1">
      <c r="A25" s="7184"/>
      <c r="B25" s="7408"/>
      <c r="C25" s="913" t="s">
        <v>334</v>
      </c>
      <c r="D25" s="809"/>
      <c r="E25" s="800"/>
      <c r="F25" s="800"/>
      <c r="G25" s="802">
        <v>2308</v>
      </c>
      <c r="H25" s="847">
        <v>2078</v>
      </c>
      <c r="I25" s="847">
        <v>2042</v>
      </c>
      <c r="J25" s="847">
        <v>3445</v>
      </c>
      <c r="K25" s="847">
        <v>4303.2890097450245</v>
      </c>
      <c r="L25" s="3677">
        <v>3964</v>
      </c>
      <c r="M25" s="3663">
        <f>L25</f>
        <v>3964</v>
      </c>
      <c r="N25" s="3342">
        <v>4918.219495172284</v>
      </c>
      <c r="O25" s="3509">
        <v>4256.5946809013594</v>
      </c>
      <c r="P25" s="3509">
        <v>4318.0881806399912</v>
      </c>
      <c r="Q25" s="3592">
        <v>3618.4057326772995</v>
      </c>
      <c r="R25" s="3592">
        <v>3804.2085249101738</v>
      </c>
      <c r="S25" s="3592">
        <v>3330.3978448000435</v>
      </c>
      <c r="T25" s="3592">
        <v>2811.6838383337963</v>
      </c>
      <c r="U25" s="3592">
        <v>2862.9722566844353</v>
      </c>
      <c r="V25" s="3592">
        <v>2593.3647246277069</v>
      </c>
      <c r="W25" s="5476">
        <v>2776.0454809084463</v>
      </c>
      <c r="X25" s="5319">
        <v>7779.6495619887355</v>
      </c>
      <c r="Y25" s="5329"/>
      <c r="Z25" s="3599">
        <f t="shared" si="4"/>
        <v>3915.4209383312973</v>
      </c>
      <c r="AA25" s="5738"/>
      <c r="AB25" s="815"/>
      <c r="AC25" s="815"/>
      <c r="AD25" s="815"/>
      <c r="AE25" s="815"/>
      <c r="AF25" s="815"/>
      <c r="AG25" s="815"/>
      <c r="AH25" s="815"/>
      <c r="AI25" s="815"/>
      <c r="AJ25" s="815"/>
      <c r="AK25" s="815"/>
      <c r="AL25" s="815"/>
      <c r="AM25" s="815"/>
      <c r="AN25" s="822"/>
      <c r="AO25" s="823"/>
      <c r="AP25" s="1273" t="s">
        <v>1019</v>
      </c>
      <c r="AQ25" s="798"/>
      <c r="AR25" s="798"/>
      <c r="AS25" s="798"/>
      <c r="AT25" s="7402"/>
      <c r="AU25" s="798"/>
      <c r="AV25" s="798"/>
      <c r="AW25" s="798"/>
      <c r="AX25" s="798"/>
      <c r="AY25" s="798"/>
      <c r="AZ25" s="798"/>
      <c r="BA25" s="798"/>
      <c r="BB25" s="798"/>
    </row>
    <row r="26" spans="1:54" ht="22.5" customHeight="1">
      <c r="A26" s="7184"/>
      <c r="B26" s="7399" t="s">
        <v>275</v>
      </c>
      <c r="C26" s="3262" t="s">
        <v>276</v>
      </c>
      <c r="D26" s="3511">
        <v>19.18</v>
      </c>
      <c r="E26" s="3512">
        <v>14.69</v>
      </c>
      <c r="F26" s="3257">
        <v>15.439654361120386</v>
      </c>
      <c r="G26" s="3257">
        <v>15.3</v>
      </c>
      <c r="H26" s="3258">
        <v>14.92</v>
      </c>
      <c r="I26" s="3258">
        <v>14.55</v>
      </c>
      <c r="J26" s="3258">
        <v>13.6</v>
      </c>
      <c r="K26" s="3258">
        <v>13.953402383827582</v>
      </c>
      <c r="L26" s="3681">
        <f>K26*0.98</f>
        <v>13.674334336151031</v>
      </c>
      <c r="M26" s="3682">
        <f>L26</f>
        <v>13.674334336151031</v>
      </c>
      <c r="N26" s="3513">
        <v>18.337987334516225</v>
      </c>
      <c r="O26" s="3514">
        <v>14.568369124112346</v>
      </c>
      <c r="P26" s="3515">
        <v>14.951002262726682</v>
      </c>
      <c r="Q26" s="3593">
        <v>12.019155322754465</v>
      </c>
      <c r="R26" s="3593">
        <v>13.580370177903321</v>
      </c>
      <c r="S26" s="3593">
        <v>13.304061545346972</v>
      </c>
      <c r="T26" s="3593">
        <v>11.636357245617617</v>
      </c>
      <c r="U26" s="3593">
        <v>13.853810875983182</v>
      </c>
      <c r="V26" s="3593">
        <v>12.851220601394616</v>
      </c>
      <c r="W26" s="5477">
        <v>16.99141293643158</v>
      </c>
      <c r="X26" s="5294">
        <v>140.3074423737126</v>
      </c>
      <c r="Y26" s="4615"/>
      <c r="Z26" s="3598">
        <f t="shared" si="4"/>
        <v>25.672835436409059</v>
      </c>
      <c r="AA26" s="5739">
        <f>($K$26-N26)*101.42*N5/1000</f>
        <v>-11671.134352173071</v>
      </c>
      <c r="AB26" s="3516">
        <f t="shared" ref="AB26:AL26" si="6">($K$26-O26)*101.42*O5/1000</f>
        <v>-1804.3719615030527</v>
      </c>
      <c r="AC26" s="3516">
        <f t="shared" si="6"/>
        <v>-2408.3202917474473</v>
      </c>
      <c r="AD26" s="3516">
        <f t="shared" si="6"/>
        <v>5087.7722833521393</v>
      </c>
      <c r="AE26" s="3516">
        <f t="shared" si="6"/>
        <v>962.4567825089423</v>
      </c>
      <c r="AF26" s="3516">
        <f t="shared" si="6"/>
        <v>1942.3414675103679</v>
      </c>
      <c r="AG26" s="3516">
        <f t="shared" si="6"/>
        <v>7621.6447848369771</v>
      </c>
      <c r="AH26" s="3516">
        <f t="shared" si="6"/>
        <v>288.58979986178724</v>
      </c>
      <c r="AI26" s="3516">
        <f t="shared" si="6"/>
        <v>3306.6510379348165</v>
      </c>
      <c r="AJ26" s="3516">
        <f t="shared" si="6"/>
        <v>-9436.5225638351676</v>
      </c>
      <c r="AK26" s="3516">
        <f t="shared" si="6"/>
        <v>-8361.4181485579102</v>
      </c>
      <c r="AL26" s="3516">
        <f t="shared" si="6"/>
        <v>0</v>
      </c>
      <c r="AM26" s="3510">
        <f>(K26-L26)*101.42*L5/1000</f>
        <v>7828.2926769786773</v>
      </c>
      <c r="AN26" s="3436">
        <f>SUM(AA26:AL26)</f>
        <v>-14472.31116181162</v>
      </c>
      <c r="AO26" s="3504">
        <f>AN26/AM26</f>
        <v>-1.848718712877403</v>
      </c>
      <c r="AP26" s="3517" t="s">
        <v>1413</v>
      </c>
      <c r="AQ26" s="3112"/>
      <c r="AR26" s="798"/>
      <c r="AS26" s="798"/>
      <c r="AT26" s="7402"/>
      <c r="AU26" s="798"/>
      <c r="AV26" s="798"/>
      <c r="AW26" s="798"/>
      <c r="AX26" s="798"/>
      <c r="AY26" s="798"/>
      <c r="AZ26" s="798"/>
      <c r="BA26" s="798"/>
      <c r="BB26" s="798"/>
    </row>
    <row r="27" spans="1:54" ht="21.75" customHeight="1" thickBot="1">
      <c r="A27" s="7212"/>
      <c r="B27" s="7211"/>
      <c r="C27" s="974" t="s">
        <v>277</v>
      </c>
      <c r="D27" s="3518"/>
      <c r="E27" s="3519"/>
      <c r="F27" s="3520"/>
      <c r="G27" s="2168">
        <v>1610</v>
      </c>
      <c r="H27" s="1578">
        <v>1522</v>
      </c>
      <c r="I27" s="1578">
        <v>1538</v>
      </c>
      <c r="J27" s="1578">
        <v>1390</v>
      </c>
      <c r="K27" s="1578">
        <v>1411.2844637661603</v>
      </c>
      <c r="L27" s="2055">
        <v>1411</v>
      </c>
      <c r="M27" s="3878">
        <f>L27</f>
        <v>1411</v>
      </c>
      <c r="N27" s="2221">
        <v>2206.5674542845786</v>
      </c>
      <c r="O27" s="2428">
        <v>1632.9533926756847</v>
      </c>
      <c r="P27" s="2428">
        <v>1332.2387912579163</v>
      </c>
      <c r="Q27" s="2428">
        <v>1069.9207640908644</v>
      </c>
      <c r="R27" s="2428">
        <v>1207.4848098640773</v>
      </c>
      <c r="S27" s="2428">
        <v>1550.9630292826128</v>
      </c>
      <c r="T27" s="2428">
        <v>1371.4308313574268</v>
      </c>
      <c r="U27" s="2428">
        <v>1608.8308983541101</v>
      </c>
      <c r="V27" s="2428">
        <v>1195.7490287086298</v>
      </c>
      <c r="W27" s="5478">
        <v>1511.6344114190847</v>
      </c>
      <c r="X27" s="5320">
        <v>20234.015647962653</v>
      </c>
      <c r="Y27" s="6642"/>
      <c r="Z27" s="5755">
        <f t="shared" si="4"/>
        <v>3174.7080962961486</v>
      </c>
      <c r="AA27" s="5740"/>
      <c r="AB27" s="3521"/>
      <c r="AC27" s="3521"/>
      <c r="AD27" s="3521"/>
      <c r="AE27" s="3521"/>
      <c r="AF27" s="3521"/>
      <c r="AG27" s="3521"/>
      <c r="AH27" s="3521"/>
      <c r="AI27" s="3521"/>
      <c r="AJ27" s="3521"/>
      <c r="AK27" s="3521"/>
      <c r="AL27" s="3521"/>
      <c r="AM27" s="3521"/>
      <c r="AN27" s="3460"/>
      <c r="AO27" s="3239"/>
      <c r="AP27" s="3282"/>
      <c r="AQ27" s="798"/>
      <c r="AR27" s="798"/>
      <c r="AS27" s="798"/>
      <c r="AT27" s="7402"/>
      <c r="AU27" s="798"/>
      <c r="AV27" s="798"/>
      <c r="AW27" s="798"/>
      <c r="AX27" s="798"/>
      <c r="AY27" s="798"/>
      <c r="AZ27" s="798"/>
      <c r="BA27" s="798"/>
      <c r="BB27" s="798"/>
    </row>
    <row r="28" spans="1:54" ht="21.75" customHeight="1">
      <c r="A28" s="7184" t="s">
        <v>281</v>
      </c>
      <c r="B28" s="7213" t="s">
        <v>278</v>
      </c>
      <c r="C28" s="917" t="s">
        <v>548</v>
      </c>
      <c r="D28" s="959">
        <v>162</v>
      </c>
      <c r="E28" s="960">
        <v>95</v>
      </c>
      <c r="F28" s="960">
        <v>140</v>
      </c>
      <c r="G28" s="961">
        <v>89</v>
      </c>
      <c r="H28" s="962">
        <v>79.323305555233745</v>
      </c>
      <c r="I28" s="962">
        <v>83</v>
      </c>
      <c r="J28" s="962">
        <v>149.76006484906756</v>
      </c>
      <c r="K28" s="962">
        <v>154.3100240959532</v>
      </c>
      <c r="L28" s="963">
        <v>165.29999999999998</v>
      </c>
      <c r="M28" s="2296">
        <f t="shared" ref="M28:M34" si="7">L28</f>
        <v>165.29999999999998</v>
      </c>
      <c r="N28" s="2306">
        <v>232.9362295858358</v>
      </c>
      <c r="O28" s="1272">
        <v>116.5004963678044</v>
      </c>
      <c r="P28" s="2275">
        <v>208.37902058299872</v>
      </c>
      <c r="Q28" s="1272">
        <v>134.96070035684886</v>
      </c>
      <c r="R28" s="1272">
        <v>136.15559327443842</v>
      </c>
      <c r="S28" s="1272">
        <v>124.07602301508457</v>
      </c>
      <c r="T28" s="1272">
        <v>190.09455108737143</v>
      </c>
      <c r="U28" s="1272">
        <v>211.40440240150082</v>
      </c>
      <c r="V28" s="1272">
        <v>103.01795989372876</v>
      </c>
      <c r="W28" s="5479">
        <v>237.25675655643641</v>
      </c>
      <c r="X28" s="5321"/>
      <c r="Y28" s="6643"/>
      <c r="Z28" s="5756">
        <f t="shared" si="4"/>
        <v>169.47817331220483</v>
      </c>
      <c r="AA28" s="5731"/>
      <c r="AB28" s="922"/>
      <c r="AC28" s="922"/>
      <c r="AD28" s="922"/>
      <c r="AE28" s="922"/>
      <c r="AF28" s="922"/>
      <c r="AG28" s="922"/>
      <c r="AH28" s="922"/>
      <c r="AI28" s="922"/>
      <c r="AJ28" s="922"/>
      <c r="AK28" s="922"/>
      <c r="AL28" s="922"/>
      <c r="AM28" s="3015"/>
      <c r="AN28" s="923"/>
      <c r="AO28" s="924"/>
      <c r="AP28" s="897"/>
      <c r="AQ28" s="798"/>
      <c r="AR28" s="798"/>
      <c r="AS28" s="798"/>
      <c r="AT28" s="7402"/>
      <c r="AU28" s="798"/>
      <c r="AV28" s="798"/>
      <c r="AW28" s="798"/>
      <c r="AX28" s="798"/>
      <c r="AY28" s="798"/>
      <c r="AZ28" s="798"/>
      <c r="BA28" s="798"/>
      <c r="BB28" s="798"/>
    </row>
    <row r="29" spans="1:54" ht="21.75" customHeight="1">
      <c r="A29" s="7184"/>
      <c r="B29" s="7209"/>
      <c r="C29" s="3262" t="s">
        <v>771</v>
      </c>
      <c r="D29" s="3522"/>
      <c r="E29" s="2202"/>
      <c r="F29" s="2202"/>
      <c r="G29" s="3257">
        <v>3.01</v>
      </c>
      <c r="H29" s="3258">
        <v>2.1</v>
      </c>
      <c r="I29" s="3258">
        <v>1.87</v>
      </c>
      <c r="J29" s="3258">
        <v>1.7517361678383541</v>
      </c>
      <c r="K29" s="3258">
        <v>1.5030626334880381</v>
      </c>
      <c r="L29" s="3683">
        <v>1.45</v>
      </c>
      <c r="M29" s="3684">
        <f t="shared" si="7"/>
        <v>1.45</v>
      </c>
      <c r="N29" s="3523">
        <v>2.1748183618984624</v>
      </c>
      <c r="O29" s="3514">
        <v>1.0884834373539587</v>
      </c>
      <c r="P29" s="3515">
        <v>1.9472220891865528</v>
      </c>
      <c r="Q29" s="3593">
        <v>1.2612129776540515</v>
      </c>
      <c r="R29" s="3593">
        <v>1.2724226660261968</v>
      </c>
      <c r="S29" s="3593">
        <v>1.1595696708110546</v>
      </c>
      <c r="T29" s="3593">
        <v>1.7765713344881151</v>
      </c>
      <c r="U29" s="3593">
        <v>1.9757358636098958</v>
      </c>
      <c r="V29" s="3593">
        <v>0.96278309220372205</v>
      </c>
      <c r="W29" s="5477">
        <v>2.2173519495555207</v>
      </c>
      <c r="X29" s="5294"/>
      <c r="Y29" s="4615"/>
      <c r="Z29" s="3598">
        <f t="shared" si="4"/>
        <v>1.5836171442787532</v>
      </c>
      <c r="AA29" s="5741">
        <f>($K$29-N29)*N5*114/1000</f>
        <v>-2009.9127412361445</v>
      </c>
      <c r="AB29" s="3183">
        <f t="shared" ref="AB29:AL29" si="8">($K$29-O29)*O5*114/1000</f>
        <v>1367.2980423586541</v>
      </c>
      <c r="AC29" s="3183">
        <f t="shared" si="8"/>
        <v>-1205.2524265199718</v>
      </c>
      <c r="AD29" s="3183">
        <f t="shared" si="8"/>
        <v>715.05992374347443</v>
      </c>
      <c r="AE29" s="3183">
        <f t="shared" si="8"/>
        <v>668.88386842899502</v>
      </c>
      <c r="AF29" s="3183">
        <f t="shared" si="8"/>
        <v>1154.9201368369013</v>
      </c>
      <c r="AG29" s="3183">
        <f t="shared" si="8"/>
        <v>-1011.2687845449442</v>
      </c>
      <c r="AH29" s="3183">
        <f t="shared" si="8"/>
        <v>-1539.5752508361541</v>
      </c>
      <c r="AI29" s="3183">
        <f t="shared" si="8"/>
        <v>1821.9434953552809</v>
      </c>
      <c r="AJ29" s="3183">
        <f t="shared" si="8"/>
        <v>-2493.8946525294537</v>
      </c>
      <c r="AK29" s="3183">
        <f t="shared" si="8"/>
        <v>111.80188700920337</v>
      </c>
      <c r="AL29" s="3183">
        <f t="shared" si="8"/>
        <v>0</v>
      </c>
      <c r="AM29" s="3183">
        <f>(K29-L29)*L5*114/1000</f>
        <v>1673.1195945156037</v>
      </c>
      <c r="AN29" s="3436">
        <f>SUM(AA29:AL29)</f>
        <v>-2419.9965019341594</v>
      </c>
      <c r="AO29" s="4843">
        <f>AN29/AM29</f>
        <v>-1.4463978007709539</v>
      </c>
      <c r="AP29" s="3181" t="s">
        <v>1368</v>
      </c>
      <c r="AQ29" s="798"/>
      <c r="AR29" s="798"/>
      <c r="AS29" s="798"/>
      <c r="AT29" s="7402"/>
      <c r="AU29" s="798"/>
      <c r="AV29" s="798"/>
      <c r="AW29" s="798"/>
      <c r="AX29" s="798"/>
      <c r="AY29" s="798"/>
      <c r="AZ29" s="798"/>
      <c r="BA29" s="798"/>
      <c r="BB29" s="798"/>
    </row>
    <row r="30" spans="1:54" ht="21.75" customHeight="1">
      <c r="A30" s="7184"/>
      <c r="B30" s="7399" t="s">
        <v>279</v>
      </c>
      <c r="C30" s="3262" t="s">
        <v>280</v>
      </c>
      <c r="D30" s="3524"/>
      <c r="E30" s="3525"/>
      <c r="F30" s="3525">
        <v>46</v>
      </c>
      <c r="G30" s="3525">
        <v>58</v>
      </c>
      <c r="H30" s="3526">
        <v>30.422368632373203</v>
      </c>
      <c r="I30" s="3526">
        <v>34</v>
      </c>
      <c r="J30" s="3526">
        <v>44.484922719846736</v>
      </c>
      <c r="K30" s="3526">
        <v>33.5185377641046</v>
      </c>
      <c r="L30" s="3685">
        <v>35.103987799530714</v>
      </c>
      <c r="M30" s="3684">
        <f t="shared" si="7"/>
        <v>35.103987799530714</v>
      </c>
      <c r="N30" s="3527">
        <v>75.897655516848943</v>
      </c>
      <c r="O30" s="3528">
        <v>0</v>
      </c>
      <c r="P30" s="3528">
        <v>83.686438007758639</v>
      </c>
      <c r="Q30" s="3594">
        <v>76.806366600026607</v>
      </c>
      <c r="R30" s="3594">
        <v>0</v>
      </c>
      <c r="S30" s="3594">
        <v>0</v>
      </c>
      <c r="T30" s="3594">
        <v>61.418432806322897</v>
      </c>
      <c r="U30" s="3594">
        <v>0</v>
      </c>
      <c r="V30" s="3594">
        <v>67.340727516496287</v>
      </c>
      <c r="W30" s="5480">
        <v>65.041453151444514</v>
      </c>
      <c r="X30" s="5322"/>
      <c r="Y30" s="6644"/>
      <c r="Z30" s="3599">
        <f t="shared" si="4"/>
        <v>43.019107359889787</v>
      </c>
      <c r="AA30" s="5742"/>
      <c r="AB30" s="3476"/>
      <c r="AC30" s="3476"/>
      <c r="AD30" s="3476"/>
      <c r="AE30" s="3476"/>
      <c r="AF30" s="3476"/>
      <c r="AG30" s="3476"/>
      <c r="AH30" s="3476"/>
      <c r="AI30" s="3476"/>
      <c r="AJ30" s="3476"/>
      <c r="AK30" s="3476"/>
      <c r="AL30" s="3476"/>
      <c r="AM30" s="3529"/>
      <c r="AN30" s="3469"/>
      <c r="AO30" s="3530"/>
      <c r="AP30" s="3431"/>
      <c r="AQ30" s="798"/>
      <c r="AR30" s="798"/>
      <c r="AS30" s="798"/>
      <c r="AT30" s="7402"/>
      <c r="AU30" s="798"/>
      <c r="AV30" s="798"/>
      <c r="AW30" s="798"/>
      <c r="AX30" s="798"/>
      <c r="AY30" s="798"/>
      <c r="AZ30" s="798"/>
      <c r="BA30" s="798"/>
      <c r="BB30" s="798"/>
    </row>
    <row r="31" spans="1:54" ht="21.75" customHeight="1">
      <c r="A31" s="7184"/>
      <c r="B31" s="7209"/>
      <c r="C31" s="3262" t="s">
        <v>810</v>
      </c>
      <c r="D31" s="3531"/>
      <c r="E31" s="3532"/>
      <c r="F31" s="3532"/>
      <c r="G31" s="3532">
        <v>23.73</v>
      </c>
      <c r="H31" s="3533">
        <v>12.27</v>
      </c>
      <c r="I31" s="3533">
        <v>14</v>
      </c>
      <c r="J31" s="3533">
        <v>17.8699288031513</v>
      </c>
      <c r="K31" s="3533">
        <v>13.461260146226747</v>
      </c>
      <c r="L31" s="3686">
        <v>14.097987068084622</v>
      </c>
      <c r="M31" s="3684">
        <f t="shared" si="7"/>
        <v>14.097987068084622</v>
      </c>
      <c r="N31" s="3534">
        <v>30.480986151344954</v>
      </c>
      <c r="O31" s="3528">
        <v>0</v>
      </c>
      <c r="P31" s="3528">
        <v>33.60901124809584</v>
      </c>
      <c r="Q31" s="3594">
        <v>30.845930361456471</v>
      </c>
      <c r="R31" s="3594">
        <v>0</v>
      </c>
      <c r="S31" s="3594">
        <v>0</v>
      </c>
      <c r="T31" s="3594">
        <v>24.666037271615622</v>
      </c>
      <c r="U31" s="3594">
        <v>0</v>
      </c>
      <c r="V31" s="3594">
        <v>27.04446888212702</v>
      </c>
      <c r="W31" s="5480">
        <v>26.121065522668481</v>
      </c>
      <c r="X31" s="5322"/>
      <c r="Y31" s="6644"/>
      <c r="Z31" s="3599">
        <f t="shared" si="4"/>
        <v>17.276749943730838</v>
      </c>
      <c r="AA31" s="3535">
        <f>($K$31-N31)*N5*2.49/1000</f>
        <v>-1112.2768152532201</v>
      </c>
      <c r="AB31" s="3535">
        <f t="shared" ref="AB31:AL31" si="9">($K$31-O31)*O5*2.49/1000</f>
        <v>969.69666048158842</v>
      </c>
      <c r="AC31" s="3535">
        <f t="shared" si="9"/>
        <v>-1194.1535530057313</v>
      </c>
      <c r="AD31" s="3535">
        <f t="shared" si="9"/>
        <v>-1122.68499159973</v>
      </c>
      <c r="AE31" s="3535">
        <f t="shared" si="9"/>
        <v>852.70020441598126</v>
      </c>
      <c r="AF31" s="3535">
        <f t="shared" si="9"/>
        <v>988.58569725317193</v>
      </c>
      <c r="AG31" s="3535">
        <f t="shared" si="9"/>
        <v>-904.88454987697708</v>
      </c>
      <c r="AH31" s="3535">
        <f t="shared" si="9"/>
        <v>957.67935969263738</v>
      </c>
      <c r="AI31" s="3535">
        <f t="shared" si="9"/>
        <v>-1000.4911510684208</v>
      </c>
      <c r="AJ31" s="3535">
        <f t="shared" si="9"/>
        <v>-965.4404139060432</v>
      </c>
      <c r="AK31" s="3535">
        <f t="shared" si="9"/>
        <v>21.870175520322974</v>
      </c>
      <c r="AL31" s="3535">
        <f t="shared" si="9"/>
        <v>0</v>
      </c>
      <c r="AM31" s="3536">
        <f>($K$31-L31)*L5*2.49/1000</f>
        <v>-438.51645439843645</v>
      </c>
      <c r="AN31" s="3436">
        <f>SUM(AA31:AL31)</f>
        <v>-2509.3993773464199</v>
      </c>
      <c r="AO31" s="3504">
        <f>AN31/AM31</f>
        <v>5.7224748402858729</v>
      </c>
      <c r="AP31" s="3537" t="s">
        <v>1375</v>
      </c>
      <c r="AQ31" s="798"/>
      <c r="AR31" s="1733"/>
      <c r="AS31" s="798"/>
      <c r="AT31" s="798"/>
      <c r="AU31" s="798"/>
      <c r="AV31" s="798"/>
      <c r="AW31" s="798"/>
      <c r="AX31" s="798"/>
      <c r="AY31" s="798"/>
      <c r="AZ31" s="798"/>
      <c r="BA31" s="798"/>
      <c r="BB31" s="798"/>
    </row>
    <row r="32" spans="1:54" ht="21.75" customHeight="1">
      <c r="A32" s="7184"/>
      <c r="B32" s="3472" t="s">
        <v>768</v>
      </c>
      <c r="C32" s="3262" t="s">
        <v>418</v>
      </c>
      <c r="D32" s="3531"/>
      <c r="E32" s="3532"/>
      <c r="F32" s="3532"/>
      <c r="G32" s="3471"/>
      <c r="H32" s="3265">
        <v>259</v>
      </c>
      <c r="I32" s="3265">
        <v>214</v>
      </c>
      <c r="J32" s="3265">
        <v>92.656179432341744</v>
      </c>
      <c r="K32" s="3265">
        <v>148.74917498584327</v>
      </c>
      <c r="L32" s="3677">
        <v>174.85159967215321</v>
      </c>
      <c r="M32" s="3684">
        <f t="shared" si="7"/>
        <v>174.85159967215321</v>
      </c>
      <c r="N32" s="3538">
        <v>0</v>
      </c>
      <c r="O32" s="3539">
        <v>0</v>
      </c>
      <c r="P32" s="3539">
        <v>1035.1575464413518</v>
      </c>
      <c r="Q32" s="3595">
        <v>0</v>
      </c>
      <c r="R32" s="3595">
        <v>0</v>
      </c>
      <c r="S32" s="3595">
        <v>0</v>
      </c>
      <c r="T32" s="3595">
        <v>0</v>
      </c>
      <c r="U32" s="3595">
        <v>0</v>
      </c>
      <c r="V32" s="3595">
        <v>0</v>
      </c>
      <c r="W32" s="5481">
        <v>0</v>
      </c>
      <c r="X32" s="5323"/>
      <c r="Y32" s="6645"/>
      <c r="Z32" s="3599">
        <f t="shared" si="4"/>
        <v>103.51575464413517</v>
      </c>
      <c r="AA32" s="3535">
        <f t="shared" ref="AA32:AL32" si="10">($K$32-N32)*N5/1000</f>
        <v>3904.051509285694</v>
      </c>
      <c r="AB32" s="3540">
        <f t="shared" si="10"/>
        <v>4303.3374322084428</v>
      </c>
      <c r="AC32" s="3540">
        <f t="shared" si="10"/>
        <v>-21099.302562927471</v>
      </c>
      <c r="AD32" s="3540">
        <f t="shared" si="10"/>
        <v>3857.86191546909</v>
      </c>
      <c r="AE32" s="3540">
        <f t="shared" si="10"/>
        <v>3784.1284369203572</v>
      </c>
      <c r="AF32" s="3540">
        <f t="shared" si="10"/>
        <v>4387.1635422799664</v>
      </c>
      <c r="AG32" s="3540">
        <f t="shared" si="10"/>
        <v>4824.4206671013508</v>
      </c>
      <c r="AH32" s="3540">
        <f t="shared" si="10"/>
        <v>4250.0068367482945</v>
      </c>
      <c r="AI32" s="3540">
        <f t="shared" si="10"/>
        <v>4400.1359578304809</v>
      </c>
      <c r="AJ32" s="3540">
        <f t="shared" si="10"/>
        <v>4555.684755103277</v>
      </c>
      <c r="AK32" s="3540">
        <f t="shared" si="10"/>
        <v>97.055861694763024</v>
      </c>
      <c r="AL32" s="3540">
        <f t="shared" si="10"/>
        <v>0</v>
      </c>
      <c r="AM32" s="3541">
        <f>($K$32-L32)*L5/1000</f>
        <v>-7219.6174391370951</v>
      </c>
      <c r="AN32" s="3436">
        <f>SUM(AA32:AL32)</f>
        <v>17264.544351714245</v>
      </c>
      <c r="AO32" s="4844">
        <f>AN32/AM32</f>
        <v>-2.3913378371164415</v>
      </c>
      <c r="AP32" s="3462" t="s">
        <v>755</v>
      </c>
      <c r="AQ32" s="798"/>
      <c r="AR32" s="798"/>
      <c r="AS32" s="798"/>
      <c r="AT32" s="798"/>
      <c r="AU32" s="798"/>
      <c r="AV32" s="798"/>
      <c r="AW32" s="798"/>
      <c r="AX32" s="798"/>
      <c r="AY32" s="798"/>
      <c r="AZ32" s="798"/>
      <c r="BA32" s="798"/>
      <c r="BB32" s="798"/>
    </row>
    <row r="33" spans="1:54" ht="21.75" customHeight="1" thickBot="1">
      <c r="A33" s="7184"/>
      <c r="B33" s="3439" t="s">
        <v>776</v>
      </c>
      <c r="C33" s="3440" t="s">
        <v>280</v>
      </c>
      <c r="D33" s="3542">
        <v>737</v>
      </c>
      <c r="E33" s="3543">
        <v>764</v>
      </c>
      <c r="F33" s="3543">
        <v>920</v>
      </c>
      <c r="G33" s="3543">
        <v>710</v>
      </c>
      <c r="H33" s="1579">
        <v>804.55310718712531</v>
      </c>
      <c r="I33" s="1579">
        <v>671</v>
      </c>
      <c r="J33" s="1579">
        <v>517.23473829824388</v>
      </c>
      <c r="K33" s="1579">
        <v>635.2418619413146</v>
      </c>
      <c r="L33" s="3544">
        <v>621.51204352886725</v>
      </c>
      <c r="M33" s="3545">
        <f t="shared" si="7"/>
        <v>621.51204352886725</v>
      </c>
      <c r="N33" s="3546">
        <v>582.04639434699629</v>
      </c>
      <c r="O33" s="3547">
        <v>355.55344318869999</v>
      </c>
      <c r="P33" s="3547">
        <v>1749.7565447247716</v>
      </c>
      <c r="Q33" s="3547">
        <v>488.87803711922146</v>
      </c>
      <c r="R33" s="3547">
        <v>410.602657425453</v>
      </c>
      <c r="S33" s="3547">
        <v>565.86782940085504</v>
      </c>
      <c r="T33" s="3547">
        <v>867.1569247124711</v>
      </c>
      <c r="U33" s="3547">
        <v>444.21328665393395</v>
      </c>
      <c r="V33" s="3547">
        <v>507.59104435935205</v>
      </c>
      <c r="W33" s="5482">
        <v>396.69552848498932</v>
      </c>
      <c r="X33" s="5324"/>
      <c r="Y33" s="6646"/>
      <c r="Z33" s="5757">
        <f t="shared" si="4"/>
        <v>636.83616904167434</v>
      </c>
      <c r="AA33" s="3535">
        <f t="shared" ref="AA33:AL33" si="11">($K$33-N33)*N5/1000</f>
        <v>1396.161327069691</v>
      </c>
      <c r="AB33" s="3540">
        <f t="shared" si="11"/>
        <v>8091.4307046601407</v>
      </c>
      <c r="AC33" s="3540">
        <f t="shared" si="11"/>
        <v>-26528.949026350216</v>
      </c>
      <c r="AD33" s="3540">
        <f t="shared" si="11"/>
        <v>3795.9970240996731</v>
      </c>
      <c r="AE33" s="3540">
        <f t="shared" si="11"/>
        <v>5714.7449855539835</v>
      </c>
      <c r="AF33" s="3540">
        <f t="shared" si="11"/>
        <v>2046.0969035385519</v>
      </c>
      <c r="AG33" s="3540">
        <f t="shared" si="11"/>
        <v>-7521.7615287732388</v>
      </c>
      <c r="AH33" s="3540">
        <f t="shared" si="11"/>
        <v>5457.9983456239097</v>
      </c>
      <c r="AI33" s="3540">
        <f t="shared" si="11"/>
        <v>3776.0273463184517</v>
      </c>
      <c r="AJ33" s="3540">
        <f t="shared" si="11"/>
        <v>7305.868384252828</v>
      </c>
      <c r="AK33" s="3540">
        <f t="shared" si="11"/>
        <v>414.482610079469</v>
      </c>
      <c r="AL33" s="3540">
        <f t="shared" si="11"/>
        <v>0</v>
      </c>
      <c r="AM33" s="3548">
        <f>(K33-L33)*L5/1000</f>
        <v>3797.5030150619855</v>
      </c>
      <c r="AN33" s="3486">
        <f>SUM(AA33:AL33)</f>
        <v>3948.0970760732421</v>
      </c>
      <c r="AO33" s="3508">
        <f>AN33/AM33</f>
        <v>1.039656074113426</v>
      </c>
      <c r="AP33" s="3549"/>
      <c r="AQ33" s="798"/>
      <c r="AR33" s="798"/>
      <c r="AS33" s="798"/>
      <c r="AT33" s="798"/>
      <c r="AU33" s="798"/>
      <c r="AV33" s="798"/>
      <c r="AW33" s="798"/>
      <c r="AX33" s="798"/>
      <c r="AY33" s="798"/>
      <c r="AZ33" s="798"/>
      <c r="BA33" s="798"/>
      <c r="BB33" s="798"/>
    </row>
    <row r="34" spans="1:54" ht="21.75" customHeight="1" thickBot="1">
      <c r="A34" s="3179" t="s">
        <v>416</v>
      </c>
      <c r="B34" s="3180" t="s">
        <v>417</v>
      </c>
      <c r="C34" s="945" t="s">
        <v>418</v>
      </c>
      <c r="D34" s="978"/>
      <c r="E34" s="979"/>
      <c r="F34" s="979">
        <v>2990</v>
      </c>
      <c r="G34" s="979">
        <v>3017</v>
      </c>
      <c r="H34" s="980">
        <v>3022.2867469820171</v>
      </c>
      <c r="I34" s="980">
        <v>3343.853489453621</v>
      </c>
      <c r="J34" s="980">
        <v>3788.6690513114572</v>
      </c>
      <c r="K34" s="980">
        <v>4455.0622722766366</v>
      </c>
      <c r="L34" s="981">
        <v>3842.2451013488735</v>
      </c>
      <c r="M34" s="2311">
        <f t="shared" si="7"/>
        <v>3842.2451013488735</v>
      </c>
      <c r="N34" s="982">
        <v>4240.7120053555091</v>
      </c>
      <c r="O34" s="983">
        <v>3966.9668477464352</v>
      </c>
      <c r="P34" s="983">
        <v>4642.6831081949695</v>
      </c>
      <c r="Q34" s="983">
        <v>4283.1049513501848</v>
      </c>
      <c r="R34" s="983">
        <v>4380.9750208925752</v>
      </c>
      <c r="S34" s="983">
        <v>3898.459331992934</v>
      </c>
      <c r="T34" s="983">
        <v>3596.3152023570865</v>
      </c>
      <c r="U34" s="983">
        <v>3912.6508799829535</v>
      </c>
      <c r="V34" s="983">
        <v>3899.4789450358357</v>
      </c>
      <c r="W34" s="5483">
        <v>3681.701494862868</v>
      </c>
      <c r="X34" s="5325"/>
      <c r="Y34" s="6647"/>
      <c r="Z34" s="5758">
        <f>AVERAGE(N34:X34)</f>
        <v>4050.3047787771357</v>
      </c>
      <c r="AA34" s="1374">
        <f t="shared" ref="AA34:AL34" si="12">($K$34-N34)*N5/1000</f>
        <v>5625.8092400772121</v>
      </c>
      <c r="AB34" s="952">
        <f t="shared" si="12"/>
        <v>14120.678726926652</v>
      </c>
      <c r="AC34" s="952">
        <f t="shared" si="12"/>
        <v>-4465.9650242811058</v>
      </c>
      <c r="AD34" s="952">
        <f t="shared" si="12"/>
        <v>4459.7733032898504</v>
      </c>
      <c r="AE34" s="952">
        <f t="shared" si="12"/>
        <v>1884.7544855450501</v>
      </c>
      <c r="AF34" s="952">
        <f t="shared" si="12"/>
        <v>16416.280139845439</v>
      </c>
      <c r="AG34" s="952">
        <f t="shared" si="12"/>
        <v>27851.966992938946</v>
      </c>
      <c r="AH34" s="952">
        <f t="shared" si="12"/>
        <v>15497.579235634143</v>
      </c>
      <c r="AI34" s="952">
        <f t="shared" si="12"/>
        <v>16434.660400610679</v>
      </c>
      <c r="AJ34" s="952">
        <f t="shared" si="12"/>
        <v>23685.428199477628</v>
      </c>
      <c r="AK34" s="952">
        <f t="shared" si="12"/>
        <v>2906.8390314150597</v>
      </c>
      <c r="AL34" s="952">
        <f t="shared" si="12"/>
        <v>0</v>
      </c>
      <c r="AM34" s="953">
        <f>(K34-L34)*L5/1000</f>
        <v>169497.87567256813</v>
      </c>
      <c r="AN34" s="954">
        <f>SUM(AA34:AL34)</f>
        <v>124417.80473147955</v>
      </c>
      <c r="AO34" s="955">
        <f>1-(AN34/AM34)</f>
        <v>0.26596245387861472</v>
      </c>
      <c r="AP34" s="984" t="s">
        <v>1690</v>
      </c>
      <c r="AQ34" s="798"/>
      <c r="AR34" s="798"/>
      <c r="AS34" s="798"/>
      <c r="AT34" s="798"/>
      <c r="AU34" s="798"/>
      <c r="AV34" s="798"/>
      <c r="AW34" s="798"/>
      <c r="AX34" s="798"/>
      <c r="AY34" s="798"/>
      <c r="AZ34" s="798"/>
      <c r="BA34" s="798"/>
      <c r="BB34" s="798"/>
    </row>
    <row r="35" spans="1:54" ht="21" customHeight="1">
      <c r="A35" s="7184" t="s">
        <v>762</v>
      </c>
      <c r="B35" s="3178" t="s">
        <v>764</v>
      </c>
      <c r="C35" s="913" t="s">
        <v>766</v>
      </c>
      <c r="D35" s="811"/>
      <c r="E35" s="350"/>
      <c r="F35" s="350"/>
      <c r="G35" s="350">
        <v>0</v>
      </c>
      <c r="H35" s="847">
        <v>12</v>
      </c>
      <c r="I35" s="847">
        <v>13</v>
      </c>
      <c r="J35" s="847"/>
      <c r="K35" s="847">
        <v>15</v>
      </c>
      <c r="L35" s="3204">
        <f>'성과개선 실적'!C3</f>
        <v>16</v>
      </c>
      <c r="M35" s="3205">
        <f>L35/10</f>
        <v>1.6</v>
      </c>
      <c r="N35" s="5104">
        <v>0</v>
      </c>
      <c r="O35" s="5105">
        <v>2</v>
      </c>
      <c r="P35" s="5105">
        <v>4</v>
      </c>
      <c r="Q35" s="5105">
        <v>4</v>
      </c>
      <c r="R35" s="5105">
        <v>0</v>
      </c>
      <c r="S35" s="5105">
        <v>0</v>
      </c>
      <c r="T35" s="5105">
        <v>0</v>
      </c>
      <c r="U35" s="5105">
        <v>0</v>
      </c>
      <c r="V35" s="5105">
        <v>0</v>
      </c>
      <c r="W35" s="5484">
        <v>0</v>
      </c>
      <c r="X35" s="5326"/>
      <c r="Y35" s="6648"/>
      <c r="Z35" s="5759">
        <f>SUM(N35:Y35)</f>
        <v>10</v>
      </c>
      <c r="AA35" s="5743">
        <f>'성과개선 실적'!M3</f>
        <v>1646.7486818687566</v>
      </c>
      <c r="AB35" s="976">
        <f>'성과개선 실적'!N3</f>
        <v>69004.775236903457</v>
      </c>
      <c r="AC35" s="976">
        <f>'성과개선 실적'!O3</f>
        <v>16118.305802256982</v>
      </c>
      <c r="AD35" s="976">
        <f>'성과개선 실적'!P3</f>
        <v>90006.774902299891</v>
      </c>
      <c r="AE35" s="976">
        <f>'성과개선 실적'!Q3</f>
        <v>10551.876089144704</v>
      </c>
      <c r="AF35" s="976">
        <f>'성과개선 실적'!R3</f>
        <v>75283.124400871646</v>
      </c>
      <c r="AG35" s="801">
        <f>'성과개선 실적'!S3</f>
        <v>93454.562254381744</v>
      </c>
      <c r="AH35" s="976">
        <f>'성과개선 실적'!T3</f>
        <v>54362.07948238626</v>
      </c>
      <c r="AI35" s="976">
        <f>'성과개선 실적'!U3</f>
        <v>106277.33949146541</v>
      </c>
      <c r="AJ35" s="976">
        <f>'성과개선 실적'!V3</f>
        <v>21300.86698470117</v>
      </c>
      <c r="AK35" s="976">
        <f>'성과개선 실적'!W3</f>
        <v>0</v>
      </c>
      <c r="AL35" s="976">
        <f>'성과개선 실적'!X3</f>
        <v>0</v>
      </c>
      <c r="AM35" s="976">
        <v>483718</v>
      </c>
      <c r="AN35" s="977">
        <f>AA35+AB35+AC35+AD35+AE35+AF35+AG35+AH35+AI35+AJ35+AK35</f>
        <v>538006.45332628</v>
      </c>
      <c r="AO35" s="964">
        <f>AN35/AM35</f>
        <v>1.112231617029509</v>
      </c>
      <c r="AP35" s="3182"/>
      <c r="AQ35" s="798"/>
      <c r="AR35" s="798"/>
      <c r="AS35" s="798"/>
      <c r="AT35" s="798"/>
      <c r="AU35" s="798"/>
      <c r="AV35" s="798"/>
      <c r="AW35" s="798"/>
      <c r="AX35" s="798"/>
      <c r="AY35" s="798"/>
      <c r="AZ35" s="798"/>
      <c r="BA35" s="798"/>
      <c r="BB35" s="798"/>
    </row>
    <row r="36" spans="1:54" ht="21.75" customHeight="1" thickBot="1">
      <c r="A36" s="7212"/>
      <c r="B36" s="2456" t="s">
        <v>763</v>
      </c>
      <c r="C36" s="3235" t="s">
        <v>765</v>
      </c>
      <c r="D36" s="3550"/>
      <c r="E36" s="2146"/>
      <c r="F36" s="2146"/>
      <c r="G36" s="2146">
        <v>0</v>
      </c>
      <c r="H36" s="1578">
        <v>1394256.1890849057</v>
      </c>
      <c r="I36" s="1578">
        <v>547594</v>
      </c>
      <c r="J36" s="3065">
        <v>257939</v>
      </c>
      <c r="K36" s="3203">
        <v>-781342.37821694068</v>
      </c>
      <c r="L36" s="3687">
        <f>'성과개선 실적'!I3</f>
        <v>717116.06146677514</v>
      </c>
      <c r="M36" s="3206">
        <f>L36/10</f>
        <v>71711.606146677514</v>
      </c>
      <c r="N36" s="975"/>
      <c r="O36" s="976"/>
      <c r="P36" s="976"/>
      <c r="Q36" s="976"/>
      <c r="R36" s="976"/>
      <c r="S36" s="976"/>
      <c r="T36" s="976"/>
      <c r="U36" s="976"/>
      <c r="V36" s="976"/>
      <c r="W36" s="5485"/>
      <c r="X36" s="5327"/>
      <c r="Y36" s="6649"/>
      <c r="Z36" s="801"/>
      <c r="AA36" s="5744"/>
      <c r="AB36" s="3548"/>
      <c r="AC36" s="3551"/>
      <c r="AD36" s="3551"/>
      <c r="AE36" s="3551"/>
      <c r="AF36" s="3551"/>
      <c r="AG36" s="3540"/>
      <c r="AH36" s="3551"/>
      <c r="AI36" s="3551"/>
      <c r="AJ36" s="3551"/>
      <c r="AK36" s="3551"/>
      <c r="AL36" s="3551"/>
      <c r="AM36" s="3548"/>
      <c r="AN36" s="3486"/>
      <c r="AO36" s="3508"/>
      <c r="AP36" s="3549"/>
      <c r="AQ36" s="798"/>
      <c r="AR36" s="798"/>
      <c r="AS36" s="798"/>
      <c r="AT36" s="798"/>
      <c r="AU36" s="798"/>
      <c r="AV36" s="798"/>
      <c r="AW36" s="798"/>
      <c r="AX36" s="798"/>
      <c r="AY36" s="798"/>
      <c r="AZ36" s="798"/>
      <c r="BA36" s="798"/>
      <c r="BB36" s="798"/>
    </row>
    <row r="37" spans="1:54" ht="21.75" customHeight="1" thickBot="1">
      <c r="A37" s="7393" t="s">
        <v>308</v>
      </c>
      <c r="B37" s="7394"/>
      <c r="C37" s="916" t="s">
        <v>280</v>
      </c>
      <c r="D37" s="813"/>
      <c r="E37" s="351"/>
      <c r="F37" s="351"/>
      <c r="G37" s="351"/>
      <c r="H37" s="848"/>
      <c r="I37" s="848"/>
      <c r="J37" s="848"/>
      <c r="K37" s="848"/>
      <c r="L37" s="1315"/>
      <c r="M37" s="2312">
        <f>AM37/10</f>
        <v>71711.606146677514</v>
      </c>
      <c r="N37" s="2222">
        <f>AA37</f>
        <v>1646.7486818687566</v>
      </c>
      <c r="O37" s="1516">
        <f>AB37</f>
        <v>69004.775236903457</v>
      </c>
      <c r="P37" s="1516">
        <f t="shared" ref="P37:Y37" si="13">AC37</f>
        <v>16118.305802256982</v>
      </c>
      <c r="Q37" s="1274">
        <f t="shared" si="13"/>
        <v>90006.774902299891</v>
      </c>
      <c r="R37" s="1274">
        <f t="shared" si="13"/>
        <v>10551.876089144704</v>
      </c>
      <c r="S37" s="1274">
        <f t="shared" si="13"/>
        <v>75283.124400871646</v>
      </c>
      <c r="T37" s="1274">
        <f t="shared" si="13"/>
        <v>93454.562254381744</v>
      </c>
      <c r="U37" s="6651">
        <f t="shared" si="13"/>
        <v>54362.07948238626</v>
      </c>
      <c r="V37" s="1274">
        <f t="shared" si="13"/>
        <v>106277.33949146541</v>
      </c>
      <c r="W37" s="6845">
        <f t="shared" si="13"/>
        <v>21300.86698470117</v>
      </c>
      <c r="X37" s="6090">
        <f t="shared" si="13"/>
        <v>-1607.2866702389806</v>
      </c>
      <c r="Y37" s="5303" t="e">
        <f t="shared" si="13"/>
        <v>#DIV/0!</v>
      </c>
      <c r="Z37" s="1516">
        <f>AN37</f>
        <v>536399.16665604105</v>
      </c>
      <c r="AA37" s="5745">
        <f>SUM(AA6:AA8)+AA17+SUM(AA24:AA27)+SUM(AA33:AA34)</f>
        <v>1646.7486818687566</v>
      </c>
      <c r="AB37" s="5106">
        <f t="shared" ref="AB37:AN37" si="14">SUM(AB6:AB8)+AB17+SUM(AB24:AB27)+SUM(AB33:AB34)</f>
        <v>69004.775236903457</v>
      </c>
      <c r="AC37" s="5106">
        <f t="shared" si="14"/>
        <v>16118.305802256982</v>
      </c>
      <c r="AD37" s="5106">
        <f t="shared" si="14"/>
        <v>90006.774902299891</v>
      </c>
      <c r="AE37" s="5106">
        <f t="shared" si="14"/>
        <v>10551.876089144704</v>
      </c>
      <c r="AF37" s="5106">
        <f t="shared" si="14"/>
        <v>75283.124400871646</v>
      </c>
      <c r="AG37" s="5106">
        <f t="shared" si="14"/>
        <v>93454.562254381744</v>
      </c>
      <c r="AH37" s="5106">
        <f t="shared" si="14"/>
        <v>54362.07948238626</v>
      </c>
      <c r="AI37" s="5106">
        <f t="shared" si="14"/>
        <v>106277.33949146541</v>
      </c>
      <c r="AJ37" s="5106">
        <f t="shared" si="14"/>
        <v>21300.86698470117</v>
      </c>
      <c r="AK37" s="5106">
        <f t="shared" si="14"/>
        <v>-1607.2866702389806</v>
      </c>
      <c r="AL37" s="5106" t="e">
        <f t="shared" si="14"/>
        <v>#DIV/0!</v>
      </c>
      <c r="AM37" s="5106">
        <f t="shared" si="14"/>
        <v>717116.06146677514</v>
      </c>
      <c r="AN37" s="5106">
        <f t="shared" si="14"/>
        <v>536399.16665604105</v>
      </c>
      <c r="AO37" s="352">
        <f>AN37/AM37</f>
        <v>0.74799491390403483</v>
      </c>
      <c r="AP37" s="353"/>
      <c r="AR37" s="793"/>
      <c r="AS37" s="793"/>
      <c r="AT37" s="798"/>
      <c r="AU37" s="798"/>
      <c r="AV37" s="798"/>
      <c r="AW37" s="798"/>
      <c r="AX37" s="798"/>
      <c r="AY37" s="798"/>
      <c r="AZ37" s="798"/>
      <c r="BA37" s="798"/>
      <c r="BB37" s="798"/>
    </row>
    <row r="38" spans="1:54" ht="17.25" customHeight="1">
      <c r="B38" s="346" t="s">
        <v>857</v>
      </c>
      <c r="AF38" s="726">
        <f>SUM(AA37:AF37)</f>
        <v>262611.60511334543</v>
      </c>
      <c r="AO38" s="355"/>
      <c r="AQ38" s="799"/>
      <c r="AR38" s="798"/>
      <c r="AS38" s="798"/>
      <c r="AT38" s="798"/>
      <c r="AU38" s="798"/>
      <c r="AV38" s="798"/>
      <c r="AW38" s="798"/>
      <c r="AX38" s="798"/>
      <c r="AY38" s="798"/>
      <c r="AZ38" s="798"/>
      <c r="BA38" s="798"/>
      <c r="BB38" s="798"/>
    </row>
    <row r="39" spans="1:54" ht="17.25" customHeight="1">
      <c r="AF39" s="346">
        <f>AF38/AM37</f>
        <v>0.366205164302421</v>
      </c>
      <c r="AN39" s="726"/>
      <c r="AR39" s="798"/>
      <c r="AS39" s="798"/>
      <c r="AT39" s="798"/>
      <c r="AU39" s="798"/>
      <c r="AV39" s="798"/>
      <c r="AW39" s="798"/>
      <c r="AX39" s="798"/>
      <c r="AY39" s="798"/>
      <c r="AZ39" s="798"/>
      <c r="BA39" s="798"/>
      <c r="BB39" s="798"/>
    </row>
    <row r="40" spans="1:54" ht="21.75" customHeight="1">
      <c r="B40" s="798"/>
      <c r="C40" s="798"/>
      <c r="D40" s="798"/>
      <c r="E40" s="798"/>
      <c r="F40" s="798"/>
      <c r="G40" s="798"/>
      <c r="H40" s="1738"/>
      <c r="I40" s="1738"/>
      <c r="J40" s="1738"/>
      <c r="K40" s="1738"/>
      <c r="L40" s="1738"/>
      <c r="M40" s="1738"/>
      <c r="N40" s="798"/>
      <c r="O40" s="1711"/>
      <c r="P40" s="1739"/>
      <c r="Q40" s="1739"/>
      <c r="R40" s="1739"/>
      <c r="S40" s="1739"/>
      <c r="T40" s="1739"/>
      <c r="U40" s="1739"/>
      <c r="V40" s="1739"/>
      <c r="W40" s="1739"/>
      <c r="X40" s="1739"/>
      <c r="Y40" s="1739"/>
      <c r="Z40" s="1739"/>
      <c r="AA40" s="1739"/>
      <c r="AB40" s="1739"/>
      <c r="AC40" s="1739"/>
      <c r="AD40" s="1739"/>
      <c r="AE40" s="798"/>
      <c r="AF40" s="798"/>
      <c r="AG40" s="798"/>
      <c r="AH40" s="798"/>
      <c r="AI40" s="798"/>
      <c r="AJ40" s="798"/>
      <c r="AK40" s="798"/>
      <c r="AL40" s="798"/>
      <c r="AM40" s="1740"/>
      <c r="AN40" s="798"/>
      <c r="AO40" s="1711"/>
      <c r="AP40" s="798"/>
      <c r="AQ40" s="798"/>
      <c r="AR40" s="798"/>
      <c r="AS40" s="798"/>
      <c r="AT40" s="798"/>
      <c r="AU40" s="798"/>
      <c r="AV40" s="798"/>
      <c r="AW40" s="798"/>
      <c r="AX40" s="798"/>
      <c r="AY40" s="798"/>
      <c r="AZ40" s="798"/>
      <c r="BA40" s="798"/>
      <c r="BB40" s="798"/>
    </row>
    <row r="41" spans="1:54" ht="21.75" customHeight="1">
      <c r="B41" s="798"/>
      <c r="C41" s="798"/>
      <c r="D41" s="798"/>
      <c r="E41" s="798"/>
      <c r="F41" s="798"/>
      <c r="G41" s="798"/>
      <c r="H41" s="798"/>
      <c r="I41" s="798"/>
      <c r="J41" s="2739"/>
      <c r="K41" s="798"/>
      <c r="L41" s="1741"/>
      <c r="M41" s="1741" t="s">
        <v>1823</v>
      </c>
      <c r="N41" s="1741">
        <v>1803.23</v>
      </c>
      <c r="O41" s="1741">
        <v>2109.6300000000006</v>
      </c>
      <c r="P41" s="1742">
        <v>1039.6200000000001</v>
      </c>
      <c r="Q41" s="798">
        <v>1608.01</v>
      </c>
      <c r="R41" s="798">
        <v>1210.1299999999999</v>
      </c>
      <c r="S41" s="798">
        <v>1361.3700000000001</v>
      </c>
      <c r="T41" s="798">
        <v>1485.1600000000005</v>
      </c>
      <c r="U41" s="798">
        <v>10617.149999999996</v>
      </c>
      <c r="V41" s="798"/>
      <c r="W41" s="798"/>
      <c r="X41" s="798"/>
      <c r="Y41" s="798"/>
      <c r="Z41" s="1741">
        <f>SUM(N41:T41)</f>
        <v>10617.150000000001</v>
      </c>
      <c r="AA41" s="798"/>
      <c r="AB41" s="1743"/>
      <c r="AC41" s="798"/>
      <c r="AD41" s="798"/>
      <c r="AF41" s="798"/>
      <c r="AG41" s="798"/>
      <c r="AH41" s="798"/>
      <c r="AI41" s="798"/>
      <c r="AJ41" s="798"/>
      <c r="AK41" s="798"/>
      <c r="AL41" s="798"/>
      <c r="AM41" s="798"/>
      <c r="AN41" s="798"/>
      <c r="AO41" s="1711"/>
      <c r="AP41" s="798"/>
      <c r="AQ41" s="798"/>
      <c r="AR41" s="1735"/>
      <c r="AS41" s="1717"/>
      <c r="AT41" s="798"/>
      <c r="AU41" s="798"/>
      <c r="AV41" s="798"/>
      <c r="AW41" s="798"/>
      <c r="AX41" s="798"/>
      <c r="AY41" s="798"/>
      <c r="AZ41" s="798"/>
      <c r="BA41" s="798"/>
      <c r="BB41" s="798"/>
    </row>
    <row r="42" spans="1:54" ht="21.75" customHeight="1">
      <c r="B42" s="798"/>
      <c r="C42" s="1744"/>
      <c r="D42" s="798"/>
      <c r="E42" s="798"/>
      <c r="F42" s="798"/>
      <c r="G42" s="798"/>
      <c r="H42" s="798"/>
      <c r="I42" s="798"/>
      <c r="J42" s="2739"/>
      <c r="K42" s="798"/>
      <c r="L42" s="798"/>
      <c r="M42" s="798"/>
      <c r="N42" s="5873">
        <f>N41/N5</f>
        <v>6.8705285822112203E-2</v>
      </c>
      <c r="O42" s="5873">
        <f t="shared" ref="O42:T42" si="15">O41/O5</f>
        <v>7.2921477102096927E-2</v>
      </c>
      <c r="P42" s="5873">
        <f t="shared" si="15"/>
        <v>4.3675750342181754E-2</v>
      </c>
      <c r="Q42" s="5873">
        <f t="shared" si="15"/>
        <v>6.200070560065702E-2</v>
      </c>
      <c r="R42" s="5873">
        <f t="shared" si="15"/>
        <v>4.7568638889041753E-2</v>
      </c>
      <c r="S42" s="5873">
        <f t="shared" si="15"/>
        <v>4.6157993062925305E-2</v>
      </c>
      <c r="T42" s="5873">
        <f t="shared" si="15"/>
        <v>4.5791264892890836E-2</v>
      </c>
      <c r="U42" s="5873">
        <f t="shared" ref="U42:AD42" si="16">U41/U5</f>
        <v>0.37159759121923469</v>
      </c>
      <c r="V42" s="5873">
        <f t="shared" si="16"/>
        <v>0</v>
      </c>
      <c r="W42" s="5873">
        <f t="shared" si="16"/>
        <v>0</v>
      </c>
      <c r="X42" s="5873">
        <f t="shared" si="16"/>
        <v>0</v>
      </c>
      <c r="Y42" s="5873" t="e">
        <f t="shared" si="16"/>
        <v>#DIV/0!</v>
      </c>
      <c r="Z42" s="5873">
        <f t="shared" si="16"/>
        <v>3.768785289599122E-2</v>
      </c>
      <c r="AA42" s="5873" t="e">
        <f t="shared" si="16"/>
        <v>#DIV/0!</v>
      </c>
      <c r="AB42" s="5873" t="e">
        <f t="shared" si="16"/>
        <v>#DIV/0!</v>
      </c>
      <c r="AC42" s="5873" t="e">
        <f t="shared" si="16"/>
        <v>#DIV/0!</v>
      </c>
      <c r="AD42" s="5873" t="e">
        <f t="shared" si="16"/>
        <v>#DIV/0!</v>
      </c>
      <c r="AE42" s="5873"/>
      <c r="AF42" s="798"/>
      <c r="AG42" s="798"/>
      <c r="AH42" s="798"/>
      <c r="AI42" s="798"/>
      <c r="AJ42" s="798"/>
      <c r="AK42" s="798"/>
      <c r="AL42" s="798"/>
      <c r="AM42" s="798"/>
      <c r="AN42" s="798"/>
      <c r="AO42" s="1711"/>
      <c r="AP42" s="798"/>
      <c r="AQ42" s="798"/>
      <c r="AR42" s="798"/>
      <c r="AS42" s="798"/>
      <c r="AT42" s="798"/>
      <c r="AU42" s="798"/>
      <c r="AV42" s="798"/>
      <c r="AW42" s="798"/>
      <c r="AX42" s="798"/>
      <c r="AY42" s="798"/>
      <c r="AZ42" s="798"/>
      <c r="BA42" s="798"/>
      <c r="BB42" s="798"/>
    </row>
    <row r="43" spans="1:54" ht="21.75" customHeight="1">
      <c r="B43" s="798"/>
      <c r="C43" s="798"/>
      <c r="D43" s="798"/>
      <c r="E43" s="798"/>
      <c r="F43" s="798"/>
      <c r="G43" s="798"/>
      <c r="H43" s="798"/>
      <c r="I43" s="798"/>
      <c r="J43" s="2739"/>
      <c r="K43" s="798"/>
      <c r="L43" s="1741"/>
      <c r="M43" s="1741"/>
      <c r="N43" s="798"/>
      <c r="O43" s="1745"/>
      <c r="P43" s="1742"/>
      <c r="Q43" s="798"/>
      <c r="R43" s="798"/>
      <c r="S43" s="798"/>
      <c r="T43" s="798"/>
      <c r="U43" s="798"/>
      <c r="V43" s="798"/>
      <c r="W43" s="798"/>
      <c r="X43" s="798"/>
      <c r="Y43" s="798"/>
      <c r="Z43" s="798"/>
      <c r="AA43" s="798"/>
      <c r="AB43" s="1743"/>
      <c r="AC43" s="798"/>
      <c r="AD43" s="798"/>
      <c r="AE43" s="798"/>
      <c r="AF43" s="798"/>
      <c r="AG43" s="798"/>
      <c r="AH43" s="798"/>
      <c r="AI43" s="798"/>
      <c r="AJ43" s="798"/>
      <c r="AK43" s="798"/>
      <c r="AL43" s="798"/>
      <c r="AM43" s="798"/>
      <c r="AN43" s="798"/>
      <c r="AO43" s="1711"/>
      <c r="AP43" s="798"/>
      <c r="AQ43" s="798"/>
      <c r="AR43" s="798"/>
      <c r="AS43" s="798"/>
      <c r="AT43" s="798"/>
      <c r="AU43" s="798"/>
      <c r="AV43" s="798"/>
      <c r="AW43" s="798"/>
      <c r="AX43" s="798"/>
      <c r="AY43" s="798"/>
      <c r="AZ43" s="798"/>
      <c r="BA43" s="798"/>
      <c r="BB43" s="798"/>
    </row>
    <row r="44" spans="1:54" ht="21.75" customHeight="1">
      <c r="B44" s="798"/>
      <c r="C44" s="798"/>
      <c r="D44" s="798"/>
      <c r="E44" s="798"/>
      <c r="F44" s="798"/>
      <c r="G44" s="798"/>
      <c r="H44" s="798"/>
      <c r="I44" s="798"/>
      <c r="J44" s="2739"/>
      <c r="K44" s="798"/>
      <c r="L44" s="798"/>
      <c r="M44" s="798"/>
      <c r="N44" s="798"/>
      <c r="O44" s="1711"/>
      <c r="P44" s="1742"/>
      <c r="Q44" s="798"/>
      <c r="R44" s="798"/>
      <c r="S44" s="798"/>
      <c r="T44" s="798"/>
      <c r="U44" s="798"/>
      <c r="V44" s="798"/>
      <c r="W44" s="798"/>
      <c r="X44" s="798"/>
      <c r="Y44" s="798"/>
      <c r="Z44" s="798"/>
      <c r="AA44" s="798"/>
      <c r="AB44" s="1743"/>
      <c r="AC44" s="798"/>
      <c r="AD44" s="798"/>
      <c r="AE44" s="798"/>
      <c r="AF44" s="798"/>
      <c r="AG44" s="798"/>
      <c r="AH44" s="798"/>
      <c r="AI44" s="798"/>
      <c r="AJ44" s="798"/>
      <c r="AK44" s="798"/>
      <c r="AL44" s="798"/>
      <c r="AM44" s="798"/>
      <c r="AN44" s="7392"/>
      <c r="AO44" s="7392"/>
      <c r="AP44" s="1732"/>
      <c r="AQ44" s="798"/>
      <c r="AR44" s="798"/>
      <c r="AS44" s="798"/>
      <c r="AT44" s="798"/>
      <c r="AU44" s="798"/>
      <c r="AV44" s="798"/>
      <c r="AW44" s="798"/>
      <c r="AX44" s="798"/>
      <c r="AY44" s="798"/>
      <c r="AZ44" s="798"/>
      <c r="BA44" s="798"/>
      <c r="BB44" s="798"/>
    </row>
    <row r="45" spans="1:54" ht="21.75" customHeight="1">
      <c r="B45" s="798"/>
      <c r="C45" s="798"/>
      <c r="D45" s="798"/>
      <c r="E45" s="798"/>
      <c r="F45" s="798"/>
      <c r="G45" s="798"/>
      <c r="H45" s="798"/>
      <c r="I45" s="798"/>
      <c r="J45" s="2739"/>
      <c r="K45" s="798"/>
      <c r="L45" s="798"/>
      <c r="M45" s="798"/>
      <c r="N45" s="798"/>
      <c r="O45" s="798"/>
      <c r="P45" s="1742"/>
      <c r="Q45" s="798"/>
      <c r="R45" s="798"/>
      <c r="S45" s="798"/>
      <c r="T45" s="798"/>
      <c r="U45" s="798"/>
      <c r="V45" s="798"/>
      <c r="W45" s="798"/>
      <c r="X45" s="798"/>
      <c r="Y45" s="798"/>
      <c r="Z45" s="798"/>
      <c r="AA45" s="798"/>
      <c r="AB45" s="1743"/>
      <c r="AC45" s="798"/>
      <c r="AD45" s="798"/>
      <c r="AE45" s="798"/>
      <c r="AF45" s="798"/>
      <c r="AG45" s="798"/>
      <c r="AH45" s="798"/>
      <c r="AI45" s="798"/>
      <c r="AJ45" s="798"/>
      <c r="AK45" s="798"/>
      <c r="AL45" s="798"/>
      <c r="AM45" s="798"/>
      <c r="AN45" s="798"/>
      <c r="AO45" s="1711"/>
      <c r="AP45" s="798"/>
      <c r="AQ45" s="798"/>
      <c r="AR45" s="798"/>
      <c r="AS45" s="798"/>
      <c r="AT45" s="798"/>
      <c r="AU45" s="798"/>
      <c r="AV45" s="798"/>
      <c r="AW45" s="798"/>
      <c r="AX45" s="798"/>
      <c r="AY45" s="798"/>
      <c r="AZ45" s="798"/>
      <c r="BA45" s="798"/>
      <c r="BB45" s="798"/>
    </row>
    <row r="46" spans="1:54" ht="21.75" customHeight="1">
      <c r="B46" s="798"/>
      <c r="C46" s="798"/>
      <c r="D46" s="798"/>
      <c r="E46" s="798"/>
      <c r="F46" s="798"/>
      <c r="G46" s="798"/>
      <c r="H46" s="798"/>
      <c r="I46" s="798"/>
      <c r="J46" s="2739"/>
      <c r="K46" s="798"/>
      <c r="L46" s="798"/>
      <c r="M46" s="798"/>
      <c r="N46" s="798"/>
      <c r="O46" s="798"/>
      <c r="P46" s="1742"/>
      <c r="Q46" s="798"/>
      <c r="R46" s="798"/>
      <c r="S46" s="798"/>
      <c r="T46" s="798"/>
      <c r="U46" s="798"/>
      <c r="V46" s="798"/>
      <c r="W46" s="798"/>
      <c r="X46" s="798"/>
      <c r="Y46" s="798"/>
      <c r="Z46" s="798"/>
      <c r="AA46" s="798"/>
      <c r="AB46" s="1743"/>
      <c r="AC46" s="798"/>
      <c r="AD46" s="798"/>
      <c r="AE46" s="798"/>
      <c r="AF46" s="798"/>
      <c r="AG46" s="798"/>
      <c r="AH46" s="798"/>
      <c r="AI46" s="798"/>
      <c r="AJ46" s="798"/>
      <c r="AK46" s="798"/>
      <c r="AL46" s="798"/>
      <c r="AM46" s="798"/>
      <c r="AN46" s="798"/>
      <c r="AO46" s="1711"/>
      <c r="AP46" s="798"/>
      <c r="AQ46" s="798"/>
      <c r="AR46" s="798"/>
      <c r="AS46" s="798"/>
      <c r="AT46" s="798"/>
      <c r="AU46" s="798"/>
      <c r="AV46" s="798"/>
      <c r="AW46" s="798"/>
      <c r="AX46" s="798"/>
      <c r="AY46" s="798"/>
      <c r="AZ46" s="798"/>
      <c r="BA46" s="798"/>
      <c r="BB46" s="798"/>
    </row>
    <row r="47" spans="1:54" ht="21.75" customHeight="1">
      <c r="B47" s="798"/>
      <c r="C47" s="798"/>
      <c r="D47" s="798"/>
      <c r="E47" s="798"/>
      <c r="F47" s="798"/>
      <c r="G47" s="798"/>
      <c r="H47" s="798"/>
      <c r="I47" s="798"/>
      <c r="J47" s="2739"/>
      <c r="K47" s="798"/>
      <c r="L47" s="798"/>
      <c r="M47" s="798"/>
      <c r="N47" s="798"/>
      <c r="O47" s="798"/>
      <c r="P47" s="1742"/>
      <c r="Q47" s="798"/>
      <c r="R47" s="798"/>
      <c r="S47" s="798"/>
      <c r="T47" s="798"/>
      <c r="U47" s="798"/>
      <c r="V47" s="798"/>
      <c r="W47" s="798"/>
      <c r="X47" s="798"/>
      <c r="Y47" s="798"/>
      <c r="Z47" s="798"/>
      <c r="AA47" s="798"/>
      <c r="AB47" s="1743"/>
      <c r="AC47" s="798"/>
      <c r="AD47" s="798"/>
      <c r="AE47" s="798"/>
      <c r="AF47" s="798"/>
      <c r="AG47" s="798"/>
      <c r="AH47" s="798"/>
      <c r="AI47" s="798"/>
      <c r="AJ47" s="798"/>
      <c r="AK47" s="798"/>
      <c r="AL47" s="798"/>
      <c r="AM47" s="798"/>
      <c r="AN47" s="798"/>
      <c r="AO47" s="1711"/>
      <c r="AP47" s="798"/>
      <c r="AQ47" s="798"/>
      <c r="AR47" s="798"/>
      <c r="AS47" s="798"/>
      <c r="AT47" s="798"/>
      <c r="AU47" s="798"/>
      <c r="AV47" s="798"/>
      <c r="AW47" s="798"/>
      <c r="AX47" s="798"/>
      <c r="AY47" s="798"/>
      <c r="AZ47" s="798"/>
      <c r="BA47" s="798"/>
      <c r="BB47" s="798"/>
    </row>
    <row r="48" spans="1:54" ht="21.75" customHeight="1">
      <c r="B48" s="798"/>
      <c r="C48" s="798"/>
      <c r="D48" s="798"/>
      <c r="E48" s="798"/>
      <c r="F48" s="798"/>
      <c r="G48" s="798"/>
      <c r="H48" s="798"/>
      <c r="I48" s="798"/>
      <c r="J48" s="2739"/>
      <c r="K48" s="798"/>
      <c r="L48" s="798"/>
      <c r="M48" s="798"/>
      <c r="N48" s="798"/>
      <c r="O48" s="798"/>
      <c r="P48" s="1746"/>
      <c r="Q48" s="1746"/>
      <c r="R48" s="1746"/>
      <c r="S48" s="1746"/>
      <c r="T48" s="1746"/>
      <c r="U48" s="1746"/>
      <c r="V48" s="1746"/>
      <c r="W48" s="1746"/>
      <c r="X48" s="1746"/>
      <c r="Y48" s="1746"/>
      <c r="Z48" s="1746"/>
      <c r="AA48" s="1746"/>
      <c r="AB48" s="1746"/>
      <c r="AC48" s="1746"/>
      <c r="AD48" s="1746"/>
      <c r="AE48" s="798"/>
      <c r="AF48" s="798"/>
      <c r="AG48" s="798"/>
      <c r="AH48" s="798"/>
      <c r="AI48" s="798"/>
      <c r="AJ48" s="798"/>
      <c r="AK48" s="798"/>
      <c r="AL48" s="798"/>
      <c r="AM48" s="798"/>
      <c r="AN48" s="798"/>
      <c r="AO48" s="1711"/>
      <c r="AP48" s="798"/>
      <c r="AQ48" s="798"/>
      <c r="AR48" s="798"/>
      <c r="AS48" s="798"/>
      <c r="AT48" s="798"/>
      <c r="AU48" s="798"/>
      <c r="AV48" s="798"/>
      <c r="AW48" s="798"/>
      <c r="AX48" s="798"/>
      <c r="AY48" s="798"/>
      <c r="AZ48" s="798"/>
      <c r="BA48" s="798"/>
      <c r="BB48" s="798"/>
    </row>
    <row r="49" spans="2:54" ht="21.75" customHeight="1">
      <c r="B49" s="798"/>
      <c r="C49" s="798"/>
      <c r="D49" s="798"/>
      <c r="E49" s="798"/>
      <c r="F49" s="798"/>
      <c r="G49" s="798"/>
      <c r="H49" s="798"/>
      <c r="I49" s="798"/>
      <c r="J49" s="2739"/>
      <c r="K49" s="798"/>
      <c r="L49" s="798"/>
      <c r="M49" s="798"/>
      <c r="N49" s="798"/>
      <c r="O49" s="798"/>
      <c r="P49" s="1747"/>
      <c r="Q49" s="1747"/>
      <c r="R49" s="1747"/>
      <c r="S49" s="1747"/>
      <c r="T49" s="1747"/>
      <c r="U49" s="1747"/>
      <c r="V49" s="1747"/>
      <c r="W49" s="1747"/>
      <c r="X49" s="1747"/>
      <c r="Y49" s="1747"/>
      <c r="Z49" s="1747"/>
      <c r="AA49" s="1747"/>
      <c r="AB49" s="1747"/>
      <c r="AC49" s="1747"/>
      <c r="AD49" s="1747"/>
      <c r="AE49" s="798"/>
      <c r="AF49" s="798"/>
      <c r="AG49" s="798"/>
      <c r="AH49" s="798"/>
      <c r="AI49" s="798"/>
      <c r="AJ49" s="798"/>
      <c r="AK49" s="798"/>
      <c r="AL49" s="798"/>
      <c r="AM49" s="798"/>
      <c r="AN49" s="798"/>
      <c r="AO49" s="1711"/>
      <c r="AP49" s="798"/>
      <c r="AQ49" s="1736"/>
      <c r="AR49" s="1736"/>
      <c r="AS49" s="1736"/>
      <c r="AT49" s="798"/>
      <c r="AU49" s="798"/>
      <c r="AV49" s="798"/>
      <c r="AW49" s="798"/>
      <c r="AX49" s="798"/>
      <c r="AY49" s="798"/>
      <c r="AZ49" s="798"/>
      <c r="BA49" s="798"/>
      <c r="BB49" s="798"/>
    </row>
    <row r="50" spans="2:54" ht="21.75" customHeight="1">
      <c r="B50" s="798"/>
      <c r="C50" s="798"/>
      <c r="D50" s="798"/>
      <c r="E50" s="798"/>
      <c r="F50" s="798"/>
      <c r="G50" s="798"/>
      <c r="H50" s="798"/>
      <c r="I50" s="798"/>
      <c r="J50" s="2739"/>
      <c r="K50" s="798"/>
      <c r="L50" s="798"/>
      <c r="M50" s="798"/>
      <c r="N50" s="798"/>
      <c r="O50" s="798"/>
      <c r="P50" s="1747"/>
      <c r="Q50" s="1747"/>
      <c r="R50" s="1747"/>
      <c r="S50" s="1747"/>
      <c r="T50" s="1747"/>
      <c r="U50" s="1747"/>
      <c r="V50" s="1747"/>
      <c r="W50" s="1747"/>
      <c r="X50" s="1747"/>
      <c r="Y50" s="1747"/>
      <c r="Z50" s="1747"/>
      <c r="AA50" s="1747"/>
      <c r="AB50" s="1747"/>
      <c r="AC50" s="1747"/>
      <c r="AD50" s="1747"/>
      <c r="AE50" s="798"/>
      <c r="AF50" s="798"/>
      <c r="AG50" s="798"/>
      <c r="AH50" s="798"/>
      <c r="AI50" s="798"/>
      <c r="AJ50" s="798"/>
      <c r="AK50" s="798"/>
      <c r="AL50" s="798"/>
      <c r="AM50" s="798"/>
      <c r="AN50" s="798"/>
      <c r="AO50" s="1711"/>
      <c r="AP50" s="798"/>
      <c r="AQ50" s="1736"/>
      <c r="AR50" s="793"/>
      <c r="AS50" s="793"/>
      <c r="AT50" s="798"/>
      <c r="AU50" s="798"/>
      <c r="AV50" s="798"/>
      <c r="AW50" s="798"/>
      <c r="AX50" s="798"/>
      <c r="AY50" s="798"/>
      <c r="AZ50" s="798"/>
      <c r="BA50" s="798"/>
      <c r="BB50" s="798"/>
    </row>
    <row r="51" spans="2:54" ht="21.75" customHeight="1">
      <c r="B51" s="798"/>
      <c r="C51" s="798"/>
      <c r="D51" s="798"/>
      <c r="E51" s="798"/>
      <c r="F51" s="798"/>
      <c r="G51" s="798"/>
      <c r="H51" s="798"/>
      <c r="I51" s="798"/>
      <c r="J51" s="2739"/>
      <c r="K51" s="798"/>
      <c r="L51" s="798"/>
      <c r="M51" s="798"/>
      <c r="N51" s="798"/>
      <c r="O51" s="798"/>
      <c r="P51" s="1747"/>
      <c r="Q51" s="1747"/>
      <c r="R51" s="1747"/>
      <c r="S51" s="1747"/>
      <c r="T51" s="1747"/>
      <c r="U51" s="1747"/>
      <c r="V51" s="1747"/>
      <c r="W51" s="1747"/>
      <c r="X51" s="1747"/>
      <c r="Y51" s="1747"/>
      <c r="Z51" s="1747"/>
      <c r="AA51" s="1747"/>
      <c r="AB51" s="1747"/>
      <c r="AC51" s="1747"/>
      <c r="AD51" s="1747"/>
      <c r="AE51" s="798"/>
      <c r="AF51" s="798"/>
      <c r="AG51" s="798"/>
      <c r="AH51" s="798"/>
      <c r="AI51" s="798"/>
      <c r="AJ51" s="798"/>
      <c r="AK51" s="798"/>
      <c r="AL51" s="798"/>
      <c r="AM51" s="798"/>
      <c r="AN51" s="798"/>
      <c r="AO51" s="1711"/>
      <c r="AP51" s="798"/>
      <c r="AQ51" s="1748"/>
      <c r="AR51" s="1737"/>
      <c r="AS51" s="1736"/>
      <c r="AT51" s="798"/>
      <c r="AU51" s="798"/>
      <c r="AV51" s="798"/>
      <c r="AW51" s="798"/>
      <c r="AX51" s="798"/>
      <c r="AY51" s="798"/>
      <c r="AZ51" s="798"/>
      <c r="BA51" s="798"/>
      <c r="BB51" s="798"/>
    </row>
    <row r="52" spans="2:54" ht="21.75" customHeight="1">
      <c r="B52" s="798"/>
      <c r="C52" s="798"/>
      <c r="D52" s="798"/>
      <c r="E52" s="798"/>
      <c r="F52" s="798"/>
      <c r="G52" s="798"/>
      <c r="H52" s="798"/>
      <c r="I52" s="798"/>
      <c r="J52" s="2739"/>
      <c r="K52" s="798"/>
      <c r="L52" s="798"/>
      <c r="M52" s="798"/>
      <c r="N52" s="798"/>
      <c r="O52" s="798"/>
      <c r="P52" s="1747"/>
      <c r="Q52" s="1747"/>
      <c r="R52" s="1747"/>
      <c r="S52" s="1747"/>
      <c r="T52" s="1747"/>
      <c r="U52" s="1747"/>
      <c r="V52" s="1747"/>
      <c r="W52" s="1747"/>
      <c r="X52" s="1747"/>
      <c r="Y52" s="1747"/>
      <c r="Z52" s="1747"/>
      <c r="AA52" s="1747"/>
      <c r="AB52" s="1747"/>
      <c r="AC52" s="1747"/>
      <c r="AD52" s="1747"/>
      <c r="AE52" s="798"/>
      <c r="AF52" s="798"/>
      <c r="AG52" s="798"/>
      <c r="AH52" s="798"/>
      <c r="AI52" s="798"/>
      <c r="AJ52" s="798"/>
      <c r="AK52" s="798"/>
      <c r="AL52" s="798"/>
      <c r="AM52" s="798"/>
      <c r="AN52" s="798"/>
      <c r="AO52" s="1711"/>
      <c r="AP52" s="798"/>
      <c r="AQ52" s="1748"/>
      <c r="AR52" s="1737"/>
      <c r="AS52" s="1736"/>
      <c r="AT52" s="798"/>
      <c r="AU52" s="798"/>
      <c r="AV52" s="798"/>
      <c r="AW52" s="798"/>
      <c r="AX52" s="798"/>
      <c r="AY52" s="798"/>
      <c r="AZ52" s="798"/>
      <c r="BA52" s="798"/>
      <c r="BB52" s="798"/>
    </row>
    <row r="53" spans="2:54" ht="21.75" customHeight="1">
      <c r="B53" s="798"/>
      <c r="C53" s="798"/>
      <c r="D53" s="798"/>
      <c r="E53" s="798"/>
      <c r="F53" s="798"/>
      <c r="G53" s="798"/>
      <c r="H53" s="798"/>
      <c r="I53" s="798"/>
      <c r="J53" s="2739"/>
      <c r="K53" s="798"/>
      <c r="L53" s="798"/>
      <c r="M53" s="798"/>
      <c r="N53" s="798"/>
      <c r="O53" s="798"/>
      <c r="P53" s="1747"/>
      <c r="Q53" s="1747"/>
      <c r="R53" s="1747"/>
      <c r="S53" s="1747"/>
      <c r="T53" s="1747"/>
      <c r="U53" s="1747"/>
      <c r="V53" s="1747"/>
      <c r="W53" s="1747"/>
      <c r="X53" s="1747"/>
      <c r="Y53" s="1747"/>
      <c r="Z53" s="1747"/>
      <c r="AA53" s="1747"/>
      <c r="AB53" s="1747"/>
      <c r="AC53" s="1747"/>
      <c r="AD53" s="1747"/>
      <c r="AE53" s="798"/>
      <c r="AF53" s="798"/>
      <c r="AG53" s="798"/>
      <c r="AH53" s="798"/>
      <c r="AI53" s="798"/>
      <c r="AJ53" s="798"/>
      <c r="AK53" s="798"/>
      <c r="AL53" s="798"/>
      <c r="AM53" s="798"/>
      <c r="AN53" s="798"/>
      <c r="AO53" s="1711"/>
      <c r="AP53" s="798"/>
      <c r="AQ53" s="1748"/>
      <c r="AR53" s="1737"/>
      <c r="AS53" s="1736"/>
      <c r="AT53" s="798"/>
      <c r="AU53" s="798"/>
      <c r="AV53" s="798"/>
      <c r="AW53" s="798"/>
      <c r="AX53" s="798"/>
      <c r="AY53" s="798"/>
      <c r="AZ53" s="798"/>
      <c r="BA53" s="798"/>
      <c r="BB53" s="798"/>
    </row>
    <row r="54" spans="2:54" ht="21.75" customHeight="1">
      <c r="B54" s="798"/>
      <c r="C54" s="798"/>
      <c r="D54" s="798"/>
      <c r="E54" s="798"/>
      <c r="F54" s="798"/>
      <c r="G54" s="798"/>
      <c r="H54" s="798"/>
      <c r="I54" s="798"/>
      <c r="J54" s="2739"/>
      <c r="K54" s="798"/>
      <c r="L54" s="798"/>
      <c r="M54" s="798"/>
      <c r="N54" s="798"/>
      <c r="O54" s="798"/>
      <c r="P54" s="1747"/>
      <c r="Q54" s="1747"/>
      <c r="R54" s="1747"/>
      <c r="S54" s="1747"/>
      <c r="T54" s="1747"/>
      <c r="U54" s="1747"/>
      <c r="V54" s="1747"/>
      <c r="W54" s="1747"/>
      <c r="X54" s="1747"/>
      <c r="Y54" s="1747"/>
      <c r="Z54" s="1747"/>
      <c r="AA54" s="1747"/>
      <c r="AB54" s="1747"/>
      <c r="AC54" s="1747"/>
      <c r="AD54" s="1747"/>
      <c r="AE54" s="798"/>
      <c r="AF54" s="798"/>
      <c r="AG54" s="798"/>
      <c r="AH54" s="798"/>
      <c r="AI54" s="798"/>
      <c r="AJ54" s="798"/>
      <c r="AK54" s="798"/>
      <c r="AL54" s="798"/>
      <c r="AM54" s="798"/>
      <c r="AN54" s="798"/>
      <c r="AO54" s="1711"/>
      <c r="AP54" s="798"/>
      <c r="AQ54" s="1748"/>
      <c r="AR54" s="1737"/>
      <c r="AS54" s="793"/>
      <c r="AT54" s="798"/>
      <c r="AU54" s="798"/>
      <c r="AV54" s="798"/>
      <c r="AW54" s="798"/>
      <c r="AX54" s="798"/>
      <c r="AY54" s="798"/>
      <c r="AZ54" s="798"/>
      <c r="BA54" s="798"/>
      <c r="BB54" s="798"/>
    </row>
    <row r="55" spans="2:54" ht="21.75" customHeight="1">
      <c r="B55" s="798"/>
      <c r="C55" s="798"/>
      <c r="D55" s="798"/>
      <c r="E55" s="798"/>
      <c r="F55" s="798"/>
      <c r="G55" s="798"/>
      <c r="H55" s="798"/>
      <c r="I55" s="798"/>
      <c r="J55" s="2739"/>
      <c r="K55" s="798"/>
      <c r="L55" s="798"/>
      <c r="M55" s="798"/>
      <c r="N55" s="798"/>
      <c r="O55" s="798"/>
      <c r="P55" s="1747"/>
      <c r="Q55" s="1747"/>
      <c r="R55" s="1747"/>
      <c r="S55" s="1747"/>
      <c r="T55" s="1747"/>
      <c r="U55" s="1747"/>
      <c r="V55" s="1747"/>
      <c r="W55" s="1747"/>
      <c r="X55" s="1747"/>
      <c r="Y55" s="1747"/>
      <c r="Z55" s="1747"/>
      <c r="AA55" s="1747"/>
      <c r="AB55" s="1747"/>
      <c r="AC55" s="1747"/>
      <c r="AD55" s="1747"/>
      <c r="AE55" s="798"/>
      <c r="AF55" s="798"/>
      <c r="AG55" s="798"/>
      <c r="AH55" s="798"/>
      <c r="AI55" s="798"/>
      <c r="AJ55" s="798"/>
      <c r="AK55" s="798"/>
      <c r="AL55" s="798"/>
      <c r="AM55" s="798"/>
      <c r="AN55" s="798"/>
      <c r="AO55" s="1711"/>
      <c r="AP55" s="798"/>
      <c r="AQ55" s="1748"/>
      <c r="AR55" s="1737"/>
      <c r="AS55" s="793"/>
      <c r="AT55" s="798"/>
      <c r="AU55" s="798"/>
      <c r="AV55" s="798"/>
      <c r="AW55" s="798"/>
      <c r="AX55" s="798"/>
      <c r="AY55" s="798"/>
      <c r="AZ55" s="798"/>
      <c r="BA55" s="798"/>
      <c r="BB55" s="798"/>
    </row>
    <row r="56" spans="2:54" ht="21.75" customHeight="1">
      <c r="B56" s="798"/>
      <c r="C56" s="798"/>
      <c r="D56" s="798"/>
      <c r="E56" s="798"/>
      <c r="F56" s="798"/>
      <c r="G56" s="798"/>
      <c r="H56" s="798"/>
      <c r="I56" s="798"/>
      <c r="J56" s="2739"/>
      <c r="K56" s="798"/>
      <c r="L56" s="798"/>
      <c r="M56" s="798"/>
      <c r="N56" s="798"/>
      <c r="O56" s="798"/>
      <c r="P56" s="798"/>
      <c r="Q56" s="798"/>
      <c r="R56" s="798"/>
      <c r="S56" s="798"/>
      <c r="T56" s="798"/>
      <c r="U56" s="1711"/>
      <c r="V56" s="1711"/>
      <c r="W56" s="798"/>
      <c r="X56" s="798"/>
      <c r="Y56" s="798"/>
      <c r="Z56" s="798"/>
      <c r="AA56" s="798"/>
      <c r="AB56" s="798"/>
      <c r="AC56" s="798"/>
      <c r="AD56" s="798"/>
      <c r="AE56" s="798"/>
      <c r="AF56" s="798"/>
      <c r="AG56" s="798"/>
      <c r="AH56" s="798"/>
      <c r="AI56" s="798"/>
      <c r="AJ56" s="798"/>
      <c r="AK56" s="798"/>
      <c r="AL56" s="798"/>
      <c r="AM56" s="798"/>
      <c r="AN56" s="798"/>
      <c r="AO56" s="1711"/>
      <c r="AP56" s="798"/>
      <c r="AQ56" s="1748"/>
      <c r="AR56" s="1737"/>
      <c r="AS56" s="1736"/>
      <c r="AT56" s="798"/>
      <c r="AU56" s="798"/>
      <c r="AV56" s="798"/>
      <c r="AW56" s="798"/>
      <c r="AX56" s="798"/>
      <c r="AY56" s="798"/>
      <c r="AZ56" s="798"/>
      <c r="BA56" s="798"/>
      <c r="BB56" s="798"/>
    </row>
    <row r="57" spans="2:54" ht="21.75" customHeight="1">
      <c r="B57" s="798"/>
      <c r="C57" s="798"/>
      <c r="D57" s="798"/>
      <c r="E57" s="798"/>
      <c r="F57" s="798"/>
      <c r="G57" s="798"/>
      <c r="H57" s="798"/>
      <c r="I57" s="798"/>
      <c r="J57" s="2739"/>
      <c r="K57" s="798"/>
      <c r="L57" s="798"/>
      <c r="M57" s="798"/>
      <c r="N57" s="798"/>
      <c r="O57" s="798"/>
      <c r="P57" s="798"/>
      <c r="Q57" s="798"/>
      <c r="R57" s="798"/>
      <c r="S57" s="798"/>
      <c r="T57" s="798"/>
      <c r="U57" s="1711"/>
      <c r="V57" s="1711"/>
      <c r="W57" s="798"/>
      <c r="X57" s="798"/>
      <c r="Y57" s="798"/>
      <c r="Z57" s="798"/>
      <c r="AA57" s="798"/>
      <c r="AB57" s="798"/>
      <c r="AC57" s="798"/>
      <c r="AD57" s="798"/>
      <c r="AE57" s="798"/>
      <c r="AF57" s="798"/>
      <c r="AG57" s="798"/>
      <c r="AH57" s="798"/>
      <c r="AI57" s="798"/>
      <c r="AJ57" s="798"/>
      <c r="AK57" s="798"/>
      <c r="AL57" s="798"/>
      <c r="AM57" s="798"/>
      <c r="AN57" s="798"/>
      <c r="AO57" s="1711"/>
      <c r="AP57" s="798"/>
      <c r="AQ57" s="798"/>
      <c r="AR57" s="798"/>
      <c r="AS57" s="798"/>
      <c r="AT57" s="798"/>
      <c r="AU57" s="798"/>
      <c r="AV57" s="798"/>
      <c r="AW57" s="798"/>
      <c r="AX57" s="798"/>
      <c r="AY57" s="798"/>
      <c r="AZ57" s="798"/>
      <c r="BA57" s="798"/>
      <c r="BB57" s="798"/>
    </row>
    <row r="58" spans="2:54" ht="21.75" customHeight="1">
      <c r="B58" s="798"/>
      <c r="C58" s="798"/>
      <c r="D58" s="798"/>
      <c r="E58" s="798"/>
      <c r="F58" s="798"/>
      <c r="G58" s="798"/>
      <c r="H58" s="798"/>
      <c r="I58" s="798"/>
      <c r="J58" s="2739"/>
      <c r="K58" s="798"/>
      <c r="L58" s="798"/>
      <c r="M58" s="798"/>
      <c r="N58" s="798"/>
      <c r="O58" s="798"/>
      <c r="P58" s="1746"/>
      <c r="Q58" s="1746"/>
      <c r="R58" s="1746"/>
      <c r="S58" s="1746"/>
      <c r="T58" s="1746"/>
      <c r="U58" s="1746"/>
      <c r="V58" s="1746"/>
      <c r="W58" s="1746"/>
      <c r="X58" s="1746"/>
      <c r="Y58" s="1746"/>
      <c r="Z58" s="1746"/>
      <c r="AA58" s="1746"/>
      <c r="AB58" s="1746"/>
      <c r="AC58" s="1746"/>
      <c r="AD58" s="1746"/>
      <c r="AE58" s="798"/>
      <c r="AF58" s="798"/>
      <c r="AG58" s="798"/>
      <c r="AH58" s="798"/>
      <c r="AI58" s="798"/>
      <c r="AJ58" s="798"/>
      <c r="AK58" s="798"/>
      <c r="AL58" s="798"/>
      <c r="AM58" s="798"/>
      <c r="AN58" s="798"/>
      <c r="AO58" s="1711"/>
      <c r="AP58" s="798"/>
      <c r="AQ58" s="798"/>
      <c r="AR58" s="798"/>
      <c r="AS58" s="798"/>
      <c r="AT58" s="798"/>
    </row>
    <row r="59" spans="2:54" ht="21.75" customHeight="1">
      <c r="B59" s="798"/>
      <c r="C59" s="798"/>
      <c r="D59" s="798"/>
      <c r="E59" s="798"/>
      <c r="F59" s="798"/>
      <c r="G59" s="798"/>
      <c r="H59" s="798"/>
      <c r="I59" s="798"/>
      <c r="J59" s="2739"/>
      <c r="K59" s="798"/>
      <c r="L59" s="798"/>
      <c r="M59" s="798"/>
      <c r="N59" s="798"/>
      <c r="O59" s="798"/>
      <c r="P59" s="1747"/>
      <c r="Q59" s="1747"/>
      <c r="R59" s="1747"/>
      <c r="S59" s="1747"/>
      <c r="T59" s="1747"/>
      <c r="U59" s="1747"/>
      <c r="V59" s="1747"/>
      <c r="W59" s="1747"/>
      <c r="X59" s="1747"/>
      <c r="Y59" s="1747"/>
      <c r="Z59" s="1747"/>
      <c r="AA59" s="1747"/>
      <c r="AB59" s="1747"/>
      <c r="AC59" s="1747"/>
      <c r="AD59" s="1747"/>
      <c r="AE59" s="798"/>
      <c r="AF59" s="798"/>
      <c r="AG59" s="798"/>
      <c r="AH59" s="798"/>
      <c r="AI59" s="798"/>
      <c r="AJ59" s="798"/>
      <c r="AK59" s="798"/>
      <c r="AL59" s="798"/>
      <c r="AM59" s="798"/>
      <c r="AN59" s="798"/>
      <c r="AO59" s="1711"/>
      <c r="AP59" s="798"/>
      <c r="AQ59" s="798"/>
      <c r="AR59" s="798"/>
      <c r="AS59" s="798"/>
      <c r="AT59" s="798"/>
    </row>
    <row r="60" spans="2:54" ht="21.75" customHeight="1">
      <c r="B60" s="798"/>
      <c r="C60" s="798"/>
      <c r="D60" s="798"/>
      <c r="E60" s="798"/>
      <c r="F60" s="798"/>
      <c r="G60" s="798"/>
      <c r="H60" s="798"/>
      <c r="I60" s="798"/>
      <c r="J60" s="2739"/>
      <c r="K60" s="798"/>
      <c r="L60" s="798"/>
      <c r="M60" s="798"/>
      <c r="N60" s="798"/>
      <c r="O60" s="798"/>
      <c r="P60" s="1747"/>
      <c r="Q60" s="1747"/>
      <c r="R60" s="1747"/>
      <c r="S60" s="1747"/>
      <c r="T60" s="1747"/>
      <c r="U60" s="1747"/>
      <c r="V60" s="1747"/>
      <c r="W60" s="1747"/>
      <c r="X60" s="1747"/>
      <c r="Y60" s="1747"/>
      <c r="Z60" s="1747"/>
      <c r="AA60" s="1747"/>
      <c r="AB60" s="1747"/>
      <c r="AC60" s="1747"/>
      <c r="AD60" s="1747"/>
      <c r="AE60" s="798"/>
      <c r="AF60" s="798"/>
      <c r="AG60" s="798"/>
      <c r="AH60" s="798"/>
      <c r="AI60" s="798"/>
      <c r="AJ60" s="798"/>
      <c r="AK60" s="798"/>
      <c r="AL60" s="798"/>
      <c r="AM60" s="798"/>
      <c r="AN60" s="798"/>
      <c r="AO60" s="1711"/>
      <c r="AP60" s="798"/>
      <c r="AQ60" s="798"/>
      <c r="AR60" s="798"/>
      <c r="AS60" s="798"/>
      <c r="AT60" s="798"/>
    </row>
    <row r="61" spans="2:54" ht="21.75" customHeight="1">
      <c r="B61" s="798"/>
      <c r="C61" s="798"/>
      <c r="D61" s="798"/>
      <c r="E61" s="798"/>
      <c r="F61" s="798"/>
      <c r="G61" s="798"/>
      <c r="H61" s="798"/>
      <c r="I61" s="798"/>
      <c r="J61" s="2739"/>
      <c r="K61" s="798"/>
      <c r="L61" s="798"/>
      <c r="M61" s="798"/>
      <c r="N61" s="798"/>
      <c r="O61" s="798"/>
      <c r="P61" s="1747"/>
      <c r="Q61" s="1747"/>
      <c r="R61" s="1747"/>
      <c r="S61" s="1747"/>
      <c r="T61" s="1747"/>
      <c r="U61" s="1747"/>
      <c r="V61" s="1747"/>
      <c r="W61" s="1747"/>
      <c r="X61" s="1747"/>
      <c r="Y61" s="1747"/>
      <c r="Z61" s="1747"/>
      <c r="AA61" s="1747"/>
      <c r="AB61" s="1747"/>
      <c r="AC61" s="1747"/>
      <c r="AD61" s="1747"/>
      <c r="AE61" s="798"/>
      <c r="AF61" s="798"/>
      <c r="AG61" s="798"/>
      <c r="AH61" s="798"/>
      <c r="AI61" s="798"/>
      <c r="AJ61" s="798"/>
      <c r="AK61" s="798"/>
      <c r="AL61" s="798"/>
      <c r="AM61" s="798"/>
      <c r="AN61" s="798"/>
      <c r="AO61" s="1711"/>
      <c r="AP61" s="798"/>
      <c r="AQ61" s="798"/>
      <c r="AR61" s="798"/>
      <c r="AS61" s="798"/>
      <c r="AT61" s="798"/>
    </row>
    <row r="62" spans="2:54" ht="21.75" customHeight="1">
      <c r="B62" s="798"/>
      <c r="C62" s="798"/>
      <c r="D62" s="798"/>
      <c r="E62" s="798"/>
      <c r="F62" s="798"/>
      <c r="G62" s="798"/>
      <c r="H62" s="798"/>
      <c r="I62" s="798"/>
      <c r="J62" s="2739"/>
      <c r="K62" s="798"/>
      <c r="L62" s="798"/>
      <c r="M62" s="798"/>
      <c r="N62" s="798"/>
      <c r="O62" s="798"/>
      <c r="P62" s="1747"/>
      <c r="Q62" s="1747"/>
      <c r="R62" s="1747"/>
      <c r="S62" s="1747"/>
      <c r="T62" s="1747"/>
      <c r="U62" s="1747"/>
      <c r="V62" s="1747"/>
      <c r="W62" s="1747"/>
      <c r="X62" s="1747"/>
      <c r="Y62" s="1747"/>
      <c r="Z62" s="1747"/>
      <c r="AA62" s="1747"/>
      <c r="AB62" s="1747"/>
      <c r="AC62" s="1747"/>
      <c r="AD62" s="1747"/>
      <c r="AE62" s="798"/>
      <c r="AF62" s="798"/>
      <c r="AG62" s="798"/>
      <c r="AH62" s="798"/>
      <c r="AI62" s="798"/>
      <c r="AJ62" s="798"/>
      <c r="AK62" s="798"/>
      <c r="AL62" s="798"/>
      <c r="AM62" s="798"/>
      <c r="AN62" s="798"/>
      <c r="AO62" s="1711"/>
      <c r="AP62" s="798"/>
      <c r="AQ62" s="798"/>
      <c r="AR62" s="798"/>
      <c r="AS62" s="798"/>
      <c r="AT62" s="798"/>
    </row>
    <row r="63" spans="2:54" ht="21.75" customHeight="1">
      <c r="B63" s="798"/>
      <c r="C63" s="798"/>
      <c r="D63" s="798"/>
      <c r="E63" s="798"/>
      <c r="F63" s="798"/>
      <c r="G63" s="798"/>
      <c r="H63" s="798"/>
      <c r="I63" s="798"/>
      <c r="J63" s="2739"/>
      <c r="K63" s="798"/>
      <c r="L63" s="798"/>
      <c r="M63" s="798"/>
      <c r="N63" s="798"/>
      <c r="O63" s="798"/>
      <c r="P63" s="1747"/>
      <c r="Q63" s="1747"/>
      <c r="R63" s="1747"/>
      <c r="S63" s="1747"/>
      <c r="T63" s="1747"/>
      <c r="U63" s="1747"/>
      <c r="V63" s="1747"/>
      <c r="W63" s="1747"/>
      <c r="X63" s="1747"/>
      <c r="Y63" s="1747"/>
      <c r="Z63" s="1747"/>
      <c r="AA63" s="1747"/>
      <c r="AB63" s="1747"/>
      <c r="AC63" s="1747"/>
      <c r="AD63" s="1747"/>
      <c r="AE63" s="798"/>
      <c r="AF63" s="798"/>
      <c r="AG63" s="798"/>
      <c r="AH63" s="798"/>
      <c r="AI63" s="798"/>
      <c r="AJ63" s="798"/>
      <c r="AK63" s="798"/>
      <c r="AL63" s="798"/>
      <c r="AM63" s="798"/>
      <c r="AN63" s="798"/>
      <c r="AO63" s="1711"/>
      <c r="AP63" s="798"/>
      <c r="AQ63" s="798"/>
      <c r="AR63" s="798"/>
      <c r="AS63" s="798"/>
      <c r="AT63" s="798"/>
    </row>
    <row r="64" spans="2:54" ht="21.75" customHeight="1">
      <c r="B64" s="798"/>
      <c r="C64" s="798"/>
      <c r="D64" s="798"/>
      <c r="E64" s="798"/>
      <c r="F64" s="798"/>
      <c r="G64" s="798"/>
      <c r="H64" s="798"/>
      <c r="I64" s="798"/>
      <c r="J64" s="2739"/>
      <c r="K64" s="798"/>
      <c r="L64" s="798"/>
      <c r="M64" s="798"/>
      <c r="N64" s="798"/>
      <c r="O64" s="798"/>
      <c r="P64" s="1747"/>
      <c r="Q64" s="1747"/>
      <c r="R64" s="1747"/>
      <c r="S64" s="1747"/>
      <c r="T64" s="1747"/>
      <c r="U64" s="1747"/>
      <c r="V64" s="1747"/>
      <c r="W64" s="1747"/>
      <c r="X64" s="1747"/>
      <c r="Y64" s="1747"/>
      <c r="Z64" s="1747"/>
      <c r="AA64" s="1747"/>
      <c r="AB64" s="1747"/>
      <c r="AC64" s="1747"/>
      <c r="AD64" s="1747"/>
      <c r="AE64" s="798"/>
      <c r="AF64" s="798"/>
      <c r="AG64" s="798"/>
      <c r="AH64" s="798"/>
      <c r="AI64" s="798"/>
      <c r="AJ64" s="798"/>
      <c r="AK64" s="798"/>
      <c r="AL64" s="798"/>
      <c r="AM64" s="798"/>
      <c r="AN64" s="798"/>
      <c r="AO64" s="1711"/>
      <c r="AP64" s="798"/>
      <c r="AQ64" s="798"/>
      <c r="AR64" s="798"/>
      <c r="AS64" s="798"/>
      <c r="AT64" s="798"/>
    </row>
    <row r="65" spans="2:46" ht="21.75" customHeight="1">
      <c r="B65" s="798"/>
      <c r="C65" s="798"/>
      <c r="D65" s="798"/>
      <c r="E65" s="798"/>
      <c r="F65" s="798"/>
      <c r="G65" s="798"/>
      <c r="H65" s="798"/>
      <c r="I65" s="798"/>
      <c r="J65" s="2739"/>
      <c r="K65" s="798"/>
      <c r="L65" s="798"/>
      <c r="M65" s="798"/>
      <c r="N65" s="798"/>
      <c r="O65" s="798"/>
      <c r="P65" s="1747"/>
      <c r="Q65" s="1747"/>
      <c r="R65" s="1747"/>
      <c r="S65" s="1747"/>
      <c r="T65" s="1747"/>
      <c r="U65" s="1747"/>
      <c r="V65" s="1747"/>
      <c r="W65" s="1747"/>
      <c r="X65" s="1747"/>
      <c r="Y65" s="1747"/>
      <c r="Z65" s="1747"/>
      <c r="AA65" s="1747"/>
      <c r="AB65" s="1747"/>
      <c r="AC65" s="1747"/>
      <c r="AD65" s="1747"/>
      <c r="AE65" s="798"/>
      <c r="AF65" s="798"/>
      <c r="AG65" s="798"/>
      <c r="AH65" s="798"/>
      <c r="AI65" s="798"/>
      <c r="AJ65" s="798"/>
      <c r="AK65" s="798"/>
      <c r="AL65" s="798"/>
      <c r="AM65" s="798"/>
      <c r="AN65" s="798"/>
      <c r="AO65" s="1711"/>
      <c r="AP65" s="798"/>
      <c r="AQ65" s="798"/>
      <c r="AR65" s="798"/>
      <c r="AS65" s="798"/>
      <c r="AT65" s="798"/>
    </row>
    <row r="66" spans="2:46" ht="21.75" customHeight="1">
      <c r="B66" s="798"/>
      <c r="C66" s="798"/>
      <c r="D66" s="798"/>
      <c r="E66" s="798"/>
      <c r="F66" s="798"/>
      <c r="G66" s="798"/>
      <c r="H66" s="798"/>
      <c r="I66" s="798"/>
      <c r="J66" s="2739"/>
      <c r="K66" s="798"/>
      <c r="L66" s="798"/>
      <c r="M66" s="798"/>
      <c r="N66" s="798"/>
      <c r="O66" s="798"/>
      <c r="P66" s="798"/>
      <c r="Q66" s="798"/>
      <c r="R66" s="798"/>
      <c r="S66" s="798"/>
      <c r="T66" s="798"/>
      <c r="U66" s="1711"/>
      <c r="V66" s="1711"/>
      <c r="W66" s="798"/>
      <c r="X66" s="798"/>
      <c r="Y66" s="798"/>
      <c r="Z66" s="798"/>
      <c r="AA66" s="798"/>
      <c r="AB66" s="798"/>
      <c r="AC66" s="798"/>
      <c r="AD66" s="798"/>
      <c r="AE66" s="798"/>
      <c r="AF66" s="798"/>
      <c r="AG66" s="798"/>
      <c r="AH66" s="798"/>
      <c r="AI66" s="798"/>
      <c r="AJ66" s="798"/>
      <c r="AK66" s="798"/>
      <c r="AL66" s="798"/>
      <c r="AM66" s="798"/>
      <c r="AN66" s="798"/>
      <c r="AO66" s="1711"/>
      <c r="AP66" s="798"/>
      <c r="AQ66" s="798"/>
      <c r="AR66" s="798"/>
      <c r="AS66" s="798"/>
      <c r="AT66" s="798"/>
    </row>
    <row r="67" spans="2:46" ht="21.75" customHeight="1">
      <c r="B67" s="798"/>
      <c r="C67" s="798"/>
      <c r="D67" s="798"/>
      <c r="E67" s="798"/>
      <c r="F67" s="798"/>
      <c r="G67" s="798"/>
      <c r="H67" s="798"/>
      <c r="I67" s="798"/>
      <c r="J67" s="2739"/>
      <c r="K67" s="798"/>
      <c r="L67" s="798"/>
      <c r="M67" s="798"/>
      <c r="N67" s="798"/>
      <c r="O67" s="1711"/>
      <c r="P67" s="1711"/>
      <c r="Q67" s="798"/>
      <c r="R67" s="798"/>
      <c r="S67" s="798"/>
      <c r="T67" s="798"/>
      <c r="U67" s="798"/>
      <c r="V67" s="798"/>
      <c r="W67" s="798"/>
      <c r="X67" s="798"/>
      <c r="Y67" s="798"/>
      <c r="Z67" s="798"/>
      <c r="AA67" s="798"/>
      <c r="AB67" s="798"/>
      <c r="AC67" s="798"/>
      <c r="AD67" s="798"/>
      <c r="AE67" s="798"/>
      <c r="AF67" s="798"/>
      <c r="AG67" s="798"/>
      <c r="AH67" s="798"/>
      <c r="AI67" s="798"/>
      <c r="AJ67" s="798"/>
      <c r="AK67" s="798"/>
      <c r="AL67" s="798"/>
      <c r="AM67" s="798"/>
      <c r="AN67" s="798"/>
      <c r="AO67" s="1711"/>
      <c r="AP67" s="798"/>
      <c r="AQ67" s="798"/>
      <c r="AR67" s="798"/>
      <c r="AS67" s="798"/>
      <c r="AT67" s="798"/>
    </row>
  </sheetData>
  <mergeCells count="31">
    <mergeCell ref="A1:AP1"/>
    <mergeCell ref="A28:A33"/>
    <mergeCell ref="AT24:AT25"/>
    <mergeCell ref="B28:B29"/>
    <mergeCell ref="AT29:AT30"/>
    <mergeCell ref="AT26:AT28"/>
    <mergeCell ref="L2:AP2"/>
    <mergeCell ref="AP3:AP4"/>
    <mergeCell ref="AO3:AO4"/>
    <mergeCell ref="AM3:AM4"/>
    <mergeCell ref="AN3:AN4"/>
    <mergeCell ref="B26:B27"/>
    <mergeCell ref="A24:A27"/>
    <mergeCell ref="B24:B25"/>
    <mergeCell ref="L3:M3"/>
    <mergeCell ref="AN44:AO44"/>
    <mergeCell ref="A37:B37"/>
    <mergeCell ref="N3:AL3"/>
    <mergeCell ref="B3:B4"/>
    <mergeCell ref="A5:A7"/>
    <mergeCell ref="A3:A4"/>
    <mergeCell ref="A8:A9"/>
    <mergeCell ref="A35:A36"/>
    <mergeCell ref="C3:C4"/>
    <mergeCell ref="A18:A23"/>
    <mergeCell ref="B18:B19"/>
    <mergeCell ref="B20:B21"/>
    <mergeCell ref="B22:B23"/>
    <mergeCell ref="B30:B31"/>
    <mergeCell ref="D3:K3"/>
    <mergeCell ref="A10:A16"/>
  </mergeCells>
  <phoneticPr fontId="22" type="noConversion"/>
  <pageMargins left="0.39370078740157483" right="0" top="0.19685039370078741" bottom="0" header="0.31496062992125984" footer="0.31496062992125984"/>
  <pageSetup paperSize="9" scale="6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B133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H30" sqref="AH30"/>
    </sheetView>
  </sheetViews>
  <sheetFormatPr defaultColWidth="8.8984375" defaultRowHeight="17.399999999999999"/>
  <cols>
    <col min="1" max="1" width="7.296875" style="354" customWidth="1"/>
    <col min="2" max="2" width="12" style="354" customWidth="1"/>
    <col min="3" max="3" width="7.8984375" style="354" customWidth="1"/>
    <col min="4" max="7" width="8.296875" style="354" hidden="1" customWidth="1"/>
    <col min="8" max="8" width="7.8984375" style="354" hidden="1" customWidth="1"/>
    <col min="9" max="9" width="9.69921875" style="354" customWidth="1"/>
    <col min="10" max="10" width="9.69921875" style="1536" customWidth="1"/>
    <col min="11" max="11" width="9.69921875" style="354" customWidth="1"/>
    <col min="12" max="13" width="7.8984375" style="354" customWidth="1"/>
    <col min="14" max="20" width="8.8984375" style="354" hidden="1" customWidth="1"/>
    <col min="21" max="22" width="8.8984375" style="354" customWidth="1"/>
    <col min="23" max="23" width="9.796875" style="354" customWidth="1"/>
    <col min="24" max="25" width="9.796875" style="354" hidden="1" customWidth="1"/>
    <col min="26" max="26" width="9.796875" style="354" customWidth="1"/>
    <col min="27" max="33" width="8.8984375" style="354" hidden="1" customWidth="1"/>
    <col min="34" max="35" width="8.8984375" style="354" customWidth="1"/>
    <col min="36" max="36" width="9.796875" style="354" customWidth="1"/>
    <col min="37" max="38" width="9.796875" style="354" hidden="1" customWidth="1"/>
    <col min="39" max="39" width="10.09765625" style="354" bestFit="1" customWidth="1"/>
    <col min="40" max="40" width="9.09765625" style="346" customWidth="1"/>
    <col min="41" max="41" width="9.09765625" style="354" customWidth="1"/>
    <col min="42" max="42" width="20.09765625" style="354" bestFit="1" customWidth="1"/>
    <col min="43" max="43" width="8.8984375" style="354"/>
    <col min="44" max="45" width="14.09765625" style="354" bestFit="1" customWidth="1"/>
    <col min="46" max="46" width="11.59765625" style="354" bestFit="1" customWidth="1"/>
    <col min="47" max="16384" width="8.8984375" style="354"/>
  </cols>
  <sheetData>
    <row r="1" spans="1:54" ht="30">
      <c r="A1" s="7401" t="s">
        <v>1345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54" ht="18" thickBot="1">
      <c r="L2" s="7404" t="s">
        <v>402</v>
      </c>
      <c r="M2" s="7404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</row>
    <row r="3" spans="1:54" ht="20.25" customHeight="1" thickBot="1">
      <c r="A3" s="7132" t="s">
        <v>282</v>
      </c>
      <c r="B3" s="7223" t="s">
        <v>283</v>
      </c>
      <c r="C3" s="7225" t="s">
        <v>284</v>
      </c>
      <c r="D3" s="7400" t="s">
        <v>285</v>
      </c>
      <c r="E3" s="7377"/>
      <c r="F3" s="7377"/>
      <c r="G3" s="7377"/>
      <c r="H3" s="7377"/>
      <c r="I3" s="7377"/>
      <c r="J3" s="7377"/>
      <c r="K3" s="7427"/>
      <c r="L3" s="7341" t="s">
        <v>286</v>
      </c>
      <c r="M3" s="7419"/>
      <c r="N3" s="7342" t="s">
        <v>1340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1335</v>
      </c>
      <c r="AN3" s="7229" t="s">
        <v>437</v>
      </c>
      <c r="AO3" s="7332" t="s">
        <v>365</v>
      </c>
      <c r="AP3" s="7223" t="s">
        <v>287</v>
      </c>
    </row>
    <row r="4" spans="1:54" ht="20.25" customHeight="1">
      <c r="A4" s="7420"/>
      <c r="B4" s="7421"/>
      <c r="C4" s="7422"/>
      <c r="D4" s="900" t="s">
        <v>256</v>
      </c>
      <c r="E4" s="901" t="s">
        <v>257</v>
      </c>
      <c r="F4" s="901" t="s">
        <v>194</v>
      </c>
      <c r="G4" s="902" t="s">
        <v>258</v>
      </c>
      <c r="H4" s="903" t="s">
        <v>556</v>
      </c>
      <c r="I4" s="1517" t="s">
        <v>716</v>
      </c>
      <c r="J4" s="2740" t="s">
        <v>718</v>
      </c>
      <c r="K4" s="2733" t="s">
        <v>999</v>
      </c>
      <c r="L4" s="2799" t="s">
        <v>1272</v>
      </c>
      <c r="M4" s="2800" t="s">
        <v>824</v>
      </c>
      <c r="N4" s="4326" t="s">
        <v>401</v>
      </c>
      <c r="O4" s="2862" t="s">
        <v>372</v>
      </c>
      <c r="P4" s="2862" t="s">
        <v>373</v>
      </c>
      <c r="Q4" s="2862" t="s">
        <v>374</v>
      </c>
      <c r="R4" s="3588" t="s">
        <v>375</v>
      </c>
      <c r="S4" s="3588" t="s">
        <v>376</v>
      </c>
      <c r="T4" s="3588" t="s">
        <v>377</v>
      </c>
      <c r="U4" s="3588" t="s">
        <v>378</v>
      </c>
      <c r="V4" s="3588" t="s">
        <v>379</v>
      </c>
      <c r="W4" s="5461" t="s">
        <v>380</v>
      </c>
      <c r="X4" s="5304" t="s">
        <v>381</v>
      </c>
      <c r="Y4" s="2863" t="s">
        <v>382</v>
      </c>
      <c r="Z4" s="2862" t="s">
        <v>1002</v>
      </c>
      <c r="AA4" s="3668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904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24"/>
      <c r="AN4" s="7424"/>
      <c r="AO4" s="7406"/>
      <c r="AP4" s="7423"/>
    </row>
    <row r="5" spans="1:54" s="346" customFormat="1" ht="20.25" customHeight="1">
      <c r="A5" s="7437" t="s">
        <v>288</v>
      </c>
      <c r="B5" s="905" t="s">
        <v>289</v>
      </c>
      <c r="C5" s="910" t="s">
        <v>290</v>
      </c>
      <c r="D5" s="810">
        <v>279198.24400000001</v>
      </c>
      <c r="E5" s="782">
        <v>318329.47699999996</v>
      </c>
      <c r="F5" s="782">
        <v>291362.679</v>
      </c>
      <c r="G5" s="2123">
        <v>294964</v>
      </c>
      <c r="H5" s="2123">
        <v>319228.24600000004</v>
      </c>
      <c r="I5" s="2123">
        <v>316624</v>
      </c>
      <c r="J5" s="2124">
        <v>314375.11900000001</v>
      </c>
      <c r="K5" s="2130">
        <f>년간!C9</f>
        <v>290914.02899999998</v>
      </c>
      <c r="L5" s="2857">
        <f>년간!D9</f>
        <v>266324</v>
      </c>
      <c r="M5" s="2744">
        <f>L5/10</f>
        <v>26632.400000000001</v>
      </c>
      <c r="N5" s="3342">
        <f>년간!F9</f>
        <v>22650.43</v>
      </c>
      <c r="O5" s="3592">
        <f>년간!G9</f>
        <v>27040.54</v>
      </c>
      <c r="P5" s="3592">
        <f>년간!H9</f>
        <v>21718.05</v>
      </c>
      <c r="Q5" s="3592">
        <f>년간!I9</f>
        <v>26465.74</v>
      </c>
      <c r="R5" s="3592">
        <f>년간!J9</f>
        <v>24555.22</v>
      </c>
      <c r="S5" s="3592">
        <f>년간!K9</f>
        <v>26319.439999999999</v>
      </c>
      <c r="T5" s="3592">
        <f>년간!L9</f>
        <v>31018.73</v>
      </c>
      <c r="U5" s="3592">
        <f>년간!M9</f>
        <v>28360.402999999998</v>
      </c>
      <c r="V5" s="3592">
        <f>년간!N9</f>
        <v>26496.3</v>
      </c>
      <c r="W5" s="5476">
        <f>년간!O9</f>
        <v>29912.322</v>
      </c>
      <c r="X5" s="5319">
        <f>년간!P9</f>
        <v>0</v>
      </c>
      <c r="Y5" s="5329">
        <f>년간!Q9</f>
        <v>0</v>
      </c>
      <c r="Z5" s="3592">
        <f>SUM(N5:Y5)</f>
        <v>264537.17499999999</v>
      </c>
      <c r="AA5" s="5124"/>
      <c r="AB5" s="1259"/>
      <c r="AC5" s="1259"/>
      <c r="AD5" s="1259"/>
      <c r="AE5" s="1259"/>
      <c r="AF5" s="1259"/>
      <c r="AG5" s="1259"/>
      <c r="AH5" s="1259"/>
      <c r="AI5" s="1259"/>
      <c r="AJ5" s="1259"/>
      <c r="AK5" s="1259"/>
      <c r="AL5" s="1259"/>
      <c r="AM5" s="1259"/>
      <c r="AN5" s="1259"/>
      <c r="AO5" s="1259"/>
      <c r="AP5" s="1260"/>
      <c r="AR5" s="799"/>
      <c r="AS5" s="799"/>
      <c r="AT5" s="799"/>
      <c r="AU5" s="799"/>
      <c r="AV5" s="354"/>
      <c r="AW5" s="799"/>
      <c r="AX5" s="799"/>
    </row>
    <row r="6" spans="1:54" s="346" customFormat="1" ht="20.25" customHeight="1">
      <c r="A6" s="7184"/>
      <c r="B6" s="905" t="s">
        <v>291</v>
      </c>
      <c r="C6" s="911" t="s">
        <v>292</v>
      </c>
      <c r="D6" s="807">
        <v>39.820707373485497</v>
      </c>
      <c r="E6" s="808">
        <v>44.830401999788748</v>
      </c>
      <c r="F6" s="808">
        <v>46.19</v>
      </c>
      <c r="G6" s="2141">
        <v>45.65</v>
      </c>
      <c r="H6" s="2141">
        <v>44.110170695309336</v>
      </c>
      <c r="I6" s="2141">
        <v>44.71</v>
      </c>
      <c r="J6" s="2749">
        <v>46.04272455659865</v>
      </c>
      <c r="K6" s="2142">
        <f>년간!C118</f>
        <v>46.906486455981941</v>
      </c>
      <c r="L6" s="2858">
        <f>년간!D118</f>
        <v>48</v>
      </c>
      <c r="M6" s="2745">
        <f>L6</f>
        <v>48</v>
      </c>
      <c r="N6" s="4722">
        <f>년간!F118</f>
        <v>45.826335311572706</v>
      </c>
      <c r="O6" s="4723">
        <f>년간!G118</f>
        <v>46.538706901497335</v>
      </c>
      <c r="P6" s="3593">
        <f>년간!H118</f>
        <v>46.942721279585001</v>
      </c>
      <c r="Q6" s="3593">
        <f>년간!I118</f>
        <v>51.131646058732613</v>
      </c>
      <c r="R6" s="3593">
        <f>년간!J118</f>
        <v>46.019465875370919</v>
      </c>
      <c r="S6" s="3593">
        <f>년간!K118</f>
        <v>50.388206764518188</v>
      </c>
      <c r="T6" s="3593">
        <f>년간!L118</f>
        <v>52.402404550061938</v>
      </c>
      <c r="U6" s="3593">
        <f>년간!M118</f>
        <v>52.771722127461615</v>
      </c>
      <c r="V6" s="3593">
        <f>년간!N118</f>
        <v>52.825319820568197</v>
      </c>
      <c r="W6" s="5477">
        <f>년간!O118</f>
        <v>47.64499508879981</v>
      </c>
      <c r="X6" s="5294" t="e">
        <f>년간!P118</f>
        <v>#DIV/0!</v>
      </c>
      <c r="Y6" s="4615" t="e">
        <f>년간!Q118</f>
        <v>#DIV/0!</v>
      </c>
      <c r="Z6" s="3593">
        <f>년간!V118</f>
        <v>49.260056236092275</v>
      </c>
      <c r="AA6" s="5116">
        <f>년간!F135/1000</f>
        <v>-12810.762445024246</v>
      </c>
      <c r="AB6" s="1261">
        <f>년간!G135/1000</f>
        <v>-5127.6427040531007</v>
      </c>
      <c r="AC6" s="1261">
        <f>년간!H135/1000</f>
        <v>402.2609205964153</v>
      </c>
      <c r="AD6" s="1261">
        <f>년간!I135/1000</f>
        <v>52476.6994067868</v>
      </c>
      <c r="AE6" s="1261">
        <f>년간!J135/1000</f>
        <v>-11357.037961378812</v>
      </c>
      <c r="AF6" s="1261">
        <f>년간!K135/1000</f>
        <v>43638.593814071319</v>
      </c>
      <c r="AG6" s="1261">
        <f>년간!L135/1000</f>
        <v>78062.449353455813</v>
      </c>
      <c r="AH6" s="1261">
        <f>년간!M135/1000</f>
        <v>75635.507162539769</v>
      </c>
      <c r="AI6" s="1261">
        <f>년간!N135/1000</f>
        <v>71237.445179704053</v>
      </c>
      <c r="AJ6" s="1261">
        <f>년간!O135/1000</f>
        <v>11125.448874969235</v>
      </c>
      <c r="AK6" s="1261">
        <v>0</v>
      </c>
      <c r="AL6" s="1261" t="e">
        <f>년간!Q135/1000</f>
        <v>#DIV/0!</v>
      </c>
      <c r="AM6" s="1262">
        <f>년간!D135/1000</f>
        <v>145584.73372970402</v>
      </c>
      <c r="AN6" s="1263">
        <f>AA6+AB6+AC6+AD6+AE6+AF6+AG6+AH6+AI6+AJ6+AK6</f>
        <v>303282.96160166722</v>
      </c>
      <c r="AO6" s="1264">
        <f>AN6/AM6</f>
        <v>2.083205799343971</v>
      </c>
      <c r="AP6" s="3754" t="s">
        <v>1539</v>
      </c>
      <c r="AR6" s="799"/>
      <c r="AS6" s="799"/>
      <c r="AT6" s="799"/>
      <c r="AU6" s="799"/>
      <c r="AV6" s="799"/>
      <c r="AW6" s="799"/>
      <c r="AX6" s="799"/>
    </row>
    <row r="7" spans="1:54" s="346" customFormat="1" ht="20.25" customHeight="1">
      <c r="A7" s="7184"/>
      <c r="B7" s="905" t="s">
        <v>293</v>
      </c>
      <c r="C7" s="911" t="s">
        <v>294</v>
      </c>
      <c r="D7" s="807">
        <v>89.81</v>
      </c>
      <c r="E7" s="808">
        <v>92.512892893979696</v>
      </c>
      <c r="F7" s="808">
        <v>92.47</v>
      </c>
      <c r="G7" s="2141">
        <v>90.36</v>
      </c>
      <c r="H7" s="2141">
        <v>91.616943344951849</v>
      </c>
      <c r="I7" s="2141">
        <v>92.74</v>
      </c>
      <c r="J7" s="2749">
        <v>94.354058610555796</v>
      </c>
      <c r="K7" s="2142">
        <f>년간!C112*100</f>
        <v>94.939227872516312</v>
      </c>
      <c r="L7" s="2858">
        <f>년간!D112*100</f>
        <v>95.12</v>
      </c>
      <c r="M7" s="2745">
        <f>L7</f>
        <v>95.12</v>
      </c>
      <c r="N7" s="4722">
        <f>년간!F112*100</f>
        <v>93.196316897646199</v>
      </c>
      <c r="O7" s="4723">
        <f>년간!G112*100</f>
        <v>94.152915440084257</v>
      </c>
      <c r="P7" s="3593">
        <f>년간!H112*100</f>
        <v>95.671204549371012</v>
      </c>
      <c r="Q7" s="3593">
        <f>년간!I112*100</f>
        <v>95.997032549225679</v>
      </c>
      <c r="R7" s="3593">
        <f>년간!J112*100</f>
        <v>95.710014947683106</v>
      </c>
      <c r="S7" s="3593">
        <f>년간!K112*100</f>
        <v>93.412816691505213</v>
      </c>
      <c r="T7" s="3593">
        <f>년간!L112*100</f>
        <v>94.454934709183263</v>
      </c>
      <c r="U7" s="3593">
        <f>년간!M112*100</f>
        <v>93.382565884737915</v>
      </c>
      <c r="V7" s="3593">
        <f>년간!N112*100</f>
        <v>94.149851399968725</v>
      </c>
      <c r="W7" s="5477">
        <f>년간!O112*100</f>
        <v>94.057279832205552</v>
      </c>
      <c r="X7" s="5294" t="e">
        <f>년간!P112*100</f>
        <v>#DIV/0!</v>
      </c>
      <c r="Y7" s="4615" t="e">
        <f>년간!Q112*100</f>
        <v>#DIV/0!</v>
      </c>
      <c r="Z7" s="3593">
        <f>년간!V112*100</f>
        <v>94.391242064805667</v>
      </c>
      <c r="AA7" s="5116">
        <f>년간!F134/1000</f>
        <v>-9696.1328143036044</v>
      </c>
      <c r="AB7" s="1261">
        <f>년간!G134/1000</f>
        <v>-5142.3095831727405</v>
      </c>
      <c r="AC7" s="1261">
        <f>년간!H134/1000</f>
        <v>3811.639669419827</v>
      </c>
      <c r="AD7" s="1261">
        <f>년간!I134/1000</f>
        <v>6162.5687718248582</v>
      </c>
      <c r="AE7" s="1261">
        <f>년간!J134/1000</f>
        <v>4629.1228648491679</v>
      </c>
      <c r="AF7" s="1261">
        <f>년간!K134/1000</f>
        <v>-8973.9017168157388</v>
      </c>
      <c r="AG7" s="1261">
        <f>년간!L134/1000</f>
        <v>-3226.5853946819311</v>
      </c>
      <c r="AH7" s="1261">
        <f>년간!M134/1000</f>
        <v>-9416.0223310576748</v>
      </c>
      <c r="AI7" s="1261">
        <f>년간!N134/1000</f>
        <v>-4456.4527247816577</v>
      </c>
      <c r="AJ7" s="1261">
        <f>년간!O134/1000</f>
        <v>-6232.149584371452</v>
      </c>
      <c r="AK7" s="1261">
        <v>0</v>
      </c>
      <c r="AL7" s="1261" t="e">
        <f>년간!Q134/1000</f>
        <v>#DIV/0!</v>
      </c>
      <c r="AM7" s="1263">
        <f>년간!D134/1000</f>
        <v>11868.182086235689</v>
      </c>
      <c r="AN7" s="1263">
        <f>AA7+AB7+AC7+AD7+AE7+AF7+AG7+AH7+AI7+AJ7+AK7</f>
        <v>-32540.222843090945</v>
      </c>
      <c r="AO7" s="1264">
        <f>AN7/AM7</f>
        <v>-2.7418034713867407</v>
      </c>
      <c r="AP7" s="3754" t="s">
        <v>1539</v>
      </c>
      <c r="AQ7" s="2138"/>
      <c r="AR7" s="799"/>
      <c r="AS7" s="799"/>
      <c r="AT7" s="799"/>
      <c r="AU7" s="799"/>
      <c r="AV7" s="799"/>
      <c r="AW7" s="799"/>
      <c r="AX7" s="799"/>
    </row>
    <row r="8" spans="1:54" s="346" customFormat="1" ht="20.25" customHeight="1" thickBot="1">
      <c r="A8" s="7184"/>
      <c r="B8" s="908" t="s">
        <v>295</v>
      </c>
      <c r="C8" s="936" t="s">
        <v>773</v>
      </c>
      <c r="D8" s="985"/>
      <c r="E8" s="986"/>
      <c r="F8" s="986"/>
      <c r="G8" s="2143">
        <v>333.78</v>
      </c>
      <c r="H8" s="2143">
        <v>538.38</v>
      </c>
      <c r="I8" s="2143">
        <v>1238</v>
      </c>
      <c r="J8" s="2750">
        <v>926.96999999999991</v>
      </c>
      <c r="K8" s="2144">
        <v>387.37</v>
      </c>
      <c r="L8" s="2313">
        <v>140</v>
      </c>
      <c r="M8" s="2314">
        <f>L8/10</f>
        <v>14</v>
      </c>
      <c r="N8" s="4327">
        <v>23.24</v>
      </c>
      <c r="O8" s="4724">
        <v>73.63</v>
      </c>
      <c r="P8" s="4328">
        <v>20.329999999999998</v>
      </c>
      <c r="Q8" s="4328">
        <v>19.04</v>
      </c>
      <c r="R8" s="4328">
        <v>21.05</v>
      </c>
      <c r="S8" s="4328">
        <v>79.36999999999999</v>
      </c>
      <c r="T8" s="4328">
        <v>0</v>
      </c>
      <c r="U8" s="4328">
        <v>20.010000000000002</v>
      </c>
      <c r="V8" s="4328">
        <v>19.64</v>
      </c>
      <c r="W8" s="5487">
        <v>49.84</v>
      </c>
      <c r="X8" s="5331">
        <v>0</v>
      </c>
      <c r="Y8" s="6652">
        <v>0</v>
      </c>
      <c r="Z8" s="5119">
        <f>SUM(N8:Y8)</f>
        <v>326.14999999999998</v>
      </c>
      <c r="AA8" s="6911">
        <f>($K$8/12-N8)/120*1125.542</f>
        <v>84.798646930555577</v>
      </c>
      <c r="AB8" s="6909">
        <f>($K$8/12-O8)/120*1125.542</f>
        <v>-387.83519790277774</v>
      </c>
      <c r="AC8" s="6909">
        <f t="shared" ref="AC8:AL8" si="0">($K$8/12-P8)/120*1125.542</f>
        <v>112.09304043055556</v>
      </c>
      <c r="AD8" s="6909">
        <f t="shared" si="0"/>
        <v>124.19261693055556</v>
      </c>
      <c r="AE8" s="6909">
        <f t="shared" si="0"/>
        <v>105.33978843055554</v>
      </c>
      <c r="AF8" s="6909">
        <f t="shared" si="0"/>
        <v>-441.67362356944432</v>
      </c>
      <c r="AG8" s="6909">
        <f t="shared" si="0"/>
        <v>302.77861426388887</v>
      </c>
      <c r="AH8" s="6909">
        <f t="shared" si="0"/>
        <v>115.09448576388885</v>
      </c>
      <c r="AI8" s="6909">
        <f t="shared" si="0"/>
        <v>118.56490693055555</v>
      </c>
      <c r="AJ8" s="6909">
        <f t="shared" si="0"/>
        <v>-164.6964964027778</v>
      </c>
      <c r="AK8" s="6909">
        <f t="shared" si="0"/>
        <v>302.77861426388887</v>
      </c>
      <c r="AL8" s="6909">
        <f t="shared" si="0"/>
        <v>302.77861426388887</v>
      </c>
      <c r="AM8" s="1583">
        <f>(K8-L8)/12*년간!E214/1000</f>
        <v>23202.127631745814</v>
      </c>
      <c r="AN8" s="1582">
        <f>AA8+AB8+AC8+AD8+AE8+AF8+AG8+AH8+AI8+AJ8+AK8</f>
        <v>271.43539606944455</v>
      </c>
      <c r="AO8" s="1584">
        <f>AN8/AM8</f>
        <v>1.1698728684608169E-2</v>
      </c>
      <c r="AP8" s="3104" t="s">
        <v>1540</v>
      </c>
      <c r="AQ8" s="863" t="s">
        <v>822</v>
      </c>
      <c r="AR8" s="799"/>
      <c r="AS8" s="799"/>
      <c r="AT8" s="799"/>
      <c r="AU8" s="799"/>
      <c r="AV8" s="799"/>
      <c r="AW8" s="799"/>
      <c r="AX8" s="799"/>
    </row>
    <row r="9" spans="1:54" s="346" customFormat="1" ht="20.25" customHeight="1">
      <c r="A9" s="7183" t="s">
        <v>296</v>
      </c>
      <c r="B9" s="925" t="s">
        <v>297</v>
      </c>
      <c r="C9" s="926" t="s">
        <v>294</v>
      </c>
      <c r="D9" s="1002">
        <v>99.62</v>
      </c>
      <c r="E9" s="1003">
        <v>99.928302515212209</v>
      </c>
      <c r="F9" s="1003">
        <v>99.92</v>
      </c>
      <c r="G9" s="1003">
        <v>99.93</v>
      </c>
      <c r="H9" s="1003">
        <v>99.940905977141099</v>
      </c>
      <c r="I9" s="1003">
        <v>99.97</v>
      </c>
      <c r="J9" s="2751">
        <v>99.983380652450364</v>
      </c>
      <c r="K9" s="2145">
        <f>년간!C88*100</f>
        <v>99.98701371818494</v>
      </c>
      <c r="L9" s="969">
        <f>년간!D88*100</f>
        <v>99.99</v>
      </c>
      <c r="M9" s="2310">
        <f>L9</f>
        <v>99.99</v>
      </c>
      <c r="N9" s="4329">
        <f>년간!F88*100</f>
        <v>99.983093687456588</v>
      </c>
      <c r="O9" s="4725">
        <f>년간!G88*100</f>
        <v>99.99807699846086</v>
      </c>
      <c r="P9" s="1005">
        <f>년간!H88*100</f>
        <v>100</v>
      </c>
      <c r="Q9" s="1005">
        <f>년간!I88*100</f>
        <v>99.992821422688237</v>
      </c>
      <c r="R9" s="1005">
        <f>년간!J88*100</f>
        <v>99.98265435587399</v>
      </c>
      <c r="S9" s="1005">
        <f>년간!K88*100</f>
        <v>99.992439620491737</v>
      </c>
      <c r="T9" s="1005">
        <f>년간!L88*100</f>
        <v>99.976278029232816</v>
      </c>
      <c r="U9" s="1005">
        <f>년간!M88*100</f>
        <v>99.999647396944951</v>
      </c>
      <c r="V9" s="1005">
        <f>년간!N88*100</f>
        <v>99.978793989265696</v>
      </c>
      <c r="W9" s="5488">
        <f>년간!O88*100</f>
        <v>99.90127541081084</v>
      </c>
      <c r="X9" s="5332" t="e">
        <f>년간!P88*100</f>
        <v>#DIV/0!</v>
      </c>
      <c r="Y9" s="6653" t="e">
        <f>년간!Q88*100</f>
        <v>#DIV/0!</v>
      </c>
      <c r="Z9" s="1005">
        <f>년간!V88*100</f>
        <v>99.97916039247022</v>
      </c>
      <c r="AA9" s="5125">
        <f>년간!F132/1000</f>
        <v>-385.26021429242826</v>
      </c>
      <c r="AB9" s="1006">
        <f>년간!G132/1000</f>
        <v>1297.8438294915732</v>
      </c>
      <c r="AC9" s="1006">
        <f>년간!H132/1000</f>
        <v>1223.5464515000799</v>
      </c>
      <c r="AD9" s="1006">
        <f>년간!I132/1000</f>
        <v>666.85980361150428</v>
      </c>
      <c r="AE9" s="1006">
        <f>년간!J132/1000</f>
        <v>-464.46922361144038</v>
      </c>
      <c r="AF9" s="1006">
        <f>년간!K132/1000</f>
        <v>619.57838754268607</v>
      </c>
      <c r="AG9" s="1006">
        <f>년간!L132/1000</f>
        <v>-1445.0130790228741</v>
      </c>
      <c r="AH9" s="1006">
        <f>년간!M132/1000</f>
        <v>1554.3849008333939</v>
      </c>
      <c r="AI9" s="1006">
        <f>년간!N132/1000</f>
        <v>-945.03880905902702</v>
      </c>
      <c r="AJ9" s="1006">
        <f>년간!O132/1000</f>
        <v>-11137.015137188469</v>
      </c>
      <c r="AK9" s="1006">
        <v>0</v>
      </c>
      <c r="AL9" s="1006" t="e">
        <f>년간!Q132/1000</f>
        <v>#DIV/0!</v>
      </c>
      <c r="AM9" s="1007">
        <f>년간!D132/1000</f>
        <v>3450.5856616895476</v>
      </c>
      <c r="AN9" s="1586">
        <f>AA9+AB9+AC9+AD9+AE9+AF9+AG9+AH9+AI9+AJ9+AK9</f>
        <v>-9014.583090195003</v>
      </c>
      <c r="AO9" s="1008">
        <f>AN9/AM9</f>
        <v>-2.6124791481864258</v>
      </c>
      <c r="AP9" s="934" t="s">
        <v>1542</v>
      </c>
      <c r="AR9" s="799"/>
      <c r="AS9" s="799"/>
      <c r="AT9" s="799"/>
      <c r="AU9" s="799"/>
      <c r="AV9" s="799"/>
      <c r="AW9" s="799"/>
      <c r="AX9" s="799"/>
    </row>
    <row r="10" spans="1:54" s="346" customFormat="1" ht="20.25" customHeight="1" thickBot="1">
      <c r="A10" s="7212"/>
      <c r="B10" s="909" t="s">
        <v>298</v>
      </c>
      <c r="C10" s="915" t="s">
        <v>290</v>
      </c>
      <c r="D10" s="812">
        <v>923</v>
      </c>
      <c r="E10" s="785">
        <v>209</v>
      </c>
      <c r="F10" s="785">
        <v>245</v>
      </c>
      <c r="G10" s="2146">
        <v>136</v>
      </c>
      <c r="H10" s="2146">
        <v>80.09</v>
      </c>
      <c r="I10" s="2146">
        <v>32</v>
      </c>
      <c r="J10" s="2752">
        <v>22.73</v>
      </c>
      <c r="K10" s="2147">
        <f>년간!C21+1.92</f>
        <v>31.35</v>
      </c>
      <c r="L10" s="2859">
        <f>년간!D21</f>
        <v>4</v>
      </c>
      <c r="M10" s="2860">
        <f>L10/10</f>
        <v>0.4</v>
      </c>
      <c r="N10" s="4330">
        <f>년간!F21</f>
        <v>0</v>
      </c>
      <c r="O10" s="4726">
        <f>년간!G21</f>
        <v>0</v>
      </c>
      <c r="P10" s="2429">
        <f>년간!H21</f>
        <v>0</v>
      </c>
      <c r="Q10" s="2429">
        <f>년간!I21</f>
        <v>0</v>
      </c>
      <c r="R10" s="2429">
        <f>년간!J21</f>
        <v>0</v>
      </c>
      <c r="S10" s="2429">
        <f>년간!K21</f>
        <v>0</v>
      </c>
      <c r="T10" s="2429">
        <f>년간!L21</f>
        <v>0</v>
      </c>
      <c r="U10" s="2429">
        <f>년간!M21</f>
        <v>0</v>
      </c>
      <c r="V10" s="2429">
        <f>년간!N21</f>
        <v>0</v>
      </c>
      <c r="W10" s="5489">
        <f>년간!O21</f>
        <v>0</v>
      </c>
      <c r="X10" s="5333">
        <f>년간!P21</f>
        <v>0</v>
      </c>
      <c r="Y10" s="6654">
        <f>년간!Q21</f>
        <v>0</v>
      </c>
      <c r="Z10" s="5120">
        <f>SUM(N10:Y10)</f>
        <v>0</v>
      </c>
      <c r="AA10" s="5112"/>
      <c r="AB10" s="1587"/>
      <c r="AC10" s="1587"/>
      <c r="AD10" s="1587"/>
      <c r="AE10" s="1587"/>
      <c r="AF10" s="1587"/>
      <c r="AG10" s="1587"/>
      <c r="AH10" s="1587"/>
      <c r="AI10" s="1587"/>
      <c r="AJ10" s="1587"/>
      <c r="AK10" s="1587"/>
      <c r="AL10" s="1587"/>
      <c r="AM10" s="1588"/>
      <c r="AN10" s="1588"/>
      <c r="AO10" s="1589"/>
      <c r="AP10" s="3755"/>
      <c r="AR10" s="799"/>
      <c r="AS10" s="1726"/>
      <c r="AT10" s="799"/>
      <c r="AU10" s="799"/>
      <c r="AV10" s="799"/>
      <c r="AW10" s="799"/>
      <c r="AX10" s="799"/>
    </row>
    <row r="11" spans="1:54" s="346" customFormat="1" ht="21" customHeight="1">
      <c r="A11" s="7183" t="s">
        <v>544</v>
      </c>
      <c r="B11" s="4259" t="s">
        <v>777</v>
      </c>
      <c r="C11" s="1009" t="s">
        <v>775</v>
      </c>
      <c r="D11" s="1177">
        <v>6564</v>
      </c>
      <c r="E11" s="1178">
        <v>7149</v>
      </c>
      <c r="F11" s="1178">
        <v>6887</v>
      </c>
      <c r="G11" s="1178">
        <v>6715</v>
      </c>
      <c r="H11" s="2148">
        <f>스크!H13</f>
        <v>6734.33</v>
      </c>
      <c r="I11" s="2148">
        <f>스크!H14</f>
        <v>5813.76</v>
      </c>
      <c r="J11" s="2753">
        <v>5107.49</v>
      </c>
      <c r="K11" s="2149">
        <v>4902.4000000000005</v>
      </c>
      <c r="L11" s="1180">
        <v>4315</v>
      </c>
      <c r="M11" s="4271">
        <f>L11/10</f>
        <v>431.5</v>
      </c>
      <c r="N11" s="4331">
        <f>스크!H18</f>
        <v>404.42</v>
      </c>
      <c r="O11" s="4294">
        <f>스크!H19</f>
        <v>427.17</v>
      </c>
      <c r="P11" s="4294">
        <f>스크!H20</f>
        <v>468.8</v>
      </c>
      <c r="Q11" s="4294">
        <f>스크!H22</f>
        <v>395.4</v>
      </c>
      <c r="R11" s="4294">
        <f>스크!H23</f>
        <v>352.3</v>
      </c>
      <c r="S11" s="4294">
        <f>스크!H24</f>
        <v>415.27</v>
      </c>
      <c r="T11" s="4294">
        <f>스크!H27</f>
        <v>506.89</v>
      </c>
      <c r="U11" s="4294">
        <f>스크!H28</f>
        <v>446.85</v>
      </c>
      <c r="V11" s="4294">
        <f>스크!H29</f>
        <v>432.72</v>
      </c>
      <c r="W11" s="5490">
        <f>스크!H31</f>
        <v>446.98</v>
      </c>
      <c r="X11" s="5334">
        <f>스크!H32</f>
        <v>38.33</v>
      </c>
      <c r="Y11" s="6655">
        <f>스크!H33</f>
        <v>0</v>
      </c>
      <c r="Z11" s="2889">
        <f t="shared" ref="Z11:Z23" si="1">SUM(N11:Y11)</f>
        <v>4335.1299999999992</v>
      </c>
      <c r="AA11" s="5126"/>
      <c r="AB11" s="1012"/>
      <c r="AC11" s="1012"/>
      <c r="AD11" s="1012"/>
      <c r="AE11" s="1012"/>
      <c r="AF11" s="1012"/>
      <c r="AG11" s="1012"/>
      <c r="AH11" s="1012"/>
      <c r="AI11" s="1012"/>
      <c r="AJ11" s="1012"/>
      <c r="AK11" s="1012"/>
      <c r="AL11" s="1012"/>
      <c r="AM11" s="1013"/>
      <c r="AN11" s="1014"/>
      <c r="AO11" s="1015"/>
      <c r="AP11" s="3214" t="s">
        <v>1478</v>
      </c>
      <c r="AR11" s="1727"/>
      <c r="AS11" s="1726"/>
      <c r="AT11" s="1727"/>
      <c r="AU11" s="799"/>
      <c r="AV11" s="799"/>
      <c r="AW11" s="799"/>
      <c r="AX11" s="799"/>
    </row>
    <row r="12" spans="1:54" s="1535" customFormat="1" ht="21" customHeight="1">
      <c r="A12" s="7184"/>
      <c r="B12" s="4272" t="s">
        <v>1642</v>
      </c>
      <c r="C12" s="3262" t="s">
        <v>1643</v>
      </c>
      <c r="D12" s="4287">
        <f>스크!I9</f>
        <v>1014.0899999999999</v>
      </c>
      <c r="E12" s="4289">
        <f>스크!I10</f>
        <v>1024.17</v>
      </c>
      <c r="F12" s="4289">
        <f>스크!I11</f>
        <v>1113.9100000000001</v>
      </c>
      <c r="G12" s="4289">
        <f>스크!I12</f>
        <v>1240.22</v>
      </c>
      <c r="H12" s="4289">
        <f>스크!I13</f>
        <v>1568.88</v>
      </c>
      <c r="I12" s="4289">
        <f>스크!I14</f>
        <v>972</v>
      </c>
      <c r="J12" s="4289">
        <f>스크!I15</f>
        <v>338.19</v>
      </c>
      <c r="K12" s="4288">
        <f>스크!I16</f>
        <v>427.08600000000001</v>
      </c>
      <c r="L12" s="4275">
        <v>360.8</v>
      </c>
      <c r="M12" s="3655">
        <f>L12/10</f>
        <v>36.08</v>
      </c>
      <c r="N12" s="4332">
        <f>스크!I18</f>
        <v>21.4</v>
      </c>
      <c r="O12" s="4276">
        <f>스크!I19</f>
        <v>25.56</v>
      </c>
      <c r="P12" s="4276">
        <f>스크!I20</f>
        <v>31.24</v>
      </c>
      <c r="Q12" s="4276">
        <f>스크!I22</f>
        <v>36.76</v>
      </c>
      <c r="R12" s="4276">
        <f>스크!I23</f>
        <v>31.42</v>
      </c>
      <c r="S12" s="4276">
        <f>스크!I24</f>
        <v>29.89</v>
      </c>
      <c r="T12" s="4276">
        <f>스크!I27</f>
        <v>15.86</v>
      </c>
      <c r="U12" s="4276">
        <f>스크!I28</f>
        <v>44.16</v>
      </c>
      <c r="V12" s="4276">
        <f>스크!I29</f>
        <v>32.99</v>
      </c>
      <c r="W12" s="5468">
        <f>스크!I31</f>
        <v>52.4</v>
      </c>
      <c r="X12" s="5311">
        <f>스크!I32</f>
        <v>7.75</v>
      </c>
      <c r="Y12" s="6633">
        <f>스크!I33</f>
        <v>24.91</v>
      </c>
      <c r="Z12" s="3593">
        <f>SUM(N12:Y12)</f>
        <v>354.34</v>
      </c>
      <c r="AA12" s="5109"/>
      <c r="AB12" s="4149"/>
      <c r="AC12" s="4149"/>
      <c r="AD12" s="4149"/>
      <c r="AE12" s="4149"/>
      <c r="AF12" s="4149"/>
      <c r="AG12" s="4149"/>
      <c r="AH12" s="4149"/>
      <c r="AI12" s="4149"/>
      <c r="AJ12" s="4149"/>
      <c r="AK12" s="4149"/>
      <c r="AL12" s="4149"/>
      <c r="AM12" s="4278"/>
      <c r="AN12" s="4279"/>
      <c r="AO12" s="4280"/>
      <c r="AP12" s="3756" t="s">
        <v>1645</v>
      </c>
      <c r="AR12" s="1727"/>
      <c r="AS12" s="1726"/>
      <c r="AT12" s="1727"/>
      <c r="AU12" s="799"/>
      <c r="AV12" s="799"/>
      <c r="AW12" s="799"/>
      <c r="AX12" s="799"/>
    </row>
    <row r="13" spans="1:54" s="1535" customFormat="1" ht="20.25" customHeight="1">
      <c r="A13" s="7184"/>
      <c r="B13" s="4260" t="s">
        <v>1641</v>
      </c>
      <c r="C13" s="3440" t="s">
        <v>1015</v>
      </c>
      <c r="D13" s="4268"/>
      <c r="E13" s="4269"/>
      <c r="F13" s="4269"/>
      <c r="G13" s="4269"/>
      <c r="H13" s="4281">
        <v>80.09</v>
      </c>
      <c r="I13" s="4281">
        <v>31.93</v>
      </c>
      <c r="J13" s="4282">
        <v>12.39</v>
      </c>
      <c r="K13" s="4283">
        <v>3.4250000000000003</v>
      </c>
      <c r="L13" s="4284">
        <v>2</v>
      </c>
      <c r="M13" s="4285">
        <f>L13/10</f>
        <v>0.2</v>
      </c>
      <c r="N13" s="4333">
        <v>3.83</v>
      </c>
      <c r="O13" s="4286">
        <v>0</v>
      </c>
      <c r="P13" s="1268">
        <v>0</v>
      </c>
      <c r="Q13" s="1268">
        <v>1.69</v>
      </c>
      <c r="R13" s="1268">
        <v>4.26</v>
      </c>
      <c r="S13" s="1268">
        <v>1.18</v>
      </c>
      <c r="T13" s="1268">
        <v>6.77</v>
      </c>
      <c r="U13" s="1268">
        <v>0</v>
      </c>
      <c r="V13" s="1268">
        <v>5.62</v>
      </c>
      <c r="W13" s="6846">
        <v>29.560000000000002</v>
      </c>
      <c r="X13" s="5335">
        <v>0</v>
      </c>
      <c r="Y13" s="6656">
        <v>0</v>
      </c>
      <c r="Z13" s="5121">
        <f t="shared" si="1"/>
        <v>52.91</v>
      </c>
      <c r="AA13" s="5117"/>
      <c r="AB13" s="3476"/>
      <c r="AC13" s="3476"/>
      <c r="AD13" s="3476"/>
      <c r="AE13" s="3476"/>
      <c r="AF13" s="3476"/>
      <c r="AG13" s="3476"/>
      <c r="AH13" s="3476"/>
      <c r="AI13" s="3476"/>
      <c r="AJ13" s="3476"/>
      <c r="AK13" s="3476"/>
      <c r="AL13" s="3476"/>
      <c r="AM13" s="4267"/>
      <c r="AN13" s="4266"/>
      <c r="AO13" s="3479"/>
      <c r="AP13" s="1610" t="s">
        <v>1646</v>
      </c>
      <c r="AR13" s="1727"/>
      <c r="AS13" s="1726"/>
      <c r="AT13" s="1727"/>
      <c r="AU13" s="799"/>
      <c r="AV13" s="799"/>
      <c r="AW13" s="799"/>
      <c r="AX13" s="799"/>
    </row>
    <row r="14" spans="1:54" s="346" customFormat="1" ht="21.75" customHeight="1">
      <c r="A14" s="7184"/>
      <c r="B14" s="4295" t="s">
        <v>1055</v>
      </c>
      <c r="C14" s="3262" t="s">
        <v>761</v>
      </c>
      <c r="D14" s="4296"/>
      <c r="E14" s="3227"/>
      <c r="F14" s="3227">
        <v>142.65</v>
      </c>
      <c r="G14" s="3471">
        <v>210</v>
      </c>
      <c r="H14" s="3465">
        <v>233</v>
      </c>
      <c r="I14" s="3465">
        <v>141</v>
      </c>
      <c r="J14" s="4297">
        <v>96.16</v>
      </c>
      <c r="K14" s="4298">
        <v>42.169999999999995</v>
      </c>
      <c r="L14" s="3674">
        <v>38</v>
      </c>
      <c r="M14" s="3675">
        <f>L14/10</f>
        <v>3.8</v>
      </c>
      <c r="N14" s="4334">
        <v>0</v>
      </c>
      <c r="O14" s="3590">
        <v>0</v>
      </c>
      <c r="P14" s="3590">
        <v>0.94</v>
      </c>
      <c r="Q14" s="3590">
        <v>0</v>
      </c>
      <c r="R14" s="3590">
        <v>0.53</v>
      </c>
      <c r="S14" s="3590">
        <v>0</v>
      </c>
      <c r="T14" s="3590">
        <v>0.3</v>
      </c>
      <c r="U14" s="3590">
        <v>1.1100000000000001</v>
      </c>
      <c r="V14" s="3590">
        <v>0</v>
      </c>
      <c r="W14" s="5463">
        <v>2.2999999999999998</v>
      </c>
      <c r="X14" s="5306">
        <v>0</v>
      </c>
      <c r="Y14" s="6628">
        <v>0</v>
      </c>
      <c r="Z14" s="5108">
        <f>SUM(N14:Y14)</f>
        <v>5.18</v>
      </c>
      <c r="AA14" s="5127"/>
      <c r="AB14" s="4299"/>
      <c r="AC14" s="4299"/>
      <c r="AD14" s="4293"/>
      <c r="AE14" s="4293"/>
      <c r="AF14" s="4293"/>
      <c r="AG14" s="4293"/>
      <c r="AH14" s="4293"/>
      <c r="AI14" s="4293"/>
      <c r="AJ14" s="4149"/>
      <c r="AK14" s="4149"/>
      <c r="AL14" s="4149"/>
      <c r="AM14" s="4300"/>
      <c r="AN14" s="4301"/>
      <c r="AO14" s="4280"/>
      <c r="AP14" s="3756" t="s">
        <v>1479</v>
      </c>
      <c r="AQ14" s="789"/>
      <c r="AR14" s="1734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</row>
    <row r="15" spans="1:54" s="346" customFormat="1" ht="20.25" customHeight="1">
      <c r="A15" s="7184"/>
      <c r="B15" s="4260" t="s">
        <v>772</v>
      </c>
      <c r="C15" s="3440" t="s">
        <v>773</v>
      </c>
      <c r="D15" s="4273"/>
      <c r="E15" s="4274"/>
      <c r="F15" s="4274"/>
      <c r="G15" s="4274">
        <f>6715+353</f>
        <v>7068</v>
      </c>
      <c r="H15" s="4302">
        <f t="shared" ref="H15:Y15" si="2">SUM(H11:H14)</f>
        <v>8616.2999999999993</v>
      </c>
      <c r="I15" s="4302">
        <f t="shared" si="2"/>
        <v>6958.6900000000005</v>
      </c>
      <c r="J15" s="4302">
        <f t="shared" si="2"/>
        <v>5554.23</v>
      </c>
      <c r="K15" s="4302">
        <f t="shared" si="2"/>
        <v>5375.081000000001</v>
      </c>
      <c r="L15" s="4303">
        <f t="shared" si="2"/>
        <v>4715.8</v>
      </c>
      <c r="M15" s="3655">
        <f t="shared" si="2"/>
        <v>471.58</v>
      </c>
      <c r="N15" s="3601">
        <f t="shared" si="2"/>
        <v>429.65</v>
      </c>
      <c r="O15" s="3600">
        <f t="shared" si="2"/>
        <v>452.73</v>
      </c>
      <c r="P15" s="3600">
        <f t="shared" si="2"/>
        <v>500.98</v>
      </c>
      <c r="Q15" s="3592">
        <f t="shared" si="2"/>
        <v>433.84999999999997</v>
      </c>
      <c r="R15" s="3592">
        <f t="shared" si="2"/>
        <v>388.51</v>
      </c>
      <c r="S15" s="3592">
        <f t="shared" si="2"/>
        <v>446.34</v>
      </c>
      <c r="T15" s="3592">
        <f t="shared" si="2"/>
        <v>529.81999999999994</v>
      </c>
      <c r="U15" s="3592">
        <f t="shared" si="2"/>
        <v>492.12</v>
      </c>
      <c r="V15" s="3592">
        <f t="shared" si="2"/>
        <v>471.33000000000004</v>
      </c>
      <c r="W15" s="5476">
        <f t="shared" si="2"/>
        <v>531.24</v>
      </c>
      <c r="X15" s="5319">
        <f t="shared" si="2"/>
        <v>46.08</v>
      </c>
      <c r="Y15" s="5329">
        <f t="shared" si="2"/>
        <v>24.91</v>
      </c>
      <c r="Z15" s="5122">
        <f t="shared" si="1"/>
        <v>4747.5599999999995</v>
      </c>
      <c r="AA15" s="5117"/>
      <c r="AB15" s="3476"/>
      <c r="AC15" s="3476"/>
      <c r="AD15" s="3476"/>
      <c r="AE15" s="3476"/>
      <c r="AF15" s="3476"/>
      <c r="AG15" s="3476"/>
      <c r="AH15" s="3476"/>
      <c r="AI15" s="3476"/>
      <c r="AJ15" s="3476"/>
      <c r="AK15" s="3476"/>
      <c r="AL15" s="3476"/>
      <c r="AM15" s="4267"/>
      <c r="AN15" s="4266"/>
      <c r="AO15" s="3479"/>
      <c r="AP15" s="1610" t="s">
        <v>1477</v>
      </c>
      <c r="AR15" s="1727"/>
      <c r="AS15" s="799"/>
      <c r="AT15" s="1727"/>
      <c r="AU15" s="799"/>
      <c r="AV15" s="799"/>
      <c r="AW15" s="799"/>
      <c r="AX15" s="799"/>
    </row>
    <row r="16" spans="1:54" s="346" customFormat="1" ht="21.6" customHeight="1">
      <c r="A16" s="7184"/>
      <c r="B16" s="4260" t="s">
        <v>886</v>
      </c>
      <c r="C16" s="3440" t="s">
        <v>534</v>
      </c>
      <c r="D16" s="4311">
        <f>(D11+D12)/D5*1000</f>
        <v>27.142326869362403</v>
      </c>
      <c r="E16" s="4290">
        <v>26.268372390218513</v>
      </c>
      <c r="F16" s="4312">
        <v>27.733575387203118</v>
      </c>
      <c r="G16" s="4290">
        <v>27.953627734723693</v>
      </c>
      <c r="H16" s="4290">
        <v>26.702169609769701</v>
      </c>
      <c r="I16" s="4705">
        <f>(I11+I13+CGL!I14)*1000/CGL!I5</f>
        <v>19.07035568583796</v>
      </c>
      <c r="J16" s="4705">
        <f>(J11+J13+CGL!J14)*1000/CGL!J5</f>
        <v>17.058513972494637</v>
      </c>
      <c r="K16" s="4706">
        <f>(K11+K13+CGL!K14)*1000/CGL!K5</f>
        <v>17.01144632716349</v>
      </c>
      <c r="L16" s="4707">
        <f>(L11+L13+CGL!L14)*1000/CGL!L5</f>
        <v>15.928782948853874</v>
      </c>
      <c r="M16" s="4708">
        <f>(M11+M13+CGL!M14)/CGL!M5*1000</f>
        <v>15.928782948853874</v>
      </c>
      <c r="N16" s="4709">
        <f>(N11+N13+CGL!N14)/CGL!N5*1000</f>
        <v>16.50285753092189</v>
      </c>
      <c r="O16" s="4710">
        <f>(O11+O13+CGL!O14)/CGL!O5*1000</f>
        <v>17.349929023571484</v>
      </c>
      <c r="P16" s="4710">
        <f>(P11+P13+CGL!P14)/CGL!P5*1000</f>
        <v>17.551762529254177</v>
      </c>
      <c r="Q16" s="5328">
        <f>(Q11+Q13+CGL!Q14)/CGL!Q5*1000</f>
        <v>16.080398347131535</v>
      </c>
      <c r="R16" s="5123">
        <f>(R11+R13+CGL!R14)/CGL!R5*1000</f>
        <v>16.071725257753876</v>
      </c>
      <c r="S16" s="5123">
        <f>(S11+S13+CGL!S14)/CGL!S5*1000</f>
        <v>16.664552502043801</v>
      </c>
      <c r="T16" s="5123">
        <f>(T11+T13+CGL!T14)/CGL!T5*1000</f>
        <v>17.056350757173995</v>
      </c>
      <c r="U16" s="5123">
        <f>(U11+U13+CGL!U14)/CGL!U5*1000</f>
        <v>16.161458076023077</v>
      </c>
      <c r="V16" s="5123">
        <f>(V11+V13+CGL!V14)/CGL!V5*1000</f>
        <v>15.028848801935874</v>
      </c>
      <c r="W16" s="5492">
        <f>(W11+W13+CGL!W14)/CGL!W5*1000</f>
        <v>17.643139173289338</v>
      </c>
      <c r="X16" s="5336">
        <f>(X11+X13+CGL!X14)/CGL!X5*1000</f>
        <v>28.744467458683108</v>
      </c>
      <c r="Y16" s="4710" t="e">
        <f>(Y11+Y13+CGL!Y14)/CGL!Y5*1000</f>
        <v>#DIV/0!</v>
      </c>
      <c r="Z16" s="5123">
        <f>(Z11+Z13+CGL!Z14)/CGL!Z5*1000</f>
        <v>16.671396707921456</v>
      </c>
      <c r="AA16" s="5118">
        <f>($K$16-N16)*345.053829373459*CGL!N5/1000</f>
        <v>4341.3088475911563</v>
      </c>
      <c r="AB16" s="3535">
        <f>($K$16-O16)*345.053829373459*CGL!O5/1000</f>
        <v>-2875.5860346263403</v>
      </c>
      <c r="AC16" s="3535">
        <f>($K$16-P16)*345.053829373459*CGL!P5/1000</f>
        <v>-5020.3661493358113</v>
      </c>
      <c r="AD16" s="3535">
        <f>($K$16-Q16)*345.053829373459*CGL!Q5/1000</f>
        <v>7933.2485502009076</v>
      </c>
      <c r="AE16" s="5726">
        <f>($K$16-R16)*345.053829373459*CGL!R5/1000</f>
        <v>7396.7249432959843</v>
      </c>
      <c r="AF16" s="3535">
        <f>($K$16-S16)*345.053829373459*CGL!S5/1000</f>
        <v>2991.2494466587286</v>
      </c>
      <c r="AG16" s="3535">
        <f>($K$16-T16)*345.053829373459*CGL!T5/1000</f>
        <v>-477.98691062885024</v>
      </c>
      <c r="AH16" s="3535">
        <f>($K$16-U16)*345.053829373459*CGL!U5/1000</f>
        <v>8133.2105685761608</v>
      </c>
      <c r="AI16" s="3535">
        <f>($K$16-V16)*345.053829373459*CGL!V5/1000</f>
        <v>20021.214499425252</v>
      </c>
      <c r="AJ16" s="3535">
        <f>($K$16-W16)*345.053829373459*CGL!W5/1000</f>
        <v>-5930.5418811597347</v>
      </c>
      <c r="AK16" s="3535">
        <f>($K$16-X16)*345.053829373459*CGL!X5/1000</f>
        <v>-5398.6013210920091</v>
      </c>
      <c r="AL16" s="3535" t="e">
        <f>($K$16-Y16)*345.053829373459*CGL!Y5/1000</f>
        <v>#DIV/0!</v>
      </c>
      <c r="AM16" s="4291">
        <f>(K16-L16)*L5*년간!C214/1000000</f>
        <v>125088.83901000986</v>
      </c>
      <c r="AN16" s="3540">
        <f>AA16+AB16+AC16+AD16+AE16+AF16+AG16+AH16+AI16+AJ16+AK16</f>
        <v>31113.874558905442</v>
      </c>
      <c r="AO16" s="3508">
        <f>AN16/AM16</f>
        <v>0.24873421805774093</v>
      </c>
      <c r="AP16" s="3753" t="s">
        <v>1542</v>
      </c>
      <c r="AQ16" s="1953" t="s">
        <v>1060</v>
      </c>
      <c r="AR16" s="1759"/>
      <c r="AS16" s="1773"/>
      <c r="AT16" s="1759"/>
      <c r="AU16" s="799"/>
      <c r="AV16" s="799"/>
      <c r="AW16" s="799"/>
      <c r="AX16" s="799"/>
    </row>
    <row r="17" spans="1:50" s="1535" customFormat="1" ht="20.25" customHeight="1" thickBot="1">
      <c r="A17" s="7212"/>
      <c r="B17" s="2456" t="s">
        <v>1644</v>
      </c>
      <c r="C17" s="3235" t="s">
        <v>321</v>
      </c>
      <c r="D17" s="4313">
        <v>27.232283978163025</v>
      </c>
      <c r="E17" s="4314">
        <v>26.268372390218513</v>
      </c>
      <c r="F17" s="4314">
        <v>27.733575387203118</v>
      </c>
      <c r="G17" s="4314">
        <v>27.953627734723693</v>
      </c>
      <c r="H17" s="4314">
        <v>26.702169609769701</v>
      </c>
      <c r="I17" s="4314">
        <v>21.666749896835039</v>
      </c>
      <c r="J17" s="4314">
        <v>17.60086045663245</v>
      </c>
      <c r="K17" s="4315">
        <v>18.256128382076991</v>
      </c>
      <c r="L17" s="3745">
        <f>(L11+L12)/CGL!L5*1000</f>
        <v>17.094285818740175</v>
      </c>
      <c r="M17" s="2861">
        <f>L17</f>
        <v>17.094285818740175</v>
      </c>
      <c r="N17" s="3745">
        <f>스크!K18</f>
        <v>17.213096861768914</v>
      </c>
      <c r="O17" s="4727">
        <f>스크!K19</f>
        <v>18.388073523050586</v>
      </c>
      <c r="P17" s="4309">
        <f>스크!K20</f>
        <v>18.569670429571246</v>
      </c>
      <c r="Q17" s="4304">
        <f>스크!K22</f>
        <v>17.50057908709956</v>
      </c>
      <c r="R17" s="4304">
        <f>스크!K23</f>
        <v>16.821347487603838</v>
      </c>
      <c r="S17" s="4304">
        <f>스크!K24</f>
        <v>17.813404230543448</v>
      </c>
      <c r="T17" s="4304">
        <f>스크!K27</f>
        <v>16.945487880937161</v>
      </c>
      <c r="U17" s="4304">
        <f>스크!K28</f>
        <v>17.706311287922194</v>
      </c>
      <c r="V17" s="4304">
        <f>스크!K29</f>
        <v>15.912798234697972</v>
      </c>
      <c r="W17" s="5493">
        <f>스크!K31</f>
        <v>18.353951421459108</v>
      </c>
      <c r="X17" s="5337">
        <f>스크!K32</f>
        <v>34.556354304620861</v>
      </c>
      <c r="Y17" s="5330" t="e">
        <f>스크!K33</f>
        <v>#DIV/0!</v>
      </c>
      <c r="Z17" s="4304">
        <f>스크!K36</f>
        <v>17.68474531978584</v>
      </c>
      <c r="AA17" s="4310"/>
      <c r="AB17" s="4305"/>
      <c r="AC17" s="4305"/>
      <c r="AD17" s="4305"/>
      <c r="AE17" s="5725"/>
      <c r="AF17" s="4305"/>
      <c r="AG17" s="4305"/>
      <c r="AH17" s="4305"/>
      <c r="AI17" s="4305"/>
      <c r="AJ17" s="4305"/>
      <c r="AK17" s="4305"/>
      <c r="AL17" s="4305"/>
      <c r="AM17" s="4306"/>
      <c r="AN17" s="4307"/>
      <c r="AO17" s="4308"/>
      <c r="AP17" s="3147"/>
      <c r="AQ17" s="1953"/>
      <c r="AR17" s="4261"/>
      <c r="AS17" s="1773"/>
      <c r="AT17" s="4261"/>
      <c r="AU17" s="799"/>
      <c r="AV17" s="799"/>
      <c r="AW17" s="799"/>
      <c r="AX17" s="799"/>
    </row>
    <row r="18" spans="1:50" s="346" customFormat="1" ht="20.25" customHeight="1">
      <c r="A18" s="7184" t="s">
        <v>793</v>
      </c>
      <c r="B18" s="7213" t="s">
        <v>784</v>
      </c>
      <c r="C18" s="913" t="s">
        <v>740</v>
      </c>
      <c r="D18" s="1418"/>
      <c r="E18" s="940"/>
      <c r="F18" s="940"/>
      <c r="G18" s="1188">
        <v>302</v>
      </c>
      <c r="H18" s="1188">
        <v>250</v>
      </c>
      <c r="I18" s="1188">
        <v>193</v>
      </c>
      <c r="J18" s="1553">
        <v>128</v>
      </c>
      <c r="K18" s="4292">
        <v>64</v>
      </c>
      <c r="L18" s="1420">
        <v>54</v>
      </c>
      <c r="M18" s="2279">
        <f t="shared" ref="M18:M23" si="3">L18/10</f>
        <v>5.4</v>
      </c>
      <c r="N18" s="4187">
        <v>7</v>
      </c>
      <c r="O18" s="896">
        <v>2</v>
      </c>
      <c r="P18" s="1068">
        <v>2</v>
      </c>
      <c r="Q18" s="1068">
        <v>0</v>
      </c>
      <c r="R18" s="1068">
        <v>0</v>
      </c>
      <c r="S18" s="1068">
        <v>1</v>
      </c>
      <c r="T18" s="1068">
        <v>2</v>
      </c>
      <c r="U18" s="1068">
        <v>8</v>
      </c>
      <c r="V18" s="1068">
        <v>6</v>
      </c>
      <c r="W18" s="5494">
        <v>6</v>
      </c>
      <c r="X18" s="5338">
        <v>0</v>
      </c>
      <c r="Y18" s="6657">
        <v>0</v>
      </c>
      <c r="Z18" s="5760">
        <f>SUM(N18:Y18)</f>
        <v>34</v>
      </c>
      <c r="AA18" s="5114"/>
      <c r="AB18" s="825"/>
      <c r="AC18" s="825"/>
      <c r="AD18" s="825"/>
      <c r="AE18" s="825"/>
      <c r="AF18" s="825"/>
      <c r="AG18" s="825"/>
      <c r="AH18" s="825"/>
      <c r="AI18" s="825"/>
      <c r="AJ18" s="825"/>
      <c r="AK18" s="825"/>
      <c r="AL18" s="825"/>
      <c r="AM18" s="1585"/>
      <c r="AN18" s="4270"/>
      <c r="AO18" s="944"/>
      <c r="AP18" s="1273"/>
      <c r="AQ18" s="863" t="s">
        <v>1519</v>
      </c>
      <c r="AR18" s="1759"/>
      <c r="AS18" s="1759"/>
      <c r="AT18" s="1759"/>
      <c r="AU18" s="799"/>
      <c r="AV18" s="799"/>
      <c r="AW18" s="799"/>
      <c r="AX18" s="799"/>
    </row>
    <row r="19" spans="1:50" s="346" customFormat="1" ht="20.25" customHeight="1">
      <c r="A19" s="7184"/>
      <c r="B19" s="7209"/>
      <c r="C19" s="936" t="s">
        <v>791</v>
      </c>
      <c r="D19" s="1017"/>
      <c r="E19" s="957"/>
      <c r="F19" s="957"/>
      <c r="G19" s="2150">
        <v>203.66666666666666</v>
      </c>
      <c r="H19" s="2150">
        <v>159.26666666666668</v>
      </c>
      <c r="I19" s="2150">
        <v>96.08</v>
      </c>
      <c r="J19" s="1703">
        <v>70.73</v>
      </c>
      <c r="K19" s="2151">
        <v>35.166666666666671</v>
      </c>
      <c r="L19" s="2316">
        <v>24.14</v>
      </c>
      <c r="M19" s="2111">
        <f t="shared" si="3"/>
        <v>2.4140000000000001</v>
      </c>
      <c r="N19" s="3746">
        <f>330/60</f>
        <v>5.5</v>
      </c>
      <c r="O19" s="4155">
        <f>30/60</f>
        <v>0.5</v>
      </c>
      <c r="P19" s="4155">
        <f>65/60</f>
        <v>1.0833333333333333</v>
      </c>
      <c r="Q19" s="4155">
        <v>0</v>
      </c>
      <c r="R19" s="4155">
        <v>0</v>
      </c>
      <c r="S19" s="4155">
        <f>120/60</f>
        <v>2</v>
      </c>
      <c r="T19" s="4155">
        <f>60/60</f>
        <v>1</v>
      </c>
      <c r="U19" s="4155">
        <f>205/60</f>
        <v>3.4166666666666665</v>
      </c>
      <c r="V19" s="4155">
        <f>225/60</f>
        <v>3.75</v>
      </c>
      <c r="W19" s="5495">
        <f>395/60</f>
        <v>6.583333333333333</v>
      </c>
      <c r="X19" s="5339">
        <v>0</v>
      </c>
      <c r="Y19" s="6658">
        <v>0</v>
      </c>
      <c r="Z19" s="5122">
        <f t="shared" si="1"/>
        <v>23.833333333333332</v>
      </c>
      <c r="AA19" s="5115">
        <f>($K$19/12-N19)*년간!$E$214/1000</f>
        <v>-2892.0197894334906</v>
      </c>
      <c r="AB19" s="1598">
        <f>($K$19/12-O19)*년간!$E$214/1000</f>
        <v>2735.6943954100589</v>
      </c>
      <c r="AC19" s="1598">
        <f>($K$19/12-P19)*년간!$E$214/1000</f>
        <v>2079.1277405116452</v>
      </c>
      <c r="AD19" s="1598">
        <f>($K$19/12-Q19)*년간!$E$214/1000</f>
        <v>3298.4658138944142</v>
      </c>
      <c r="AE19" s="1598">
        <f>($K$19/12-R19)*년간!$E$214/1000</f>
        <v>3298.4658138944142</v>
      </c>
      <c r="AF19" s="1598">
        <f>($K$19/12-S19)*년간!$E$214/1000</f>
        <v>1047.3801399569943</v>
      </c>
      <c r="AG19" s="1598">
        <f>($K$19/12-T19)*년간!$E$214/1000</f>
        <v>2172.922976925704</v>
      </c>
      <c r="AH19" s="1598">
        <f>($K$19/12-U19)*년간!$E$214/1000</f>
        <v>-547.13887908201127</v>
      </c>
      <c r="AI19" s="1598">
        <f>($K$19/12-V19)*년간!$E$214/1000</f>
        <v>-922.31982473824814</v>
      </c>
      <c r="AJ19" s="1598">
        <f>($K$19/12-W19)*년간!$E$214/1000</f>
        <v>-4111.3578628162595</v>
      </c>
      <c r="AK19" s="1598">
        <f>($K$19/12-X19)*년간!$E$214/1000</f>
        <v>3298.4658138944142</v>
      </c>
      <c r="AL19" s="1598">
        <f>($K$19/12-Y19)*년간!$E$214/1000</f>
        <v>3298.4658138944142</v>
      </c>
      <c r="AM19" s="1599">
        <f>(K19-N19)*년간!$E$214/1000</f>
        <v>33391.104163405071</v>
      </c>
      <c r="AN19" s="1644">
        <f>AA19+AB19+AC19+AD19+AE19+AF19+AG19+AH19+AI19+AJ19+AK19</f>
        <v>9457.6863384176359</v>
      </c>
      <c r="AO19" s="1584">
        <f>AN19/AM19</f>
        <v>0.28323970037453189</v>
      </c>
      <c r="AP19" s="1597"/>
      <c r="AQ19" s="863" t="s">
        <v>1520</v>
      </c>
      <c r="AR19" s="1759"/>
      <c r="AS19" s="1759"/>
      <c r="AT19" s="1759"/>
      <c r="AU19" s="799"/>
      <c r="AV19" s="799"/>
      <c r="AW19" s="799"/>
      <c r="AX19" s="799"/>
    </row>
    <row r="20" spans="1:50" s="346" customFormat="1" ht="20.25" customHeight="1">
      <c r="A20" s="7184"/>
      <c r="B20" s="7439" t="s">
        <v>789</v>
      </c>
      <c r="C20" s="936" t="s">
        <v>740</v>
      </c>
      <c r="D20" s="1017"/>
      <c r="E20" s="957"/>
      <c r="F20" s="957"/>
      <c r="G20" s="1567">
        <v>67</v>
      </c>
      <c r="H20" s="1567">
        <v>73</v>
      </c>
      <c r="I20" s="1567">
        <v>30</v>
      </c>
      <c r="J20" s="1522">
        <v>22</v>
      </c>
      <c r="K20" s="2129">
        <v>7</v>
      </c>
      <c r="L20" s="2280">
        <f>년간!D41</f>
        <v>6</v>
      </c>
      <c r="M20" s="2111">
        <f t="shared" si="3"/>
        <v>0.6</v>
      </c>
      <c r="N20" s="4335">
        <f>년간!F41</f>
        <v>1</v>
      </c>
      <c r="O20" s="4336">
        <f>년간!G41</f>
        <v>2</v>
      </c>
      <c r="P20" s="4336">
        <f>년간!H41</f>
        <v>0</v>
      </c>
      <c r="Q20" s="4336">
        <f>년간!I41</f>
        <v>0</v>
      </c>
      <c r="R20" s="4336">
        <f>년간!J41</f>
        <v>1</v>
      </c>
      <c r="S20" s="4336">
        <f>년간!K41</f>
        <v>1</v>
      </c>
      <c r="T20" s="4336">
        <f>년간!L41</f>
        <v>1</v>
      </c>
      <c r="U20" s="4336">
        <f>년간!M41</f>
        <v>1</v>
      </c>
      <c r="V20" s="4336">
        <f>년간!N41</f>
        <v>0</v>
      </c>
      <c r="W20" s="5496">
        <f>년간!O41</f>
        <v>0</v>
      </c>
      <c r="X20" s="5340">
        <f>년간!P41</f>
        <v>0</v>
      </c>
      <c r="Y20" s="6659">
        <f>년간!Q41</f>
        <v>0</v>
      </c>
      <c r="Z20" s="3592">
        <f t="shared" si="1"/>
        <v>7</v>
      </c>
      <c r="AA20" s="5117"/>
      <c r="AB20" s="1593"/>
      <c r="AC20" s="1593"/>
      <c r="AD20" s="1593"/>
      <c r="AE20" s="1593"/>
      <c r="AF20" s="1593"/>
      <c r="AG20" s="1593"/>
      <c r="AH20" s="1593"/>
      <c r="AI20" s="1593"/>
      <c r="AJ20" s="1593"/>
      <c r="AK20" s="1593"/>
      <c r="AL20" s="1593"/>
      <c r="AM20" s="1594"/>
      <c r="AN20" s="1595"/>
      <c r="AO20" s="1596"/>
      <c r="AP20" s="1597"/>
      <c r="AU20" s="799"/>
      <c r="AV20" s="799"/>
      <c r="AW20" s="799"/>
      <c r="AX20" s="799"/>
    </row>
    <row r="21" spans="1:50" s="346" customFormat="1" ht="20.25" customHeight="1">
      <c r="A21" s="7184"/>
      <c r="B21" s="7209"/>
      <c r="C21" s="936" t="s">
        <v>791</v>
      </c>
      <c r="D21" s="1017"/>
      <c r="E21" s="957"/>
      <c r="F21" s="957"/>
      <c r="G21" s="2150">
        <v>111.16666666666667</v>
      </c>
      <c r="H21" s="2150">
        <v>161</v>
      </c>
      <c r="I21" s="2150">
        <v>59</v>
      </c>
      <c r="J21" s="1703">
        <v>41.25</v>
      </c>
      <c r="K21" s="2151">
        <v>17.333333333333332</v>
      </c>
      <c r="L21" s="2316">
        <f>년간!D51/60</f>
        <v>13.833333333333334</v>
      </c>
      <c r="M21" s="2111">
        <f t="shared" si="3"/>
        <v>1.3833333333333333</v>
      </c>
      <c r="N21" s="3746">
        <f>년간!F51/60</f>
        <v>1.6666666666666667</v>
      </c>
      <c r="O21" s="4155">
        <f>년간!G51/60</f>
        <v>11</v>
      </c>
      <c r="P21" s="4155">
        <f>년간!H51/60</f>
        <v>0</v>
      </c>
      <c r="Q21" s="4155">
        <f>년간!I51/60</f>
        <v>0</v>
      </c>
      <c r="R21" s="4155">
        <f>년간!J51/60</f>
        <v>2.9166666666666665</v>
      </c>
      <c r="S21" s="4155">
        <f>년간!K51/60</f>
        <v>1.3333333333333333</v>
      </c>
      <c r="T21" s="4155">
        <f>년간!L51/60</f>
        <v>1</v>
      </c>
      <c r="U21" s="4155">
        <f>년간!M51/60</f>
        <v>0.33333333333333331</v>
      </c>
      <c r="V21" s="4155">
        <f>년간!N51/60</f>
        <v>0</v>
      </c>
      <c r="W21" s="5495">
        <f>년간!O51/60</f>
        <v>0</v>
      </c>
      <c r="X21" s="5339">
        <f>년간!P51/60</f>
        <v>0</v>
      </c>
      <c r="Y21" s="6658">
        <f>년간!Q51/60</f>
        <v>0</v>
      </c>
      <c r="Z21" s="5122">
        <f t="shared" si="1"/>
        <v>18.249999999999996</v>
      </c>
      <c r="AA21" s="5115">
        <f>년간!F177/1000</f>
        <v>-272.16190249851303</v>
      </c>
      <c r="AB21" s="1598">
        <f>년간!G177/1000</f>
        <v>-9921.8071541572517</v>
      </c>
      <c r="AC21" s="1598">
        <f>년간!H177/1000</f>
        <v>1381.6900092472538</v>
      </c>
      <c r="AD21" s="1598">
        <f>년간!I177/1000</f>
        <v>1545.7964958097452</v>
      </c>
      <c r="AE21" s="1598">
        <f>년간!J177/1000</f>
        <v>-1548.4699880307733</v>
      </c>
      <c r="AF21" s="1598">
        <f>년간!K177/1000</f>
        <v>158.064094260307</v>
      </c>
      <c r="AG21" s="1598">
        <f>년간!L177/1000</f>
        <v>704.65996000179916</v>
      </c>
      <c r="AH21" s="1598">
        <f>년간!M177/1000</f>
        <v>1254.6247681426287</v>
      </c>
      <c r="AI21" s="1598">
        <f>년간!N177/1000</f>
        <v>1497.9632129506142</v>
      </c>
      <c r="AJ21" s="1598">
        <f>년간!O177/1000</f>
        <v>1874.9551842045753</v>
      </c>
      <c r="AK21" s="1598">
        <v>0</v>
      </c>
      <c r="AL21" s="1598" t="e">
        <f>년간!Q177/1000</f>
        <v>#DIV/0!</v>
      </c>
      <c r="AM21" s="1599">
        <f>년간!E177/1000</f>
        <v>1759.734223895797</v>
      </c>
      <c r="AN21" s="1600">
        <f>AA21+AB21+AC21+AD21+AE21+AF21+AG21+AH21+AI21+AJ21+AK21</f>
        <v>-3324.6853200696146</v>
      </c>
      <c r="AO21" s="1601">
        <f>AN21/AM21</f>
        <v>-1.8893110532960156</v>
      </c>
      <c r="AP21" s="1597"/>
      <c r="AU21" s="799"/>
      <c r="AV21" s="799"/>
      <c r="AW21" s="799"/>
      <c r="AX21" s="799"/>
    </row>
    <row r="22" spans="1:50" s="346" customFormat="1" ht="20.25" customHeight="1">
      <c r="A22" s="7184"/>
      <c r="B22" s="7439" t="s">
        <v>790</v>
      </c>
      <c r="C22" s="936" t="s">
        <v>740</v>
      </c>
      <c r="D22" s="1017"/>
      <c r="E22" s="957"/>
      <c r="F22" s="957"/>
      <c r="G22" s="1567">
        <v>41</v>
      </c>
      <c r="H22" s="1567">
        <v>24</v>
      </c>
      <c r="I22" s="1567">
        <v>19</v>
      </c>
      <c r="J22" s="1522">
        <v>25</v>
      </c>
      <c r="K22" s="2129">
        <v>6</v>
      </c>
      <c r="L22" s="2280">
        <f>년간!D46</f>
        <v>6</v>
      </c>
      <c r="M22" s="2111">
        <f t="shared" si="3"/>
        <v>0.6</v>
      </c>
      <c r="N22" s="4335">
        <f>년간!F46</f>
        <v>2</v>
      </c>
      <c r="O22" s="4336">
        <f>년간!G46</f>
        <v>1</v>
      </c>
      <c r="P22" s="4336">
        <f>년간!H46</f>
        <v>1</v>
      </c>
      <c r="Q22" s="4336">
        <f>년간!I46</f>
        <v>2</v>
      </c>
      <c r="R22" s="4336">
        <f>년간!J46</f>
        <v>0</v>
      </c>
      <c r="S22" s="4336">
        <f>년간!K46</f>
        <v>2</v>
      </c>
      <c r="T22" s="4336">
        <f>년간!L46</f>
        <v>4</v>
      </c>
      <c r="U22" s="4336">
        <f>년간!M46</f>
        <v>5</v>
      </c>
      <c r="V22" s="4336">
        <f>년간!N46</f>
        <v>5</v>
      </c>
      <c r="W22" s="5496">
        <f>년간!O46</f>
        <v>3</v>
      </c>
      <c r="X22" s="5340">
        <f>년간!P46</f>
        <v>0</v>
      </c>
      <c r="Y22" s="6659">
        <f>년간!Q46</f>
        <v>0</v>
      </c>
      <c r="Z22" s="3592">
        <f t="shared" si="1"/>
        <v>25</v>
      </c>
      <c r="AA22" s="5117"/>
      <c r="AB22" s="1593"/>
      <c r="AC22" s="1593"/>
      <c r="AD22" s="1593"/>
      <c r="AE22" s="1593"/>
      <c r="AF22" s="1593"/>
      <c r="AG22" s="1593"/>
      <c r="AH22" s="1593"/>
      <c r="AI22" s="1593"/>
      <c r="AJ22" s="1593"/>
      <c r="AK22" s="1593"/>
      <c r="AL22" s="1593"/>
      <c r="AM22" s="1594"/>
      <c r="AN22" s="1595"/>
      <c r="AO22" s="1596"/>
      <c r="AP22" s="1597"/>
      <c r="AU22" s="799"/>
      <c r="AV22" s="799"/>
      <c r="AW22" s="799"/>
      <c r="AX22" s="799"/>
    </row>
    <row r="23" spans="1:50" s="346" customFormat="1" ht="20.25" customHeight="1" thickBot="1">
      <c r="A23" s="7212"/>
      <c r="B23" s="7211"/>
      <c r="C23" s="915" t="s">
        <v>791</v>
      </c>
      <c r="D23" s="1018"/>
      <c r="E23" s="1019"/>
      <c r="F23" s="1019"/>
      <c r="G23" s="2152">
        <v>79.083333333333329</v>
      </c>
      <c r="H23" s="2152">
        <v>45</v>
      </c>
      <c r="I23" s="2152">
        <v>56</v>
      </c>
      <c r="J23" s="1891">
        <v>42.67</v>
      </c>
      <c r="K23" s="2153">
        <v>13.583333333333332</v>
      </c>
      <c r="L23" s="2091">
        <f>년간!D56/60</f>
        <v>10.242424242424237</v>
      </c>
      <c r="M23" s="2291">
        <f t="shared" si="3"/>
        <v>1.0242424242424237</v>
      </c>
      <c r="N23" s="4337">
        <f>년간!F56/60</f>
        <v>3.8333333333333335</v>
      </c>
      <c r="O23" s="2430">
        <f>년간!G56/60</f>
        <v>0.66666666666666663</v>
      </c>
      <c r="P23" s="2430">
        <f>년간!H56/60</f>
        <v>1</v>
      </c>
      <c r="Q23" s="2430">
        <f>년간!I56/60</f>
        <v>4.916666666666667</v>
      </c>
      <c r="R23" s="2430">
        <f>년간!J56/60</f>
        <v>0</v>
      </c>
      <c r="S23" s="2430">
        <f>년간!K56/60</f>
        <v>6.083333333333333</v>
      </c>
      <c r="T23" s="2430">
        <f>년간!L56/60</f>
        <v>14.083333333333334</v>
      </c>
      <c r="U23" s="2430">
        <f>년간!M56/60</f>
        <v>9.8333333333333339</v>
      </c>
      <c r="V23" s="2430">
        <f>년간!N56/60</f>
        <v>8.8333333333333339</v>
      </c>
      <c r="W23" s="5497">
        <f>년간!O56/60</f>
        <v>7.833333333333333</v>
      </c>
      <c r="X23" s="5341">
        <f>년간!P56/60</f>
        <v>0</v>
      </c>
      <c r="Y23" s="6660">
        <f>년간!Q56/60</f>
        <v>0</v>
      </c>
      <c r="Z23" s="5120">
        <f t="shared" si="1"/>
        <v>57.083333333333343</v>
      </c>
      <c r="AA23" s="5128">
        <f>년간!F183/1000</f>
        <v>-2864.2694522232</v>
      </c>
      <c r="AB23" s="1602">
        <f>년간!G183/1000</f>
        <v>653.33848982012012</v>
      </c>
      <c r="AC23" s="1602">
        <f>년간!H183/1000</f>
        <v>5.946300091825683</v>
      </c>
      <c r="AD23" s="1602">
        <f>년간!I183/1000</f>
        <v>-4101.0286048591806</v>
      </c>
      <c r="AE23" s="1602">
        <f>년간!J183/1000</f>
        <v>1248.7760934614219</v>
      </c>
      <c r="AF23" s="1602">
        <f>년간!K183/1000</f>
        <v>-5173.5773102762105</v>
      </c>
      <c r="AG23" s="1602">
        <f>년간!L183/1000</f>
        <v>-13587.088763787844</v>
      </c>
      <c r="AH23" s="1602">
        <f>년간!M183/1000</f>
        <v>-9077.6835497481734</v>
      </c>
      <c r="AI23" s="1602">
        <f>년간!N183/1000</f>
        <v>-8186.7713914073984</v>
      </c>
      <c r="AJ23" s="1602">
        <f>년간!O183/1000</f>
        <v>-6823.4814689575278</v>
      </c>
      <c r="AK23" s="1602">
        <v>0</v>
      </c>
      <c r="AL23" s="1602" t="e">
        <f>년간!Q183/1000</f>
        <v>#DIV/0!</v>
      </c>
      <c r="AM23" s="1603">
        <f>년간!E183/1000</f>
        <v>2019.3802157623013</v>
      </c>
      <c r="AN23" s="1604">
        <f>AA23+AB23+AC23+AD23+AE23+AF23+AG23+AH23+AI23+AJ23+AK23</f>
        <v>-47905.839657886165</v>
      </c>
      <c r="AO23" s="1605">
        <f>AN23/AM23</f>
        <v>-23.723041002361242</v>
      </c>
      <c r="AP23" s="3282"/>
      <c r="AU23" s="799"/>
      <c r="AV23" s="799"/>
      <c r="AW23" s="799"/>
      <c r="AX23" s="799"/>
    </row>
    <row r="24" spans="1:50" s="346" customFormat="1" ht="20.25" customHeight="1">
      <c r="A24" s="7184" t="s">
        <v>300</v>
      </c>
      <c r="B24" s="7438" t="s">
        <v>301</v>
      </c>
      <c r="C24" s="991" t="s">
        <v>302</v>
      </c>
      <c r="D24" s="992">
        <v>84.714524216908174</v>
      </c>
      <c r="E24" s="993">
        <v>79.524626577737834</v>
      </c>
      <c r="F24" s="993">
        <v>75.248907066369782</v>
      </c>
      <c r="G24" s="993">
        <v>77.760000000000005</v>
      </c>
      <c r="H24" s="993">
        <v>78.94</v>
      </c>
      <c r="I24" s="993">
        <v>77.63</v>
      </c>
      <c r="J24" s="2754">
        <v>77.150000000000006</v>
      </c>
      <c r="K24" s="2154">
        <v>76.986409573006</v>
      </c>
      <c r="L24" s="2882">
        <v>75.599999999999994</v>
      </c>
      <c r="M24" s="2883">
        <f>L24</f>
        <v>75.599999999999994</v>
      </c>
      <c r="N24" s="4338">
        <v>79.119246963523423</v>
      </c>
      <c r="O24" s="1268">
        <v>78.904765770211327</v>
      </c>
      <c r="P24" s="2269">
        <v>87.163773911562046</v>
      </c>
      <c r="Q24" s="2269">
        <v>74.561565253796033</v>
      </c>
      <c r="R24" s="1268">
        <v>83.524562190849849</v>
      </c>
      <c r="S24" s="1268">
        <v>73.667790804059663</v>
      </c>
      <c r="T24" s="1268">
        <v>71.601674214257002</v>
      </c>
      <c r="U24" s="1268">
        <v>72.925056812486062</v>
      </c>
      <c r="V24" s="1268">
        <v>74.183103395569546</v>
      </c>
      <c r="W24" s="5491">
        <v>71.914617661577736</v>
      </c>
      <c r="X24" s="5335"/>
      <c r="Y24" s="6656"/>
      <c r="Z24" s="1272">
        <f t="shared" ref="Z24:Z35" si="4">AVERAGE(N24:Y24)</f>
        <v>76.756615697789272</v>
      </c>
      <c r="AA24" s="7431">
        <f>($K$24-N24)*101.42*N5/1000</f>
        <v>-4899.568152831479</v>
      </c>
      <c r="AB24" s="7409">
        <f t="shared" ref="AB24:AK24" si="5">($K$24-O24)*105*O5/1000</f>
        <v>-5446.7056859017457</v>
      </c>
      <c r="AC24" s="7409">
        <f t="shared" si="5"/>
        <v>-23208.413295162598</v>
      </c>
      <c r="AD24" s="7409">
        <f t="shared" si="5"/>
        <v>6738.4064257322398</v>
      </c>
      <c r="AE24" s="7409">
        <f t="shared" si="5"/>
        <v>-16857.306472096821</v>
      </c>
      <c r="AF24" s="7409">
        <f t="shared" si="5"/>
        <v>9171.1396950764829</v>
      </c>
      <c r="AG24" s="7409">
        <f t="shared" si="5"/>
        <v>17537.903482521273</v>
      </c>
      <c r="AH24" s="7409">
        <f t="shared" si="5"/>
        <v>12094.068106418332</v>
      </c>
      <c r="AI24" s="7409">
        <f t="shared" si="5"/>
        <v>7799.1103542669989</v>
      </c>
      <c r="AJ24" s="7409">
        <f t="shared" si="5"/>
        <v>15929.452641021957</v>
      </c>
      <c r="AK24" s="7409">
        <f t="shared" si="5"/>
        <v>0</v>
      </c>
      <c r="AL24" s="7409">
        <f>($K$24-Y24)*101.42*Y5/1000</f>
        <v>0</v>
      </c>
      <c r="AM24" s="7409">
        <f>101.42*(K24-L24)*L5/1000</f>
        <v>37447.726795357325</v>
      </c>
      <c r="AN24" s="7409">
        <f>SUM(AA24:AL25)</f>
        <v>18858.087099044635</v>
      </c>
      <c r="AO24" s="7435">
        <f>AN24/AM24</f>
        <v>0.50358429503877422</v>
      </c>
      <c r="AP24" s="7418" t="s">
        <v>1331</v>
      </c>
      <c r="AQ24" s="1535"/>
      <c r="AU24" s="799"/>
      <c r="AV24" s="799"/>
      <c r="AW24" s="799"/>
      <c r="AX24" s="799"/>
    </row>
    <row r="25" spans="1:50" s="346" customFormat="1" ht="20.25" customHeight="1">
      <c r="A25" s="7184"/>
      <c r="B25" s="7209"/>
      <c r="C25" s="914" t="s">
        <v>277</v>
      </c>
      <c r="D25" s="817">
        <v>7832.7570282355264</v>
      </c>
      <c r="E25" s="356">
        <v>7935.9796509103699</v>
      </c>
      <c r="F25" s="356">
        <v>7936.8496327522644</v>
      </c>
      <c r="G25" s="356">
        <v>8176</v>
      </c>
      <c r="H25" s="356">
        <v>8051.7955189284767</v>
      </c>
      <c r="I25" s="356">
        <v>8131</v>
      </c>
      <c r="J25" s="512">
        <v>7865</v>
      </c>
      <c r="K25" s="2155">
        <v>7875.3446776752362</v>
      </c>
      <c r="L25" s="1787">
        <v>7707</v>
      </c>
      <c r="M25" s="2296">
        <f t="shared" ref="M25:M35" si="6">L25</f>
        <v>7707</v>
      </c>
      <c r="N25" s="4339">
        <v>9617.0925725293273</v>
      </c>
      <c r="O25" s="865">
        <v>8844.3574572644302</v>
      </c>
      <c r="P25" s="2270">
        <v>7766.9014261950797</v>
      </c>
      <c r="Q25" s="2270">
        <v>6637.3189068555976</v>
      </c>
      <c r="R25" s="865">
        <v>7426.5015441257756</v>
      </c>
      <c r="S25" s="865">
        <v>8588.0555796122753</v>
      </c>
      <c r="T25" s="865">
        <v>8438.7872872521293</v>
      </c>
      <c r="U25" s="865">
        <v>8468.7228456069261</v>
      </c>
      <c r="V25" s="865">
        <v>6902.408462447368</v>
      </c>
      <c r="W25" s="5498">
        <v>6397.8558550715652</v>
      </c>
      <c r="X25" s="5342"/>
      <c r="Y25" s="6661"/>
      <c r="Z25" s="3592">
        <f t="shared" si="4"/>
        <v>7908.8001936960472</v>
      </c>
      <c r="AA25" s="7432"/>
      <c r="AB25" s="7410"/>
      <c r="AC25" s="7410"/>
      <c r="AD25" s="7410"/>
      <c r="AE25" s="7410"/>
      <c r="AF25" s="7410"/>
      <c r="AG25" s="7410"/>
      <c r="AH25" s="7410"/>
      <c r="AI25" s="7410"/>
      <c r="AJ25" s="7410"/>
      <c r="AK25" s="7410"/>
      <c r="AL25" s="7410"/>
      <c r="AM25" s="7410"/>
      <c r="AN25" s="7410"/>
      <c r="AO25" s="7436"/>
      <c r="AP25" s="7417"/>
      <c r="AQ25" s="1535"/>
      <c r="AR25" s="1728"/>
      <c r="AS25" s="1728"/>
      <c r="AT25" s="1728"/>
      <c r="AU25" s="799"/>
      <c r="AV25" s="799"/>
      <c r="AW25" s="799"/>
      <c r="AX25" s="799"/>
    </row>
    <row r="26" spans="1:50" s="346" customFormat="1" ht="20.25" customHeight="1">
      <c r="A26" s="7184"/>
      <c r="B26" s="7439" t="s">
        <v>303</v>
      </c>
      <c r="C26" s="912" t="s">
        <v>304</v>
      </c>
      <c r="D26" s="818">
        <v>0.34742620014472586</v>
      </c>
      <c r="E26" s="357">
        <v>0.41578574515736727</v>
      </c>
      <c r="F26" s="357">
        <v>0.39694698160118397</v>
      </c>
      <c r="G26" s="2156">
        <v>0.37</v>
      </c>
      <c r="H26" s="2156">
        <v>0.3470009605879299</v>
      </c>
      <c r="I26" s="2156">
        <v>0.3</v>
      </c>
      <c r="J26" s="2755">
        <v>0.24</v>
      </c>
      <c r="K26" s="2157">
        <v>0.22924817613707119</v>
      </c>
      <c r="L26" s="2884">
        <v>0.2</v>
      </c>
      <c r="M26" s="2885">
        <v>0.23</v>
      </c>
      <c r="N26" s="4340">
        <v>0.33758741004033899</v>
      </c>
      <c r="O26" s="1657">
        <v>0.25175162922042199</v>
      </c>
      <c r="P26" s="2271">
        <v>0.313195705875988</v>
      </c>
      <c r="Q26" s="2271">
        <v>0.24172760708750299</v>
      </c>
      <c r="R26" s="1657">
        <v>0.29109900053837801</v>
      </c>
      <c r="S26" s="1657">
        <v>0.239366795038192</v>
      </c>
      <c r="T26" s="1657">
        <v>0.24570638449736701</v>
      </c>
      <c r="U26" s="1657">
        <v>0.22961591906856901</v>
      </c>
      <c r="V26" s="1657">
        <v>0.230296305521903</v>
      </c>
      <c r="W26" s="5499">
        <v>0.19771116398118499</v>
      </c>
      <c r="X26" s="5343"/>
      <c r="Y26" s="6662"/>
      <c r="Z26" s="3593">
        <f t="shared" si="4"/>
        <v>0.25780579208698462</v>
      </c>
      <c r="AA26" s="7429">
        <f t="shared" ref="AA26:AL26" si="7">($K$26-N26)*923*N5/1000</f>
        <v>-2264.9776057785652</v>
      </c>
      <c r="AB26" s="7411">
        <f t="shared" si="7"/>
        <v>-561.6505979491086</v>
      </c>
      <c r="AC26" s="7411">
        <f t="shared" si="7"/>
        <v>-1682.7920463313185</v>
      </c>
      <c r="AD26" s="7411">
        <f t="shared" si="7"/>
        <v>-304.84601701616077</v>
      </c>
      <c r="AE26" s="7411">
        <f t="shared" si="7"/>
        <v>-1401.816034128087</v>
      </c>
      <c r="AF26" s="7411">
        <f t="shared" si="7"/>
        <v>-245.81002155599467</v>
      </c>
      <c r="AG26" s="7411">
        <f t="shared" si="7"/>
        <v>-471.20324186305339</v>
      </c>
      <c r="AH26" s="7411">
        <f t="shared" si="7"/>
        <v>-9.6262787318784397</v>
      </c>
      <c r="AI26" s="7411">
        <f t="shared" si="7"/>
        <v>-25.633141221631618</v>
      </c>
      <c r="AJ26" s="7411">
        <f t="shared" si="7"/>
        <v>870.70767731037381</v>
      </c>
      <c r="AK26" s="7411">
        <f t="shared" si="7"/>
        <v>0</v>
      </c>
      <c r="AL26" s="7411">
        <f t="shared" si="7"/>
        <v>0</v>
      </c>
      <c r="AM26" s="7440">
        <f>923*(K26-L26)*L5/1000</f>
        <v>7189.7004343915833</v>
      </c>
      <c r="AN26" s="7428">
        <f>SUM(AA26:AL27)</f>
        <v>-6097.6473072654244</v>
      </c>
      <c r="AO26" s="7425">
        <f>AN26/AM26</f>
        <v>-0.84810867475056739</v>
      </c>
      <c r="AP26" s="7433" t="s">
        <v>809</v>
      </c>
      <c r="AQ26" s="1535"/>
      <c r="AR26" s="1535"/>
      <c r="AS26" s="1727"/>
      <c r="AT26" s="1727"/>
      <c r="AU26" s="799"/>
      <c r="AV26" s="799"/>
      <c r="AW26" s="799"/>
      <c r="AX26" s="799"/>
    </row>
    <row r="27" spans="1:50" s="346" customFormat="1" ht="20.25" customHeight="1" thickBot="1">
      <c r="A27" s="7184"/>
      <c r="B27" s="7438"/>
      <c r="C27" s="987" t="s">
        <v>277</v>
      </c>
      <c r="D27" s="988">
        <f>D26*710</f>
        <v>246.67260210275535</v>
      </c>
      <c r="E27" s="989">
        <f>E26*710</f>
        <v>295.20787906173075</v>
      </c>
      <c r="F27" s="989">
        <f>F26*710</f>
        <v>281.8323569368406</v>
      </c>
      <c r="G27" s="989">
        <f>G26*710</f>
        <v>262.7</v>
      </c>
      <c r="H27" s="989">
        <v>246.37068201743023</v>
      </c>
      <c r="I27" s="989">
        <v>217</v>
      </c>
      <c r="J27" s="2756">
        <v>192</v>
      </c>
      <c r="K27" s="2158">
        <v>198.14483866009951</v>
      </c>
      <c r="L27" s="2880">
        <v>175</v>
      </c>
      <c r="M27" s="2881">
        <f t="shared" si="6"/>
        <v>175</v>
      </c>
      <c r="N27" s="4341">
        <v>307.59559531540901</v>
      </c>
      <c r="O27" s="990">
        <v>245.55007037581399</v>
      </c>
      <c r="P27" s="2272">
        <v>301.52384767509102</v>
      </c>
      <c r="Q27" s="2272">
        <v>231.092045792031</v>
      </c>
      <c r="R27" s="990">
        <v>258.38133398926999</v>
      </c>
      <c r="S27" s="990">
        <v>241.80546774551399</v>
      </c>
      <c r="T27" s="990">
        <v>241.34650258086</v>
      </c>
      <c r="U27" s="990">
        <v>226.03657994563801</v>
      </c>
      <c r="V27" s="990">
        <v>193.267871363171</v>
      </c>
      <c r="W27" s="5500">
        <v>154.48342659590301</v>
      </c>
      <c r="X27" s="5344"/>
      <c r="Y27" s="6663"/>
      <c r="Z27" s="4328">
        <f t="shared" si="4"/>
        <v>240.1082741378701</v>
      </c>
      <c r="AA27" s="7430"/>
      <c r="AB27" s="7412"/>
      <c r="AC27" s="7412"/>
      <c r="AD27" s="7412"/>
      <c r="AE27" s="7412"/>
      <c r="AF27" s="7412"/>
      <c r="AG27" s="7412"/>
      <c r="AH27" s="7412"/>
      <c r="AI27" s="7412"/>
      <c r="AJ27" s="7412"/>
      <c r="AK27" s="7412"/>
      <c r="AL27" s="7412"/>
      <c r="AM27" s="7412"/>
      <c r="AN27" s="7412"/>
      <c r="AO27" s="7426"/>
      <c r="AP27" s="7434"/>
      <c r="AR27" s="1727"/>
      <c r="AS27" s="1727"/>
      <c r="AT27" s="1727"/>
      <c r="AU27" s="799"/>
      <c r="AV27" s="799"/>
      <c r="AW27" s="799"/>
      <c r="AX27" s="799"/>
    </row>
    <row r="28" spans="1:50" s="346" customFormat="1" ht="20.25" customHeight="1">
      <c r="A28" s="7183" t="s">
        <v>767</v>
      </c>
      <c r="B28" s="7208" t="s">
        <v>305</v>
      </c>
      <c r="C28" s="1009" t="s">
        <v>277</v>
      </c>
      <c r="D28" s="1020"/>
      <c r="E28" s="1021"/>
      <c r="F28" s="1021"/>
      <c r="G28" s="2159">
        <v>1729</v>
      </c>
      <c r="H28" s="2159">
        <v>1298</v>
      </c>
      <c r="I28" s="2159">
        <v>1232</v>
      </c>
      <c r="J28" s="2757">
        <v>2157.8430560543561</v>
      </c>
      <c r="K28" s="2160">
        <v>1232.6363636363637</v>
      </c>
      <c r="L28" s="1023">
        <v>1189</v>
      </c>
      <c r="M28" s="2310">
        <f t="shared" si="6"/>
        <v>1189</v>
      </c>
      <c r="N28" s="4342">
        <v>1473</v>
      </c>
      <c r="O28" s="1022">
        <v>1316</v>
      </c>
      <c r="P28" s="1022">
        <v>1308</v>
      </c>
      <c r="Q28" s="1022">
        <v>947</v>
      </c>
      <c r="R28" s="1022">
        <v>1346</v>
      </c>
      <c r="S28" s="1022">
        <v>1147</v>
      </c>
      <c r="T28" s="1022">
        <v>1049</v>
      </c>
      <c r="U28" s="1022">
        <v>1085</v>
      </c>
      <c r="V28" s="1022">
        <v>810</v>
      </c>
      <c r="W28" s="5501">
        <v>965</v>
      </c>
      <c r="X28" s="5345"/>
      <c r="Y28" s="6664"/>
      <c r="Z28" s="5105">
        <f t="shared" si="4"/>
        <v>1144.5999999999999</v>
      </c>
      <c r="AA28" s="5129"/>
      <c r="AB28" s="1024"/>
      <c r="AC28" s="1024"/>
      <c r="AD28" s="1024"/>
      <c r="AE28" s="1024"/>
      <c r="AF28" s="1024"/>
      <c r="AG28" s="1024"/>
      <c r="AH28" s="1024"/>
      <c r="AI28" s="1024"/>
      <c r="AJ28" s="1024"/>
      <c r="AK28" s="1024"/>
      <c r="AL28" s="1024"/>
      <c r="AM28" s="1024"/>
      <c r="AN28" s="1025"/>
      <c r="AO28" s="1015"/>
      <c r="AP28" s="7416" t="s">
        <v>797</v>
      </c>
      <c r="AR28" s="1729"/>
      <c r="AS28" s="1729"/>
      <c r="AT28" s="1729"/>
      <c r="AU28" s="799"/>
      <c r="AV28" s="799"/>
      <c r="AW28" s="799"/>
      <c r="AX28" s="799"/>
    </row>
    <row r="29" spans="1:50" s="346" customFormat="1" ht="20.25" customHeight="1">
      <c r="A29" s="7184"/>
      <c r="B29" s="7209"/>
      <c r="C29" s="912" t="s">
        <v>798</v>
      </c>
      <c r="D29" s="819"/>
      <c r="E29" s="358"/>
      <c r="F29" s="359">
        <v>0.5</v>
      </c>
      <c r="G29" s="1569">
        <v>0.57999999999999996</v>
      </c>
      <c r="H29" s="2161">
        <v>0.50082511163501486</v>
      </c>
      <c r="I29" s="2161">
        <v>0.49</v>
      </c>
      <c r="J29" s="2758">
        <v>0.51611370540121004</v>
      </c>
      <c r="K29" s="2162">
        <v>0.48709090909090907</v>
      </c>
      <c r="L29" s="2293">
        <v>0.45</v>
      </c>
      <c r="M29" s="2114">
        <f t="shared" si="6"/>
        <v>0.45</v>
      </c>
      <c r="N29" s="4343">
        <v>0.58199999999999996</v>
      </c>
      <c r="O29" s="1606">
        <v>0.52</v>
      </c>
      <c r="P29" s="1606">
        <v>0.51700000000000002</v>
      </c>
      <c r="Q29" s="1606">
        <v>0.374</v>
      </c>
      <c r="R29" s="1606">
        <v>0.53200000000000003</v>
      </c>
      <c r="S29" s="1606">
        <v>0.45300000000000001</v>
      </c>
      <c r="T29" s="1606">
        <v>0.41499999999999998</v>
      </c>
      <c r="U29" s="1606">
        <v>0.42899999999999999</v>
      </c>
      <c r="V29" s="1606">
        <v>0.32</v>
      </c>
      <c r="W29" s="5502">
        <v>0.38100000000000001</v>
      </c>
      <c r="X29" s="5346"/>
      <c r="Y29" s="6665"/>
      <c r="Z29" s="3593">
        <f t="shared" si="4"/>
        <v>0.45229999999999998</v>
      </c>
      <c r="AA29" s="5115">
        <f t="shared" ref="AA29:AL29" si="8">($K$29-N29)*2530*N5/1000</f>
        <v>-5438.8212515999994</v>
      </c>
      <c r="AB29" s="1598">
        <f t="shared" si="8"/>
        <v>-2251.3953604000026</v>
      </c>
      <c r="AC29" s="1598">
        <f t="shared" si="8"/>
        <v>-1643.4048435000018</v>
      </c>
      <c r="AD29" s="1598">
        <f t="shared" si="8"/>
        <v>7572.3775287999997</v>
      </c>
      <c r="AE29" s="1598">
        <f t="shared" si="8"/>
        <v>-2789.9640964000027</v>
      </c>
      <c r="AF29" s="1598">
        <f t="shared" si="8"/>
        <v>2270.0516999999977</v>
      </c>
      <c r="AG29" s="1598">
        <f t="shared" si="8"/>
        <v>5657.5061647000002</v>
      </c>
      <c r="AH29" s="1598">
        <f t="shared" si="8"/>
        <v>4168.1284289099985</v>
      </c>
      <c r="AI29" s="1598">
        <f t="shared" si="8"/>
        <v>11201.045861999997</v>
      </c>
      <c r="AJ29" s="1598">
        <f t="shared" si="8"/>
        <v>8028.7663480199999</v>
      </c>
      <c r="AK29" s="1598">
        <f t="shared" si="8"/>
        <v>0</v>
      </c>
      <c r="AL29" s="1598">
        <f t="shared" si="8"/>
        <v>0</v>
      </c>
      <c r="AM29" s="1026">
        <f>2530*(K29-L29)*L5/1000</f>
        <v>24991.844159999982</v>
      </c>
      <c r="AN29" s="1607">
        <f>SUM(AA29:AL29)</f>
        <v>26774.290480529984</v>
      </c>
      <c r="AO29" s="1608">
        <f>AN29/AM29</f>
        <v>1.0713211201669883</v>
      </c>
      <c r="AP29" s="7417"/>
      <c r="AR29" s="1729"/>
      <c r="AS29" s="1729"/>
      <c r="AT29" s="1729"/>
      <c r="AU29" s="799"/>
      <c r="AV29" s="799"/>
      <c r="AW29" s="799"/>
      <c r="AX29" s="799"/>
    </row>
    <row r="30" spans="1:50" s="346" customFormat="1" ht="20.25" customHeight="1">
      <c r="A30" s="7184"/>
      <c r="B30" s="908" t="s">
        <v>778</v>
      </c>
      <c r="C30" s="936" t="s">
        <v>912</v>
      </c>
      <c r="D30" s="1027"/>
      <c r="E30" s="958"/>
      <c r="F30" s="1028"/>
      <c r="G30" s="1566">
        <v>0.11865854816180958</v>
      </c>
      <c r="H30" s="2163">
        <v>0.15568797756073249</v>
      </c>
      <c r="I30" s="2163">
        <v>7.0000000000000007E-2</v>
      </c>
      <c r="J30" s="2759">
        <v>5.1698196118476127E-2</v>
      </c>
      <c r="K30" s="2164">
        <v>2.7272727272727278E-2</v>
      </c>
      <c r="L30" s="2317">
        <v>0.03</v>
      </c>
      <c r="M30" s="2114">
        <f t="shared" si="6"/>
        <v>0.03</v>
      </c>
      <c r="N30" s="4344">
        <v>0.03</v>
      </c>
      <c r="O30" s="4345">
        <v>0.01</v>
      </c>
      <c r="P30" s="4345">
        <v>0.01</v>
      </c>
      <c r="Q30" s="4345">
        <v>0.02</v>
      </c>
      <c r="R30" s="4345">
        <v>0.02</v>
      </c>
      <c r="S30" s="4345">
        <v>0.02</v>
      </c>
      <c r="T30" s="4345">
        <v>0.04</v>
      </c>
      <c r="U30" s="4345">
        <v>0.01</v>
      </c>
      <c r="V30" s="4345">
        <v>0.01</v>
      </c>
      <c r="W30" s="5503">
        <v>0.01</v>
      </c>
      <c r="X30" s="5347"/>
      <c r="Y30" s="6666"/>
      <c r="Z30" s="3593">
        <f t="shared" si="4"/>
        <v>1.8000000000000006E-2</v>
      </c>
      <c r="AA30" s="5115">
        <f t="shared" ref="AA30:AL30" si="9">($K$30-N30)*1925*N5/1000</f>
        <v>-118.91475749999969</v>
      </c>
      <c r="AB30" s="1598">
        <f t="shared" si="9"/>
        <v>899.09795500000041</v>
      </c>
      <c r="AC30" s="1598">
        <f t="shared" si="9"/>
        <v>722.12516250000033</v>
      </c>
      <c r="AD30" s="1598">
        <f t="shared" si="9"/>
        <v>370.52036000000027</v>
      </c>
      <c r="AE30" s="1598">
        <f t="shared" si="9"/>
        <v>343.77308000000028</v>
      </c>
      <c r="AF30" s="1598">
        <f t="shared" si="9"/>
        <v>368.47216000000026</v>
      </c>
      <c r="AG30" s="1598">
        <f t="shared" si="9"/>
        <v>-759.95888499999967</v>
      </c>
      <c r="AH30" s="1598">
        <f t="shared" si="9"/>
        <v>942.98339975000033</v>
      </c>
      <c r="AI30" s="1598">
        <f t="shared" si="9"/>
        <v>881.00197500000036</v>
      </c>
      <c r="AJ30" s="1598">
        <f t="shared" si="9"/>
        <v>994.58470650000049</v>
      </c>
      <c r="AK30" s="1598">
        <f t="shared" si="9"/>
        <v>0</v>
      </c>
      <c r="AL30" s="1598">
        <f t="shared" si="9"/>
        <v>0</v>
      </c>
      <c r="AM30" s="1026">
        <f>(K30-L30)*1925*L5/1000</f>
        <v>-1398.2009999999966</v>
      </c>
      <c r="AN30" s="1607">
        <f>SUM(AA30:AL30)</f>
        <v>4643.6851562500033</v>
      </c>
      <c r="AO30" s="1608">
        <f>AN30/AM30</f>
        <v>-3.3211856923646992</v>
      </c>
      <c r="AP30" s="1610" t="s">
        <v>911</v>
      </c>
      <c r="AR30" s="1729"/>
      <c r="AS30" s="1729"/>
      <c r="AT30" s="1729"/>
      <c r="AU30" s="799"/>
      <c r="AV30" s="799"/>
      <c r="AW30" s="799"/>
      <c r="AX30" s="799"/>
    </row>
    <row r="31" spans="1:50" s="346" customFormat="1" ht="20.25" customHeight="1">
      <c r="A31" s="7184"/>
      <c r="B31" s="908" t="s">
        <v>806</v>
      </c>
      <c r="C31" s="936" t="s">
        <v>280</v>
      </c>
      <c r="D31" s="1027"/>
      <c r="E31" s="958"/>
      <c r="F31" s="1028"/>
      <c r="G31" s="1566">
        <v>949.28678987198475</v>
      </c>
      <c r="H31" s="2163">
        <v>1028.818220553077</v>
      </c>
      <c r="I31" s="2163">
        <v>489.64</v>
      </c>
      <c r="J31" s="2759">
        <v>479.40771144546966</v>
      </c>
      <c r="K31" s="2164">
        <v>336.10727272727269</v>
      </c>
      <c r="L31" s="2317">
        <v>261.17</v>
      </c>
      <c r="M31" s="2114">
        <f t="shared" si="6"/>
        <v>261.17</v>
      </c>
      <c r="N31" s="4344">
        <v>252.54</v>
      </c>
      <c r="O31" s="4345">
        <v>211.54</v>
      </c>
      <c r="P31" s="4345">
        <v>226.87</v>
      </c>
      <c r="Q31" s="4345">
        <v>237.19</v>
      </c>
      <c r="R31" s="4345">
        <v>222.54</v>
      </c>
      <c r="S31" s="4345">
        <v>235.68</v>
      </c>
      <c r="T31" s="4345">
        <v>201.99</v>
      </c>
      <c r="U31" s="4345">
        <v>193.73</v>
      </c>
      <c r="V31" s="4345">
        <v>368.49</v>
      </c>
      <c r="W31" s="5503">
        <v>345.23</v>
      </c>
      <c r="X31" s="5347"/>
      <c r="Y31" s="6666"/>
      <c r="Z31" s="3593">
        <f t="shared" si="4"/>
        <v>249.58</v>
      </c>
      <c r="AA31" s="5117"/>
      <c r="AB31" s="1593"/>
      <c r="AC31" s="1593"/>
      <c r="AD31" s="1593"/>
      <c r="AE31" s="1593"/>
      <c r="AF31" s="1593"/>
      <c r="AG31" s="1593"/>
      <c r="AH31" s="1593"/>
      <c r="AI31" s="1593"/>
      <c r="AJ31" s="1593"/>
      <c r="AK31" s="1593"/>
      <c r="AL31" s="1593"/>
      <c r="AM31" s="1595"/>
      <c r="AN31" s="1611"/>
      <c r="AO31" s="1596"/>
      <c r="AP31" s="7413"/>
      <c r="AR31" s="1729"/>
      <c r="AS31" s="1717"/>
      <c r="AT31" s="1729"/>
      <c r="AU31" s="798"/>
      <c r="AV31" s="799"/>
      <c r="AW31" s="799"/>
      <c r="AX31" s="799"/>
    </row>
    <row r="32" spans="1:50" s="346" customFormat="1" ht="20.25" customHeight="1">
      <c r="A32" s="7184"/>
      <c r="B32" s="908" t="s">
        <v>807</v>
      </c>
      <c r="C32" s="936" t="s">
        <v>280</v>
      </c>
      <c r="D32" s="1027"/>
      <c r="E32" s="958"/>
      <c r="F32" s="1028"/>
      <c r="G32" s="1566">
        <v>1005.6546212429485</v>
      </c>
      <c r="H32" s="2163">
        <v>968.75043757875972</v>
      </c>
      <c r="I32" s="2163">
        <v>400.26</v>
      </c>
      <c r="J32" s="2759">
        <v>402.84662613923177</v>
      </c>
      <c r="K32" s="2164">
        <v>231.08363636363632</v>
      </c>
      <c r="L32" s="2317">
        <v>180.29</v>
      </c>
      <c r="M32" s="2114">
        <f t="shared" si="6"/>
        <v>180.29</v>
      </c>
      <c r="N32" s="4344">
        <v>77.97</v>
      </c>
      <c r="O32" s="4345">
        <v>65.31</v>
      </c>
      <c r="P32" s="4345">
        <v>174.56</v>
      </c>
      <c r="Q32" s="4345">
        <v>246.71</v>
      </c>
      <c r="R32" s="4345">
        <v>218.6</v>
      </c>
      <c r="S32" s="4345">
        <v>118.53</v>
      </c>
      <c r="T32" s="4345">
        <v>286.64</v>
      </c>
      <c r="U32" s="4345">
        <v>151.26</v>
      </c>
      <c r="V32" s="4345">
        <v>293.62</v>
      </c>
      <c r="W32" s="5503">
        <v>243.98</v>
      </c>
      <c r="X32" s="5347"/>
      <c r="Y32" s="6666"/>
      <c r="Z32" s="3593">
        <f t="shared" si="4"/>
        <v>187.71800000000002</v>
      </c>
      <c r="AA32" s="5117"/>
      <c r="AB32" s="1593"/>
      <c r="AC32" s="1593"/>
      <c r="AD32" s="1593"/>
      <c r="AE32" s="1593"/>
      <c r="AF32" s="1593"/>
      <c r="AG32" s="1593"/>
      <c r="AH32" s="1593"/>
      <c r="AI32" s="1593"/>
      <c r="AJ32" s="1593"/>
      <c r="AK32" s="1593"/>
      <c r="AL32" s="1593"/>
      <c r="AM32" s="1595"/>
      <c r="AN32" s="1611"/>
      <c r="AO32" s="1596"/>
      <c r="AP32" s="7414"/>
      <c r="AR32" s="1729"/>
      <c r="AS32" s="1729"/>
      <c r="AT32" s="1729"/>
      <c r="AU32" s="799"/>
      <c r="AV32" s="799"/>
      <c r="AW32" s="799"/>
      <c r="AX32" s="799"/>
    </row>
    <row r="33" spans="1:50" s="346" customFormat="1" ht="20.25" customHeight="1">
      <c r="A33" s="7184"/>
      <c r="B33" s="908" t="s">
        <v>808</v>
      </c>
      <c r="C33" s="936" t="s">
        <v>280</v>
      </c>
      <c r="D33" s="1027"/>
      <c r="E33" s="958"/>
      <c r="F33" s="1028"/>
      <c r="G33" s="1566">
        <v>483.9974686678176</v>
      </c>
      <c r="H33" s="2163">
        <v>536.12303780912919</v>
      </c>
      <c r="I33" s="2163">
        <v>280.02</v>
      </c>
      <c r="J33" s="2759">
        <v>410.1483106108754</v>
      </c>
      <c r="K33" s="2164">
        <v>504.98545454545462</v>
      </c>
      <c r="L33" s="2317">
        <v>357.03</v>
      </c>
      <c r="M33" s="2114">
        <f t="shared" si="6"/>
        <v>357.03</v>
      </c>
      <c r="N33" s="4344">
        <v>415.47</v>
      </c>
      <c r="O33" s="4345">
        <v>348.01</v>
      </c>
      <c r="P33" s="4345">
        <v>485.57</v>
      </c>
      <c r="Q33" s="4345">
        <v>118.43</v>
      </c>
      <c r="R33" s="4345">
        <v>271.17</v>
      </c>
      <c r="S33" s="4345">
        <v>206.26</v>
      </c>
      <c r="T33" s="4345">
        <v>238.76</v>
      </c>
      <c r="U33" s="4345">
        <v>201.52</v>
      </c>
      <c r="V33" s="4345">
        <v>806.34</v>
      </c>
      <c r="W33" s="5503">
        <v>332.93</v>
      </c>
      <c r="X33" s="5347"/>
      <c r="Y33" s="6666"/>
      <c r="Z33" s="3593">
        <f t="shared" si="4"/>
        <v>342.44600000000003</v>
      </c>
      <c r="AA33" s="5117"/>
      <c r="AB33" s="1593"/>
      <c r="AC33" s="1593"/>
      <c r="AD33" s="1593"/>
      <c r="AE33" s="1593"/>
      <c r="AF33" s="1593"/>
      <c r="AG33" s="1593"/>
      <c r="AH33" s="1593"/>
      <c r="AI33" s="1593"/>
      <c r="AJ33" s="1593"/>
      <c r="AK33" s="1593"/>
      <c r="AL33" s="1593"/>
      <c r="AM33" s="1595"/>
      <c r="AN33" s="1611"/>
      <c r="AO33" s="1596"/>
      <c r="AP33" s="7415"/>
      <c r="AR33" s="1729"/>
      <c r="AS33" s="1729"/>
      <c r="AT33" s="1729"/>
      <c r="AU33" s="799"/>
      <c r="AV33" s="799"/>
      <c r="AW33" s="799"/>
      <c r="AX33" s="799"/>
    </row>
    <row r="34" spans="1:50" s="346" customFormat="1" ht="18" thickBot="1">
      <c r="A34" s="7212"/>
      <c r="B34" s="935" t="s">
        <v>774</v>
      </c>
      <c r="C34" s="915" t="s">
        <v>280</v>
      </c>
      <c r="D34" s="1029">
        <v>8950</v>
      </c>
      <c r="E34" s="1030">
        <v>7555</v>
      </c>
      <c r="F34" s="1030">
        <v>4821.543446555379</v>
      </c>
      <c r="G34" s="2165"/>
      <c r="H34" s="2165">
        <v>4795.3802621839413</v>
      </c>
      <c r="I34" s="2165">
        <v>4044</v>
      </c>
      <c r="J34" s="1689">
        <v>2721.9102889024402</v>
      </c>
      <c r="K34" s="2131">
        <v>2354.2727272727275</v>
      </c>
      <c r="L34" s="2200">
        <v>2300</v>
      </c>
      <c r="M34" s="2315">
        <f t="shared" si="6"/>
        <v>2300</v>
      </c>
      <c r="N34" s="4346">
        <v>1677</v>
      </c>
      <c r="O34" s="2339">
        <v>1556</v>
      </c>
      <c r="P34" s="2339">
        <v>1502</v>
      </c>
      <c r="Q34" s="2339">
        <v>1567</v>
      </c>
      <c r="R34" s="2339">
        <v>1423</v>
      </c>
      <c r="S34" s="2339">
        <v>1291</v>
      </c>
      <c r="T34" s="2339">
        <v>1497</v>
      </c>
      <c r="U34" s="2339">
        <v>1621</v>
      </c>
      <c r="V34" s="2339">
        <v>993</v>
      </c>
      <c r="W34" s="5504">
        <v>1270</v>
      </c>
      <c r="X34" s="5348"/>
      <c r="Y34" s="6667"/>
      <c r="Z34" s="2429">
        <f t="shared" si="4"/>
        <v>1439.7</v>
      </c>
      <c r="AA34" s="5128">
        <f t="shared" ref="AA34:AL34" si="10">($K$34-N34)*N5/1000</f>
        <v>15340.518500000006</v>
      </c>
      <c r="AB34" s="1602">
        <f t="shared" si="10"/>
        <v>21585.725612727281</v>
      </c>
      <c r="AC34" s="1602">
        <f t="shared" si="10"/>
        <v>18509.701704545456</v>
      </c>
      <c r="AD34" s="1602">
        <f t="shared" si="10"/>
        <v>20835.755309090917</v>
      </c>
      <c r="AE34" s="1602">
        <f t="shared" si="10"/>
        <v>22867.606698181822</v>
      </c>
      <c r="AF34" s="1602">
        <f t="shared" si="10"/>
        <v>27984.742749090914</v>
      </c>
      <c r="AG34" s="1602">
        <f t="shared" si="10"/>
        <v>26591.51126363637</v>
      </c>
      <c r="AH34" s="1602">
        <f t="shared" si="10"/>
        <v>20795.910054363641</v>
      </c>
      <c r="AI34" s="1602">
        <f t="shared" si="10"/>
        <v>36068.690563636374</v>
      </c>
      <c r="AJ34" s="1602">
        <f t="shared" si="10"/>
        <v>32433.114954000008</v>
      </c>
      <c r="AK34" s="1602">
        <f t="shared" si="10"/>
        <v>0</v>
      </c>
      <c r="AL34" s="1602">
        <f t="shared" si="10"/>
        <v>0</v>
      </c>
      <c r="AM34" s="1612">
        <f>(K34-L34)*L5/1000</f>
        <v>14454.129818181873</v>
      </c>
      <c r="AN34" s="1612">
        <f>SUM(AA34:AL34)</f>
        <v>243013.27740927279</v>
      </c>
      <c r="AO34" s="1613">
        <f>AN34/AM34</f>
        <v>16.812722762707306</v>
      </c>
      <c r="AP34" s="1614"/>
      <c r="AQ34" s="1535"/>
      <c r="AR34" s="1535"/>
      <c r="AS34" s="1730"/>
      <c r="AT34" s="1729"/>
      <c r="AU34" s="799"/>
      <c r="AV34" s="799"/>
      <c r="AW34" s="799"/>
      <c r="AX34" s="799"/>
    </row>
    <row r="35" spans="1:50" s="346" customFormat="1" ht="20.25" customHeight="1" thickBot="1">
      <c r="A35" s="906" t="s">
        <v>306</v>
      </c>
      <c r="B35" s="907" t="s">
        <v>307</v>
      </c>
      <c r="C35" s="913" t="s">
        <v>280</v>
      </c>
      <c r="D35" s="994">
        <v>1863</v>
      </c>
      <c r="E35" s="802">
        <v>1303</v>
      </c>
      <c r="F35" s="802">
        <v>1252.634134198011</v>
      </c>
      <c r="G35" s="802">
        <v>1428</v>
      </c>
      <c r="H35" s="802">
        <v>1284.6422670752197</v>
      </c>
      <c r="I35" s="802">
        <v>1184</v>
      </c>
      <c r="J35" s="847">
        <v>1350.5615134235436</v>
      </c>
      <c r="K35" s="2166">
        <v>1637.2727272727273</v>
      </c>
      <c r="L35" s="995">
        <v>1500</v>
      </c>
      <c r="M35" s="2318">
        <f t="shared" si="6"/>
        <v>1500</v>
      </c>
      <c r="N35" s="3554">
        <v>1599</v>
      </c>
      <c r="O35" s="976">
        <v>1375</v>
      </c>
      <c r="P35" s="976">
        <v>1712</v>
      </c>
      <c r="Q35" s="976">
        <v>1405</v>
      </c>
      <c r="R35" s="976">
        <v>1515</v>
      </c>
      <c r="S35" s="976">
        <v>1413</v>
      </c>
      <c r="T35" s="976">
        <v>1229</v>
      </c>
      <c r="U35" s="976">
        <v>1311</v>
      </c>
      <c r="V35" s="976">
        <v>1404</v>
      </c>
      <c r="W35" s="5485">
        <v>1286</v>
      </c>
      <c r="X35" s="5327"/>
      <c r="Y35" s="6649"/>
      <c r="Z35" s="1272">
        <f t="shared" si="4"/>
        <v>1424.9</v>
      </c>
      <c r="AA35" s="5130">
        <f t="shared" ref="AA35:AL35" si="11">($K$35-N35)*N5/1000</f>
        <v>866.89372999999955</v>
      </c>
      <c r="AB35" s="1580">
        <f t="shared" si="11"/>
        <v>7091.996172727273</v>
      </c>
      <c r="AC35" s="1580">
        <f t="shared" si="11"/>
        <v>-1622.9306454545458</v>
      </c>
      <c r="AD35" s="1580">
        <f t="shared" si="11"/>
        <v>6147.2696090909094</v>
      </c>
      <c r="AE35" s="1580">
        <f t="shared" si="11"/>
        <v>3002.4337181818178</v>
      </c>
      <c r="AF35" s="1580">
        <f t="shared" si="11"/>
        <v>5902.7325890909078</v>
      </c>
      <c r="AG35" s="1580">
        <f t="shared" si="11"/>
        <v>12664.101493636363</v>
      </c>
      <c r="AH35" s="1580">
        <f t="shared" si="11"/>
        <v>9253.226033363635</v>
      </c>
      <c r="AI35" s="1580">
        <f t="shared" si="11"/>
        <v>6180.8641636363627</v>
      </c>
      <c r="AJ35" s="1580">
        <f t="shared" si="11"/>
        <v>10507.382927999999</v>
      </c>
      <c r="AK35" s="1580">
        <f t="shared" si="11"/>
        <v>0</v>
      </c>
      <c r="AL35" s="1411">
        <f t="shared" si="11"/>
        <v>0</v>
      </c>
      <c r="AM35" s="996">
        <f>(K35-L35)*L5/1000</f>
        <v>36559.021818181813</v>
      </c>
      <c r="AN35" s="996">
        <f>SUM(AA35:AL35)</f>
        <v>59993.969792272721</v>
      </c>
      <c r="AO35" s="997">
        <f>AN35/AM35</f>
        <v>1.6410168218022743</v>
      </c>
      <c r="AP35" s="1412"/>
      <c r="AR35" s="1729"/>
      <c r="AS35" s="1729"/>
      <c r="AT35" s="1729"/>
      <c r="AU35" s="799"/>
      <c r="AV35" s="799"/>
      <c r="AW35" s="799"/>
      <c r="AX35" s="799"/>
    </row>
    <row r="36" spans="1:50" s="346" customFormat="1" ht="20.25" customHeight="1">
      <c r="A36" s="7183" t="s">
        <v>762</v>
      </c>
      <c r="B36" s="1031" t="s">
        <v>764</v>
      </c>
      <c r="C36" s="1009" t="s">
        <v>766</v>
      </c>
      <c r="D36" s="1032"/>
      <c r="E36" s="1033"/>
      <c r="F36" s="1033"/>
      <c r="G36" s="1033">
        <v>4</v>
      </c>
      <c r="H36" s="1033">
        <v>9</v>
      </c>
      <c r="I36" s="1033">
        <v>7</v>
      </c>
      <c r="J36" s="2760">
        <v>16</v>
      </c>
      <c r="K36" s="2167">
        <v>18</v>
      </c>
      <c r="L36" s="1035">
        <f>'성과개선 실적'!C5</f>
        <v>9</v>
      </c>
      <c r="M36" s="3071">
        <f>L36/10</f>
        <v>0.9</v>
      </c>
      <c r="N36" s="5427">
        <v>1</v>
      </c>
      <c r="O36" s="5420">
        <v>0</v>
      </c>
      <c r="P36" s="5420">
        <v>1</v>
      </c>
      <c r="Q36" s="5420">
        <v>1</v>
      </c>
      <c r="R36" s="5420" t="s">
        <v>1779</v>
      </c>
      <c r="S36" s="1034">
        <v>0</v>
      </c>
      <c r="T36" s="1034">
        <v>0</v>
      </c>
      <c r="U36" s="1034">
        <v>1</v>
      </c>
      <c r="V36" s="1034">
        <v>1</v>
      </c>
      <c r="W36" s="5707">
        <v>1</v>
      </c>
      <c r="X36" s="5486"/>
      <c r="Y36" s="6668"/>
      <c r="Z36" s="1034">
        <f>SUM(N36:Y36)</f>
        <v>6</v>
      </c>
      <c r="AA36" s="5126"/>
      <c r="AB36" s="1014"/>
      <c r="AC36" s="1014"/>
      <c r="AD36" s="1014"/>
      <c r="AE36" s="1014"/>
      <c r="AF36" s="1014"/>
      <c r="AG36" s="1014"/>
      <c r="AH36" s="1014"/>
      <c r="AI36" s="1014"/>
      <c r="AJ36" s="1014"/>
      <c r="AK36" s="1014"/>
      <c r="AL36" s="1014"/>
      <c r="AM36" s="1014"/>
      <c r="AN36" s="1014"/>
      <c r="AO36" s="1036"/>
      <c r="AP36" s="1016"/>
      <c r="AR36" s="1729"/>
      <c r="AS36" s="1729"/>
      <c r="AT36" s="1729"/>
      <c r="AU36" s="799"/>
      <c r="AV36" s="799"/>
      <c r="AW36" s="799"/>
      <c r="AX36" s="799"/>
    </row>
    <row r="37" spans="1:50" s="346" customFormat="1" ht="20.25" customHeight="1" thickBot="1">
      <c r="A37" s="7212"/>
      <c r="B37" s="935" t="s">
        <v>763</v>
      </c>
      <c r="C37" s="915" t="s">
        <v>765</v>
      </c>
      <c r="D37" s="820"/>
      <c r="E37" s="786"/>
      <c r="F37" s="786"/>
      <c r="G37" s="2168">
        <v>672978.71319845633</v>
      </c>
      <c r="H37" s="2168">
        <v>-1580.7584081196328</v>
      </c>
      <c r="I37" s="2168">
        <v>1221316</v>
      </c>
      <c r="J37" s="1578">
        <v>1227525.9043047759</v>
      </c>
      <c r="K37" s="2169">
        <v>170486.50146244146</v>
      </c>
      <c r="L37" s="1844">
        <f>'성과개선 실적'!I5</f>
        <v>279756.20797548769</v>
      </c>
      <c r="M37" s="2295">
        <f>L37/10</f>
        <v>27975.62079754877</v>
      </c>
      <c r="N37" s="4347">
        <v>0</v>
      </c>
      <c r="O37" s="2428">
        <v>0</v>
      </c>
      <c r="P37" s="2428">
        <v>15183</v>
      </c>
      <c r="Q37" s="2428">
        <v>6037</v>
      </c>
      <c r="R37" s="2428"/>
      <c r="S37" s="2428"/>
      <c r="T37" s="2428">
        <v>0</v>
      </c>
      <c r="U37" s="2428">
        <v>1969</v>
      </c>
      <c r="V37" s="2428">
        <v>0</v>
      </c>
      <c r="W37" s="5478">
        <v>0</v>
      </c>
      <c r="X37" s="5320">
        <v>0</v>
      </c>
      <c r="Y37" s="6642"/>
      <c r="Z37" s="2428"/>
      <c r="AA37" s="5112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7"/>
      <c r="AP37" s="1266"/>
      <c r="AR37" s="1729"/>
      <c r="AS37" s="1729"/>
      <c r="AT37" s="1729"/>
      <c r="AU37" s="799"/>
      <c r="AV37" s="799"/>
      <c r="AW37" s="799"/>
      <c r="AX37" s="799"/>
    </row>
    <row r="38" spans="1:50" s="360" customFormat="1" ht="20.25" customHeight="1" thickBot="1">
      <c r="A38" s="7212" t="s">
        <v>308</v>
      </c>
      <c r="B38" s="7211"/>
      <c r="C38" s="998" t="s">
        <v>769</v>
      </c>
      <c r="D38" s="999">
        <f>SUM(D34:D35,D29,D27,D25)</f>
        <v>18892.42963033828</v>
      </c>
      <c r="E38" s="1000">
        <f>SUM(E34:E35,E29,E27,E25)</f>
        <v>17089.1875299721</v>
      </c>
      <c r="F38" s="1001">
        <f>SUM(F34:F35,F29,F27,F25)</f>
        <v>14293.359570442495</v>
      </c>
      <c r="G38" s="2170">
        <f>SUM(G34:G35,G29,G27,G25)</f>
        <v>9867.2800000000007</v>
      </c>
      <c r="H38" s="2171">
        <f>SUM(H34:H35,H29,H27,H25)</f>
        <v>14378.689555316703</v>
      </c>
      <c r="I38" s="2171">
        <v>13576</v>
      </c>
      <c r="J38" s="2761"/>
      <c r="K38" s="2172"/>
      <c r="L38" s="1325"/>
      <c r="M38" s="2319">
        <f>AM38/10</f>
        <v>27975.62079754877</v>
      </c>
      <c r="N38" s="4348">
        <f>AA38</f>
        <v>-13764.490355299768</v>
      </c>
      <c r="O38" s="1337">
        <f>AB38</f>
        <v>13309.421845966652</v>
      </c>
      <c r="P38" s="5102">
        <f>AC38</f>
        <v>-2454.894200456125</v>
      </c>
      <c r="Q38" s="5102">
        <f t="shared" ref="Q38:Y38" si="12">AD38</f>
        <v>92846.905926051622</v>
      </c>
      <c r="R38" s="5102">
        <f t="shared" si="12"/>
        <v>523.87337842820489</v>
      </c>
      <c r="S38" s="5102">
        <f t="shared" si="12"/>
        <v>77655.401872931136</v>
      </c>
      <c r="T38" s="5102">
        <f t="shared" si="12"/>
        <v>130015.94249194587</v>
      </c>
      <c r="U38" s="5102">
        <f t="shared" si="12"/>
        <v>110022.54213349309</v>
      </c>
      <c r="V38" s="5102">
        <f t="shared" si="12"/>
        <v>115977.55049311201</v>
      </c>
      <c r="W38" s="6847">
        <f t="shared" si="12"/>
        <v>53332.245857338879</v>
      </c>
      <c r="X38" s="5349">
        <f t="shared" si="12"/>
        <v>302.77861426388887</v>
      </c>
      <c r="Y38" s="6669" t="e">
        <f t="shared" si="12"/>
        <v>#DIV/0!</v>
      </c>
      <c r="Z38" s="5102">
        <f>AN38</f>
        <v>577767.27805777546</v>
      </c>
      <c r="AA38" s="5131">
        <f t="shared" ref="AA38:AN38" si="13">SUM(AA6:AA9)+SUM(AA24:AA27)+SUM(AA34:AA35)</f>
        <v>-13764.490355299768</v>
      </c>
      <c r="AB38" s="1615">
        <f t="shared" si="13"/>
        <v>13309.421845966652</v>
      </c>
      <c r="AC38" s="1615">
        <f t="shared" si="13"/>
        <v>-2454.894200456125</v>
      </c>
      <c r="AD38" s="1615">
        <f t="shared" si="13"/>
        <v>92846.905926051622</v>
      </c>
      <c r="AE38" s="1615">
        <f t="shared" si="13"/>
        <v>523.87337842820489</v>
      </c>
      <c r="AF38" s="1615">
        <f t="shared" si="13"/>
        <v>77655.401872931136</v>
      </c>
      <c r="AG38" s="1615">
        <f t="shared" si="13"/>
        <v>130015.94249194587</v>
      </c>
      <c r="AH38" s="1615">
        <f t="shared" si="13"/>
        <v>110022.54213349309</v>
      </c>
      <c r="AI38" s="1615">
        <f t="shared" si="13"/>
        <v>115977.55049311201</v>
      </c>
      <c r="AJ38" s="1615">
        <f t="shared" si="13"/>
        <v>53332.245857338879</v>
      </c>
      <c r="AK38" s="1615">
        <f t="shared" si="13"/>
        <v>302.77861426388887</v>
      </c>
      <c r="AL38" s="1615" t="e">
        <f t="shared" si="13"/>
        <v>#DIV/0!</v>
      </c>
      <c r="AM38" s="1615">
        <f t="shared" si="13"/>
        <v>279756.20797548769</v>
      </c>
      <c r="AN38" s="1615">
        <f t="shared" si="13"/>
        <v>577767.27805777546</v>
      </c>
      <c r="AO38" s="1316">
        <f>AN38/AM38</f>
        <v>2.0652527507393135</v>
      </c>
      <c r="AP38" s="1317"/>
      <c r="AQ38" s="346"/>
      <c r="AR38" s="1729"/>
      <c r="AS38" s="1729"/>
      <c r="AT38" s="1729"/>
      <c r="AU38" s="1731"/>
      <c r="AV38" s="1731"/>
      <c r="AW38" s="1731"/>
      <c r="AX38" s="1731"/>
    </row>
    <row r="39" spans="1:50">
      <c r="AM39" s="355"/>
      <c r="AO39" s="355"/>
      <c r="AQ39" s="346"/>
      <c r="AR39" s="799"/>
      <c r="AS39" s="1705"/>
      <c r="AT39" s="1705"/>
      <c r="AU39" s="1705"/>
      <c r="AV39" s="1705"/>
      <c r="AW39" s="1705"/>
      <c r="AX39" s="1705"/>
    </row>
    <row r="40" spans="1:50" ht="21" customHeight="1"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11"/>
      <c r="AL40" s="1711"/>
      <c r="AM40" s="1711"/>
      <c r="AN40" s="798"/>
      <c r="AO40" s="1711"/>
      <c r="AP40" s="1711"/>
      <c r="AQ40" s="1711"/>
      <c r="AR40" s="1711"/>
      <c r="AS40" s="1711"/>
      <c r="AT40" s="1711"/>
      <c r="AU40" s="1711"/>
      <c r="AV40" s="1711"/>
      <c r="AW40" s="1711"/>
    </row>
    <row r="41" spans="1:50" ht="21" customHeight="1">
      <c r="Z41" s="1711"/>
      <c r="AA41" s="1711"/>
      <c r="AB41" s="1711"/>
      <c r="AC41" s="1711"/>
      <c r="AD41" s="1711"/>
      <c r="AE41" s="1711"/>
      <c r="AF41" s="1711"/>
      <c r="AG41" s="1711"/>
      <c r="AH41" s="1711"/>
      <c r="AI41" s="1711"/>
      <c r="AJ41" s="1711"/>
      <c r="AK41" s="1711"/>
      <c r="AL41" s="1711"/>
      <c r="AM41" s="1711"/>
      <c r="AN41" s="798"/>
      <c r="AO41" s="1711"/>
      <c r="AP41" s="1711"/>
      <c r="AQ41" s="1711"/>
      <c r="AR41" s="1711"/>
      <c r="AS41" s="1711"/>
      <c r="AT41" s="1711"/>
      <c r="AU41" s="1711"/>
      <c r="AV41" s="1711"/>
      <c r="AW41" s="1711"/>
    </row>
    <row r="42" spans="1:50" ht="21" customHeight="1"/>
    <row r="43" spans="1:50" ht="21" customHeight="1"/>
    <row r="44" spans="1:50" ht="21" customHeight="1"/>
    <row r="45" spans="1:50" ht="21" customHeight="1"/>
    <row r="46" spans="1:50" ht="21" customHeight="1"/>
    <row r="47" spans="1:50" ht="21" customHeight="1"/>
    <row r="48" spans="1:50" ht="21" customHeight="1"/>
    <row r="49" spans="40:40" ht="21" customHeight="1">
      <c r="AN49" s="354"/>
    </row>
    <row r="50" spans="40:40" ht="21" customHeight="1">
      <c r="AN50" s="354"/>
    </row>
    <row r="51" spans="40:40" ht="21" customHeight="1">
      <c r="AN51" s="354"/>
    </row>
    <row r="52" spans="40:40" ht="21" customHeight="1">
      <c r="AN52" s="354"/>
    </row>
    <row r="53" spans="40:40" ht="21" customHeight="1">
      <c r="AN53" s="354"/>
    </row>
    <row r="54" spans="40:40" ht="21" customHeight="1">
      <c r="AN54" s="354"/>
    </row>
    <row r="55" spans="40:40" ht="21" customHeight="1">
      <c r="AN55" s="354"/>
    </row>
    <row r="56" spans="40:40" ht="21" customHeight="1">
      <c r="AN56" s="354"/>
    </row>
    <row r="57" spans="40:40" ht="21" customHeight="1">
      <c r="AN57" s="354"/>
    </row>
    <row r="58" spans="40:40" ht="21" customHeight="1">
      <c r="AN58" s="354"/>
    </row>
    <row r="59" spans="40:40" ht="21" customHeight="1">
      <c r="AN59" s="354"/>
    </row>
    <row r="60" spans="40:40" ht="21" customHeight="1">
      <c r="AN60" s="354"/>
    </row>
    <row r="61" spans="40:40" ht="21" customHeight="1">
      <c r="AN61" s="354"/>
    </row>
    <row r="62" spans="40:40" ht="21" customHeight="1">
      <c r="AN62" s="354"/>
    </row>
    <row r="63" spans="40:40" ht="21" customHeight="1">
      <c r="AN63" s="354"/>
    </row>
    <row r="64" spans="40:40" ht="21" customHeight="1">
      <c r="AN64" s="354"/>
    </row>
    <row r="65" spans="40:40" ht="21" customHeight="1">
      <c r="AN65" s="354"/>
    </row>
    <row r="66" spans="40:40" ht="21" customHeight="1">
      <c r="AN66" s="354"/>
    </row>
    <row r="67" spans="40:40" ht="21" customHeight="1">
      <c r="AN67" s="354"/>
    </row>
    <row r="68" spans="40:40" ht="21" customHeight="1">
      <c r="AN68" s="354"/>
    </row>
    <row r="69" spans="40:40" ht="21" customHeight="1">
      <c r="AN69" s="354"/>
    </row>
    <row r="70" spans="40:40" ht="21" customHeight="1">
      <c r="AN70" s="354"/>
    </row>
    <row r="71" spans="40:40" ht="21" customHeight="1">
      <c r="AN71" s="354"/>
    </row>
    <row r="72" spans="40:40" ht="21" customHeight="1">
      <c r="AN72" s="354"/>
    </row>
    <row r="73" spans="40:40" ht="21" customHeight="1">
      <c r="AN73" s="354"/>
    </row>
    <row r="74" spans="40:40" ht="21" customHeight="1">
      <c r="AN74" s="354"/>
    </row>
    <row r="75" spans="40:40" ht="21" customHeight="1">
      <c r="AN75" s="354"/>
    </row>
    <row r="76" spans="40:40" ht="21" customHeight="1">
      <c r="AN76" s="354"/>
    </row>
    <row r="77" spans="40:40" ht="21" customHeight="1">
      <c r="AN77" s="354"/>
    </row>
    <row r="78" spans="40:40" ht="21" customHeight="1">
      <c r="AN78" s="354"/>
    </row>
    <row r="79" spans="40:40" ht="21" customHeight="1">
      <c r="AN79" s="354"/>
    </row>
    <row r="80" spans="40:40" ht="21" customHeight="1">
      <c r="AN80" s="354"/>
    </row>
    <row r="81" spans="40:40" ht="21" customHeight="1">
      <c r="AN81" s="354"/>
    </row>
    <row r="82" spans="40:40" ht="21" customHeight="1">
      <c r="AN82" s="354"/>
    </row>
    <row r="83" spans="40:40" ht="21" customHeight="1">
      <c r="AN83" s="354"/>
    </row>
    <row r="84" spans="40:40" ht="21" customHeight="1">
      <c r="AN84" s="354"/>
    </row>
    <row r="85" spans="40:40" ht="21" customHeight="1">
      <c r="AN85" s="354"/>
    </row>
    <row r="86" spans="40:40" ht="21" customHeight="1">
      <c r="AN86" s="354"/>
    </row>
    <row r="87" spans="40:40" ht="21" customHeight="1">
      <c r="AN87" s="354"/>
    </row>
    <row r="88" spans="40:40" ht="21" customHeight="1">
      <c r="AN88" s="354"/>
    </row>
    <row r="89" spans="40:40" ht="21" customHeight="1">
      <c r="AN89" s="354"/>
    </row>
    <row r="90" spans="40:40" ht="21" customHeight="1">
      <c r="AN90" s="354"/>
    </row>
    <row r="91" spans="40:40" ht="21" customHeight="1">
      <c r="AN91" s="354"/>
    </row>
    <row r="92" spans="40:40" ht="21" customHeight="1">
      <c r="AN92" s="354"/>
    </row>
    <row r="93" spans="40:40" ht="21" customHeight="1">
      <c r="AN93" s="354"/>
    </row>
    <row r="94" spans="40:40" ht="21" customHeight="1">
      <c r="AN94" s="354"/>
    </row>
    <row r="95" spans="40:40" ht="21" customHeight="1">
      <c r="AN95" s="354"/>
    </row>
    <row r="96" spans="40:40" ht="21" customHeight="1">
      <c r="AN96" s="354"/>
    </row>
    <row r="97" spans="40:40" ht="21" customHeight="1">
      <c r="AN97" s="354"/>
    </row>
    <row r="98" spans="40:40" ht="21" customHeight="1">
      <c r="AN98" s="354"/>
    </row>
    <row r="99" spans="40:40" ht="21" customHeight="1">
      <c r="AN99" s="354"/>
    </row>
    <row r="100" spans="40:40" ht="21" customHeight="1">
      <c r="AN100" s="354"/>
    </row>
    <row r="101" spans="40:40" ht="21" customHeight="1">
      <c r="AN101" s="354"/>
    </row>
    <row r="102" spans="40:40" ht="21" customHeight="1">
      <c r="AN102" s="354"/>
    </row>
    <row r="103" spans="40:40" ht="21" customHeight="1">
      <c r="AN103" s="354"/>
    </row>
    <row r="104" spans="40:40" ht="21" customHeight="1">
      <c r="AN104" s="354"/>
    </row>
    <row r="105" spans="40:40" ht="21" customHeight="1">
      <c r="AN105" s="354"/>
    </row>
    <row r="106" spans="40:40" ht="21" customHeight="1">
      <c r="AN106" s="354"/>
    </row>
    <row r="107" spans="40:40" ht="21" customHeight="1">
      <c r="AN107" s="354"/>
    </row>
    <row r="108" spans="40:40" ht="21" customHeight="1">
      <c r="AN108" s="354"/>
    </row>
    <row r="109" spans="40:40" ht="21" customHeight="1">
      <c r="AN109" s="354"/>
    </row>
    <row r="110" spans="40:40" ht="21" customHeight="1">
      <c r="AN110" s="354"/>
    </row>
    <row r="111" spans="40:40" ht="21" customHeight="1">
      <c r="AN111" s="354"/>
    </row>
    <row r="112" spans="40:40" ht="21" customHeight="1">
      <c r="AN112" s="354"/>
    </row>
    <row r="113" spans="40:40" ht="21" customHeight="1">
      <c r="AN113" s="354"/>
    </row>
    <row r="114" spans="40:40" ht="21" customHeight="1">
      <c r="AN114" s="354"/>
    </row>
    <row r="115" spans="40:40" ht="21" customHeight="1">
      <c r="AN115" s="354"/>
    </row>
    <row r="116" spans="40:40" ht="21" customHeight="1">
      <c r="AN116" s="354"/>
    </row>
    <row r="117" spans="40:40" ht="21" customHeight="1">
      <c r="AN117" s="354"/>
    </row>
    <row r="118" spans="40:40" ht="21" customHeight="1">
      <c r="AN118" s="354"/>
    </row>
    <row r="119" spans="40:40" ht="21" customHeight="1">
      <c r="AN119" s="354"/>
    </row>
    <row r="120" spans="40:40" ht="21" customHeight="1">
      <c r="AN120" s="354"/>
    </row>
    <row r="121" spans="40:40" ht="21" customHeight="1">
      <c r="AN121" s="354"/>
    </row>
    <row r="122" spans="40:40" ht="21" customHeight="1">
      <c r="AN122" s="354"/>
    </row>
    <row r="123" spans="40:40" ht="21" customHeight="1">
      <c r="AN123" s="354"/>
    </row>
    <row r="124" spans="40:40" ht="21" customHeight="1">
      <c r="AN124" s="354"/>
    </row>
    <row r="125" spans="40:40" ht="21" customHeight="1">
      <c r="AN125" s="354"/>
    </row>
    <row r="126" spans="40:40" ht="21" customHeight="1">
      <c r="AN126" s="354"/>
    </row>
    <row r="127" spans="40:40" ht="21" customHeight="1">
      <c r="AN127" s="354"/>
    </row>
    <row r="128" spans="40:40" ht="21" customHeight="1">
      <c r="AN128" s="354"/>
    </row>
    <row r="129" spans="40:40" ht="21" customHeight="1">
      <c r="AN129" s="354"/>
    </row>
    <row r="130" spans="40:40" ht="21" customHeight="1">
      <c r="AN130" s="354"/>
    </row>
    <row r="131" spans="40:40" ht="21" customHeight="1">
      <c r="AN131" s="354"/>
    </row>
    <row r="132" spans="40:40" ht="21" customHeight="1">
      <c r="AN132" s="354"/>
    </row>
    <row r="133" spans="40:40" ht="21" customHeight="1">
      <c r="AN133" s="354"/>
    </row>
  </sheetData>
  <mergeCells count="60">
    <mergeCell ref="A5:A8"/>
    <mergeCell ref="A24:A27"/>
    <mergeCell ref="B24:B25"/>
    <mergeCell ref="B26:B27"/>
    <mergeCell ref="AM26:AM27"/>
    <mergeCell ref="AB26:AB27"/>
    <mergeCell ref="AC26:AC27"/>
    <mergeCell ref="AJ24:AJ25"/>
    <mergeCell ref="A18:A23"/>
    <mergeCell ref="B18:B19"/>
    <mergeCell ref="B20:B21"/>
    <mergeCell ref="B22:B23"/>
    <mergeCell ref="AL24:AL25"/>
    <mergeCell ref="A9:A10"/>
    <mergeCell ref="AK24:AK25"/>
    <mergeCell ref="AI24:AI25"/>
    <mergeCell ref="AP26:AP27"/>
    <mergeCell ref="AG26:AG27"/>
    <mergeCell ref="AH24:AH25"/>
    <mergeCell ref="AO24:AO25"/>
    <mergeCell ref="AN24:AN25"/>
    <mergeCell ref="AM24:AM25"/>
    <mergeCell ref="A38:B38"/>
    <mergeCell ref="AO3:AO4"/>
    <mergeCell ref="AO26:AO27"/>
    <mergeCell ref="AM3:AM4"/>
    <mergeCell ref="D3:K3"/>
    <mergeCell ref="AN26:AN27"/>
    <mergeCell ref="AD26:AD27"/>
    <mergeCell ref="AE26:AE27"/>
    <mergeCell ref="AH26:AH27"/>
    <mergeCell ref="AA26:AA27"/>
    <mergeCell ref="AB24:AB25"/>
    <mergeCell ref="AA24:AA25"/>
    <mergeCell ref="AD24:AD25"/>
    <mergeCell ref="AC24:AC25"/>
    <mergeCell ref="A11:A17"/>
    <mergeCell ref="A36:A37"/>
    <mergeCell ref="AP31:AP33"/>
    <mergeCell ref="AP28:AP29"/>
    <mergeCell ref="AP24:AP25"/>
    <mergeCell ref="L3:M3"/>
    <mergeCell ref="A1:AP1"/>
    <mergeCell ref="AI26:AI27"/>
    <mergeCell ref="AJ26:AJ27"/>
    <mergeCell ref="L2:AP2"/>
    <mergeCell ref="A3:A4"/>
    <mergeCell ref="B3:B4"/>
    <mergeCell ref="C3:C4"/>
    <mergeCell ref="AP3:AP4"/>
    <mergeCell ref="AN3:AN4"/>
    <mergeCell ref="N3:AL3"/>
    <mergeCell ref="AK26:AK27"/>
    <mergeCell ref="AL26:AL27"/>
    <mergeCell ref="A28:A34"/>
    <mergeCell ref="B28:B29"/>
    <mergeCell ref="AG24:AG25"/>
    <mergeCell ref="AF24:AF25"/>
    <mergeCell ref="AE24:AE25"/>
    <mergeCell ref="AF26:AF27"/>
  </mergeCells>
  <phoneticPr fontId="22" type="noConversion"/>
  <pageMargins left="0.31496062992125984" right="0" top="0.55118110236220474" bottom="0" header="0.31496062992125984" footer="0.31496062992125984"/>
  <pageSetup paperSize="9" scale="6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80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Z28" sqref="Z28"/>
    </sheetView>
  </sheetViews>
  <sheetFormatPr defaultColWidth="8.8984375" defaultRowHeight="17.399999999999999"/>
  <cols>
    <col min="1" max="1" width="8.8984375" style="313" customWidth="1"/>
    <col min="2" max="2" width="13.09765625" style="313" customWidth="1"/>
    <col min="3" max="3" width="8.69921875" style="313" bestFit="1" customWidth="1"/>
    <col min="4" max="4" width="8.69921875" style="750" hidden="1" customWidth="1"/>
    <col min="5" max="5" width="8.69921875" style="313" hidden="1" customWidth="1"/>
    <col min="6" max="6" width="7.69921875" style="313" hidden="1" customWidth="1"/>
    <col min="7" max="7" width="8.796875" style="313" hidden="1" customWidth="1"/>
    <col min="8" max="8" width="8.69921875" style="313" hidden="1" customWidth="1"/>
    <col min="9" max="9" width="8.69921875" style="313" customWidth="1"/>
    <col min="10" max="10" width="8.59765625" style="2736" customWidth="1"/>
    <col min="11" max="11" width="8.69921875" style="1533" customWidth="1"/>
    <col min="12" max="12" width="9.3984375" style="313" customWidth="1"/>
    <col min="13" max="13" width="9.296875" style="862" customWidth="1"/>
    <col min="14" max="19" width="8.69921875" style="354" customWidth="1"/>
    <col min="20" max="22" width="8.8984375" style="354" customWidth="1"/>
    <col min="23" max="23" width="8.796875" style="354" customWidth="1"/>
    <col min="24" max="26" width="9.796875" style="354" customWidth="1"/>
    <col min="27" max="27" width="8.796875" style="853" customWidth="1"/>
    <col min="28" max="30" width="8.796875" style="354" customWidth="1"/>
    <col min="31" max="31" width="8.8984375" style="354" customWidth="1"/>
    <col min="32" max="32" width="10.5" style="354" customWidth="1"/>
    <col min="33" max="35" width="8.796875" style="354" customWidth="1"/>
    <col min="36" max="36" width="10.5" style="354" customWidth="1"/>
    <col min="37" max="37" width="8.796875" style="354" customWidth="1"/>
    <col min="38" max="38" width="8.796875" style="354" hidden="1" customWidth="1"/>
    <col min="39" max="39" width="10.296875" style="313" customWidth="1"/>
    <col min="40" max="40" width="10.3984375" style="313" customWidth="1"/>
    <col min="41" max="41" width="7.296875" style="354" bestFit="1" customWidth="1"/>
    <col min="42" max="42" width="14" style="313" bestFit="1" customWidth="1"/>
    <col min="43" max="43" width="13.09765625" style="314" bestFit="1" customWidth="1"/>
    <col min="44" max="44" width="14" style="314" bestFit="1" customWidth="1"/>
    <col min="45" max="46" width="11.796875" style="314" bestFit="1" customWidth="1"/>
    <col min="47" max="47" width="14" style="314" bestFit="1" customWidth="1"/>
    <col min="48" max="16384" width="8.8984375" style="314"/>
  </cols>
  <sheetData>
    <row r="1" spans="1:43" ht="30">
      <c r="A1" s="7401" t="s">
        <v>1344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3" ht="18" thickBot="1">
      <c r="N2" s="361"/>
      <c r="O2" s="361"/>
      <c r="P2" s="361"/>
      <c r="Q2" s="361"/>
      <c r="R2" s="362"/>
      <c r="S2" s="361"/>
      <c r="T2" s="361"/>
      <c r="U2" s="361"/>
      <c r="V2" s="361"/>
      <c r="W2" s="361"/>
      <c r="X2" s="361"/>
      <c r="Y2" s="361"/>
      <c r="Z2" s="361"/>
      <c r="AA2" s="852"/>
      <c r="AB2" s="361"/>
      <c r="AC2" s="361"/>
      <c r="AD2" s="361"/>
      <c r="AE2" s="361"/>
      <c r="AF2" s="361"/>
      <c r="AG2" s="361"/>
      <c r="AH2" s="361"/>
      <c r="AI2" s="361"/>
      <c r="AJ2" s="361"/>
      <c r="AK2" s="361"/>
      <c r="AL2" s="361"/>
      <c r="AM2" s="361"/>
      <c r="AN2" s="361"/>
      <c r="AO2" s="361"/>
      <c r="AP2" s="510" t="s">
        <v>402</v>
      </c>
    </row>
    <row r="3" spans="1:43" ht="15.75" customHeight="1" thickBot="1">
      <c r="A3" s="7132" t="s">
        <v>282</v>
      </c>
      <c r="B3" s="7223" t="s">
        <v>283</v>
      </c>
      <c r="C3" s="7225" t="s">
        <v>284</v>
      </c>
      <c r="D3" s="7400" t="s">
        <v>285</v>
      </c>
      <c r="E3" s="7377"/>
      <c r="F3" s="7377"/>
      <c r="G3" s="7377"/>
      <c r="H3" s="7377"/>
      <c r="I3" s="7377"/>
      <c r="J3" s="7377"/>
      <c r="K3" s="7427"/>
      <c r="L3" s="7341" t="s">
        <v>286</v>
      </c>
      <c r="M3" s="7419"/>
      <c r="N3" s="7341" t="s">
        <v>1338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1336</v>
      </c>
      <c r="AN3" s="7332" t="s">
        <v>462</v>
      </c>
      <c r="AO3" s="7332" t="s">
        <v>365</v>
      </c>
      <c r="AP3" s="7223" t="s">
        <v>287</v>
      </c>
    </row>
    <row r="4" spans="1:43" ht="15.75" customHeight="1">
      <c r="A4" s="7420"/>
      <c r="B4" s="7421"/>
      <c r="C4" s="7422"/>
      <c r="D4" s="1037" t="s">
        <v>256</v>
      </c>
      <c r="E4" s="903" t="s">
        <v>257</v>
      </c>
      <c r="F4" s="903" t="s">
        <v>194</v>
      </c>
      <c r="G4" s="903" t="s">
        <v>258</v>
      </c>
      <c r="H4" s="903" t="s">
        <v>556</v>
      </c>
      <c r="I4" s="1038" t="s">
        <v>716</v>
      </c>
      <c r="J4" s="1038" t="s">
        <v>718</v>
      </c>
      <c r="K4" s="3132" t="s">
        <v>999</v>
      </c>
      <c r="L4" s="3130" t="s">
        <v>1272</v>
      </c>
      <c r="M4" s="3131" t="s">
        <v>823</v>
      </c>
      <c r="N4" s="4160" t="s">
        <v>370</v>
      </c>
      <c r="O4" s="3588" t="s">
        <v>372</v>
      </c>
      <c r="P4" s="3588" t="s">
        <v>373</v>
      </c>
      <c r="Q4" s="3588" t="s">
        <v>374</v>
      </c>
      <c r="R4" s="3588" t="s">
        <v>375</v>
      </c>
      <c r="S4" s="3588" t="s">
        <v>376</v>
      </c>
      <c r="T4" s="3588" t="s">
        <v>950</v>
      </c>
      <c r="U4" s="3588" t="s">
        <v>378</v>
      </c>
      <c r="V4" s="3588" t="s">
        <v>379</v>
      </c>
      <c r="W4" s="5461" t="s">
        <v>380</v>
      </c>
      <c r="X4" s="5304" t="s">
        <v>381</v>
      </c>
      <c r="Y4" s="6626" t="s">
        <v>382</v>
      </c>
      <c r="Z4" s="1290" t="s">
        <v>1003</v>
      </c>
      <c r="AA4" s="5132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904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43"/>
      <c r="AN4" s="7406"/>
      <c r="AO4" s="7406"/>
      <c r="AP4" s="7444"/>
    </row>
    <row r="5" spans="1:43" s="354" customFormat="1" ht="15.75" customHeight="1">
      <c r="A5" s="7441" t="s">
        <v>288</v>
      </c>
      <c r="B5" s="1049" t="s">
        <v>289</v>
      </c>
      <c r="C5" s="911" t="s">
        <v>309</v>
      </c>
      <c r="D5" s="838">
        <v>280607.90000000002</v>
      </c>
      <c r="E5" s="652">
        <v>313095</v>
      </c>
      <c r="F5" s="790">
        <v>291017.58</v>
      </c>
      <c r="G5" s="790">
        <v>286570.19</v>
      </c>
      <c r="H5" s="514">
        <v>311777</v>
      </c>
      <c r="I5" s="1039">
        <v>313507</v>
      </c>
      <c r="J5" s="2186">
        <v>309398.58</v>
      </c>
      <c r="K5" s="2186">
        <f>년간!C10</f>
        <v>291974.88</v>
      </c>
      <c r="L5" s="3133">
        <f>년간!D10</f>
        <v>273530</v>
      </c>
      <c r="M5" s="2794">
        <f>L5/10</f>
        <v>27353</v>
      </c>
      <c r="N5" s="4161">
        <f>년간!F10</f>
        <v>24738.14</v>
      </c>
      <c r="O5" s="3616">
        <f>년간!G10</f>
        <v>24620.850000000002</v>
      </c>
      <c r="P5" s="3616">
        <f>년간!H10</f>
        <v>26927.78</v>
      </c>
      <c r="Q5" s="3616">
        <f>년간!I10</f>
        <v>24694.04</v>
      </c>
      <c r="R5" s="3616">
        <f>년간!J10</f>
        <v>22811.49</v>
      </c>
      <c r="S5" s="3616">
        <f>년간!K10</f>
        <v>24990.170000000002</v>
      </c>
      <c r="T5" s="3616">
        <f>년간!L10</f>
        <v>30848.92</v>
      </c>
      <c r="U5" s="3616">
        <f>년간!M10</f>
        <v>27730.79</v>
      </c>
      <c r="V5" s="3616">
        <f>년간!N10</f>
        <v>29266.38</v>
      </c>
      <c r="W5" s="5505">
        <f>년간!O10</f>
        <v>27208.309999999998</v>
      </c>
      <c r="X5" s="5350">
        <f>년간!P10</f>
        <v>1333.4739999999999</v>
      </c>
      <c r="Y5" s="5968">
        <f>년간!Q10</f>
        <v>0</v>
      </c>
      <c r="Z5" s="3616">
        <f>SUM(N5:Y5)</f>
        <v>265170.34399999998</v>
      </c>
      <c r="AA5" s="5133"/>
      <c r="AB5" s="4151"/>
      <c r="AC5" s="4151"/>
      <c r="AD5" s="4151"/>
      <c r="AE5" s="4151"/>
      <c r="AF5" s="4151"/>
      <c r="AG5" s="4151"/>
      <c r="AH5" s="4151"/>
      <c r="AI5" s="4151"/>
      <c r="AJ5" s="6868"/>
      <c r="AK5" s="4151"/>
      <c r="AL5" s="4151"/>
      <c r="AM5" s="4151"/>
      <c r="AN5" s="4151"/>
      <c r="AO5" s="4163"/>
      <c r="AP5" s="4164"/>
      <c r="AQ5" s="314"/>
    </row>
    <row r="6" spans="1:43" s="354" customFormat="1" ht="15.75" customHeight="1">
      <c r="A6" s="7441"/>
      <c r="B6" s="1049" t="s">
        <v>291</v>
      </c>
      <c r="C6" s="911" t="s">
        <v>310</v>
      </c>
      <c r="D6" s="839">
        <v>36.635276454076639</v>
      </c>
      <c r="E6" s="650">
        <v>40.28819407956113</v>
      </c>
      <c r="F6" s="840">
        <v>40.952245905022799</v>
      </c>
      <c r="G6" s="840">
        <v>39.301413955784739</v>
      </c>
      <c r="H6" s="520">
        <v>39.166384432747506</v>
      </c>
      <c r="I6" s="1040">
        <v>39.29</v>
      </c>
      <c r="J6" s="2187">
        <v>39.056847287531163</v>
      </c>
      <c r="K6" s="2187">
        <f>년간!C119</f>
        <v>39.078220717254119</v>
      </c>
      <c r="L6" s="3134">
        <f>년간!D119</f>
        <v>40.049999999999997</v>
      </c>
      <c r="M6" s="3135">
        <f>L6</f>
        <v>40.049999999999997</v>
      </c>
      <c r="N6" s="4165">
        <f>년간!F119</f>
        <v>39.686855614973261</v>
      </c>
      <c r="O6" s="3617">
        <f>년간!G119</f>
        <v>38.205425955619923</v>
      </c>
      <c r="P6" s="3617">
        <f>년간!H119</f>
        <v>37.873108298171587</v>
      </c>
      <c r="Q6" s="3617">
        <f>년간!I119</f>
        <v>41.862582996637755</v>
      </c>
      <c r="R6" s="3617">
        <f>년간!J119</f>
        <v>37.883401145893878</v>
      </c>
      <c r="S6" s="3617">
        <f>년간!K119</f>
        <v>40.279656145063804</v>
      </c>
      <c r="T6" s="3617">
        <f>년간!L119</f>
        <v>41.477539495798318</v>
      </c>
      <c r="U6" s="3617">
        <f>년간!M119</f>
        <v>39.763105821623178</v>
      </c>
      <c r="V6" s="3617">
        <f>년간!N119</f>
        <v>42.75064637857578</v>
      </c>
      <c r="W6" s="5506">
        <f>년간!O119</f>
        <v>36.644188552188552</v>
      </c>
      <c r="X6" s="5351">
        <f>년간!P119</f>
        <v>26.318565789473681</v>
      </c>
      <c r="Y6" s="5969" t="e">
        <f>년간!Q119</f>
        <v>#DIV/0!</v>
      </c>
      <c r="Z6" s="1878">
        <f>년간!V119</f>
        <v>39.517993080100446</v>
      </c>
      <c r="AA6" s="5134">
        <f>년간!F143/1000</f>
        <v>21281.669327090629</v>
      </c>
      <c r="AB6" s="4702">
        <f>년간!G143/1000</f>
        <v>-31551.398662418716</v>
      </c>
      <c r="AC6" s="4702">
        <f>년간!H143/1000</f>
        <v>-48064.63532955393</v>
      </c>
      <c r="AD6" s="4702">
        <f>년간!I143/1000</f>
        <v>92134.091163219535</v>
      </c>
      <c r="AE6" s="4702">
        <f>년간!J143/1000</f>
        <v>-40358.545618048076</v>
      </c>
      <c r="AF6" s="4702">
        <f>년간!K143/1000</f>
        <v>41813.101160840364</v>
      </c>
      <c r="AG6" s="4702">
        <f>년간!L143/1000</f>
        <v>100102.15352971235</v>
      </c>
      <c r="AH6" s="4702">
        <f>년간!M143/1000</f>
        <v>26793.420049444991</v>
      </c>
      <c r="AI6" s="4702">
        <f>년간!N143/1000</f>
        <v>141028.804364271</v>
      </c>
      <c r="AJ6" s="4825">
        <f>년간!O143/1000</f>
        <v>-101379.76026027549</v>
      </c>
      <c r="AK6" s="2341">
        <f>년간!P143/1000</f>
        <v>-36265.172834318044</v>
      </c>
      <c r="AL6" s="4702" t="e">
        <f>년간!Q143/1000</f>
        <v>#DIV/0!</v>
      </c>
      <c r="AM6" s="4702">
        <f>년간!D143/1000</f>
        <v>372059.74393755232</v>
      </c>
      <c r="AN6" s="4702">
        <f>AA6+AB6+AC6+AD6+AE6+AF6+AG6+AH6+AI6+AJ6+AK6</f>
        <v>165533.72688996457</v>
      </c>
      <c r="AO6" s="4166">
        <f>AN6/AM6</f>
        <v>0.44491168310256179</v>
      </c>
      <c r="AP6" s="3753" t="s">
        <v>1537</v>
      </c>
      <c r="AQ6" s="314"/>
    </row>
    <row r="7" spans="1:43" s="354" customFormat="1" ht="15.75" customHeight="1" thickBot="1">
      <c r="A7" s="7442"/>
      <c r="B7" s="1050" t="s">
        <v>293</v>
      </c>
      <c r="C7" s="936" t="s">
        <v>294</v>
      </c>
      <c r="D7" s="1051">
        <v>97.667805773742728</v>
      </c>
      <c r="E7" s="937">
        <v>97.812305962509853</v>
      </c>
      <c r="F7" s="1052">
        <v>97.369683073985954</v>
      </c>
      <c r="G7" s="1052">
        <v>97.201892954742391</v>
      </c>
      <c r="H7" s="1053">
        <v>98.032043940345559</v>
      </c>
      <c r="I7" s="1053">
        <v>98.81</v>
      </c>
      <c r="J7" s="1621">
        <v>98.842928115557456</v>
      </c>
      <c r="K7" s="1621">
        <f>년간!C113*100</f>
        <v>98.320217917675549</v>
      </c>
      <c r="L7" s="1683">
        <f>년간!D113*100</f>
        <v>99.4</v>
      </c>
      <c r="M7" s="1543">
        <f>L7</f>
        <v>99.4</v>
      </c>
      <c r="N7" s="4167">
        <f>년간!F113*100</f>
        <v>100</v>
      </c>
      <c r="O7" s="3484">
        <f>년간!G113*100</f>
        <v>99.447030683367203</v>
      </c>
      <c r="P7" s="3484">
        <f>년간!H113*100</f>
        <v>99.859550561797747</v>
      </c>
      <c r="Q7" s="3484">
        <f>년간!I113*100</f>
        <v>100</v>
      </c>
      <c r="R7" s="3484">
        <f>년간!J113*100</f>
        <v>99.062268651805539</v>
      </c>
      <c r="S7" s="3484">
        <f>년간!K113*100</f>
        <v>99.425747863247864</v>
      </c>
      <c r="T7" s="3484">
        <f>년간!L113*100</f>
        <v>99.966397849462368</v>
      </c>
      <c r="U7" s="3484">
        <f>년간!M113*100</f>
        <v>98.151623193844998</v>
      </c>
      <c r="V7" s="3484">
        <f>년간!N113*100</f>
        <v>99.973226889938189</v>
      </c>
      <c r="W7" s="5470">
        <f>년간!O113*100</f>
        <v>99.798387096774192</v>
      </c>
      <c r="X7" s="5313">
        <f>년간!P113*100</f>
        <v>100</v>
      </c>
      <c r="Y7" s="6635" t="e">
        <f>년간!Q113*100</f>
        <v>#DIV/0!</v>
      </c>
      <c r="Z7" s="2337">
        <f>년간!V113*100</f>
        <v>99.570661542304435</v>
      </c>
      <c r="AA7" s="5135">
        <f>년간!F142/1000</f>
        <v>22952.847259645052</v>
      </c>
      <c r="AB7" s="4703">
        <f>년간!G142/1000</f>
        <v>15918.165843019324</v>
      </c>
      <c r="AC7" s="4703">
        <f>년간!H142/1000</f>
        <v>23991.939108845952</v>
      </c>
      <c r="AD7" s="4703">
        <f>년간!I142/1000</f>
        <v>21721.126285043243</v>
      </c>
      <c r="AE7" s="4703">
        <f>년간!J142/1000</f>
        <v>9794.9350410321385</v>
      </c>
      <c r="AF7" s="4703">
        <f>년간!K142/1000</f>
        <v>15035.477921816344</v>
      </c>
      <c r="AG7" s="4703">
        <f>년간!L142/1000</f>
        <v>26839.075505194571</v>
      </c>
      <c r="AH7" s="4703">
        <f>년간!M142/1000</f>
        <v>-2577.4437300636068</v>
      </c>
      <c r="AI7" s="4703">
        <f>년간!N142/1000</f>
        <v>24806.460580074207</v>
      </c>
      <c r="AJ7" s="4703">
        <f>년간!O142/1000</f>
        <v>24059.348948145212</v>
      </c>
      <c r="AK7" s="4703">
        <f>년간!P142/1000</f>
        <v>1865.6859804631274</v>
      </c>
      <c r="AL7" s="4703" t="e">
        <f>년간!Q142/1000</f>
        <v>#DIV/0!</v>
      </c>
      <c r="AM7" s="4703">
        <f>년간!D142/1000</f>
        <v>162528.51241891523</v>
      </c>
      <c r="AN7" s="3234">
        <f>AA7+AB7+AC7+AD7+AE7+AF7+AG7+AH7+AI7+AJ7+AK7</f>
        <v>184407.61874321554</v>
      </c>
      <c r="AO7" s="4168">
        <f>AN7/AM7</f>
        <v>1.1346170342586241</v>
      </c>
      <c r="AP7" s="3753" t="s">
        <v>1537</v>
      </c>
      <c r="AQ7" s="314"/>
    </row>
    <row r="8" spans="1:43" s="354" customFormat="1" ht="15.75" customHeight="1">
      <c r="A8" s="7445" t="s">
        <v>296</v>
      </c>
      <c r="B8" s="1070" t="s">
        <v>536</v>
      </c>
      <c r="C8" s="926" t="s">
        <v>294</v>
      </c>
      <c r="D8" s="1071">
        <v>99.254476328030421</v>
      </c>
      <c r="E8" s="1072">
        <v>98.904868508912699</v>
      </c>
      <c r="F8" s="1073">
        <v>98.54878099892494</v>
      </c>
      <c r="G8" s="1073">
        <v>98.709193043687762</v>
      </c>
      <c r="H8" s="1074">
        <v>99.068155973510756</v>
      </c>
      <c r="I8" s="1074">
        <v>99.83</v>
      </c>
      <c r="J8" s="1074">
        <v>100.18118732416113</v>
      </c>
      <c r="K8" s="1074">
        <f>년간!C89*100</f>
        <v>100.18258233928049</v>
      </c>
      <c r="L8" s="930">
        <f>년간!D89*100</f>
        <v>100.35000000000001</v>
      </c>
      <c r="M8" s="1544">
        <f>L8</f>
        <v>100.35000000000001</v>
      </c>
      <c r="N8" s="4169">
        <f>년간!F89*100</f>
        <v>100.70524985861206</v>
      </c>
      <c r="O8" s="1090">
        <f>년간!G89*100</f>
        <v>100.6108820007982</v>
      </c>
      <c r="P8" s="1090">
        <f>년간!H89*100</f>
        <v>100.27112703876352</v>
      </c>
      <c r="Q8" s="1090">
        <f>년간!I89*100</f>
        <v>100.15607027380437</v>
      </c>
      <c r="R8" s="1090">
        <f>년간!J89*100</f>
        <v>100.46615565330576</v>
      </c>
      <c r="S8" s="1090">
        <f>년간!K89*100</f>
        <v>100.13871134113718</v>
      </c>
      <c r="T8" s="1090">
        <f>년간!L89*100</f>
        <v>100.2504384380867</v>
      </c>
      <c r="U8" s="1090">
        <f>년간!M89*100</f>
        <v>100.26117222159274</v>
      </c>
      <c r="V8" s="1090">
        <f>년간!N89*100</f>
        <v>100.32249771187051</v>
      </c>
      <c r="W8" s="5507">
        <f>년간!O89*100</f>
        <v>100.64747142115121</v>
      </c>
      <c r="X8" s="5352">
        <f>년간!P89*100</f>
        <v>100.95498387414261</v>
      </c>
      <c r="Y8" s="6848" t="e">
        <f>년간!Q89*100</f>
        <v>#DIV/0!</v>
      </c>
      <c r="Z8" s="1879">
        <f>년간!V89*100</f>
        <v>100.3806325331841</v>
      </c>
      <c r="AA8" s="5136">
        <f>년간!F140/1000</f>
        <v>55689.109841919329</v>
      </c>
      <c r="AB8" s="4701">
        <f>년간!G140/1000</f>
        <v>45393.163717209405</v>
      </c>
      <c r="AC8" s="4701">
        <f>년간!H140/1000</f>
        <v>10307.125051040923</v>
      </c>
      <c r="AD8" s="4701">
        <f>년간!I140/1000</f>
        <v>-2835.7846323568419</v>
      </c>
      <c r="AE8" s="4701">
        <f>년간!J140/1000</f>
        <v>27900.139040028007</v>
      </c>
      <c r="AF8" s="4701">
        <f>년간!K140/1000</f>
        <v>-4741.9185334040585</v>
      </c>
      <c r="AG8" s="4701">
        <f>년간!L140/1000</f>
        <v>9047.4084548953251</v>
      </c>
      <c r="AH8" s="4701">
        <f>년간!M140/1000</f>
        <v>9427.4428491391682</v>
      </c>
      <c r="AI8" s="4701">
        <f>년간!N140/1000</f>
        <v>17707.241658700113</v>
      </c>
      <c r="AJ8" s="4701">
        <f>년간!O140/1000</f>
        <v>54472.3670083365</v>
      </c>
      <c r="AK8" s="4701">
        <f>년간!P140/1000</f>
        <v>4426.0338041061168</v>
      </c>
      <c r="AL8" s="4701" t="e">
        <f>년간!Q140/1000</f>
        <v>#DIV/0!</v>
      </c>
      <c r="AM8" s="4701">
        <f>년간!D140/1000</f>
        <v>197841.67519918102</v>
      </c>
      <c r="AN8" s="4761">
        <f>AA8+AB8+AC8+AD8+AE8+AF8+AG8+AH8+AI8+AJ8+AK8</f>
        <v>226792.32825961398</v>
      </c>
      <c r="AO8" s="1075">
        <f>AN8/AM8</f>
        <v>1.146332429864872</v>
      </c>
      <c r="AP8" s="934" t="s">
        <v>1538</v>
      </c>
      <c r="AQ8" s="314"/>
    </row>
    <row r="9" spans="1:43" s="354" customFormat="1" ht="15.75" customHeight="1" thickBot="1">
      <c r="A9" s="7446"/>
      <c r="B9" s="1076" t="s">
        <v>518</v>
      </c>
      <c r="C9" s="915" t="s">
        <v>309</v>
      </c>
      <c r="D9" s="1077">
        <v>2050.37</v>
      </c>
      <c r="E9" s="1078">
        <v>1953.53</v>
      </c>
      <c r="F9" s="1079">
        <v>2508.8000000000002</v>
      </c>
      <c r="G9" s="1079">
        <v>1973.88</v>
      </c>
      <c r="H9" s="1080">
        <v>820.61999999999978</v>
      </c>
      <c r="I9" s="3767">
        <v>320</v>
      </c>
      <c r="J9" s="2338">
        <v>307.49</v>
      </c>
      <c r="K9" s="2338">
        <f>년간!C22</f>
        <v>363.24000000000007</v>
      </c>
      <c r="L9" s="3768">
        <f>년간!D22</f>
        <v>180</v>
      </c>
      <c r="M9" s="3136">
        <f t="shared" ref="M9:M14" si="0">L9/10</f>
        <v>18</v>
      </c>
      <c r="N9" s="4170">
        <f>년간!F22</f>
        <v>4.84</v>
      </c>
      <c r="O9" s="2431">
        <f>년간!G22</f>
        <v>41.36</v>
      </c>
      <c r="P9" s="2431">
        <f>년간!H22</f>
        <v>22.59</v>
      </c>
      <c r="Q9" s="2431">
        <f>년간!I22</f>
        <v>0</v>
      </c>
      <c r="R9" s="2431">
        <f>년간!J22</f>
        <v>26.65</v>
      </c>
      <c r="S9" s="2431">
        <f>년간!K22</f>
        <v>40.56</v>
      </c>
      <c r="T9" s="2431">
        <f>년간!L22</f>
        <v>37.85</v>
      </c>
      <c r="U9" s="2431">
        <f>년간!M22</f>
        <v>7.47</v>
      </c>
      <c r="V9" s="2431">
        <f>년간!N22</f>
        <v>0</v>
      </c>
      <c r="W9" s="5508">
        <f>년간!O22</f>
        <v>24.21</v>
      </c>
      <c r="X9" s="5353">
        <f>년간!P22</f>
        <v>0</v>
      </c>
      <c r="Y9" s="6849">
        <f>년간!Q22</f>
        <v>0</v>
      </c>
      <c r="Z9" s="2433">
        <f>SUM(N9:Y9)</f>
        <v>205.53</v>
      </c>
      <c r="AA9" s="5137"/>
      <c r="AB9" s="4826"/>
      <c r="AC9" s="4826"/>
      <c r="AD9" s="4826"/>
      <c r="AE9" s="4826"/>
      <c r="AF9" s="4826"/>
      <c r="AG9" s="4826"/>
      <c r="AH9" s="4826"/>
      <c r="AI9" s="4826"/>
      <c r="AJ9" s="4826"/>
      <c r="AK9" s="4826"/>
      <c r="AL9" s="4826"/>
      <c r="AM9" s="4826"/>
      <c r="AN9" s="3270"/>
      <c r="AO9" s="3271"/>
      <c r="AP9" s="3147" t="s">
        <v>299</v>
      </c>
      <c r="AQ9" s="314"/>
    </row>
    <row r="10" spans="1:43" s="354" customFormat="1" ht="15.75" customHeight="1">
      <c r="A10" s="7445" t="s">
        <v>544</v>
      </c>
      <c r="B10" s="1094" t="s">
        <v>881</v>
      </c>
      <c r="C10" s="973" t="s">
        <v>440</v>
      </c>
      <c r="D10" s="1046"/>
      <c r="E10" s="1091"/>
      <c r="F10" s="1093">
        <v>1575.96</v>
      </c>
      <c r="G10" s="1093">
        <v>1350.99</v>
      </c>
      <c r="H10" s="1039">
        <v>1329</v>
      </c>
      <c r="I10" s="3769">
        <v>651</v>
      </c>
      <c r="J10" s="2188">
        <v>685.29199999999992</v>
      </c>
      <c r="K10" s="2188">
        <v>560.84799999999996</v>
      </c>
      <c r="L10" s="1121">
        <v>300</v>
      </c>
      <c r="M10" s="2115">
        <f t="shared" si="0"/>
        <v>30</v>
      </c>
      <c r="N10" s="4165">
        <v>12.92</v>
      </c>
      <c r="O10" s="3617">
        <v>19.43</v>
      </c>
      <c r="P10" s="3617">
        <v>32.14</v>
      </c>
      <c r="Q10" s="3617">
        <v>1.94</v>
      </c>
      <c r="R10" s="3617">
        <v>16.36</v>
      </c>
      <c r="S10" s="3617">
        <v>22.52</v>
      </c>
      <c r="T10" s="3617">
        <v>10.119999999999999</v>
      </c>
      <c r="U10" s="3617">
        <v>46.18</v>
      </c>
      <c r="V10" s="3617">
        <v>9.07</v>
      </c>
      <c r="W10" s="5506">
        <v>18.400000000000002</v>
      </c>
      <c r="X10" s="5351">
        <v>1.74</v>
      </c>
      <c r="Y10" s="5969"/>
      <c r="Z10" s="1069">
        <f t="shared" ref="Z10:Z23" si="1">SUM(N10:Y10)</f>
        <v>190.82000000000002</v>
      </c>
      <c r="AA10" s="5138"/>
      <c r="AB10" s="4827"/>
      <c r="AC10" s="4151"/>
      <c r="AD10" s="4151"/>
      <c r="AE10" s="4151"/>
      <c r="AF10" s="4151"/>
      <c r="AG10" s="4151"/>
      <c r="AH10" s="4151"/>
      <c r="AI10" s="4151"/>
      <c r="AJ10" s="4151"/>
      <c r="AK10" s="4151"/>
      <c r="AL10" s="4151"/>
      <c r="AM10" s="4151"/>
      <c r="AN10" s="4151"/>
      <c r="AO10" s="4163"/>
      <c r="AP10" s="3882" t="s">
        <v>1480</v>
      </c>
      <c r="AQ10" s="314"/>
    </row>
    <row r="11" spans="1:43" s="354" customFormat="1" ht="15.75" customHeight="1">
      <c r="A11" s="7455"/>
      <c r="B11" s="1049" t="s">
        <v>923</v>
      </c>
      <c r="C11" s="911" t="s">
        <v>440</v>
      </c>
      <c r="D11" s="839"/>
      <c r="E11" s="650"/>
      <c r="F11" s="790">
        <v>608.03</v>
      </c>
      <c r="G11" s="790">
        <v>505.16999999999996</v>
      </c>
      <c r="H11" s="790">
        <f>스크!L13</f>
        <v>594.27</v>
      </c>
      <c r="I11" s="3770">
        <f>스크!L14</f>
        <v>506.82</v>
      </c>
      <c r="J11" s="3770">
        <f>스크!L15</f>
        <v>387.63</v>
      </c>
      <c r="K11" s="3771">
        <v>349.56999999999994</v>
      </c>
      <c r="L11" s="2795">
        <v>300</v>
      </c>
      <c r="M11" s="2790">
        <f t="shared" si="0"/>
        <v>30</v>
      </c>
      <c r="N11" s="4171">
        <f>스크!L18</f>
        <v>25.2</v>
      </c>
      <c r="O11" s="3618">
        <f>스크!L19</f>
        <v>33.04</v>
      </c>
      <c r="P11" s="3618">
        <f>스크!L20</f>
        <v>33.69</v>
      </c>
      <c r="Q11" s="3618">
        <f>스크!L22</f>
        <v>40.299999999999997</v>
      </c>
      <c r="R11" s="3618">
        <f>스크!L23</f>
        <v>26.92</v>
      </c>
      <c r="S11" s="3618">
        <f>스크!L24</f>
        <v>38.840000000000003</v>
      </c>
      <c r="T11" s="3618">
        <f>스크!L27</f>
        <v>42.98</v>
      </c>
      <c r="U11" s="3618">
        <f>스크!L28</f>
        <v>35.6</v>
      </c>
      <c r="V11" s="3618">
        <f>스크!L29</f>
        <v>43.22</v>
      </c>
      <c r="W11" s="5509">
        <f>스크!L31</f>
        <v>48.33</v>
      </c>
      <c r="X11" s="5354">
        <f>스크!L32</f>
        <v>2.85</v>
      </c>
      <c r="Y11" s="5970">
        <f>스크!L33</f>
        <v>0</v>
      </c>
      <c r="Z11" s="3616">
        <f t="shared" si="1"/>
        <v>370.96999999999997</v>
      </c>
      <c r="AA11" s="5138"/>
      <c r="AB11" s="4827"/>
      <c r="AC11" s="4151"/>
      <c r="AD11" s="4151"/>
      <c r="AE11" s="4151"/>
      <c r="AF11" s="4151"/>
      <c r="AG11" s="4151"/>
      <c r="AH11" s="4151"/>
      <c r="AI11" s="4151"/>
      <c r="AJ11" s="4151"/>
      <c r="AK11" s="4151"/>
      <c r="AL11" s="4151"/>
      <c r="AM11" s="4151"/>
      <c r="AN11" s="4151"/>
      <c r="AO11" s="4163"/>
      <c r="AP11" s="3756" t="s">
        <v>1481</v>
      </c>
      <c r="AQ11" s="314"/>
    </row>
    <row r="12" spans="1:43" s="1536" customFormat="1" ht="15.75" customHeight="1">
      <c r="A12" s="7455"/>
      <c r="B12" s="1625" t="s">
        <v>1081</v>
      </c>
      <c r="C12" s="1626" t="s">
        <v>1016</v>
      </c>
      <c r="D12" s="1627"/>
      <c r="E12" s="1628"/>
      <c r="F12" s="1629"/>
      <c r="G12" s="1630"/>
      <c r="H12" s="1631"/>
      <c r="I12" s="3772"/>
      <c r="J12" s="3771"/>
      <c r="K12" s="3771">
        <v>307.38</v>
      </c>
      <c r="L12" s="2795">
        <v>100</v>
      </c>
      <c r="M12" s="2790">
        <f t="shared" si="0"/>
        <v>10</v>
      </c>
      <c r="N12" s="4172">
        <v>0</v>
      </c>
      <c r="O12" s="3604">
        <v>14.82</v>
      </c>
      <c r="P12" s="3604">
        <v>4.26</v>
      </c>
      <c r="Q12" s="3604">
        <v>0</v>
      </c>
      <c r="R12" s="3604">
        <v>0</v>
      </c>
      <c r="S12" s="3604">
        <v>0</v>
      </c>
      <c r="T12" s="3604">
        <v>0</v>
      </c>
      <c r="U12" s="3604">
        <v>3</v>
      </c>
      <c r="V12" s="3604">
        <v>110.86</v>
      </c>
      <c r="W12" s="5510">
        <v>3.88</v>
      </c>
      <c r="X12" s="5355">
        <v>0</v>
      </c>
      <c r="Y12" s="6850">
        <v>28.864000000000001</v>
      </c>
      <c r="Z12" s="3616">
        <f>SUM(N12:Y12)</f>
        <v>165.684</v>
      </c>
      <c r="AA12" s="5133"/>
      <c r="AB12" s="4827"/>
      <c r="AC12" s="4151"/>
      <c r="AD12" s="4151"/>
      <c r="AE12" s="4151"/>
      <c r="AF12" s="4151"/>
      <c r="AG12" s="4151"/>
      <c r="AH12" s="4151"/>
      <c r="AI12" s="4151"/>
      <c r="AJ12" s="4151"/>
      <c r="AK12" s="4151"/>
      <c r="AL12" s="4151"/>
      <c r="AM12" s="4151"/>
      <c r="AN12" s="4151"/>
      <c r="AO12" s="4163"/>
      <c r="AP12" s="3756" t="s">
        <v>1482</v>
      </c>
      <c r="AQ12" s="1534"/>
    </row>
    <row r="13" spans="1:43" s="1536" customFormat="1" ht="15.75" customHeight="1">
      <c r="A13" s="7455"/>
      <c r="B13" s="1625" t="s">
        <v>1135</v>
      </c>
      <c r="C13" s="1626" t="s">
        <v>1136</v>
      </c>
      <c r="D13" s="1627"/>
      <c r="E13" s="1628"/>
      <c r="F13" s="1629"/>
      <c r="G13" s="2140"/>
      <c r="H13" s="2139"/>
      <c r="I13" s="3772"/>
      <c r="J13" s="3771"/>
      <c r="K13" s="3138">
        <v>467.16800000000006</v>
      </c>
      <c r="L13" s="2795">
        <v>150</v>
      </c>
      <c r="M13" s="2790">
        <f t="shared" si="0"/>
        <v>15</v>
      </c>
      <c r="N13" s="4172">
        <v>30.21</v>
      </c>
      <c r="O13" s="3604">
        <f>4.82</f>
        <v>4.82</v>
      </c>
      <c r="P13" s="3604">
        <v>41</v>
      </c>
      <c r="Q13" s="3604">
        <v>34.29</v>
      </c>
      <c r="R13" s="3604">
        <v>9.74</v>
      </c>
      <c r="S13" s="3604">
        <v>6.04</v>
      </c>
      <c r="T13" s="3604">
        <v>43.269999999999996</v>
      </c>
      <c r="U13" s="3604">
        <v>53</v>
      </c>
      <c r="V13" s="3604">
        <v>27.3</v>
      </c>
      <c r="W13" s="5510">
        <f>12.13+35.15</f>
        <v>47.28</v>
      </c>
      <c r="X13" s="5355">
        <v>34.113</v>
      </c>
      <c r="Y13" s="6850">
        <v>23.15</v>
      </c>
      <c r="Z13" s="3616">
        <f t="shared" si="1"/>
        <v>354.21300000000002</v>
      </c>
      <c r="AA13" s="5133"/>
      <c r="AB13" s="4827"/>
      <c r="AC13" s="4151"/>
      <c r="AD13" s="4151"/>
      <c r="AE13" s="4151"/>
      <c r="AF13" s="4151"/>
      <c r="AG13" s="4151"/>
      <c r="AH13" s="4151"/>
      <c r="AI13" s="4151"/>
      <c r="AJ13" s="4151"/>
      <c r="AK13" s="4151"/>
      <c r="AL13" s="4151"/>
      <c r="AM13" s="4151"/>
      <c r="AN13" s="4151"/>
      <c r="AO13" s="4163"/>
      <c r="AP13" s="3756" t="s">
        <v>1483</v>
      </c>
      <c r="AQ13" s="1534" t="s">
        <v>1777</v>
      </c>
    </row>
    <row r="14" spans="1:43" s="1536" customFormat="1" ht="15.75" customHeight="1">
      <c r="A14" s="7455"/>
      <c r="B14" s="1625" t="s">
        <v>1058</v>
      </c>
      <c r="C14" s="1626" t="s">
        <v>1059</v>
      </c>
      <c r="D14" s="1627">
        <v>556</v>
      </c>
      <c r="E14" s="1628">
        <v>376</v>
      </c>
      <c r="F14" s="1629">
        <v>577</v>
      </c>
      <c r="G14" s="2140">
        <v>353</v>
      </c>
      <c r="H14" s="2139">
        <v>233</v>
      </c>
      <c r="I14" s="3772">
        <v>133</v>
      </c>
      <c r="J14" s="3771">
        <v>158</v>
      </c>
      <c r="K14" s="3138">
        <v>61.089999999999996</v>
      </c>
      <c r="L14" s="2795">
        <v>40</v>
      </c>
      <c r="M14" s="2790">
        <f t="shared" si="0"/>
        <v>4</v>
      </c>
      <c r="N14" s="4172">
        <v>0</v>
      </c>
      <c r="O14" s="3604">
        <v>0</v>
      </c>
      <c r="P14" s="3604">
        <v>3.83</v>
      </c>
      <c r="Q14" s="3604">
        <v>0</v>
      </c>
      <c r="R14" s="3604">
        <v>10.06</v>
      </c>
      <c r="S14" s="3604">
        <v>0</v>
      </c>
      <c r="T14" s="3604">
        <v>12.51</v>
      </c>
      <c r="U14" s="3604">
        <v>1.32</v>
      </c>
      <c r="V14" s="3604">
        <v>1.5</v>
      </c>
      <c r="W14" s="5510">
        <v>3.5</v>
      </c>
      <c r="X14" s="5355">
        <v>0</v>
      </c>
      <c r="Y14" s="6850">
        <v>0</v>
      </c>
      <c r="Z14" s="3616">
        <f t="shared" si="1"/>
        <v>32.72</v>
      </c>
      <c r="AA14" s="5133"/>
      <c r="AB14" s="4827"/>
      <c r="AC14" s="4151"/>
      <c r="AD14" s="4151"/>
      <c r="AE14" s="4151"/>
      <c r="AF14" s="4151"/>
      <c r="AG14" s="4151"/>
      <c r="AH14" s="4151"/>
      <c r="AI14" s="4151"/>
      <c r="AJ14" s="4151"/>
      <c r="AK14" s="4151"/>
      <c r="AL14" s="4151"/>
      <c r="AM14" s="4151"/>
      <c r="AN14" s="4151"/>
      <c r="AO14" s="4163"/>
      <c r="AP14" s="3756" t="s">
        <v>1484</v>
      </c>
      <c r="AQ14" s="5422"/>
    </row>
    <row r="15" spans="1:43" s="354" customFormat="1" ht="15.75" customHeight="1" thickBot="1">
      <c r="A15" s="7455"/>
      <c r="B15" s="1049" t="s">
        <v>772</v>
      </c>
      <c r="C15" s="911" t="s">
        <v>779</v>
      </c>
      <c r="D15" s="839"/>
      <c r="E15" s="650"/>
      <c r="F15" s="790"/>
      <c r="G15" s="2140"/>
      <c r="H15" s="2139">
        <f>SUM(H10:H14)</f>
        <v>2156.27</v>
      </c>
      <c r="I15" s="2139">
        <f>SUM(I10:I14)</f>
        <v>1290.82</v>
      </c>
      <c r="J15" s="2139">
        <f>SUM(J10:J14)</f>
        <v>1230.922</v>
      </c>
      <c r="K15" s="2139">
        <f>SUM(K10:K14)</f>
        <v>1746.0559999999998</v>
      </c>
      <c r="L15" s="3137">
        <f>SUM(L10:L14)</f>
        <v>890</v>
      </c>
      <c r="M15" s="3138">
        <f>SUM(M10:M12)</f>
        <v>70</v>
      </c>
      <c r="N15" s="3615">
        <f>SUM(N10:N14)</f>
        <v>68.33</v>
      </c>
      <c r="O15" s="3602">
        <f t="shared" ref="O15:Y15" si="2">SUM(O10:O14)</f>
        <v>72.109999999999985</v>
      </c>
      <c r="P15" s="3602">
        <f t="shared" si="2"/>
        <v>114.92</v>
      </c>
      <c r="Q15" s="3619">
        <f t="shared" si="2"/>
        <v>76.53</v>
      </c>
      <c r="R15" s="3619">
        <f t="shared" si="2"/>
        <v>63.080000000000005</v>
      </c>
      <c r="S15" s="3619">
        <f t="shared" si="2"/>
        <v>67.400000000000006</v>
      </c>
      <c r="T15" s="3619">
        <f t="shared" si="2"/>
        <v>108.88</v>
      </c>
      <c r="U15" s="3619">
        <f t="shared" si="2"/>
        <v>139.1</v>
      </c>
      <c r="V15" s="3619">
        <f t="shared" si="2"/>
        <v>191.95000000000002</v>
      </c>
      <c r="W15" s="5511">
        <f t="shared" si="2"/>
        <v>121.39</v>
      </c>
      <c r="X15" s="5356">
        <f t="shared" si="2"/>
        <v>38.703000000000003</v>
      </c>
      <c r="Y15" s="6670">
        <f t="shared" si="2"/>
        <v>52.013999999999996</v>
      </c>
      <c r="Z15" s="3616">
        <f t="shared" si="1"/>
        <v>1114.4069999999999</v>
      </c>
      <c r="AA15" s="5138"/>
      <c r="AB15" s="4827"/>
      <c r="AC15" s="4151"/>
      <c r="AD15" s="4151"/>
      <c r="AE15" s="4151"/>
      <c r="AF15" s="4151"/>
      <c r="AG15" s="4151"/>
      <c r="AH15" s="4151"/>
      <c r="AI15" s="4151"/>
      <c r="AJ15" s="4151"/>
      <c r="AK15" s="4151"/>
      <c r="AL15" s="4151"/>
      <c r="AM15" s="4151"/>
      <c r="AN15" s="4151"/>
      <c r="AO15" s="4163"/>
      <c r="AP15" s="3756" t="s">
        <v>1485</v>
      </c>
      <c r="AQ15" s="314"/>
    </row>
    <row r="16" spans="1:43" s="354" customFormat="1" ht="15.75" customHeight="1">
      <c r="A16" s="7455"/>
      <c r="B16" s="1968" t="s">
        <v>882</v>
      </c>
      <c r="C16" s="1617" t="s">
        <v>311</v>
      </c>
      <c r="D16" s="2089"/>
      <c r="E16" s="3606"/>
      <c r="F16" s="3606">
        <f>(F10+F11+종합!D48)*1000/F5</f>
        <v>9.7349101727806246</v>
      </c>
      <c r="G16" s="3606">
        <f>(G10+G11+종합!E48)*1000/G5</f>
        <v>6.4771566086479542</v>
      </c>
      <c r="H16" s="3606">
        <f>(H10+H11+종합!F48)*1000/H5</f>
        <v>7.8398021662919328</v>
      </c>
      <c r="I16" s="3606">
        <f>(I10+I11+종합!G48)*1000/I5</f>
        <v>4.180863585183106</v>
      </c>
      <c r="J16" s="3606">
        <f>(J10+J11+종합!H48)*1000/J5</f>
        <v>3.926398110812273</v>
      </c>
      <c r="K16" s="3605">
        <f>(K10+K11+종합!I48)*1000/K5</f>
        <v>3.3374206712577461</v>
      </c>
      <c r="L16" s="3603">
        <f>(L10+L11+종합!J48)*1000/L5</f>
        <v>2.3849163960742215</v>
      </c>
      <c r="M16" s="3603">
        <f>(M10+M11+종합!K48)*1000/M5</f>
        <v>2.3530209416949446</v>
      </c>
      <c r="N16" s="4173">
        <f>(N10+N11+종합!L48)*1000/N5</f>
        <v>2.593161814105668</v>
      </c>
      <c r="O16" s="3485">
        <f>(O10+O11+종합!M48)*1000/O5</f>
        <v>2.3098308953590148</v>
      </c>
      <c r="P16" s="3485">
        <f>(P10+P11+종합!N48)*1000/P5</f>
        <v>3.2301214582115567</v>
      </c>
      <c r="Q16" s="3485">
        <f>(Q10+Q11+종합!O48)*1000/Q5</f>
        <v>1.9174667247643558</v>
      </c>
      <c r="R16" s="3485">
        <f>(R10+R11+종합!P48)*1000/R5</f>
        <v>2.5132071600759089</v>
      </c>
      <c r="S16" s="3485">
        <f>(S10+S11+종합!Q48)*1000/S5</f>
        <v>2.7538828267274691</v>
      </c>
      <c r="T16" s="3485">
        <f>(T10+T11+종합!R48)*1000/T5</f>
        <v>1.7786684266418404</v>
      </c>
      <c r="U16" s="3485">
        <f>(U10+U11+종합!S48)*1000/U5</f>
        <v>3.3208574295936031</v>
      </c>
      <c r="V16" s="3485">
        <f>(V10+V11+종합!T48)*1000/V5</f>
        <v>2.2565141298650526</v>
      </c>
      <c r="W16" s="5512">
        <f>(W10+W11+종합!U48)*1000/W5</f>
        <v>2.6348567772125504</v>
      </c>
      <c r="X16" s="5354">
        <f>(X10+X11+종합!V48)*1000/X5</f>
        <v>5.8268852636046899</v>
      </c>
      <c r="Y16" s="5970" t="e">
        <f>(Y10+Y11+종합!W48)*1000/Y5</f>
        <v>#DIV/0!</v>
      </c>
      <c r="Z16" s="3618">
        <f>(Z10+Z11+종합!X48)*1000/Z5</f>
        <v>2.5571864099554058</v>
      </c>
      <c r="AA16" s="5135">
        <f>($K$16-N16)*N5/1000*420.789</f>
        <v>7747.3902543423301</v>
      </c>
      <c r="AB16" s="4703">
        <f t="shared" ref="AB16:AL16" si="3">($K$16-O16)*O5/1000*420.789</f>
        <v>10646.017973769314</v>
      </c>
      <c r="AC16" s="4703">
        <f t="shared" si="3"/>
        <v>1215.7981143508161</v>
      </c>
      <c r="AD16" s="4703">
        <f t="shared" si="3"/>
        <v>14754.713623450782</v>
      </c>
      <c r="AE16" s="4703">
        <f t="shared" si="3"/>
        <v>7911.4804863331356</v>
      </c>
      <c r="AF16" s="4703">
        <f t="shared" si="3"/>
        <v>6136.2439313626783</v>
      </c>
      <c r="AG16" s="4703">
        <f t="shared" si="3"/>
        <v>20233.985498049078</v>
      </c>
      <c r="AH16" s="4703">
        <f t="shared" si="3"/>
        <v>193.27334304069902</v>
      </c>
      <c r="AI16" s="4703">
        <f t="shared" si="3"/>
        <v>13311.332466481877</v>
      </c>
      <c r="AJ16" s="4703">
        <f t="shared" si="3"/>
        <v>8043.6242037160382</v>
      </c>
      <c r="AK16" s="4703">
        <f t="shared" si="3"/>
        <v>-1396.8664423292705</v>
      </c>
      <c r="AL16" s="4703" t="e">
        <f t="shared" si="3"/>
        <v>#DIV/0!</v>
      </c>
      <c r="AM16" s="4703">
        <f>($K$16-L16)*L5/1000*420.789</f>
        <v>109631.73251627324</v>
      </c>
      <c r="AN16" s="4703">
        <f>AA16+AB16+AC16+AD16+AE16+AF16+AG16+AH16+AI16+AJ16+AK16</f>
        <v>88796.993452567491</v>
      </c>
      <c r="AO16" s="4168">
        <f>AN16/AM16</f>
        <v>0.80995703902961547</v>
      </c>
      <c r="AP16" s="934" t="s">
        <v>1538</v>
      </c>
      <c r="AQ16" s="314"/>
    </row>
    <row r="17" spans="1:43" s="1536" customFormat="1" ht="18" thickBot="1">
      <c r="A17" s="7446"/>
      <c r="B17" s="2090" t="s">
        <v>1512</v>
      </c>
      <c r="C17" s="1617" t="s">
        <v>270</v>
      </c>
      <c r="D17" s="3607">
        <f>스크!O9</f>
        <v>5.0463282813080603</v>
      </c>
      <c r="E17" s="3608">
        <f>스크!O10</f>
        <v>6.2361664615134718</v>
      </c>
      <c r="F17" s="3609">
        <f>스크!O11</f>
        <v>10.39604409959378</v>
      </c>
      <c r="G17" s="3610">
        <f>스크!O12</f>
        <v>11.080875269004844</v>
      </c>
      <c r="H17" s="3610">
        <f>스크!O13</f>
        <v>12.472939130562299</v>
      </c>
      <c r="I17" s="5451">
        <f>스크!O14</f>
        <v>4.7723774099444256</v>
      </c>
      <c r="J17" s="5452">
        <f>스크!O15</f>
        <v>4.8366748760360867</v>
      </c>
      <c r="K17" s="5452">
        <f>스크!O16</f>
        <v>4.4457959925817487</v>
      </c>
      <c r="L17" s="5453">
        <f>(L10+L11+L12+L13+종합!J48)*1000/CGL!L5</f>
        <v>3.2988929251569545</v>
      </c>
      <c r="M17" s="5454">
        <f>L17</f>
        <v>3.2988929251569545</v>
      </c>
      <c r="N17" s="5453">
        <f>스크!O18</f>
        <v>4.6543515397681476</v>
      </c>
      <c r="O17" s="5455">
        <f>스크!O19</f>
        <v>3.296799257539849</v>
      </c>
      <c r="P17" s="5455">
        <f>스크!O20</f>
        <v>3.5208992349165062</v>
      </c>
      <c r="Q17" s="5455">
        <f>스크!O22</f>
        <v>4.040651104477031</v>
      </c>
      <c r="R17" s="5455">
        <f>스크!O23</f>
        <v>2.0239800205948844</v>
      </c>
      <c r="S17" s="5455">
        <f>스크!O24</f>
        <v>3.2868924060940761</v>
      </c>
      <c r="T17" s="5455">
        <f>스크!O27</f>
        <v>1.9893727235831917</v>
      </c>
      <c r="U17" s="5455">
        <f>스크!O28</f>
        <v>3.092951913739205</v>
      </c>
      <c r="V17" s="5455">
        <f>스크!O29</f>
        <v>2.9340834090174459</v>
      </c>
      <c r="W17" s="5513">
        <f>스크!O31</f>
        <v>2.9961434576421691</v>
      </c>
      <c r="X17" s="5456">
        <f>스크!O32</f>
        <v>15.97331481528699</v>
      </c>
      <c r="Y17" s="6851" t="e">
        <f>스크!O33</f>
        <v>#DIV/0!</v>
      </c>
      <c r="Z17" s="5455">
        <f>스크!O36</f>
        <v>3.2502880488023203</v>
      </c>
      <c r="AA17" s="5148"/>
      <c r="AB17" s="3270"/>
      <c r="AC17" s="3270"/>
      <c r="AD17" s="3270"/>
      <c r="AE17" s="3270"/>
      <c r="AF17" s="3270"/>
      <c r="AG17" s="3270"/>
      <c r="AH17" s="3270"/>
      <c r="AI17" s="3270"/>
      <c r="AJ17" s="3270"/>
      <c r="AK17" s="3270"/>
      <c r="AL17" s="3270"/>
      <c r="AM17" s="3270"/>
      <c r="AN17" s="3270"/>
      <c r="AO17" s="3271"/>
      <c r="AP17" s="3282"/>
      <c r="AQ17" s="1534"/>
    </row>
    <row r="18" spans="1:43" s="354" customFormat="1" ht="15.75" customHeight="1">
      <c r="A18" s="7183" t="s">
        <v>793</v>
      </c>
      <c r="B18" s="7208" t="s">
        <v>784</v>
      </c>
      <c r="C18" s="1009" t="s">
        <v>740</v>
      </c>
      <c r="D18" s="1081"/>
      <c r="E18" s="1082"/>
      <c r="F18" s="1082"/>
      <c r="G18" s="1082">
        <v>97</v>
      </c>
      <c r="H18" s="1082">
        <v>53</v>
      </c>
      <c r="I18" s="1083">
        <v>22</v>
      </c>
      <c r="J18" s="1083">
        <v>15</v>
      </c>
      <c r="K18" s="1083">
        <v>18</v>
      </c>
      <c r="L18" s="1788">
        <v>6</v>
      </c>
      <c r="M18" s="2853">
        <f t="shared" ref="M18:M23" si="4">L18/10</f>
        <v>0.6</v>
      </c>
      <c r="N18" s="1925">
        <f>년간!F37</f>
        <v>0</v>
      </c>
      <c r="O18" s="2173">
        <f>년간!G37</f>
        <v>1</v>
      </c>
      <c r="P18" s="2173">
        <f>년간!H37</f>
        <v>0</v>
      </c>
      <c r="Q18" s="2173">
        <f>년간!I37</f>
        <v>0</v>
      </c>
      <c r="R18" s="2173">
        <f>년간!J37</f>
        <v>1</v>
      </c>
      <c r="S18" s="2173">
        <f>년간!K37</f>
        <v>1</v>
      </c>
      <c r="T18" s="2173">
        <f>년간!L37</f>
        <v>0</v>
      </c>
      <c r="U18" s="2173">
        <f>년간!M37</f>
        <v>0</v>
      </c>
      <c r="V18" s="2173">
        <f>년간!N37</f>
        <v>0</v>
      </c>
      <c r="W18" s="5514">
        <f>년간!O37</f>
        <v>1</v>
      </c>
      <c r="X18" s="5358">
        <f>년간!P37</f>
        <v>0</v>
      </c>
      <c r="Y18" s="6852">
        <f>년간!Q37</f>
        <v>0</v>
      </c>
      <c r="Z18" s="1344">
        <f t="shared" si="1"/>
        <v>4</v>
      </c>
      <c r="AA18" s="5140">
        <f>년간!F39/1000</f>
        <v>4489.9222499217149</v>
      </c>
      <c r="AB18" s="4829">
        <f>년간!G39/1000</f>
        <v>1496.640749973905</v>
      </c>
      <c r="AC18" s="4829">
        <f>년간!H39/1000</f>
        <v>4489.9222499217149</v>
      </c>
      <c r="AD18" s="4829">
        <f>년간!I39/1000</f>
        <v>4489.9222499217149</v>
      </c>
      <c r="AE18" s="4829">
        <f>년간!J39/1000</f>
        <v>1496.640749973905</v>
      </c>
      <c r="AF18" s="4829">
        <f>년간!K39/1000</f>
        <v>1496.640749973905</v>
      </c>
      <c r="AG18" s="4829">
        <f>년간!L39/1000</f>
        <v>4489.9222499217149</v>
      </c>
      <c r="AH18" s="4829">
        <f>년간!M39/1000</f>
        <v>4489.9222499217149</v>
      </c>
      <c r="AI18" s="4829">
        <f>년간!N39/1000</f>
        <v>4489.9222499217149</v>
      </c>
      <c r="AJ18" s="4829">
        <f>년간!O39/1000</f>
        <v>1496.640749973905</v>
      </c>
      <c r="AK18" s="4829">
        <f>년간!P39/1000</f>
        <v>4489.9222499217149</v>
      </c>
      <c r="AL18" s="4829">
        <f>년간!Q39/1000</f>
        <v>4489.9222499217149</v>
      </c>
      <c r="AM18" s="4829">
        <f>(K18*12/10-L18)*년간!F215/1000</f>
        <v>46695.191399185846</v>
      </c>
      <c r="AN18" s="4701">
        <f>AA18+AB18+AC18+AD18+AE18+AF18+AG18+AH18+AI18+AJ18+AK18</f>
        <v>37416.018749347619</v>
      </c>
      <c r="AO18" s="1084">
        <f t="shared" ref="AO18:AO23" si="5">AN18/AM18</f>
        <v>0.80128205128205099</v>
      </c>
      <c r="AP18" s="1085"/>
      <c r="AQ18" s="314"/>
    </row>
    <row r="19" spans="1:43" s="354" customFormat="1" ht="15.75" customHeight="1">
      <c r="A19" s="7184"/>
      <c r="B19" s="7209"/>
      <c r="C19" s="936" t="s">
        <v>791</v>
      </c>
      <c r="D19" s="1045"/>
      <c r="E19" s="1086"/>
      <c r="F19" s="1086"/>
      <c r="G19" s="1086">
        <v>108.11666666666666</v>
      </c>
      <c r="H19" s="1086">
        <v>77.849999999999994</v>
      </c>
      <c r="I19" s="1041">
        <v>28</v>
      </c>
      <c r="J19" s="2179">
        <v>21.35</v>
      </c>
      <c r="K19" s="2179">
        <v>50.95</v>
      </c>
      <c r="L19" s="3759">
        <v>17</v>
      </c>
      <c r="M19" s="2944">
        <f t="shared" si="4"/>
        <v>1.7</v>
      </c>
      <c r="N19" s="3739">
        <f>년간!F36/60</f>
        <v>0</v>
      </c>
      <c r="O19" s="3620">
        <f>년간!G36/60</f>
        <v>3.5</v>
      </c>
      <c r="P19" s="3620">
        <f>년간!H36/60</f>
        <v>0</v>
      </c>
      <c r="Q19" s="3620">
        <f>년간!I36/60</f>
        <v>0</v>
      </c>
      <c r="R19" s="3620">
        <f>년간!J36/60</f>
        <v>5.083333333333333</v>
      </c>
      <c r="S19" s="3620">
        <f>년간!K36/60</f>
        <v>2.0499999999999998</v>
      </c>
      <c r="T19" s="3620">
        <f>년간!L36/60</f>
        <v>0</v>
      </c>
      <c r="U19" s="3620">
        <f>년간!M36/60</f>
        <v>0</v>
      </c>
      <c r="V19" s="3620">
        <f>년간!N36/60</f>
        <v>0</v>
      </c>
      <c r="W19" s="5515">
        <f>년간!O36/60</f>
        <v>1.5</v>
      </c>
      <c r="X19" s="5359">
        <f>년간!P36/60</f>
        <v>0</v>
      </c>
      <c r="Y19" s="5399">
        <f>년간!Q36/60</f>
        <v>0</v>
      </c>
      <c r="Z19" s="5761">
        <f t="shared" si="1"/>
        <v>12.133333333333333</v>
      </c>
      <c r="AA19" s="5141">
        <f>년간!F38/1000</f>
        <v>12708.97436852841</v>
      </c>
      <c r="AB19" s="4830">
        <f>년간!G38/1000</f>
        <v>2232.4891187110748</v>
      </c>
      <c r="AC19" s="4830">
        <f>년간!H38/1000</f>
        <v>12708.97436852841</v>
      </c>
      <c r="AD19" s="4830">
        <f>년간!I38/1000</f>
        <v>12708.97436852841</v>
      </c>
      <c r="AE19" s="4830">
        <f>년간!J38/1000</f>
        <v>-2506.873256206291</v>
      </c>
      <c r="AF19" s="4830">
        <f>년간!K38/1000</f>
        <v>6572.7472936353997</v>
      </c>
      <c r="AG19" s="4830">
        <f>년간!L38/1000</f>
        <v>12708.97436852841</v>
      </c>
      <c r="AH19" s="4830">
        <f>년간!M38/1000</f>
        <v>12708.97436852841</v>
      </c>
      <c r="AI19" s="4830">
        <f>년간!N38/1000</f>
        <v>12708.97436852841</v>
      </c>
      <c r="AJ19" s="4830">
        <f>년간!O38/1000</f>
        <v>8219.0521186066944</v>
      </c>
      <c r="AK19" s="4830">
        <f>년간!P38/1000</f>
        <v>12708.97436852841</v>
      </c>
      <c r="AL19" s="4830">
        <f>년간!Q38/1000</f>
        <v>12708.97436852841</v>
      </c>
      <c r="AM19" s="4830">
        <f>(K19/12-L19)*년간!E215/1000</f>
        <v>-27958.595977947163</v>
      </c>
      <c r="AN19" s="4703">
        <f>AA19+AB19+AC19+AD19+AE19+AF19+AG19+AH19+AI19+AJ19+AK19</f>
        <v>103480.23585444574</v>
      </c>
      <c r="AO19" s="4176">
        <f t="shared" si="5"/>
        <v>-3.7011957229922277</v>
      </c>
      <c r="AP19" s="3753" t="s">
        <v>1537</v>
      </c>
      <c r="AQ19" s="731"/>
    </row>
    <row r="20" spans="1:43" s="354" customFormat="1" ht="15.75" customHeight="1">
      <c r="A20" s="7184"/>
      <c r="B20" s="7439" t="s">
        <v>789</v>
      </c>
      <c r="C20" s="936" t="s">
        <v>740</v>
      </c>
      <c r="D20" s="1045"/>
      <c r="E20" s="1086"/>
      <c r="F20" s="1086"/>
      <c r="G20" s="1086">
        <v>35</v>
      </c>
      <c r="H20" s="1086">
        <v>27</v>
      </c>
      <c r="I20" s="1041">
        <v>18</v>
      </c>
      <c r="J20" s="2179">
        <v>13</v>
      </c>
      <c r="K20" s="2179">
        <v>18</v>
      </c>
      <c r="L20" s="3139">
        <f>년간!D42</f>
        <v>10</v>
      </c>
      <c r="M20" s="3140">
        <f t="shared" si="4"/>
        <v>1</v>
      </c>
      <c r="N20" s="4177">
        <f>년간!F42</f>
        <v>0</v>
      </c>
      <c r="O20" s="3621">
        <f>년간!G42</f>
        <v>0</v>
      </c>
      <c r="P20" s="3621">
        <f>년간!H42</f>
        <v>0</v>
      </c>
      <c r="Q20" s="3621">
        <f>년간!I42</f>
        <v>0</v>
      </c>
      <c r="R20" s="3621">
        <f>년간!J42</f>
        <v>0</v>
      </c>
      <c r="S20" s="3621">
        <f>년간!K42</f>
        <v>0</v>
      </c>
      <c r="T20" s="3621">
        <f>년간!L42</f>
        <v>0</v>
      </c>
      <c r="U20" s="3621">
        <f>년간!M42</f>
        <v>3</v>
      </c>
      <c r="V20" s="3621">
        <f>년간!N42</f>
        <v>0</v>
      </c>
      <c r="W20" s="5516">
        <f>년간!O42</f>
        <v>0</v>
      </c>
      <c r="X20" s="5360">
        <f>년간!P42</f>
        <v>0</v>
      </c>
      <c r="Y20" s="6853">
        <f>년간!Q42</f>
        <v>0</v>
      </c>
      <c r="Z20" s="3624">
        <f t="shared" si="1"/>
        <v>3</v>
      </c>
      <c r="AA20" s="5133"/>
      <c r="AB20" s="4151"/>
      <c r="AC20" s="4151"/>
      <c r="AD20" s="4151"/>
      <c r="AE20" s="4151"/>
      <c r="AF20" s="4151"/>
      <c r="AG20" s="4151"/>
      <c r="AH20" s="4151"/>
      <c r="AI20" s="4151"/>
      <c r="AJ20" s="4151"/>
      <c r="AK20" s="4151"/>
      <c r="AL20" s="4151"/>
      <c r="AM20" s="4151"/>
      <c r="AN20" s="4151"/>
      <c r="AO20" s="4163"/>
      <c r="AP20" s="4164"/>
      <c r="AQ20" s="314"/>
    </row>
    <row r="21" spans="1:43" s="354" customFormat="1" ht="15.75" customHeight="1">
      <c r="A21" s="7184"/>
      <c r="B21" s="7209"/>
      <c r="C21" s="936" t="s">
        <v>791</v>
      </c>
      <c r="D21" s="1045"/>
      <c r="E21" s="1086"/>
      <c r="F21" s="1086"/>
      <c r="G21" s="1086">
        <v>73.766666666666666</v>
      </c>
      <c r="H21" s="1086">
        <v>45</v>
      </c>
      <c r="I21" s="1041">
        <v>32</v>
      </c>
      <c r="J21" s="2179">
        <v>40.18</v>
      </c>
      <c r="K21" s="2179">
        <v>48.783333333333339</v>
      </c>
      <c r="L21" s="3760">
        <f>년간!D52/60</f>
        <v>39.913636363636392</v>
      </c>
      <c r="M21" s="2944">
        <f t="shared" si="4"/>
        <v>3.9913636363636393</v>
      </c>
      <c r="N21" s="4178">
        <f>년간!F52/60</f>
        <v>0</v>
      </c>
      <c r="O21" s="3622">
        <f>년간!G52/60</f>
        <v>0</v>
      </c>
      <c r="P21" s="3622">
        <f>년간!H52/60</f>
        <v>0</v>
      </c>
      <c r="Q21" s="3622">
        <f>년간!I52/60</f>
        <v>0</v>
      </c>
      <c r="R21" s="3622">
        <f>년간!J52/60</f>
        <v>0</v>
      </c>
      <c r="S21" s="3622">
        <f>년간!K52/60</f>
        <v>0</v>
      </c>
      <c r="T21" s="3622">
        <f>년간!L52/60</f>
        <v>0</v>
      </c>
      <c r="U21" s="3622">
        <f>년간!M52/60</f>
        <v>9</v>
      </c>
      <c r="V21" s="3622">
        <f>년간!N52/60</f>
        <v>0</v>
      </c>
      <c r="W21" s="5517">
        <f>년간!O52/60</f>
        <v>0</v>
      </c>
      <c r="X21" s="5361">
        <f>년간!P52/60</f>
        <v>0</v>
      </c>
      <c r="Y21" s="6854">
        <f>년간!Q52/60</f>
        <v>0</v>
      </c>
      <c r="Z21" s="5761">
        <f t="shared" si="1"/>
        <v>9</v>
      </c>
      <c r="AA21" s="5141">
        <f>년간!F178/1000</f>
        <v>8771.769673453593</v>
      </c>
      <c r="AB21" s="4830">
        <f>년간!G178/1000</f>
        <v>9068.6964222929582</v>
      </c>
      <c r="AC21" s="4830">
        <f>년간!H178/1000</f>
        <v>10005.446370843059</v>
      </c>
      <c r="AD21" s="4830">
        <f>년간!I178/1000</f>
        <v>8301.0493062177284</v>
      </c>
      <c r="AE21" s="4830">
        <f>년간!J178/1000</f>
        <v>8473.6702281338221</v>
      </c>
      <c r="AF21" s="4830">
        <f>년간!K178/1000</f>
        <v>8730.7252966393062</v>
      </c>
      <c r="AG21" s="4830">
        <f>년간!L178/1000</f>
        <v>10466.316087643494</v>
      </c>
      <c r="AH21" s="4830">
        <f>년간!M178/1000</f>
        <v>-9550.30295874476</v>
      </c>
      <c r="AI21" s="4830">
        <f>년간!N178/1000</f>
        <v>9633.7015865536468</v>
      </c>
      <c r="AJ21" s="4830">
        <f>년간!O178/1000</f>
        <v>10448.725640437369</v>
      </c>
      <c r="AK21" s="4830">
        <f>년간!P178/1000</f>
        <v>712.99946008820666</v>
      </c>
      <c r="AL21" s="4830" t="e">
        <f>년간!Q178/1000</f>
        <v>#DIV/0!</v>
      </c>
      <c r="AM21" s="4830">
        <f>년간!E178/1000</f>
        <v>9076.6196449241961</v>
      </c>
      <c r="AN21" s="4830">
        <f>AA21+AB21+AC21+AD21+AE21+AF21+AG21+AH21+AI21+AJ21+AK21</f>
        <v>75062.797113558423</v>
      </c>
      <c r="AO21" s="4176">
        <f t="shared" si="5"/>
        <v>8.2699066447644807</v>
      </c>
      <c r="AP21" s="3756"/>
      <c r="AQ21" s="314"/>
    </row>
    <row r="22" spans="1:43" s="354" customFormat="1" ht="15.75" customHeight="1">
      <c r="A22" s="7184"/>
      <c r="B22" s="7439" t="s">
        <v>790</v>
      </c>
      <c r="C22" s="936" t="s">
        <v>740</v>
      </c>
      <c r="D22" s="1045"/>
      <c r="E22" s="1086"/>
      <c r="F22" s="1086"/>
      <c r="G22" s="1086">
        <v>20</v>
      </c>
      <c r="H22" s="1086">
        <v>21</v>
      </c>
      <c r="I22" s="1041">
        <v>16</v>
      </c>
      <c r="J22" s="2179">
        <v>21</v>
      </c>
      <c r="K22" s="2179">
        <v>14</v>
      </c>
      <c r="L22" s="3139">
        <f>년간!D47</f>
        <v>8</v>
      </c>
      <c r="M22" s="3140">
        <f t="shared" si="4"/>
        <v>0.8</v>
      </c>
      <c r="N22" s="4177">
        <f>년간!F47</f>
        <v>0</v>
      </c>
      <c r="O22" s="3621">
        <f>년간!G47</f>
        <v>1</v>
      </c>
      <c r="P22" s="3621">
        <f>년간!H47</f>
        <v>1</v>
      </c>
      <c r="Q22" s="3621">
        <f>년간!I47</f>
        <v>0</v>
      </c>
      <c r="R22" s="3621">
        <f>년간!J47</f>
        <v>0</v>
      </c>
      <c r="S22" s="3621">
        <f>년간!K47</f>
        <v>2</v>
      </c>
      <c r="T22" s="3621">
        <f>년간!L47</f>
        <v>1</v>
      </c>
      <c r="U22" s="3621">
        <f>년간!M47</f>
        <v>0</v>
      </c>
      <c r="V22" s="3621">
        <f>년간!N47</f>
        <v>2</v>
      </c>
      <c r="W22" s="5516">
        <f>년간!O47</f>
        <v>0</v>
      </c>
      <c r="X22" s="5360">
        <f>년간!P47</f>
        <v>0</v>
      </c>
      <c r="Y22" s="6853">
        <f>년간!Q47</f>
        <v>0</v>
      </c>
      <c r="Z22" s="3624">
        <f t="shared" si="1"/>
        <v>7</v>
      </c>
      <c r="AA22" s="5133"/>
      <c r="AB22" s="4151"/>
      <c r="AC22" s="4151"/>
      <c r="AD22" s="4151"/>
      <c r="AE22" s="4151"/>
      <c r="AF22" s="4151"/>
      <c r="AG22" s="4151"/>
      <c r="AH22" s="4151"/>
      <c r="AI22" s="4151"/>
      <c r="AJ22" s="4151"/>
      <c r="AK22" s="4151"/>
      <c r="AL22" s="4151"/>
      <c r="AM22" s="4151"/>
      <c r="AN22" s="4151"/>
      <c r="AO22" s="4163"/>
      <c r="AP22" s="4164"/>
      <c r="AQ22" s="314"/>
    </row>
    <row r="23" spans="1:43" s="354" customFormat="1" ht="15.75" customHeight="1" thickBot="1">
      <c r="A23" s="7212"/>
      <c r="B23" s="7211"/>
      <c r="C23" s="915" t="s">
        <v>791</v>
      </c>
      <c r="D23" s="1087"/>
      <c r="E23" s="1088"/>
      <c r="F23" s="1088"/>
      <c r="G23" s="1088">
        <v>7.5666666666666664</v>
      </c>
      <c r="H23" s="1088">
        <v>19</v>
      </c>
      <c r="I23" s="1089">
        <v>35</v>
      </c>
      <c r="J23" s="2467">
        <v>19.52</v>
      </c>
      <c r="K23" s="2467">
        <v>27.916666666666668</v>
      </c>
      <c r="L23" s="3761">
        <f>년간!D57/60</f>
        <v>22.840909090909026</v>
      </c>
      <c r="M23" s="2948">
        <f t="shared" si="4"/>
        <v>2.2840909090909025</v>
      </c>
      <c r="N23" s="4179">
        <f>년간!F57/60</f>
        <v>0</v>
      </c>
      <c r="O23" s="2432">
        <f>년간!G57/60</f>
        <v>8.3333333333333329E-2</v>
      </c>
      <c r="P23" s="2432">
        <f>년간!H57/60</f>
        <v>1</v>
      </c>
      <c r="Q23" s="2432">
        <f>년간!I57/60</f>
        <v>0</v>
      </c>
      <c r="R23" s="2432">
        <f>년간!J57/60</f>
        <v>0</v>
      </c>
      <c r="S23" s="2432">
        <f>년간!K57/60</f>
        <v>1.5333333333333334</v>
      </c>
      <c r="T23" s="2432">
        <f>년간!L57/60</f>
        <v>0.25</v>
      </c>
      <c r="U23" s="2432">
        <f>년간!M57/60</f>
        <v>0</v>
      </c>
      <c r="V23" s="2432">
        <f>년간!N57/60</f>
        <v>0.18333333333333332</v>
      </c>
      <c r="W23" s="5518">
        <f>년간!O57/60</f>
        <v>0</v>
      </c>
      <c r="X23" s="5362">
        <f>년간!P57/60</f>
        <v>0</v>
      </c>
      <c r="Y23" s="6855">
        <f>년간!Q57/60</f>
        <v>0</v>
      </c>
      <c r="Z23" s="2431">
        <f t="shared" si="1"/>
        <v>3.05</v>
      </c>
      <c r="AA23" s="5142">
        <f>년간!F184/1000</f>
        <v>5019.7178691611789</v>
      </c>
      <c r="AB23" s="3276">
        <f>년간!G184/1000</f>
        <v>5007.9705813542414</v>
      </c>
      <c r="AC23" s="3276">
        <f>년간!H184/1000</f>
        <v>3536.6637131764305</v>
      </c>
      <c r="AD23" s="3276">
        <f>년간!I184/1000</f>
        <v>4750.344239123574</v>
      </c>
      <c r="AE23" s="3276">
        <f>년간!J184/1000</f>
        <v>4849.1279918428945</v>
      </c>
      <c r="AF23" s="3276">
        <f>년간!K184/1000</f>
        <v>1654.2893824620428</v>
      </c>
      <c r="AG23" s="3276">
        <f>년간!L184/1000</f>
        <v>5441.5915733672673</v>
      </c>
      <c r="AH23" s="3276">
        <f>년간!M184/1000</f>
        <v>5616.1784630262146</v>
      </c>
      <c r="AI23" s="3276">
        <f>년간!N184/1000</f>
        <v>5111.1854540280201</v>
      </c>
      <c r="AJ23" s="3276">
        <f>년간!O184/1000</f>
        <v>5979.369814736111</v>
      </c>
      <c r="AK23" s="3276">
        <f>년간!P184/1000</f>
        <v>408.01984818850229</v>
      </c>
      <c r="AL23" s="3276" t="e">
        <f>년간!Q184/1000</f>
        <v>#DIV/0!</v>
      </c>
      <c r="AM23" s="3276">
        <f>년간!E184/1000</f>
        <v>5194.1707909971092</v>
      </c>
      <c r="AN23" s="3276">
        <f>AA23+AB23+AC23+AD23+AE23+AF23+AG23+AH23+AI23+AJ23+AK23</f>
        <v>47374.458930466477</v>
      </c>
      <c r="AO23" s="4180">
        <f t="shared" si="5"/>
        <v>9.1206971885828469</v>
      </c>
      <c r="AP23" s="3278"/>
      <c r="AQ23" s="314"/>
    </row>
    <row r="24" spans="1:43" s="354" customFormat="1" ht="15.75" customHeight="1">
      <c r="A24" s="7447" t="s">
        <v>313</v>
      </c>
      <c r="B24" s="1055" t="s">
        <v>314</v>
      </c>
      <c r="C24" s="917" t="s">
        <v>294</v>
      </c>
      <c r="D24" s="1056">
        <v>103.82</v>
      </c>
      <c r="E24" s="1057">
        <v>103.88</v>
      </c>
      <c r="F24" s="1057">
        <v>104.1</v>
      </c>
      <c r="G24" s="1057">
        <v>103.62</v>
      </c>
      <c r="H24" s="1057">
        <v>102.28</v>
      </c>
      <c r="I24" s="1059">
        <v>101.81</v>
      </c>
      <c r="J24" s="1059">
        <v>101.58</v>
      </c>
      <c r="K24" s="1059">
        <v>99.984010721754942</v>
      </c>
      <c r="L24" s="1056">
        <v>100</v>
      </c>
      <c r="M24" s="1546">
        <f t="shared" ref="M24:M32" si="6">L24</f>
        <v>100</v>
      </c>
      <c r="N24" s="4181">
        <v>99.622247799999997</v>
      </c>
      <c r="O24" s="1059">
        <v>100.06858792211101</v>
      </c>
      <c r="P24" s="1059">
        <v>100.7185573</v>
      </c>
      <c r="Q24" s="1059">
        <v>100.8135599</v>
      </c>
      <c r="R24" s="1059">
        <v>100.5854544</v>
      </c>
      <c r="S24" s="1059">
        <v>100.080066</v>
      </c>
      <c r="T24" s="1059">
        <v>100.220308</v>
      </c>
      <c r="U24" s="1059">
        <v>100.20377581177</v>
      </c>
      <c r="V24" s="1059">
        <v>100.71383498362999</v>
      </c>
      <c r="W24" s="5519">
        <v>100.346099148183</v>
      </c>
      <c r="X24" s="5363"/>
      <c r="Y24" s="6675"/>
      <c r="Z24" s="1878">
        <f t="shared" ref="Z24:Z41" si="7">AVERAGE(N24:Y24)</f>
        <v>100.3372491265694</v>
      </c>
      <c r="AA24" s="5143">
        <f>($K$24-N24)/100*32.89*N5*3228.24/1000</f>
        <v>9502.1259669158953</v>
      </c>
      <c r="AB24" s="4761">
        <f>($K$24-O24)/100*32.89*O5*3228.24/1000</f>
        <v>-2210.9862174032073</v>
      </c>
      <c r="AC24" s="4761">
        <f t="shared" ref="AC24:AL24" si="8">($K$24-P24)/100*32.89*P5*3228.24/1000</f>
        <v>-21001.464393208895</v>
      </c>
      <c r="AD24" s="4761">
        <f t="shared" si="8"/>
        <v>-21750.235950475198</v>
      </c>
      <c r="AE24" s="4761">
        <f t="shared" si="8"/>
        <v>-14567.274558024737</v>
      </c>
      <c r="AF24" s="4761">
        <f t="shared" si="8"/>
        <v>-2548.7082970768656</v>
      </c>
      <c r="AG24" s="4761">
        <f t="shared" si="8"/>
        <v>-7739.7756381341514</v>
      </c>
      <c r="AH24" s="4761">
        <f t="shared" si="8"/>
        <v>-6470.6906138933582</v>
      </c>
      <c r="AI24" s="4761">
        <f t="shared" si="8"/>
        <v>-22678.639204469258</v>
      </c>
      <c r="AJ24" s="4761">
        <f t="shared" si="8"/>
        <v>-10460.34235015724</v>
      </c>
      <c r="AK24" s="4761">
        <f t="shared" si="8"/>
        <v>141561.38207548391</v>
      </c>
      <c r="AL24" s="4761">
        <f t="shared" si="8"/>
        <v>0</v>
      </c>
      <c r="AM24" s="4761">
        <f>($K$24-L24)/100*32.89*L5*3228.24/1000</f>
        <v>-4643.6931414636501</v>
      </c>
      <c r="AN24" s="4761">
        <f>SUM(AA24:AL24)</f>
        <v>41635.390819556895</v>
      </c>
      <c r="AO24" s="3881">
        <f>AN24/AM24</f>
        <v>-8.9660082075177332</v>
      </c>
      <c r="AP24" s="1060" t="s">
        <v>1379</v>
      </c>
      <c r="AQ24" s="314"/>
    </row>
    <row r="25" spans="1:43" s="354" customFormat="1" ht="15.75" customHeight="1" thickBot="1">
      <c r="A25" s="7442"/>
      <c r="B25" s="1050" t="s">
        <v>315</v>
      </c>
      <c r="C25" s="936" t="s">
        <v>311</v>
      </c>
      <c r="D25" s="1051">
        <v>6.0291210618090219</v>
      </c>
      <c r="E25" s="937">
        <v>5.969108417572941</v>
      </c>
      <c r="F25" s="937">
        <v>4.2878337453015725</v>
      </c>
      <c r="G25" s="937">
        <v>5.4081180600117547</v>
      </c>
      <c r="H25" s="937">
        <v>5.35</v>
      </c>
      <c r="I25" s="1054">
        <v>4.5</v>
      </c>
      <c r="J25" s="1590">
        <v>4.18</v>
      </c>
      <c r="K25" s="1590">
        <v>4.1374715776825299</v>
      </c>
      <c r="L25" s="2089">
        <v>3.5</v>
      </c>
      <c r="M25" s="1545">
        <f t="shared" si="6"/>
        <v>3.5</v>
      </c>
      <c r="N25" s="4167">
        <v>3.80206434275172</v>
      </c>
      <c r="O25" s="3484">
        <v>4.8069420836404904</v>
      </c>
      <c r="P25" s="3484">
        <v>5.9326465085499098</v>
      </c>
      <c r="Q25" s="3484">
        <v>3.97261849417916</v>
      </c>
      <c r="R25" s="3484">
        <v>5.4446246168049504</v>
      </c>
      <c r="S25" s="3484">
        <v>4.6098125783057897</v>
      </c>
      <c r="T25" s="3484">
        <v>4.36157894668598</v>
      </c>
      <c r="U25" s="3484">
        <v>3.4564467871272302</v>
      </c>
      <c r="V25" s="3484">
        <v>2.9983209402734499</v>
      </c>
      <c r="W25" s="5470">
        <v>3.3739692027913502</v>
      </c>
      <c r="X25" s="5313"/>
      <c r="Y25" s="6635"/>
      <c r="Z25" s="2337">
        <f t="shared" si="7"/>
        <v>4.275902450111003</v>
      </c>
      <c r="AA25" s="5286">
        <f t="shared" ref="AA25:AL25" si="9">($K$25-N25)*645.648*N5/1000</f>
        <v>5357.1681654369731</v>
      </c>
      <c r="AB25" s="3234">
        <f t="shared" si="9"/>
        <v>-10642.172665290196</v>
      </c>
      <c r="AC25" s="3234">
        <f t="shared" si="9"/>
        <v>-31210.673130931995</v>
      </c>
      <c r="AD25" s="3234">
        <f t="shared" si="9"/>
        <v>2628.361107447859</v>
      </c>
      <c r="AE25" s="3234">
        <f t="shared" si="9"/>
        <v>-19252.002104160212</v>
      </c>
      <c r="AF25" s="3234">
        <f t="shared" si="9"/>
        <v>-7621.1527432602606</v>
      </c>
      <c r="AG25" s="3234">
        <f t="shared" si="9"/>
        <v>-4463.6682708326261</v>
      </c>
      <c r="AH25" s="3234">
        <f t="shared" si="9"/>
        <v>12193.291976668226</v>
      </c>
      <c r="AI25" s="3234">
        <f t="shared" si="9"/>
        <v>21525.139505818061</v>
      </c>
      <c r="AJ25" s="3234">
        <f t="shared" si="9"/>
        <v>13412.439298472706</v>
      </c>
      <c r="AK25" s="3234">
        <f t="shared" si="9"/>
        <v>3562.1761021851457</v>
      </c>
      <c r="AL25" s="3234">
        <f t="shared" si="9"/>
        <v>0</v>
      </c>
      <c r="AM25" s="4703">
        <f>($K$25-L25)*645.648*L5/1000</f>
        <v>112580.09262027605</v>
      </c>
      <c r="AN25" s="4703">
        <f>SUM(AA25:AL25)</f>
        <v>-14511.092758446324</v>
      </c>
      <c r="AO25" s="4168">
        <f>AN25/AM25</f>
        <v>-0.12889572588460305</v>
      </c>
      <c r="AP25" s="4182" t="s">
        <v>1380</v>
      </c>
      <c r="AQ25" s="314"/>
    </row>
    <row r="26" spans="1:43" s="354" customFormat="1" ht="15.75" customHeight="1">
      <c r="A26" s="7449" t="s">
        <v>300</v>
      </c>
      <c r="B26" s="7452" t="s">
        <v>316</v>
      </c>
      <c r="C26" s="926" t="s">
        <v>317</v>
      </c>
      <c r="D26" s="1071">
        <v>20.02</v>
      </c>
      <c r="E26" s="1072">
        <v>18.89</v>
      </c>
      <c r="F26" s="1072">
        <v>18.96</v>
      </c>
      <c r="G26" s="1072">
        <v>19.028502392263018</v>
      </c>
      <c r="H26" s="1072">
        <v>19.101947616711083</v>
      </c>
      <c r="I26" s="1090">
        <v>20.55</v>
      </c>
      <c r="J26" s="1090">
        <v>20.22</v>
      </c>
      <c r="K26" s="1090">
        <v>19.778588486790369</v>
      </c>
      <c r="L26" s="1071">
        <v>19</v>
      </c>
      <c r="M26" s="1548">
        <f t="shared" si="6"/>
        <v>19</v>
      </c>
      <c r="N26" s="4169">
        <v>19.843488637383409</v>
      </c>
      <c r="O26" s="1090">
        <v>18.508702989539355</v>
      </c>
      <c r="P26" s="1090">
        <v>20.58138472610813</v>
      </c>
      <c r="Q26" s="1090">
        <v>18.97166279798688</v>
      </c>
      <c r="R26" s="1090">
        <v>19.389789969879214</v>
      </c>
      <c r="S26" s="1090">
        <v>21.213221038512344</v>
      </c>
      <c r="T26" s="1090">
        <v>19.295262200427114</v>
      </c>
      <c r="U26" s="1090">
        <v>20.093297017502927</v>
      </c>
      <c r="V26" s="1090">
        <v>18.665752306913255</v>
      </c>
      <c r="W26" s="5507">
        <v>21.003877124305038</v>
      </c>
      <c r="X26" s="5352">
        <v>41.579363377163709</v>
      </c>
      <c r="Y26" s="6848"/>
      <c r="Z26" s="1879">
        <f>AVERAGE(N26:Y26)</f>
        <v>21.740527471429214</v>
      </c>
      <c r="AA26" s="5136">
        <f>($K$26-N26)*604.35*N5/1000</f>
        <v>-970.28937103457781</v>
      </c>
      <c r="AB26" s="4701">
        <f t="shared" ref="AB26:AL26" si="10">($K$26-O26)*604.35*O5/1000</f>
        <v>18895.401829496299</v>
      </c>
      <c r="AC26" s="4701">
        <f t="shared" si="10"/>
        <v>-13064.548524555328</v>
      </c>
      <c r="AD26" s="4701">
        <f t="shared" si="10"/>
        <v>12042.432352082624</v>
      </c>
      <c r="AE26" s="4701">
        <f t="shared" si="10"/>
        <v>5360.0245579605098</v>
      </c>
      <c r="AF26" s="4701">
        <f t="shared" si="10"/>
        <v>-21666.981757434114</v>
      </c>
      <c r="AG26" s="4701">
        <f t="shared" si="10"/>
        <v>9010.9152737976237</v>
      </c>
      <c r="AH26" s="4701">
        <f t="shared" si="10"/>
        <v>-5274.2326612064298</v>
      </c>
      <c r="AI26" s="4701">
        <f t="shared" si="10"/>
        <v>19682.88569717262</v>
      </c>
      <c r="AJ26" s="4701">
        <f t="shared" si="10"/>
        <v>-20147.840297323099</v>
      </c>
      <c r="AK26" s="4701">
        <f t="shared" si="10"/>
        <v>-17568.917731957739</v>
      </c>
      <c r="AL26" s="4701">
        <f t="shared" si="10"/>
        <v>0</v>
      </c>
      <c r="AM26" s="4701">
        <f>(K$26-L26)*604.35*L5/1000</f>
        <v>128706.79306830597</v>
      </c>
      <c r="AN26" s="4701">
        <f>SUM(AA26:AL26)</f>
        <v>-13701.150633001613</v>
      </c>
      <c r="AO26" s="1075">
        <f>AN26/AM26</f>
        <v>-0.10645242808380966</v>
      </c>
      <c r="AP26" s="934" t="s">
        <v>1414</v>
      </c>
      <c r="AQ26" s="314"/>
    </row>
    <row r="27" spans="1:43" s="354" customFormat="1" ht="15.75" customHeight="1">
      <c r="A27" s="7450"/>
      <c r="B27" s="7453"/>
      <c r="C27" s="973" t="s">
        <v>796</v>
      </c>
      <c r="D27" s="1046"/>
      <c r="E27" s="1091"/>
      <c r="F27" s="1091"/>
      <c r="G27" s="1092">
        <v>13826</v>
      </c>
      <c r="H27" s="1092">
        <v>10697</v>
      </c>
      <c r="I27" s="1043">
        <v>12092</v>
      </c>
      <c r="J27" s="2180">
        <v>11574.74</v>
      </c>
      <c r="K27" s="2180">
        <v>11976.65438949101</v>
      </c>
      <c r="L27" s="3141">
        <v>11409.32</v>
      </c>
      <c r="M27" s="3142">
        <f t="shared" si="6"/>
        <v>11409.32</v>
      </c>
      <c r="N27" s="4183">
        <v>12608.029218830508</v>
      </c>
      <c r="O27" s="3623">
        <v>11860.669410952254</v>
      </c>
      <c r="P27" s="3623">
        <v>13078.456583392281</v>
      </c>
      <c r="Q27" s="3623">
        <v>11681.069231386396</v>
      </c>
      <c r="R27" s="3623">
        <v>12014.182122535154</v>
      </c>
      <c r="S27" s="3623">
        <v>12904.174130999063</v>
      </c>
      <c r="T27" s="3623">
        <v>9884.8000275363265</v>
      </c>
      <c r="U27" s="3623">
        <v>10611.639724714776</v>
      </c>
      <c r="V27" s="3623">
        <v>8981.9880960983774</v>
      </c>
      <c r="W27" s="5520">
        <v>9311.0660601990057</v>
      </c>
      <c r="X27" s="5364">
        <v>18294.010891143636</v>
      </c>
      <c r="Y27" s="6856"/>
      <c r="Z27" s="3484">
        <f t="shared" si="7"/>
        <v>11930.007772526162</v>
      </c>
      <c r="AA27" s="5133"/>
      <c r="AB27" s="4151"/>
      <c r="AC27" s="4151"/>
      <c r="AD27" s="4151"/>
      <c r="AE27" s="4151"/>
      <c r="AF27" s="4151"/>
      <c r="AG27" s="4151"/>
      <c r="AH27" s="4151"/>
      <c r="AI27" s="4151"/>
      <c r="AJ27" s="4151"/>
      <c r="AK27" s="4151"/>
      <c r="AL27" s="4151"/>
      <c r="AM27" s="4151"/>
      <c r="AN27" s="4151"/>
      <c r="AO27" s="4163"/>
      <c r="AP27" s="4164"/>
      <c r="AQ27" s="314"/>
    </row>
    <row r="28" spans="1:43" s="354" customFormat="1" ht="15.75" customHeight="1">
      <c r="A28" s="7450"/>
      <c r="B28" s="7454" t="s">
        <v>318</v>
      </c>
      <c r="C28" s="973" t="s">
        <v>319</v>
      </c>
      <c r="D28" s="1046">
        <v>75.48</v>
      </c>
      <c r="E28" s="1091">
        <v>70.39</v>
      </c>
      <c r="F28" s="1091">
        <v>75.72</v>
      </c>
      <c r="G28" s="1091">
        <v>80.17</v>
      </c>
      <c r="H28" s="1091">
        <v>81.21731478694231</v>
      </c>
      <c r="I28" s="1042">
        <v>85.08</v>
      </c>
      <c r="J28" s="2176">
        <v>82.8</v>
      </c>
      <c r="K28" s="2176">
        <v>82.462816674231007</v>
      </c>
      <c r="L28" s="3143">
        <f>K28*0.985</f>
        <v>81.225874424117535</v>
      </c>
      <c r="M28" s="3127">
        <f t="shared" si="6"/>
        <v>81.225874424117535</v>
      </c>
      <c r="N28" s="4165">
        <v>79.290355297528436</v>
      </c>
      <c r="O28" s="3617">
        <v>78.765102545199298</v>
      </c>
      <c r="P28" s="3617">
        <v>78.709590987448664</v>
      </c>
      <c r="Q28" s="3617">
        <v>76.58236562344598</v>
      </c>
      <c r="R28" s="3617">
        <v>82.539588602059794</v>
      </c>
      <c r="S28" s="3617">
        <v>74.823900757777963</v>
      </c>
      <c r="T28" s="3617">
        <v>69.994703218135356</v>
      </c>
      <c r="U28" s="3617">
        <v>74.467009414445101</v>
      </c>
      <c r="V28" s="3617">
        <v>64.833699111404613</v>
      </c>
      <c r="W28" s="5506">
        <v>71.735139925999434</v>
      </c>
      <c r="X28" s="5351">
        <v>349.79191570291516</v>
      </c>
      <c r="Y28" s="5969"/>
      <c r="Z28" s="3484">
        <f t="shared" si="7"/>
        <v>100.13939738057816</v>
      </c>
      <c r="AA28" s="5144">
        <f>($K$28-N28)*101.42*N5/1000</f>
        <v>7959.5220951737701</v>
      </c>
      <c r="AB28" s="4702">
        <f t="shared" ref="AB28:AL28" si="11">($K$28-O28)*101.42*O5/1000</f>
        <v>9233.3645195545905</v>
      </c>
      <c r="AC28" s="4702">
        <f t="shared" si="11"/>
        <v>10250.117328931699</v>
      </c>
      <c r="AD28" s="4702">
        <f t="shared" si="11"/>
        <v>14727.410519334651</v>
      </c>
      <c r="AE28" s="4702">
        <f t="shared" si="11"/>
        <v>-177.61502692551466</v>
      </c>
      <c r="AF28" s="4702">
        <f t="shared" si="11"/>
        <v>19360.85562324911</v>
      </c>
      <c r="AG28" s="4702">
        <f t="shared" si="11"/>
        <v>39008.954980874201</v>
      </c>
      <c r="AH28" s="4702">
        <f t="shared" si="11"/>
        <v>22487.861874002112</v>
      </c>
      <c r="AI28" s="4702">
        <f t="shared" si="11"/>
        <v>52326.680810029968</v>
      </c>
      <c r="AJ28" s="4702">
        <f t="shared" si="11"/>
        <v>29602.667830022521</v>
      </c>
      <c r="AK28" s="4702">
        <f t="shared" si="11"/>
        <v>-36153.836792074966</v>
      </c>
      <c r="AL28" s="4702">
        <f t="shared" si="11"/>
        <v>0</v>
      </c>
      <c r="AM28" s="4702">
        <f>(K28-L28)*101.42*L5/1000</f>
        <v>34314.525322770227</v>
      </c>
      <c r="AN28" s="4702">
        <f>SUM(AA28:AL28)</f>
        <v>168625.98376217214</v>
      </c>
      <c r="AO28" s="4166">
        <f>AN28/AM28</f>
        <v>4.9141284099382929</v>
      </c>
      <c r="AP28" s="3753" t="s">
        <v>1413</v>
      </c>
      <c r="AQ28" s="1534"/>
    </row>
    <row r="29" spans="1:43" s="354" customFormat="1" ht="15.75" customHeight="1">
      <c r="A29" s="7450"/>
      <c r="B29" s="7453"/>
      <c r="C29" s="973" t="s">
        <v>796</v>
      </c>
      <c r="D29" s="1046"/>
      <c r="E29" s="1091"/>
      <c r="F29" s="1091"/>
      <c r="G29" s="1092">
        <v>8430</v>
      </c>
      <c r="H29" s="1092">
        <v>8310</v>
      </c>
      <c r="I29" s="1043">
        <v>8913</v>
      </c>
      <c r="J29" s="2180">
        <v>8445.14</v>
      </c>
      <c r="K29" s="2180">
        <v>8428.0276622529946</v>
      </c>
      <c r="L29" s="3141">
        <f>K29*0.985</f>
        <v>8301.6072473191998</v>
      </c>
      <c r="M29" s="3142">
        <f t="shared" si="6"/>
        <v>8301.6072473191998</v>
      </c>
      <c r="N29" s="4183">
        <v>9637.891110827044</v>
      </c>
      <c r="O29" s="2181">
        <v>8828.7027439707108</v>
      </c>
      <c r="P29" s="3623">
        <v>7013.5746430152576</v>
      </c>
      <c r="Q29" s="3623">
        <v>6817.2064461635991</v>
      </c>
      <c r="R29" s="3623">
        <v>7338.9236187083561</v>
      </c>
      <c r="S29" s="3623">
        <v>8722.8327519735867</v>
      </c>
      <c r="T29" s="3623">
        <v>8249.3938608850949</v>
      </c>
      <c r="U29" s="3623">
        <v>8647.7884479914519</v>
      </c>
      <c r="V29" s="3623">
        <v>6032.4878970357595</v>
      </c>
      <c r="W29" s="5520">
        <v>6381.8886884681342</v>
      </c>
      <c r="X29" s="5364">
        <v>50444.188676834325</v>
      </c>
      <c r="Y29" s="6856"/>
      <c r="Z29" s="3484">
        <f t="shared" si="7"/>
        <v>11646.807171443028</v>
      </c>
      <c r="AA29" s="5133"/>
      <c r="AB29" s="4151"/>
      <c r="AC29" s="4151"/>
      <c r="AD29" s="4151"/>
      <c r="AE29" s="4151"/>
      <c r="AF29" s="4151"/>
      <c r="AG29" s="4151"/>
      <c r="AH29" s="4151"/>
      <c r="AI29" s="4151"/>
      <c r="AJ29" s="4151"/>
      <c r="AK29" s="4151"/>
      <c r="AL29" s="4151"/>
      <c r="AM29" s="4151"/>
      <c r="AN29" s="4151"/>
      <c r="AO29" s="4163"/>
      <c r="AP29" s="4164"/>
      <c r="AQ29" s="314"/>
    </row>
    <row r="30" spans="1:43" s="354" customFormat="1" ht="15.75" customHeight="1">
      <c r="A30" s="7450"/>
      <c r="B30" s="1094" t="s">
        <v>320</v>
      </c>
      <c r="C30" s="973" t="s">
        <v>321</v>
      </c>
      <c r="D30" s="1047">
        <v>10.3</v>
      </c>
      <c r="E30" s="1095">
        <v>12.67</v>
      </c>
      <c r="F30" s="1095">
        <v>8.89</v>
      </c>
      <c r="G30" s="1091">
        <v>10.385022137857394</v>
      </c>
      <c r="H30" s="1091">
        <v>12.894324301022847</v>
      </c>
      <c r="I30" s="1042">
        <v>12.42</v>
      </c>
      <c r="J30" s="2176">
        <v>11.36</v>
      </c>
      <c r="K30" s="2176">
        <v>10.144948041854921</v>
      </c>
      <c r="L30" s="3143">
        <v>9.2200000000000006</v>
      </c>
      <c r="M30" s="3127">
        <f t="shared" si="6"/>
        <v>9.2200000000000006</v>
      </c>
      <c r="N30" s="4165">
        <v>7.5021808430221499</v>
      </c>
      <c r="O30" s="2182">
        <v>9.6219261317135683</v>
      </c>
      <c r="P30" s="3617">
        <v>7.8160917832810597</v>
      </c>
      <c r="Q30" s="3617">
        <v>8.1108639979525403</v>
      </c>
      <c r="R30" s="3617">
        <v>7.8793625489999997</v>
      </c>
      <c r="S30" s="3617">
        <v>10.6345815174527</v>
      </c>
      <c r="T30" s="3617">
        <v>8.9711406428490896</v>
      </c>
      <c r="U30" s="3617">
        <v>10.520796558626699</v>
      </c>
      <c r="V30" s="3617">
        <v>8.408829517008936</v>
      </c>
      <c r="W30" s="5506">
        <v>10.6406829384111</v>
      </c>
      <c r="X30" s="5351"/>
      <c r="Y30" s="5969"/>
      <c r="Z30" s="3484">
        <f t="shared" si="7"/>
        <v>9.0106456479317849</v>
      </c>
      <c r="AA30" s="5144">
        <f t="shared" ref="AA30:AL30" si="12">($K$30-N30)*180*N5/1000</f>
        <v>11767.886091383925</v>
      </c>
      <c r="AB30" s="4702">
        <f t="shared" si="12"/>
        <v>2317.9039193346698</v>
      </c>
      <c r="AC30" s="4702">
        <f t="shared" si="12"/>
        <v>11287.967216850007</v>
      </c>
      <c r="AD30" s="4702">
        <f t="shared" si="12"/>
        <v>9041.3554938276829</v>
      </c>
      <c r="AE30" s="4702">
        <f t="shared" si="12"/>
        <v>9302.64854659292</v>
      </c>
      <c r="AF30" s="4702">
        <f t="shared" si="12"/>
        <v>-2202.4842827182847</v>
      </c>
      <c r="AG30" s="4702">
        <f t="shared" si="12"/>
        <v>6517.924298521013</v>
      </c>
      <c r="AH30" s="4702">
        <f t="shared" si="12"/>
        <v>-1876.0637322737409</v>
      </c>
      <c r="AI30" s="4702">
        <f t="shared" si="12"/>
        <v>9145.7828051727665</v>
      </c>
      <c r="AJ30" s="4702">
        <f t="shared" si="12"/>
        <v>-2427.8595737973219</v>
      </c>
      <c r="AK30" s="4702">
        <f t="shared" si="12"/>
        <v>2435.0444001296005</v>
      </c>
      <c r="AL30" s="4702">
        <f t="shared" si="12"/>
        <v>0</v>
      </c>
      <c r="AM30" s="4702">
        <f>(K30-L30)*180*L5/1000</f>
        <v>45540.18681994373</v>
      </c>
      <c r="AN30" s="4702">
        <f>SUM(AA30:AL30)</f>
        <v>55310.105183023246</v>
      </c>
      <c r="AO30" s="4166">
        <f>AN30/AM30</f>
        <v>1.214533998327844</v>
      </c>
      <c r="AP30" s="3753" t="s">
        <v>1129</v>
      </c>
      <c r="AQ30" s="314"/>
    </row>
    <row r="31" spans="1:43" s="354" customFormat="1" ht="15.75" customHeight="1">
      <c r="A31" s="7450"/>
      <c r="B31" s="1094" t="s">
        <v>322</v>
      </c>
      <c r="C31" s="973" t="s">
        <v>317</v>
      </c>
      <c r="D31" s="1047">
        <v>1.25</v>
      </c>
      <c r="E31" s="1095">
        <v>1.3</v>
      </c>
      <c r="F31" s="1095">
        <v>1.1200000000000001</v>
      </c>
      <c r="G31" s="1095">
        <v>1.18</v>
      </c>
      <c r="H31" s="1091">
        <v>1.3297110344024723</v>
      </c>
      <c r="I31" s="1042">
        <v>1.18</v>
      </c>
      <c r="J31" s="2176">
        <v>1.05</v>
      </c>
      <c r="K31" s="2176">
        <v>0.95723359147669773</v>
      </c>
      <c r="L31" s="3144">
        <v>0.96</v>
      </c>
      <c r="M31" s="3145">
        <f t="shared" si="6"/>
        <v>0.96</v>
      </c>
      <c r="N31" s="4165">
        <v>0.78255681308295599</v>
      </c>
      <c r="O31" s="2182">
        <v>0.95106383410808326</v>
      </c>
      <c r="P31" s="3617">
        <v>0.94764588837252794</v>
      </c>
      <c r="Q31" s="3617">
        <v>0.84911176947959899</v>
      </c>
      <c r="R31" s="3617">
        <v>0.92321895700000001</v>
      </c>
      <c r="S31" s="3617">
        <v>1.1012730205516801</v>
      </c>
      <c r="T31" s="3617">
        <v>0.80022250373756998</v>
      </c>
      <c r="U31" s="3617">
        <v>0.98720591804272395</v>
      </c>
      <c r="V31" s="3617">
        <v>0.92102268883271499</v>
      </c>
      <c r="W31" s="5506">
        <v>1.0561479195143</v>
      </c>
      <c r="X31" s="5351"/>
      <c r="Y31" s="5969"/>
      <c r="Z31" s="3484">
        <f t="shared" si="7"/>
        <v>0.93194693127221551</v>
      </c>
      <c r="AA31" s="5144">
        <f t="shared" ref="AA31:AL31" si="13">($K$31-N31)*570*N5/1000</f>
        <v>2463.0718012324141</v>
      </c>
      <c r="AB31" s="4702">
        <f t="shared" si="13"/>
        <v>86.585662304159399</v>
      </c>
      <c r="AC31" s="4702">
        <f t="shared" si="13"/>
        <v>147.16006913980863</v>
      </c>
      <c r="AD31" s="4702">
        <f t="shared" si="13"/>
        <v>1521.8798204434647</v>
      </c>
      <c r="AE31" s="4702">
        <f t="shared" si="13"/>
        <v>442.27696170474189</v>
      </c>
      <c r="AF31" s="4702">
        <f t="shared" si="13"/>
        <v>-2051.7547969934485</v>
      </c>
      <c r="AG31" s="4702">
        <f t="shared" si="13"/>
        <v>2760.8648163230796</v>
      </c>
      <c r="AH31" s="4702">
        <f t="shared" si="13"/>
        <v>-473.75908747391981</v>
      </c>
      <c r="AI31" s="4702">
        <f t="shared" si="13"/>
        <v>604.0643610454282</v>
      </c>
      <c r="AJ31" s="4702">
        <f t="shared" si="13"/>
        <v>-1534.0362693926008</v>
      </c>
      <c r="AK31" s="4702">
        <f t="shared" si="13"/>
        <v>727.57428051165482</v>
      </c>
      <c r="AL31" s="4702">
        <f t="shared" si="13"/>
        <v>0</v>
      </c>
      <c r="AM31" s="4702">
        <f>(K31-L31)*570*L5/1000</f>
        <v>-431.31656232595009</v>
      </c>
      <c r="AN31" s="4702">
        <f t="shared" ref="AN31:AN37" si="14">SUM(AA31:AL31)</f>
        <v>4693.927618844783</v>
      </c>
      <c r="AO31" s="4166">
        <f>AN31/AM31</f>
        <v>-10.882790110196456</v>
      </c>
      <c r="AP31" s="3753" t="s">
        <v>618</v>
      </c>
      <c r="AQ31" s="314"/>
    </row>
    <row r="32" spans="1:43" s="354" customFormat="1" ht="15.75" customHeight="1" thickBot="1">
      <c r="A32" s="7451"/>
      <c r="B32" s="1076" t="s">
        <v>323</v>
      </c>
      <c r="C32" s="915" t="s">
        <v>324</v>
      </c>
      <c r="D32" s="842">
        <v>0.17</v>
      </c>
      <c r="E32" s="1096">
        <v>0.34</v>
      </c>
      <c r="F32" s="1096">
        <v>0.35</v>
      </c>
      <c r="G32" s="1097">
        <v>0.33255950224809949</v>
      </c>
      <c r="H32" s="1097">
        <v>0.24203781851766429</v>
      </c>
      <c r="I32" s="1098">
        <v>0.36</v>
      </c>
      <c r="J32" s="2337">
        <v>0.34</v>
      </c>
      <c r="K32" s="2337">
        <v>0.28923301933330509</v>
      </c>
      <c r="L32" s="3146">
        <v>0.28000000000000003</v>
      </c>
      <c r="M32" s="3147">
        <f t="shared" si="6"/>
        <v>0.28000000000000003</v>
      </c>
      <c r="N32" s="4184">
        <v>0.38673885748888198</v>
      </c>
      <c r="O32" s="2337">
        <v>0.34595068813627478</v>
      </c>
      <c r="P32" s="4185">
        <v>0.35924238834393302</v>
      </c>
      <c r="Q32" s="2337">
        <v>0.20266682854790899</v>
      </c>
      <c r="R32" s="2337">
        <v>0.131625564</v>
      </c>
      <c r="S32" s="2337">
        <v>0.15833597153221199</v>
      </c>
      <c r="T32" s="2337">
        <v>0.159897633410478</v>
      </c>
      <c r="U32" s="2337">
        <v>6.45131278265062E-2</v>
      </c>
      <c r="V32" s="2337">
        <v>0.170067082542979</v>
      </c>
      <c r="W32" s="5521">
        <v>0.183299472088333</v>
      </c>
      <c r="X32" s="5365"/>
      <c r="Y32" s="6857"/>
      <c r="Z32" s="2337">
        <f t="shared" si="7"/>
        <v>0.21623376139175071</v>
      </c>
      <c r="AA32" s="5145">
        <f t="shared" ref="AA32:AL32" si="15">($K$32-N32)*923*N5/1000</f>
        <v>-2226.3803683265332</v>
      </c>
      <c r="AB32" s="3234">
        <f t="shared" si="15"/>
        <v>-1288.9115503196315</v>
      </c>
      <c r="AC32" s="3234">
        <f t="shared" si="15"/>
        <v>-1740.0367263844169</v>
      </c>
      <c r="AD32" s="3234">
        <f t="shared" si="15"/>
        <v>1973.068466603733</v>
      </c>
      <c r="AE32" s="3234">
        <f t="shared" si="15"/>
        <v>3318.4258026340281</v>
      </c>
      <c r="AF32" s="3234">
        <f t="shared" si="15"/>
        <v>3019.26173731479</v>
      </c>
      <c r="AG32" s="3234">
        <f t="shared" si="15"/>
        <v>3682.637986542733</v>
      </c>
      <c r="AH32" s="3234">
        <f t="shared" si="15"/>
        <v>5751.8222909425913</v>
      </c>
      <c r="AI32" s="3234">
        <f t="shared" si="15"/>
        <v>3219.0138087962155</v>
      </c>
      <c r="AJ32" s="3234">
        <f t="shared" si="15"/>
        <v>2660.3377877921012</v>
      </c>
      <c r="AK32" s="3234">
        <f t="shared" si="15"/>
        <v>355.9869884583303</v>
      </c>
      <c r="AL32" s="3234">
        <f t="shared" si="15"/>
        <v>0</v>
      </c>
      <c r="AM32" s="3234">
        <f>(K32-L32)*923*L5/1000</f>
        <v>2331.043679314535</v>
      </c>
      <c r="AN32" s="3234">
        <f t="shared" si="14"/>
        <v>18725.226224053942</v>
      </c>
      <c r="AO32" s="4186">
        <f>AN32/AM32</f>
        <v>8.0329795577062146</v>
      </c>
      <c r="AP32" s="3147" t="s">
        <v>811</v>
      </c>
      <c r="AQ32" s="314"/>
    </row>
    <row r="33" spans="1:43" s="354" customFormat="1" ht="15.75" customHeight="1">
      <c r="A33" s="7447" t="s">
        <v>325</v>
      </c>
      <c r="B33" s="1055" t="s">
        <v>326</v>
      </c>
      <c r="C33" s="917" t="s">
        <v>321</v>
      </c>
      <c r="D33" s="1061">
        <v>2.1800000000000002</v>
      </c>
      <c r="E33" s="896">
        <v>1.02</v>
      </c>
      <c r="F33" s="896">
        <v>1.27</v>
      </c>
      <c r="G33" s="1057">
        <v>1.1929619727718364</v>
      </c>
      <c r="H33" s="1057">
        <v>0.86263579417339953</v>
      </c>
      <c r="I33" s="1059">
        <v>1.03</v>
      </c>
      <c r="J33" s="1059">
        <v>0.93</v>
      </c>
      <c r="K33" s="1059">
        <v>1.5107186589069637</v>
      </c>
      <c r="L33" s="1061">
        <v>1.47</v>
      </c>
      <c r="M33" s="1060">
        <f t="shared" ref="M33:M41" si="16">L33</f>
        <v>1.47</v>
      </c>
      <c r="N33" s="4181">
        <v>0</v>
      </c>
      <c r="O33" s="1059">
        <v>0.827753713</v>
      </c>
      <c r="P33" s="1059">
        <v>0.76166694766519905</v>
      </c>
      <c r="Q33" s="1059">
        <v>0.79209396275376598</v>
      </c>
      <c r="R33" s="1059">
        <v>0.84737998299999995</v>
      </c>
      <c r="S33" s="1059">
        <v>0.77350414182856697</v>
      </c>
      <c r="T33" s="1059">
        <v>1.2616324979934499</v>
      </c>
      <c r="U33" s="1059">
        <v>0.70535314716962605</v>
      </c>
      <c r="V33" s="1059">
        <v>0.67613418536901404</v>
      </c>
      <c r="W33" s="5519">
        <v>1.4397072070996</v>
      </c>
      <c r="X33" s="5363"/>
      <c r="Y33" s="6675"/>
      <c r="Z33" s="1878">
        <f t="shared" si="7"/>
        <v>0.80852257858792209</v>
      </c>
      <c r="AA33" s="5143">
        <f t="shared" ref="AA33:AL33" si="17">($K$33-N33)*458*N5/1000</f>
        <v>17116.545315570944</v>
      </c>
      <c r="AB33" s="4761">
        <f t="shared" si="17"/>
        <v>7701.3512897025284</v>
      </c>
      <c r="AC33" s="4761">
        <f t="shared" si="17"/>
        <v>9237.9972575353277</v>
      </c>
      <c r="AD33" s="4761">
        <f t="shared" si="17"/>
        <v>8127.5521222420675</v>
      </c>
      <c r="AE33" s="4761">
        <f t="shared" si="17"/>
        <v>6930.338556005745</v>
      </c>
      <c r="AF33" s="4761">
        <f t="shared" si="17"/>
        <v>8437.7871775817239</v>
      </c>
      <c r="AG33" s="4761">
        <f t="shared" si="17"/>
        <v>3519.2898854166751</v>
      </c>
      <c r="AH33" s="4761">
        <f t="shared" si="17"/>
        <v>10228.707220687635</v>
      </c>
      <c r="AI33" s="4761">
        <f t="shared" si="17"/>
        <v>11186.771985855004</v>
      </c>
      <c r="AJ33" s="4761">
        <f t="shared" si="17"/>
        <v>884.90253020076352</v>
      </c>
      <c r="AK33" s="4761">
        <f t="shared" si="17"/>
        <v>922.64285625902551</v>
      </c>
      <c r="AL33" s="4761">
        <f t="shared" si="17"/>
        <v>0</v>
      </c>
      <c r="AM33" s="4761">
        <f>(K33-L33)*458*$L$5/1000</f>
        <v>5101.1008450363743</v>
      </c>
      <c r="AN33" s="4761">
        <f t="shared" si="14"/>
        <v>84293.886197057436</v>
      </c>
      <c r="AO33" s="3881">
        <f>AN33/AM33</f>
        <v>16.524646102434851</v>
      </c>
      <c r="AP33" s="1060" t="s">
        <v>327</v>
      </c>
      <c r="AQ33" s="314"/>
    </row>
    <row r="34" spans="1:43" s="354" customFormat="1" ht="15.75" customHeight="1" thickBot="1">
      <c r="A34" s="7442"/>
      <c r="B34" s="1050" t="s">
        <v>328</v>
      </c>
      <c r="C34" s="936" t="s">
        <v>329</v>
      </c>
      <c r="D34" s="1048">
        <v>0.56000000000000005</v>
      </c>
      <c r="E34" s="895">
        <v>0.41</v>
      </c>
      <c r="F34" s="895">
        <v>0.48</v>
      </c>
      <c r="G34" s="937">
        <v>0.48649455339370778</v>
      </c>
      <c r="H34" s="937">
        <v>0.35233195521157751</v>
      </c>
      <c r="I34" s="1054">
        <v>0.31</v>
      </c>
      <c r="J34" s="1590">
        <v>0.27</v>
      </c>
      <c r="K34" s="1590">
        <v>0.27824003334002306</v>
      </c>
      <c r="L34" s="2116">
        <v>0.28999999999999998</v>
      </c>
      <c r="M34" s="1591">
        <f t="shared" si="16"/>
        <v>0.28999999999999998</v>
      </c>
      <c r="N34" s="4167">
        <v>0.40811475721295137</v>
      </c>
      <c r="O34" s="3484">
        <v>0.40851554699999998</v>
      </c>
      <c r="P34" s="3484">
        <v>0.37247779059395197</v>
      </c>
      <c r="Q34" s="3484">
        <v>0</v>
      </c>
      <c r="R34" s="3484">
        <v>0</v>
      </c>
      <c r="S34" s="3484">
        <v>0.398796806904475</v>
      </c>
      <c r="T34" s="3484">
        <v>0.32270173477710101</v>
      </c>
      <c r="U34" s="3484">
        <v>0.35952816346018301</v>
      </c>
      <c r="V34" s="3484">
        <v>0.341347307046516</v>
      </c>
      <c r="W34" s="5470">
        <v>0.36786555284028999</v>
      </c>
      <c r="X34" s="5313"/>
      <c r="Y34" s="6635"/>
      <c r="Z34" s="5638">
        <f t="shared" si="7"/>
        <v>0.29793476598354685</v>
      </c>
      <c r="AA34" s="5135">
        <f t="shared" ref="AA34:AL34" si="18">($K$34-N34)*1980*N5/1000</f>
        <v>-6361.4610212270891</v>
      </c>
      <c r="AB34" s="4703">
        <f t="shared" si="18"/>
        <v>-6350.8378833805809</v>
      </c>
      <c r="AC34" s="4703">
        <f t="shared" si="18"/>
        <v>-5024.47491815386</v>
      </c>
      <c r="AD34" s="4703">
        <f t="shared" si="18"/>
        <v>13604.323615541729</v>
      </c>
      <c r="AE34" s="4703">
        <f t="shared" si="18"/>
        <v>12567.198081508493</v>
      </c>
      <c r="AF34" s="4703">
        <f t="shared" si="18"/>
        <v>-5965.2138467337772</v>
      </c>
      <c r="AG34" s="4703">
        <f t="shared" si="18"/>
        <v>-2715.7590319786796</v>
      </c>
      <c r="AH34" s="4703">
        <f t="shared" si="18"/>
        <v>-4463.2844503925635</v>
      </c>
      <c r="AI34" s="4703">
        <f t="shared" si="18"/>
        <v>-3656.9044770552969</v>
      </c>
      <c r="AJ34" s="4703">
        <f t="shared" si="18"/>
        <v>-4828.3466585791284</v>
      </c>
      <c r="AK34" s="4703">
        <f t="shared" si="18"/>
        <v>734.63118343174665</v>
      </c>
      <c r="AL34" s="4703">
        <f t="shared" si="18"/>
        <v>0</v>
      </c>
      <c r="AM34" s="4703">
        <f>(K34-L34)*1980*$L$5/1000</f>
        <v>-6369.0732873969027</v>
      </c>
      <c r="AN34" s="4703">
        <f t="shared" si="14"/>
        <v>-12460.129407019005</v>
      </c>
      <c r="AO34" s="4168">
        <f>AN34/AM34</f>
        <v>1.9563488822895256</v>
      </c>
      <c r="AP34" s="4182" t="s">
        <v>538</v>
      </c>
      <c r="AQ34" s="314"/>
    </row>
    <row r="35" spans="1:43" s="354" customFormat="1" ht="15.75" customHeight="1">
      <c r="A35" s="7449" t="s">
        <v>330</v>
      </c>
      <c r="B35" s="1070" t="s">
        <v>331</v>
      </c>
      <c r="C35" s="926" t="s">
        <v>321</v>
      </c>
      <c r="D35" s="1099">
        <v>0.08</v>
      </c>
      <c r="E35" s="1100">
        <v>0.06</v>
      </c>
      <c r="F35" s="1100">
        <v>7.0000000000000007E-2</v>
      </c>
      <c r="G35" s="1100">
        <v>7.0000000000000007E-2</v>
      </c>
      <c r="H35" s="1072">
        <v>7.9920743537899089E-2</v>
      </c>
      <c r="I35" s="1090">
        <v>0.14000000000000001</v>
      </c>
      <c r="J35" s="1090">
        <v>0.13</v>
      </c>
      <c r="K35" s="1090">
        <v>0.14111543781775723</v>
      </c>
      <c r="L35" s="1099">
        <v>0.16</v>
      </c>
      <c r="M35" s="934">
        <f t="shared" si="16"/>
        <v>0.16</v>
      </c>
      <c r="N35" s="4169">
        <v>0.12288001258291331</v>
      </c>
      <c r="O35" s="1090">
        <v>0.12934870300000001</v>
      </c>
      <c r="P35" s="1090">
        <v>0.122497378556099</v>
      </c>
      <c r="Q35" s="1090">
        <v>9.0260365049020394E-2</v>
      </c>
      <c r="R35" s="1090">
        <v>0.15729873999999999</v>
      </c>
      <c r="S35" s="1090">
        <v>0.105197824508989</v>
      </c>
      <c r="T35" s="1090">
        <v>0.21148773159668999</v>
      </c>
      <c r="U35" s="1090">
        <v>0.153484638489957</v>
      </c>
      <c r="V35" s="1090">
        <v>0.114960499572347</v>
      </c>
      <c r="W35" s="5507">
        <v>0.1651649502358</v>
      </c>
      <c r="X35" s="5352"/>
      <c r="Y35" s="6848"/>
      <c r="Z35" s="1879">
        <f t="shared" si="7"/>
        <v>0.13725808435918158</v>
      </c>
      <c r="AA35" s="5136">
        <f t="shared" ref="AA35:AK35" si="19">($K$35-N35)*2250*N54/1000</f>
        <v>333.90057435674515</v>
      </c>
      <c r="AB35" s="4701">
        <f t="shared" si="19"/>
        <v>204.68046947731608</v>
      </c>
      <c r="AC35" s="4701">
        <f>($K$35-P35)*2250*P54/1000</f>
        <v>341.97167182273029</v>
      </c>
      <c r="AD35" s="4701">
        <f t="shared" si="19"/>
        <v>1267.7094056457033</v>
      </c>
      <c r="AE35" s="4701">
        <f t="shared" si="19"/>
        <v>-231.48583304003404</v>
      </c>
      <c r="AF35" s="4701">
        <f t="shared" si="19"/>
        <v>768.21579079159494</v>
      </c>
      <c r="AG35" s="4701">
        <f t="shared" si="19"/>
        <v>-2246.0545556072834</v>
      </c>
      <c r="AH35" s="4701">
        <f t="shared" si="19"/>
        <v>-362.65129574215433</v>
      </c>
      <c r="AI35" s="4701">
        <f t="shared" si="19"/>
        <v>767.85432306431164</v>
      </c>
      <c r="AJ35" s="4701">
        <f t="shared" si="19"/>
        <v>-491.43056256799491</v>
      </c>
      <c r="AK35" s="4701">
        <f t="shared" si="19"/>
        <v>0</v>
      </c>
      <c r="AL35" s="4701">
        <f>($K$35-Y35)*2250*Y54/1000</f>
        <v>0</v>
      </c>
      <c r="AM35" s="4701">
        <f>(K35-L35)*2250*$L$5/1000</f>
        <v>-11622.362160844947</v>
      </c>
      <c r="AN35" s="4701">
        <f t="shared" si="14"/>
        <v>352.70998820093496</v>
      </c>
      <c r="AO35" s="1075"/>
      <c r="AP35" s="934" t="s">
        <v>332</v>
      </c>
      <c r="AQ35" s="314"/>
    </row>
    <row r="36" spans="1:43" s="354" customFormat="1" ht="15.75" customHeight="1" thickBot="1">
      <c r="A36" s="7451"/>
      <c r="B36" s="1076" t="s">
        <v>333</v>
      </c>
      <c r="C36" s="915" t="s">
        <v>321</v>
      </c>
      <c r="D36" s="842">
        <v>1.72</v>
      </c>
      <c r="E36" s="1096">
        <v>1.59</v>
      </c>
      <c r="F36" s="1096">
        <v>1.76</v>
      </c>
      <c r="G36" s="1096">
        <v>1.74</v>
      </c>
      <c r="H36" s="1097">
        <v>1.547402994966701</v>
      </c>
      <c r="I36" s="1098">
        <v>1.45</v>
      </c>
      <c r="J36" s="2337">
        <v>1.31</v>
      </c>
      <c r="K36" s="2337">
        <v>1.6841320490416061</v>
      </c>
      <c r="L36" s="3148">
        <v>1.62</v>
      </c>
      <c r="M36" s="3147">
        <f t="shared" si="16"/>
        <v>1.62</v>
      </c>
      <c r="N36" s="4184">
        <v>1.9575600970949807</v>
      </c>
      <c r="O36" s="2337">
        <v>2.5744001650000001</v>
      </c>
      <c r="P36" s="2337">
        <v>1.14054021687372</v>
      </c>
      <c r="Q36" s="2337">
        <v>1.2696101873521399</v>
      </c>
      <c r="R36" s="2337">
        <v>2.0250396149999998</v>
      </c>
      <c r="S36" s="2337">
        <v>2.15817711727966</v>
      </c>
      <c r="T36" s="2337">
        <v>1.1882623445604299</v>
      </c>
      <c r="U36" s="2337">
        <v>1.84057951960875</v>
      </c>
      <c r="V36" s="2337">
        <v>1.85534876433772</v>
      </c>
      <c r="W36" s="5521">
        <v>1.01672926329831</v>
      </c>
      <c r="X36" s="5365"/>
      <c r="Y36" s="6857"/>
      <c r="Z36" s="2337">
        <f t="shared" si="7"/>
        <v>1.7026247290405709</v>
      </c>
      <c r="AA36" s="5145">
        <f>($K$36-N36)*6000*N55/1000</f>
        <v>-2933.237665419304</v>
      </c>
      <c r="AB36" s="3234">
        <f t="shared" ref="AB36:AK36" si="20">($K$36-O36)*6400*O55/1000</f>
        <v>-11066.103902812116</v>
      </c>
      <c r="AC36" s="3234">
        <f>($K$36-P36)*6400*P55/1000</f>
        <v>12201.192643291617</v>
      </c>
      <c r="AD36" s="3234">
        <f t="shared" si="20"/>
        <v>6268.7113129080963</v>
      </c>
      <c r="AE36" s="3234">
        <f t="shared" si="20"/>
        <v>-4309.6607219880734</v>
      </c>
      <c r="AF36" s="3234">
        <f t="shared" si="20"/>
        <v>-7028.8217135480072</v>
      </c>
      <c r="AG36" s="3234">
        <f t="shared" si="20"/>
        <v>5341.5243245017737</v>
      </c>
      <c r="AH36" s="3234">
        <f t="shared" si="20"/>
        <v>-3807.9564651995738</v>
      </c>
      <c r="AI36" s="3234">
        <f t="shared" si="20"/>
        <v>-5315.4873038528085</v>
      </c>
      <c r="AJ36" s="3234">
        <f t="shared" si="20"/>
        <v>21005.482889813629</v>
      </c>
      <c r="AK36" s="3234">
        <f t="shared" si="20"/>
        <v>0</v>
      </c>
      <c r="AL36" s="3234">
        <f>($K$36-Y36)*6000*Y55/1000</f>
        <v>0</v>
      </c>
      <c r="AM36" s="3234">
        <f>(K36-L36)*6000*(L5*0.117338)/1000</f>
        <v>12350.08689664522</v>
      </c>
      <c r="AN36" s="3234">
        <f t="shared" si="14"/>
        <v>10355.643397695236</v>
      </c>
      <c r="AO36" s="4186">
        <f t="shared" ref="AO36:AO41" si="21">AN36/AM36</f>
        <v>0.83850773556162139</v>
      </c>
      <c r="AP36" s="3147" t="s">
        <v>1378</v>
      </c>
      <c r="AQ36" s="1504"/>
    </row>
    <row r="37" spans="1:43" s="354" customFormat="1" ht="15.75" customHeight="1" thickBot="1">
      <c r="A37" s="1062" t="s">
        <v>770</v>
      </c>
      <c r="B37" s="1063" t="s">
        <v>756</v>
      </c>
      <c r="C37" s="913" t="s">
        <v>757</v>
      </c>
      <c r="D37" s="1064"/>
      <c r="E37" s="1065"/>
      <c r="F37" s="1065"/>
      <c r="G37" s="1066"/>
      <c r="H37" s="1067">
        <v>143.37170477617013</v>
      </c>
      <c r="I37" s="1068">
        <v>860</v>
      </c>
      <c r="J37" s="1068">
        <v>71.52</v>
      </c>
      <c r="K37" s="1068">
        <v>23.333646133822892</v>
      </c>
      <c r="L37" s="2854">
        <v>34.81</v>
      </c>
      <c r="M37" s="2117">
        <f t="shared" si="16"/>
        <v>34.81</v>
      </c>
      <c r="N37" s="4187">
        <v>0</v>
      </c>
      <c r="O37" s="1279">
        <v>0</v>
      </c>
      <c r="P37" s="1279">
        <v>0</v>
      </c>
      <c r="Q37" s="1279">
        <v>0</v>
      </c>
      <c r="R37" s="1279">
        <v>0</v>
      </c>
      <c r="S37" s="1279">
        <v>19.207552409607501</v>
      </c>
      <c r="T37" s="1279">
        <v>0</v>
      </c>
      <c r="U37" s="1279">
        <v>0</v>
      </c>
      <c r="V37" s="1279">
        <v>0</v>
      </c>
      <c r="W37" s="5522">
        <v>0</v>
      </c>
      <c r="X37" s="5366"/>
      <c r="Y37" s="6858"/>
      <c r="Z37" s="1878">
        <f t="shared" si="7"/>
        <v>1.9207552409607502</v>
      </c>
      <c r="AA37" s="5134">
        <f t="shared" ref="AA37:AL37" si="22">($K$37-N37)*N5/1000</f>
        <v>577.23100476896934</v>
      </c>
      <c r="AB37" s="4760">
        <f t="shared" si="22"/>
        <v>574.49420141393341</v>
      </c>
      <c r="AC37" s="4760">
        <f t="shared" si="22"/>
        <v>628.32328968943341</v>
      </c>
      <c r="AD37" s="4760">
        <f t="shared" si="22"/>
        <v>576.20199097446778</v>
      </c>
      <c r="AE37" s="4760">
        <f t="shared" si="22"/>
        <v>532.27523544523956</v>
      </c>
      <c r="AF37" s="4760">
        <f t="shared" si="22"/>
        <v>103.11178360407574</v>
      </c>
      <c r="AG37" s="4760">
        <f t="shared" si="22"/>
        <v>719.81778289061162</v>
      </c>
      <c r="AH37" s="4760">
        <f t="shared" si="22"/>
        <v>647.06044087135456</v>
      </c>
      <c r="AI37" s="4760">
        <f t="shared" si="22"/>
        <v>682.89135453799167</v>
      </c>
      <c r="AJ37" s="4760">
        <f t="shared" si="22"/>
        <v>634.86907743935478</v>
      </c>
      <c r="AK37" s="4760">
        <f t="shared" si="22"/>
        <v>31.114810444653347</v>
      </c>
      <c r="AL37" s="4760">
        <f t="shared" si="22"/>
        <v>0</v>
      </c>
      <c r="AM37" s="4760">
        <f>(K37-L37)*L5/1000</f>
        <v>-3139.1270730154247</v>
      </c>
      <c r="AN37" s="4760">
        <f t="shared" si="14"/>
        <v>5707.3909720800839</v>
      </c>
      <c r="AO37" s="3880">
        <f t="shared" si="21"/>
        <v>-1.8181458855686279</v>
      </c>
      <c r="AP37" s="3879" t="s">
        <v>760</v>
      </c>
      <c r="AQ37" s="314"/>
    </row>
    <row r="38" spans="1:43" s="354" customFormat="1" ht="15.75" customHeight="1" thickBot="1">
      <c r="A38" s="1101" t="s">
        <v>767</v>
      </c>
      <c r="B38" s="1102" t="s">
        <v>781</v>
      </c>
      <c r="C38" s="945" t="s">
        <v>334</v>
      </c>
      <c r="D38" s="1103">
        <v>1025</v>
      </c>
      <c r="E38" s="1104">
        <v>856</v>
      </c>
      <c r="F38" s="1104">
        <v>980</v>
      </c>
      <c r="G38" s="1105"/>
      <c r="H38" s="1104">
        <v>6617.8326432033155</v>
      </c>
      <c r="I38" s="1106">
        <v>7820</v>
      </c>
      <c r="J38" s="1106">
        <v>5759</v>
      </c>
      <c r="K38" s="1106">
        <v>6270.6033332895695</v>
      </c>
      <c r="L38" s="2855">
        <v>6532.36</v>
      </c>
      <c r="M38" s="5870">
        <f t="shared" si="16"/>
        <v>6532.36</v>
      </c>
      <c r="N38" s="4188">
        <v>4855.9523068427943</v>
      </c>
      <c r="O38" s="1106">
        <v>6622.2340409999997</v>
      </c>
      <c r="P38" s="1106">
        <v>5456.6663869060103</v>
      </c>
      <c r="Q38" s="1106">
        <v>5494.0822157897201</v>
      </c>
      <c r="R38" s="1106">
        <v>4394.7677683483198</v>
      </c>
      <c r="S38" s="1106">
        <v>6084.1668544071499</v>
      </c>
      <c r="T38" s="1106">
        <v>4847.8562620668699</v>
      </c>
      <c r="U38" s="1106">
        <v>9318.7816863493608</v>
      </c>
      <c r="V38" s="1106">
        <v>5346.4099420563798</v>
      </c>
      <c r="W38" s="5523">
        <v>4396.5049648434597</v>
      </c>
      <c r="X38" s="5367"/>
      <c r="Y38" s="6859"/>
      <c r="Z38" s="1880">
        <f t="shared" si="7"/>
        <v>5681.7422428610062</v>
      </c>
      <c r="AA38" s="5146">
        <f t="shared" ref="AA38:AL38" si="23">($K$38-N38)*N5/1000</f>
        <v>34995.835143384022</v>
      </c>
      <c r="AB38" s="4704">
        <f t="shared" si="23"/>
        <v>-8657.4469099323469</v>
      </c>
      <c r="AC38" s="4704">
        <f t="shared" si="23"/>
        <v>21917.515026088276</v>
      </c>
      <c r="AD38" s="4704">
        <f t="shared" si="23"/>
        <v>19175.443536385985</v>
      </c>
      <c r="AE38" s="4704">
        <f t="shared" si="23"/>
        <v>42790.604231301673</v>
      </c>
      <c r="AF38" s="4704">
        <f t="shared" si="23"/>
        <v>4659.0793014730752</v>
      </c>
      <c r="AG38" s="4704">
        <f t="shared" si="23"/>
        <v>43890.210580383362</v>
      </c>
      <c r="AH38" s="4704">
        <f t="shared" si="23"/>
        <v>-84528.393791246941</v>
      </c>
      <c r="AI38" s="4704">
        <f t="shared" si="23"/>
        <v>27047.794981319199</v>
      </c>
      <c r="AJ38" s="4704">
        <f t="shared" si="23"/>
        <v>50991.049379175965</v>
      </c>
      <c r="AK38" s="4704">
        <f t="shared" si="23"/>
        <v>8361.686509254976</v>
      </c>
      <c r="AL38" s="4704">
        <f t="shared" si="23"/>
        <v>0</v>
      </c>
      <c r="AM38" s="4704">
        <f>(K38-L38)*$L$5/1000</f>
        <v>-71598.301045303975</v>
      </c>
      <c r="AN38" s="4831">
        <f>SUM(AA38:AL38)</f>
        <v>160643.37798758724</v>
      </c>
      <c r="AO38" s="1107">
        <f t="shared" si="21"/>
        <v>-2.2436758364690776</v>
      </c>
      <c r="AP38" s="1108"/>
      <c r="AQ38" s="1534"/>
    </row>
    <row r="39" spans="1:43" s="354" customFormat="1" ht="15.75" customHeight="1">
      <c r="A39" s="7447" t="s">
        <v>335</v>
      </c>
      <c r="B39" s="1055" t="s">
        <v>794</v>
      </c>
      <c r="C39" s="917" t="s">
        <v>334</v>
      </c>
      <c r="D39" s="1061"/>
      <c r="E39" s="899">
        <v>4635</v>
      </c>
      <c r="F39" s="899">
        <v>4706</v>
      </c>
      <c r="G39" s="899">
        <v>5059</v>
      </c>
      <c r="H39" s="899">
        <v>3837.0636378627969</v>
      </c>
      <c r="I39" s="1069">
        <v>2952</v>
      </c>
      <c r="J39" s="1069">
        <v>2816</v>
      </c>
      <c r="K39" s="1069">
        <v>4379.3263231981045</v>
      </c>
      <c r="L39" s="2856">
        <v>1775</v>
      </c>
      <c r="M39" s="1060">
        <f t="shared" si="16"/>
        <v>1775</v>
      </c>
      <c r="N39" s="4189">
        <v>4305.3091086403738</v>
      </c>
      <c r="O39" s="1069">
        <v>4041.577589</v>
      </c>
      <c r="P39" s="1069">
        <v>3378.1287085869999</v>
      </c>
      <c r="Q39" s="1069">
        <v>2116.0731409560599</v>
      </c>
      <c r="R39" s="1069">
        <v>3408.8870220579402</v>
      </c>
      <c r="S39" s="1069">
        <v>1359.1245463165301</v>
      </c>
      <c r="T39" s="1069">
        <v>1630.3885407115399</v>
      </c>
      <c r="U39" s="1069">
        <v>1224.6846071913801</v>
      </c>
      <c r="V39" s="1069">
        <v>3452.4269224752502</v>
      </c>
      <c r="W39" s="5505">
        <v>1130.4305992474001</v>
      </c>
      <c r="X39" s="6865"/>
      <c r="Y39" s="6860"/>
      <c r="Z39" s="1881">
        <f t="shared" si="7"/>
        <v>2604.703078518347</v>
      </c>
      <c r="AA39" s="5143">
        <f t="shared" ref="AA39:AK39" si="24">($K$39-N39)*N56/1000</f>
        <v>734.69191101145327</v>
      </c>
      <c r="AB39" s="4761">
        <f t="shared" si="24"/>
        <v>3267.1245655944731</v>
      </c>
      <c r="AC39" s="4761">
        <f>($K$39-P39)*P56/1000</f>
        <v>11684.526821199628</v>
      </c>
      <c r="AD39" s="4761">
        <f t="shared" si="24"/>
        <v>30422.626643165742</v>
      </c>
      <c r="AE39" s="4761">
        <f t="shared" si="24"/>
        <v>8086.2825206805337</v>
      </c>
      <c r="AF39" s="4761">
        <f t="shared" si="24"/>
        <v>35706.848941484481</v>
      </c>
      <c r="AG39" s="4761">
        <f t="shared" si="24"/>
        <v>43621.106860720676</v>
      </c>
      <c r="AH39" s="4761">
        <f t="shared" si="24"/>
        <v>53104.513079662516</v>
      </c>
      <c r="AI39" s="4761">
        <f t="shared" si="24"/>
        <v>16590.386993658223</v>
      </c>
      <c r="AJ39" s="4761">
        <f t="shared" si="24"/>
        <v>45483.110621191321</v>
      </c>
      <c r="AK39" s="4761">
        <f t="shared" si="24"/>
        <v>0</v>
      </c>
      <c r="AL39" s="4761">
        <f>($K$39-Y39)*Y56/1000</f>
        <v>0</v>
      </c>
      <c r="AM39" s="4761">
        <f>(K39-L39)*$L$5/1000</f>
        <v>712361.3791843775</v>
      </c>
      <c r="AN39" s="4761">
        <f>SUM(AA39:AL39)</f>
        <v>248701.21895836905</v>
      </c>
      <c r="AO39" s="3881">
        <f t="shared" si="21"/>
        <v>0.34912226606546387</v>
      </c>
      <c r="AP39" s="1060"/>
    </row>
    <row r="40" spans="1:43" s="354" customFormat="1" ht="15.75" customHeight="1">
      <c r="A40" s="7441"/>
      <c r="B40" s="1049" t="s">
        <v>336</v>
      </c>
      <c r="C40" s="911" t="s">
        <v>334</v>
      </c>
      <c r="D40" s="841"/>
      <c r="E40" s="652">
        <v>1652</v>
      </c>
      <c r="F40" s="652">
        <v>1696</v>
      </c>
      <c r="G40" s="652">
        <v>1418</v>
      </c>
      <c r="H40" s="652">
        <v>1808.8376984726422</v>
      </c>
      <c r="I40" s="1044">
        <v>1699</v>
      </c>
      <c r="J40" s="2175">
        <v>1437</v>
      </c>
      <c r="K40" s="2175">
        <v>1819.8876303629272</v>
      </c>
      <c r="L40" s="3149">
        <v>1833</v>
      </c>
      <c r="M40" s="3150">
        <f t="shared" si="16"/>
        <v>1833</v>
      </c>
      <c r="N40" s="4190">
        <v>3230.175116563033</v>
      </c>
      <c r="O40" s="3616">
        <v>1830.609393</v>
      </c>
      <c r="P40" s="3616">
        <v>2463.1593198264</v>
      </c>
      <c r="Q40" s="3616">
        <v>2030.1336334872999</v>
      </c>
      <c r="R40" s="3616">
        <v>2299.6667306723002</v>
      </c>
      <c r="S40" s="3616">
        <v>1847.1403667699401</v>
      </c>
      <c r="T40" s="3616">
        <v>1831.26109519893</v>
      </c>
      <c r="U40" s="3616">
        <v>1509.7395295290401</v>
      </c>
      <c r="V40" s="3616">
        <v>1988.00059221847</v>
      </c>
      <c r="W40" s="5505">
        <v>1952.4910068602201</v>
      </c>
      <c r="X40" s="5350"/>
      <c r="Y40" s="5968"/>
      <c r="Z40" s="3623">
        <f t="shared" si="7"/>
        <v>2098.2376784125627</v>
      </c>
      <c r="AA40" s="5144">
        <f t="shared" ref="AA40:AK40" si="25">($K$40-N40)*N56/1000</f>
        <v>-13998.457176522801</v>
      </c>
      <c r="AB40" s="4702">
        <f t="shared" si="25"/>
        <v>-103.71418321143754</v>
      </c>
      <c r="AC40" s="4702">
        <f>($K$40-P40)*P56/1000</f>
        <v>-7507.3344154679307</v>
      </c>
      <c r="AD40" s="4702">
        <f t="shared" si="25"/>
        <v>-2826.1246715377861</v>
      </c>
      <c r="AE40" s="4702">
        <f t="shared" si="25"/>
        <v>-3997.807331237882</v>
      </c>
      <c r="AF40" s="4702">
        <f t="shared" si="25"/>
        <v>-322.20010913709905</v>
      </c>
      <c r="AG40" s="4702">
        <f t="shared" si="25"/>
        <v>-180.47812073038452</v>
      </c>
      <c r="AH40" s="4702">
        <f t="shared" si="25"/>
        <v>5220.9617953744655</v>
      </c>
      <c r="AI40" s="4702">
        <f t="shared" si="25"/>
        <v>-3009.0202816599899</v>
      </c>
      <c r="AJ40" s="4702">
        <f t="shared" si="25"/>
        <v>-1856.3889254764413</v>
      </c>
      <c r="AK40" s="4702">
        <f t="shared" si="25"/>
        <v>0</v>
      </c>
      <c r="AL40" s="4702">
        <f>($K$40-Y40)*Y56/1000</f>
        <v>0</v>
      </c>
      <c r="AM40" s="4702">
        <f>(K40-L40)*$L$5/1000</f>
        <v>-3586.6264668285198</v>
      </c>
      <c r="AN40" s="4702">
        <f>SUM(AA40:AL40)</f>
        <v>-28580.563419607286</v>
      </c>
      <c r="AO40" s="4166">
        <f t="shared" si="21"/>
        <v>7.968647887907796</v>
      </c>
      <c r="AP40" s="3753"/>
    </row>
    <row r="41" spans="1:43" s="354" customFormat="1" ht="15.75" customHeight="1" thickBot="1">
      <c r="A41" s="7442"/>
      <c r="B41" s="1050" t="s">
        <v>337</v>
      </c>
      <c r="C41" s="936" t="s">
        <v>334</v>
      </c>
      <c r="D41" s="1048"/>
      <c r="E41" s="898">
        <v>2950</v>
      </c>
      <c r="F41" s="898">
        <v>2721</v>
      </c>
      <c r="G41" s="898">
        <v>2737</v>
      </c>
      <c r="H41" s="898">
        <v>2748.7798342693204</v>
      </c>
      <c r="I41" s="864">
        <v>2650</v>
      </c>
      <c r="J41" s="1662">
        <v>2064</v>
      </c>
      <c r="K41" s="1662">
        <v>2675.6321990295987</v>
      </c>
      <c r="L41" s="2118">
        <v>2676</v>
      </c>
      <c r="M41" s="1591">
        <f t="shared" si="16"/>
        <v>2676</v>
      </c>
      <c r="N41" s="4191">
        <v>2814.8914563427602</v>
      </c>
      <c r="O41" s="3624">
        <v>2888.4324179999999</v>
      </c>
      <c r="P41" s="3624">
        <v>2503.23883621595</v>
      </c>
      <c r="Q41" s="3624">
        <v>2279.8257802602102</v>
      </c>
      <c r="R41" s="3624">
        <v>3353.1550776468298</v>
      </c>
      <c r="S41" s="3624">
        <v>2484.5370800335299</v>
      </c>
      <c r="T41" s="3624">
        <v>2048.9123947984499</v>
      </c>
      <c r="U41" s="3624">
        <v>1997.8673238377401</v>
      </c>
      <c r="V41" s="3624">
        <v>1919.1457527878999</v>
      </c>
      <c r="W41" s="5524">
        <v>2232.1030089517099</v>
      </c>
      <c r="X41" s="5368"/>
      <c r="Y41" s="6861"/>
      <c r="Z41" s="1881">
        <f t="shared" si="7"/>
        <v>2452.2109128875081</v>
      </c>
      <c r="AA41" s="5135">
        <f t="shared" ref="AA41:AK41" si="26">($K$41-N41)*N56/1000</f>
        <v>-1382.281817720148</v>
      </c>
      <c r="AB41" s="4703">
        <f t="shared" si="26"/>
        <v>-2058.4675901532432</v>
      </c>
      <c r="AC41" s="4703">
        <f>($K$41-P41)*P56/1000</f>
        <v>2011.9253603848283</v>
      </c>
      <c r="AD41" s="4703">
        <f t="shared" si="26"/>
        <v>5320.425923033933</v>
      </c>
      <c r="AE41" s="4703">
        <f t="shared" si="26"/>
        <v>-5645.5271383659401</v>
      </c>
      <c r="AF41" s="4703">
        <f t="shared" si="26"/>
        <v>2259.2545305012527</v>
      </c>
      <c r="AG41" s="4703">
        <f t="shared" si="26"/>
        <v>9945.0092054713496</v>
      </c>
      <c r="AH41" s="4703">
        <f t="shared" si="26"/>
        <v>11409.338023058455</v>
      </c>
      <c r="AI41" s="4703">
        <f t="shared" si="26"/>
        <v>13540.199603990917</v>
      </c>
      <c r="AJ41" s="4703">
        <f t="shared" si="26"/>
        <v>6209.2135082468094</v>
      </c>
      <c r="AK41" s="4703">
        <f t="shared" si="26"/>
        <v>0</v>
      </c>
      <c r="AL41" s="4703">
        <f>($K$41-Y41)*Y56/1000</f>
        <v>0</v>
      </c>
      <c r="AM41" s="4703">
        <f>(K41-L41)*$L$5/1000</f>
        <v>-100.60459943386118</v>
      </c>
      <c r="AN41" s="4703">
        <f>SUM(AA41:AL41)</f>
        <v>41609.089608448216</v>
      </c>
      <c r="AO41" s="4168">
        <f t="shared" si="21"/>
        <v>-413.59033128304031</v>
      </c>
      <c r="AP41" s="4182"/>
    </row>
    <row r="42" spans="1:43" s="354" customFormat="1" ht="15.75" customHeight="1">
      <c r="A42" s="7445" t="s">
        <v>762</v>
      </c>
      <c r="B42" s="1109" t="s">
        <v>764</v>
      </c>
      <c r="C42" s="1009" t="s">
        <v>766</v>
      </c>
      <c r="D42" s="1110"/>
      <c r="E42" s="1111"/>
      <c r="F42" s="1111"/>
      <c r="G42" s="1111">
        <v>4</v>
      </c>
      <c r="H42" s="1111">
        <v>14</v>
      </c>
      <c r="I42" s="1112">
        <v>16</v>
      </c>
      <c r="J42" s="1112">
        <v>10</v>
      </c>
      <c r="K42" s="1112">
        <v>7</v>
      </c>
      <c r="L42" s="1113">
        <f>'성과개선 실적'!C7</f>
        <v>18</v>
      </c>
      <c r="M42" s="3073">
        <f>L42/10</f>
        <v>1.8</v>
      </c>
      <c r="N42" s="5425">
        <v>0</v>
      </c>
      <c r="O42" s="5426">
        <v>0</v>
      </c>
      <c r="P42" s="5426">
        <v>3</v>
      </c>
      <c r="Q42" s="5426">
        <v>0</v>
      </c>
      <c r="R42" s="5426">
        <v>5</v>
      </c>
      <c r="S42" s="1112">
        <v>1</v>
      </c>
      <c r="T42" s="1112">
        <v>0</v>
      </c>
      <c r="U42" s="1112">
        <v>0</v>
      </c>
      <c r="V42" s="1112">
        <v>0</v>
      </c>
      <c r="W42" s="5563">
        <v>0</v>
      </c>
      <c r="X42" s="5369"/>
      <c r="Y42" s="6862"/>
      <c r="Z42" s="1112">
        <f>SUM(N42:Y42)</f>
        <v>9</v>
      </c>
      <c r="AA42" s="5147"/>
      <c r="AB42" s="4832"/>
      <c r="AC42" s="4832"/>
      <c r="AD42" s="4832"/>
      <c r="AE42" s="4832"/>
      <c r="AF42" s="4832"/>
      <c r="AG42" s="4832"/>
      <c r="AH42" s="4832"/>
      <c r="AI42" s="4832"/>
      <c r="AJ42" s="4832"/>
      <c r="AK42" s="4832"/>
      <c r="AL42" s="4832"/>
      <c r="AM42" s="4833">
        <f>(K42-L42)*$L$5/1000</f>
        <v>-3008.83</v>
      </c>
      <c r="AN42" s="4833"/>
      <c r="AO42" s="1114"/>
      <c r="AP42" s="1115"/>
    </row>
    <row r="43" spans="1:43" s="354" customFormat="1" ht="15.75" customHeight="1" thickBot="1">
      <c r="A43" s="7446"/>
      <c r="B43" s="1076" t="s">
        <v>763</v>
      </c>
      <c r="C43" s="915" t="s">
        <v>765</v>
      </c>
      <c r="D43" s="842"/>
      <c r="E43" s="1116"/>
      <c r="F43" s="1116"/>
      <c r="G43" s="1116">
        <v>-40715.40512100701</v>
      </c>
      <c r="H43" s="1116">
        <v>1492216.1689492157</v>
      </c>
      <c r="I43" s="3066">
        <v>1896509</v>
      </c>
      <c r="J43" s="2433">
        <v>1766066.6837757656</v>
      </c>
      <c r="K43" s="2433">
        <v>82785.042955935292</v>
      </c>
      <c r="L43" s="3151">
        <f>'성과개선 실적'!I7</f>
        <v>1642794.5401776629</v>
      </c>
      <c r="M43" s="3152">
        <f>L43/10</f>
        <v>164279.45401776629</v>
      </c>
      <c r="N43" s="4193"/>
      <c r="O43" s="2433"/>
      <c r="P43" s="2433"/>
      <c r="Q43" s="2433"/>
      <c r="R43" s="2433"/>
      <c r="S43" s="2433"/>
      <c r="T43" s="2433"/>
      <c r="U43" s="2433"/>
      <c r="V43" s="2433"/>
      <c r="W43" s="5525"/>
      <c r="X43" s="5370"/>
      <c r="Y43" s="6863"/>
      <c r="Z43" s="2433"/>
      <c r="AA43" s="5148"/>
      <c r="AB43" s="3270"/>
      <c r="AC43" s="3270"/>
      <c r="AD43" s="3270"/>
      <c r="AE43" s="3270"/>
      <c r="AF43" s="3270"/>
      <c r="AG43" s="3270"/>
      <c r="AH43" s="3270"/>
      <c r="AI43" s="3270"/>
      <c r="AJ43" s="3270"/>
      <c r="AK43" s="3270"/>
      <c r="AL43" s="3270"/>
      <c r="AM43" s="3238"/>
      <c r="AN43" s="3238"/>
      <c r="AO43" s="3271"/>
      <c r="AP43" s="4194"/>
    </row>
    <row r="44" spans="1:43" ht="15.75" customHeight="1" thickBot="1">
      <c r="A44" s="7393" t="s">
        <v>308</v>
      </c>
      <c r="B44" s="7394"/>
      <c r="C44" s="916" t="s">
        <v>418</v>
      </c>
      <c r="D44" s="1327"/>
      <c r="E44" s="1327"/>
      <c r="F44" s="1327"/>
      <c r="G44" s="1330"/>
      <c r="H44" s="1328"/>
      <c r="I44" s="1329"/>
      <c r="J44" s="1329"/>
      <c r="K44" s="1329"/>
      <c r="L44" s="1330"/>
      <c r="M44" s="1550">
        <f>AM44/10</f>
        <v>164279.45401776629</v>
      </c>
      <c r="N44" s="4195">
        <f t="shared" ref="N44:U44" si="27">AA44</f>
        <v>139895.56097697307</v>
      </c>
      <c r="O44" s="1329">
        <f t="shared" si="27"/>
        <v>36194.122696145314</v>
      </c>
      <c r="P44" s="5103">
        <f t="shared" si="27"/>
        <v>-42425.543823611188</v>
      </c>
      <c r="Q44" s="5103">
        <f t="shared" si="27"/>
        <v>172732.84074194747</v>
      </c>
      <c r="R44" s="5103">
        <f t="shared" si="27"/>
        <v>13251.639416874525</v>
      </c>
      <c r="S44" s="5103">
        <f t="shared" si="27"/>
        <v>84952.917776367016</v>
      </c>
      <c r="T44" s="5103">
        <f t="shared" si="27"/>
        <v>272763.55034789507</v>
      </c>
      <c r="U44" s="5103">
        <f t="shared" si="27"/>
        <v>47537.891141882195</v>
      </c>
      <c r="V44" s="5103">
        <f>AI44</f>
        <v>311786.94851770124</v>
      </c>
      <c r="W44" s="6867">
        <f>AJ44</f>
        <v>93046.202548150875</v>
      </c>
      <c r="X44" s="6866"/>
      <c r="Y44" s="6864"/>
      <c r="Z44" s="1326"/>
      <c r="AA44" s="5149">
        <f>SUM(AA5:AA8)+SUM(AA24:AA29)+AA32+SUM(AA38:AA41)</f>
        <v>139895.56097697307</v>
      </c>
      <c r="AB44" s="2450">
        <f t="shared" ref="AB44:AM44" si="28">SUM(AB5:AB8)+SUM(AB24:AB29)+AB32+SUM(AB38:AB41)</f>
        <v>36194.122696145314</v>
      </c>
      <c r="AC44" s="2450">
        <f t="shared" si="28"/>
        <v>-42425.543823611188</v>
      </c>
      <c r="AD44" s="2450">
        <f t="shared" si="28"/>
        <v>172732.84074194747</v>
      </c>
      <c r="AE44" s="2450">
        <f t="shared" si="28"/>
        <v>13251.639416874525</v>
      </c>
      <c r="AF44" s="2450">
        <f t="shared" si="28"/>
        <v>84952.917776367016</v>
      </c>
      <c r="AG44" s="2450">
        <f t="shared" si="28"/>
        <v>272763.55034789507</v>
      </c>
      <c r="AH44" s="2450">
        <f t="shared" si="28"/>
        <v>47537.891141882195</v>
      </c>
      <c r="AI44" s="2450">
        <f t="shared" si="28"/>
        <v>311786.94851770124</v>
      </c>
      <c r="AJ44" s="2450">
        <f t="shared" si="28"/>
        <v>93046.202548150875</v>
      </c>
      <c r="AK44" s="2450">
        <f t="shared" si="28"/>
        <v>70145.024101600866</v>
      </c>
      <c r="AL44" s="2450" t="e">
        <f t="shared" si="28"/>
        <v>#DIV/0!</v>
      </c>
      <c r="AM44" s="2450">
        <f t="shared" si="28"/>
        <v>1642794.5401776629</v>
      </c>
      <c r="AN44" s="2450">
        <f>SUM(AN5:AN8)+SUM(AN24:AN29)+AN32+SUM(AN38:AN41)</f>
        <v>1199881.1544419264</v>
      </c>
      <c r="AO44" s="1331">
        <f>AN44/AM44</f>
        <v>0.7303902740705257</v>
      </c>
      <c r="AP44" s="1332"/>
      <c r="AQ44" s="354"/>
    </row>
    <row r="45" spans="1:43">
      <c r="A45" s="794" t="s">
        <v>795</v>
      </c>
      <c r="AM45" s="345"/>
      <c r="AN45" s="345"/>
      <c r="AQ45" s="354"/>
    </row>
    <row r="46" spans="1:43" hidden="1">
      <c r="N46" s="314"/>
      <c r="AF46" s="382"/>
      <c r="AG46" s="382"/>
      <c r="AM46" s="354"/>
      <c r="AN46" s="354"/>
      <c r="AQ46" s="354"/>
    </row>
    <row r="47" spans="1:43" hidden="1">
      <c r="A47" s="314"/>
      <c r="B47" s="314"/>
      <c r="C47" s="314"/>
      <c r="D47" s="314"/>
      <c r="E47" s="314"/>
      <c r="F47" s="314">
        <v>875.15999999999985</v>
      </c>
      <c r="N47" s="771"/>
      <c r="O47" s="314"/>
      <c r="P47" s="314"/>
      <c r="Q47" s="314"/>
      <c r="R47" s="314"/>
      <c r="S47" s="314"/>
      <c r="T47" s="314"/>
      <c r="V47" s="314"/>
      <c r="W47" s="372"/>
      <c r="AM47" s="354"/>
      <c r="AN47" s="354"/>
    </row>
    <row r="48" spans="1:43" hidden="1">
      <c r="A48" s="314"/>
      <c r="B48" s="314"/>
      <c r="C48" s="314"/>
      <c r="D48" s="314"/>
      <c r="E48" s="314"/>
      <c r="I48" s="651"/>
      <c r="J48" s="1538"/>
      <c r="K48" s="1538"/>
      <c r="L48" s="651"/>
      <c r="M48" s="651"/>
      <c r="N48" s="314"/>
      <c r="O48" s="314"/>
      <c r="P48" s="314"/>
      <c r="Q48" s="314"/>
      <c r="R48" s="314"/>
      <c r="S48" s="314"/>
      <c r="T48" s="314"/>
      <c r="V48" s="314"/>
      <c r="W48" s="314"/>
      <c r="X48" s="314"/>
      <c r="Y48" s="314"/>
      <c r="Z48" s="314"/>
      <c r="AA48" s="725"/>
      <c r="AB48" s="314"/>
      <c r="AC48" s="314"/>
      <c r="AD48" s="314"/>
      <c r="AE48" s="314"/>
      <c r="AF48" s="314"/>
      <c r="AG48" s="314"/>
      <c r="AM48" s="354"/>
      <c r="AN48" s="354"/>
    </row>
    <row r="49" spans="1:42" ht="16.5" hidden="1" customHeight="1">
      <c r="A49" s="314"/>
      <c r="B49" s="314"/>
      <c r="C49" s="314"/>
      <c r="D49" s="314"/>
      <c r="E49" s="314"/>
      <c r="F49" s="751"/>
      <c r="G49" s="751"/>
      <c r="H49" s="314"/>
      <c r="I49" s="314"/>
      <c r="J49" s="1534"/>
      <c r="K49" s="1534"/>
      <c r="L49" s="314"/>
      <c r="M49" s="314"/>
      <c r="N49" s="314"/>
      <c r="AG49" s="662"/>
      <c r="AM49" s="354"/>
      <c r="AN49" s="354"/>
    </row>
    <row r="50" spans="1:42" hidden="1">
      <c r="B50" s="314"/>
      <c r="C50" s="314"/>
      <c r="D50" s="314"/>
      <c r="E50" s="314"/>
      <c r="F50" s="751"/>
      <c r="G50" s="751"/>
      <c r="H50" s="751"/>
      <c r="I50" s="651"/>
      <c r="J50" s="1538"/>
      <c r="K50" s="1538"/>
      <c r="L50" s="651"/>
      <c r="M50" s="651"/>
      <c r="AG50" s="372"/>
      <c r="AM50" s="354"/>
      <c r="AN50" s="354"/>
    </row>
    <row r="51" spans="1:42" hidden="1">
      <c r="B51" s="314"/>
      <c r="C51" s="314"/>
      <c r="D51" s="314"/>
      <c r="E51" s="314"/>
      <c r="F51" s="751"/>
      <c r="G51" s="751"/>
      <c r="H51" s="751"/>
      <c r="I51" s="651"/>
      <c r="J51" s="1538"/>
      <c r="K51" s="1538"/>
      <c r="L51" s="651"/>
      <c r="M51" s="651"/>
      <c r="AM51" s="354"/>
      <c r="AN51" s="354"/>
      <c r="AP51" s="751"/>
    </row>
    <row r="52" spans="1:42">
      <c r="B52" s="314"/>
      <c r="C52" s="314"/>
      <c r="D52" s="314"/>
      <c r="E52" s="314"/>
      <c r="F52" s="751"/>
      <c r="G52" s="751"/>
      <c r="H52" s="751"/>
      <c r="I52" s="651"/>
      <c r="J52" s="1538"/>
      <c r="K52" s="1538"/>
      <c r="L52" s="7448" t="s">
        <v>1139</v>
      </c>
      <c r="M52" s="7448"/>
      <c r="AM52" s="354"/>
      <c r="AN52" s="354"/>
      <c r="AP52" s="751"/>
    </row>
    <row r="53" spans="1:42">
      <c r="A53" s="314"/>
      <c r="B53" s="314"/>
      <c r="C53" s="314"/>
      <c r="D53" s="314"/>
      <c r="E53" s="314"/>
      <c r="F53" s="751"/>
      <c r="G53" s="751"/>
      <c r="H53" s="751"/>
      <c r="I53" s="651"/>
      <c r="J53" s="1538"/>
      <c r="K53" s="1538"/>
      <c r="L53" s="2243" t="s">
        <v>405</v>
      </c>
      <c r="M53" s="2244"/>
      <c r="N53" s="2245" t="s">
        <v>406</v>
      </c>
      <c r="O53" s="2245" t="s">
        <v>5</v>
      </c>
      <c r="P53" s="2245" t="s">
        <v>6</v>
      </c>
      <c r="Q53" s="2245" t="s">
        <v>7</v>
      </c>
      <c r="R53" s="2245" t="s">
        <v>8</v>
      </c>
      <c r="S53" s="2245" t="s">
        <v>9</v>
      </c>
      <c r="T53" s="2245" t="s">
        <v>10</v>
      </c>
      <c r="U53" s="2245" t="s">
        <v>11</v>
      </c>
      <c r="V53" s="2245" t="s">
        <v>12</v>
      </c>
      <c r="W53" s="2245" t="s">
        <v>13</v>
      </c>
      <c r="X53" s="2245" t="s">
        <v>14</v>
      </c>
      <c r="Y53" s="2245" t="s">
        <v>15</v>
      </c>
      <c r="Z53" s="2246"/>
      <c r="AA53" s="2726"/>
      <c r="AM53" s="354"/>
      <c r="AN53" s="354"/>
      <c r="AP53" s="751"/>
    </row>
    <row r="54" spans="1:42">
      <c r="A54" s="314"/>
      <c r="B54" s="314"/>
      <c r="C54" s="314"/>
      <c r="D54" s="314"/>
      <c r="E54" s="314"/>
      <c r="F54" s="751"/>
      <c r="G54" s="751"/>
      <c r="H54" s="751"/>
      <c r="I54" s="651"/>
      <c r="J54" s="1538"/>
      <c r="K54" s="1538"/>
      <c r="L54" s="2243" t="s">
        <v>403</v>
      </c>
      <c r="M54" s="2244"/>
      <c r="N54" s="2245">
        <f t="shared" ref="N54:Y54" si="29">N56-N55</f>
        <v>8138.0199999999986</v>
      </c>
      <c r="O54" s="2245">
        <f t="shared" si="29"/>
        <v>7731.04</v>
      </c>
      <c r="P54" s="2245">
        <f t="shared" si="29"/>
        <v>8163.4399999999987</v>
      </c>
      <c r="Q54" s="2245">
        <f t="shared" si="29"/>
        <v>11079.06</v>
      </c>
      <c r="R54" s="2245">
        <f t="shared" si="29"/>
        <v>6357.33</v>
      </c>
      <c r="S54" s="2245">
        <f t="shared" si="29"/>
        <v>9505.9</v>
      </c>
      <c r="T54" s="2245">
        <f t="shared" si="29"/>
        <v>14185.220000000001</v>
      </c>
      <c r="U54" s="2245">
        <f t="shared" si="29"/>
        <v>13030.62</v>
      </c>
      <c r="V54" s="2245">
        <f t="shared" si="29"/>
        <v>13047.96</v>
      </c>
      <c r="W54" s="2245">
        <f t="shared" si="29"/>
        <v>9081.83</v>
      </c>
      <c r="X54" s="2245">
        <f t="shared" si="29"/>
        <v>0</v>
      </c>
      <c r="Y54" s="2245">
        <f t="shared" si="29"/>
        <v>0</v>
      </c>
      <c r="Z54" s="2245">
        <f>Z56-Z55</f>
        <v>0</v>
      </c>
      <c r="AA54" s="2726"/>
      <c r="AE54" s="354" t="s">
        <v>1825</v>
      </c>
      <c r="AM54" s="354"/>
      <c r="AN54" s="354"/>
      <c r="AP54" s="751"/>
    </row>
    <row r="55" spans="1:42">
      <c r="A55" s="314"/>
      <c r="B55" s="314"/>
      <c r="C55" s="314"/>
      <c r="D55" s="314"/>
      <c r="E55" s="314"/>
      <c r="F55" s="751"/>
      <c r="G55" s="751"/>
      <c r="H55" s="751"/>
      <c r="I55" s="651"/>
      <c r="J55" s="1538"/>
      <c r="K55" s="1538"/>
      <c r="L55" s="2243" t="s">
        <v>404</v>
      </c>
      <c r="M55" s="2244"/>
      <c r="N55" s="2244">
        <v>1787.94</v>
      </c>
      <c r="O55" s="2247">
        <v>1942.2</v>
      </c>
      <c r="P55" s="2245">
        <v>3507.11</v>
      </c>
      <c r="Q55" s="2245">
        <v>2362.9299999999998</v>
      </c>
      <c r="R55" s="2245">
        <v>1975.27</v>
      </c>
      <c r="S55" s="2245">
        <v>2316.77</v>
      </c>
      <c r="T55" s="2245">
        <v>1683.13</v>
      </c>
      <c r="U55" s="2245">
        <v>3803.15</v>
      </c>
      <c r="V55" s="2245">
        <v>4850.84</v>
      </c>
      <c r="W55" s="2245">
        <v>4917.7299999999996</v>
      </c>
      <c r="X55" s="2245"/>
      <c r="Y55" s="2245"/>
      <c r="Z55" s="2246"/>
      <c r="AA55" s="2726"/>
      <c r="AB55" s="354" t="s">
        <v>1768</v>
      </c>
      <c r="AM55" s="354"/>
      <c r="AN55" s="354"/>
      <c r="AP55" s="751"/>
    </row>
    <row r="56" spans="1:42">
      <c r="A56" s="314"/>
      <c r="B56" s="314"/>
      <c r="C56" s="314"/>
      <c r="D56" s="314"/>
      <c r="E56" s="314"/>
      <c r="F56" s="751"/>
      <c r="G56" s="751"/>
      <c r="H56" s="751"/>
      <c r="I56" s="651"/>
      <c r="J56" s="1538"/>
      <c r="K56" s="1538"/>
      <c r="L56" s="2243" t="s">
        <v>415</v>
      </c>
      <c r="M56" s="2244"/>
      <c r="N56" s="2244">
        <v>9925.9599999999991</v>
      </c>
      <c r="O56" s="2245">
        <v>9673.24</v>
      </c>
      <c r="P56" s="2245">
        <v>11670.55</v>
      </c>
      <c r="Q56" s="2245">
        <v>13441.99</v>
      </c>
      <c r="R56" s="2245">
        <v>8332.6</v>
      </c>
      <c r="S56" s="2245">
        <v>11822.67</v>
      </c>
      <c r="T56" s="2245">
        <v>15868.35</v>
      </c>
      <c r="U56" s="2245">
        <v>16833.77</v>
      </c>
      <c r="V56" s="2245">
        <v>17898.8</v>
      </c>
      <c r="W56" s="2245">
        <v>13999.56</v>
      </c>
      <c r="X56" s="2245"/>
      <c r="Y56" s="2245"/>
      <c r="Z56" s="2246"/>
      <c r="AA56" s="2726"/>
      <c r="AM56" s="354"/>
      <c r="AN56" s="354"/>
      <c r="AP56" s="751"/>
    </row>
    <row r="57" spans="1:42">
      <c r="A57" s="314"/>
      <c r="B57" s="314"/>
      <c r="C57" s="314"/>
      <c r="D57" s="314"/>
      <c r="E57" s="314"/>
      <c r="F57" s="751"/>
      <c r="G57" s="751"/>
      <c r="H57" s="751"/>
      <c r="I57" s="651"/>
      <c r="J57" s="1538"/>
      <c r="K57" s="1538"/>
      <c r="L57" s="313" t="s">
        <v>1949</v>
      </c>
      <c r="N57" s="6196">
        <f>N5-N56</f>
        <v>14812.18</v>
      </c>
      <c r="O57" s="6196">
        <f t="shared" ref="O57:V57" si="30">O5-O56</f>
        <v>14947.610000000002</v>
      </c>
      <c r="P57" s="6196">
        <f t="shared" si="30"/>
        <v>15257.23</v>
      </c>
      <c r="Q57" s="6196">
        <f t="shared" si="30"/>
        <v>11252.050000000001</v>
      </c>
      <c r="R57" s="6196">
        <f t="shared" si="30"/>
        <v>14478.890000000001</v>
      </c>
      <c r="S57" s="6196">
        <f t="shared" si="30"/>
        <v>13167.500000000002</v>
      </c>
      <c r="T57" s="6196">
        <f t="shared" si="30"/>
        <v>14980.569999999998</v>
      </c>
      <c r="U57" s="6196">
        <f t="shared" si="30"/>
        <v>10897.02</v>
      </c>
      <c r="V57" s="6196">
        <f t="shared" si="30"/>
        <v>11367.580000000002</v>
      </c>
      <c r="AB57" s="313"/>
      <c r="AM57" s="354"/>
      <c r="AN57" s="354"/>
      <c r="AP57" s="751"/>
    </row>
    <row r="58" spans="1:42">
      <c r="A58" s="314"/>
      <c r="B58" s="314"/>
      <c r="C58" s="314"/>
      <c r="D58" s="314"/>
      <c r="E58" s="314"/>
      <c r="F58" s="751"/>
      <c r="G58" s="751"/>
      <c r="H58" s="751"/>
      <c r="I58" s="651"/>
      <c r="J58" s="1538"/>
      <c r="K58" s="1538"/>
      <c r="L58" s="751"/>
      <c r="O58" s="382"/>
      <c r="P58" s="382"/>
      <c r="AB58" s="313"/>
      <c r="AJ58" s="664">
        <f>SUM(N5:W5)</f>
        <v>263836.87</v>
      </c>
      <c r="AK58" s="354">
        <f>X58/AJ58</f>
        <v>0</v>
      </c>
      <c r="AM58" s="354"/>
      <c r="AN58" s="354"/>
      <c r="AP58" s="751"/>
    </row>
    <row r="59" spans="1:42">
      <c r="A59" s="314"/>
      <c r="B59" s="314"/>
      <c r="C59" s="314"/>
      <c r="D59" s="314"/>
      <c r="E59" s="314"/>
      <c r="F59" s="751"/>
      <c r="G59" s="751"/>
      <c r="H59" s="751"/>
      <c r="I59" s="651"/>
      <c r="J59" s="1538"/>
      <c r="K59" s="1538"/>
      <c r="L59" s="751"/>
      <c r="AB59" s="313"/>
      <c r="AJ59" s="354">
        <v>264718.55</v>
      </c>
      <c r="AK59" s="354">
        <f>X59/AJ59</f>
        <v>0</v>
      </c>
      <c r="AM59" s="354"/>
      <c r="AN59" s="354"/>
      <c r="AP59" s="751"/>
    </row>
    <row r="60" spans="1:42">
      <c r="A60" s="314"/>
      <c r="B60" s="314"/>
      <c r="C60" s="314"/>
      <c r="D60" s="314"/>
      <c r="E60" s="314"/>
      <c r="F60" s="751"/>
      <c r="G60" s="751"/>
      <c r="H60" s="751"/>
      <c r="I60" s="651"/>
      <c r="J60" s="1538"/>
      <c r="K60" s="1538"/>
      <c r="L60" s="751"/>
      <c r="AB60" s="313"/>
      <c r="AJ60" s="354">
        <v>264718.55</v>
      </c>
      <c r="AK60" s="354">
        <f>X60/AJ60</f>
        <v>0</v>
      </c>
      <c r="AM60" s="354"/>
      <c r="AN60" s="354"/>
      <c r="AP60" s="751"/>
    </row>
    <row r="61" spans="1:42" ht="16.5" customHeight="1">
      <c r="A61" s="314"/>
      <c r="B61" s="314"/>
      <c r="C61" s="314"/>
      <c r="D61" s="314"/>
      <c r="E61" s="314"/>
      <c r="F61" s="751"/>
      <c r="G61" s="751"/>
      <c r="H61" s="751"/>
      <c r="I61" s="651"/>
      <c r="J61" s="1538"/>
      <c r="K61" s="1538"/>
      <c r="L61" s="751"/>
      <c r="AB61" s="313"/>
      <c r="AJ61" s="354">
        <v>264718.55</v>
      </c>
      <c r="AK61" s="354">
        <f>X61/AJ61</f>
        <v>0</v>
      </c>
      <c r="AM61" s="354"/>
      <c r="AN61" s="354"/>
      <c r="AP61" s="751"/>
    </row>
    <row r="62" spans="1:42">
      <c r="B62" s="314"/>
      <c r="C62" s="314"/>
      <c r="D62" s="314"/>
      <c r="E62" s="314"/>
      <c r="F62" s="751"/>
      <c r="G62" s="751"/>
      <c r="H62" s="751"/>
      <c r="I62" s="651"/>
      <c r="J62" s="1538"/>
      <c r="K62" s="1538"/>
      <c r="L62" s="751"/>
      <c r="AB62" s="313"/>
      <c r="AJ62" s="354">
        <v>264718.55</v>
      </c>
      <c r="AK62" s="354">
        <f>X62/AJ62</f>
        <v>0</v>
      </c>
      <c r="AM62" s="354"/>
      <c r="AN62" s="354"/>
      <c r="AP62" s="751"/>
    </row>
    <row r="63" spans="1:42">
      <c r="A63" s="314"/>
      <c r="B63" s="314"/>
      <c r="C63" s="314"/>
      <c r="D63" s="314"/>
      <c r="E63" s="314"/>
      <c r="F63" s="314"/>
      <c r="G63" s="314"/>
      <c r="H63" s="314"/>
      <c r="I63" s="314"/>
      <c r="J63" s="1534"/>
      <c r="K63" s="1534"/>
    </row>
    <row r="64" spans="1:42">
      <c r="A64" s="314"/>
      <c r="B64" s="314"/>
      <c r="C64" s="314"/>
      <c r="D64" s="314"/>
      <c r="E64" s="314"/>
      <c r="F64" s="314"/>
      <c r="G64" s="314"/>
      <c r="H64" s="314"/>
      <c r="I64" s="314"/>
      <c r="J64" s="1534"/>
      <c r="K64" s="1534"/>
    </row>
    <row r="65" spans="1:42">
      <c r="A65" s="314"/>
      <c r="B65" s="314"/>
      <c r="C65" s="314"/>
      <c r="D65" s="314"/>
      <c r="E65" s="314"/>
      <c r="F65" s="314"/>
      <c r="G65" s="314"/>
      <c r="H65" s="314"/>
      <c r="I65" s="314"/>
      <c r="J65" s="1534"/>
      <c r="K65" s="1534"/>
    </row>
    <row r="66" spans="1:42">
      <c r="A66" s="314"/>
      <c r="B66" s="314"/>
      <c r="C66" s="314"/>
      <c r="D66" s="314"/>
      <c r="E66" s="314"/>
      <c r="F66" s="314"/>
      <c r="G66" s="314"/>
      <c r="H66" s="314"/>
      <c r="I66" s="314"/>
      <c r="J66" s="1534"/>
      <c r="K66" s="1534"/>
    </row>
    <row r="67" spans="1:42">
      <c r="A67" s="354"/>
      <c r="B67" s="354"/>
      <c r="C67" s="354"/>
      <c r="D67" s="354"/>
      <c r="E67" s="354"/>
      <c r="F67" s="354"/>
      <c r="G67" s="354"/>
      <c r="H67" s="354"/>
      <c r="I67" s="354"/>
      <c r="J67" s="1536"/>
      <c r="K67" s="1536"/>
    </row>
    <row r="79" spans="1:42">
      <c r="A79" s="314"/>
      <c r="B79" s="314"/>
      <c r="C79" s="314"/>
      <c r="D79" s="314"/>
      <c r="E79" s="314"/>
      <c r="F79" s="314"/>
      <c r="G79" s="314"/>
      <c r="H79" s="314"/>
      <c r="I79" s="314"/>
      <c r="J79" s="1534"/>
      <c r="K79" s="1534"/>
      <c r="L79" s="314"/>
      <c r="M79" s="314"/>
      <c r="N79" s="314"/>
      <c r="O79" s="314"/>
      <c r="P79" s="314"/>
      <c r="Q79" s="314"/>
      <c r="R79" s="314"/>
      <c r="S79" s="314"/>
      <c r="T79" s="314"/>
      <c r="U79" s="314"/>
      <c r="V79" s="314"/>
      <c r="W79" s="314"/>
      <c r="X79" s="314"/>
      <c r="Y79" s="314"/>
      <c r="Z79" s="314"/>
      <c r="AA79" s="725"/>
      <c r="AB79" s="314"/>
      <c r="AC79" s="314"/>
      <c r="AD79" s="314"/>
      <c r="AE79" s="314"/>
      <c r="AF79" s="314"/>
      <c r="AG79" s="314"/>
      <c r="AH79" s="314"/>
      <c r="AI79" s="314"/>
      <c r="AJ79" s="314"/>
      <c r="AK79" s="314"/>
      <c r="AL79" s="314"/>
      <c r="AM79" s="314"/>
      <c r="AN79" s="314"/>
      <c r="AO79" s="314"/>
      <c r="AP79" s="314"/>
    </row>
    <row r="80" spans="1:42">
      <c r="A80" s="314"/>
      <c r="B80" s="314"/>
      <c r="C80" s="314"/>
      <c r="D80" s="314"/>
      <c r="E80" s="314"/>
      <c r="F80" s="314"/>
      <c r="G80" s="314"/>
      <c r="H80" s="314"/>
      <c r="I80" s="314"/>
      <c r="J80" s="1534"/>
      <c r="K80" s="1534"/>
      <c r="L80" s="314"/>
      <c r="M80" s="314"/>
      <c r="N80" s="314"/>
      <c r="O80" s="314"/>
      <c r="P80" s="314"/>
      <c r="Q80" s="314"/>
      <c r="R80" s="314"/>
      <c r="S80" s="314"/>
      <c r="T80" s="314"/>
      <c r="U80" s="314"/>
      <c r="V80" s="314"/>
      <c r="W80" s="314"/>
      <c r="X80" s="314"/>
      <c r="Y80" s="314"/>
      <c r="Z80" s="314"/>
      <c r="AA80" s="725"/>
      <c r="AB80" s="314"/>
      <c r="AC80" s="314"/>
      <c r="AD80" s="314"/>
      <c r="AE80" s="314"/>
      <c r="AF80" s="314"/>
      <c r="AG80" s="314"/>
      <c r="AH80" s="314"/>
      <c r="AI80" s="314"/>
      <c r="AJ80" s="314"/>
      <c r="AK80" s="314"/>
      <c r="AL80" s="314"/>
      <c r="AM80" s="314"/>
      <c r="AN80" s="314"/>
      <c r="AO80" s="314"/>
      <c r="AP80" s="314"/>
    </row>
  </sheetData>
  <mergeCells count="28">
    <mergeCell ref="A8:A9"/>
    <mergeCell ref="A44:B44"/>
    <mergeCell ref="A39:A41"/>
    <mergeCell ref="A42:A43"/>
    <mergeCell ref="L52:M52"/>
    <mergeCell ref="A26:A32"/>
    <mergeCell ref="A33:A34"/>
    <mergeCell ref="A24:A25"/>
    <mergeCell ref="A35:A36"/>
    <mergeCell ref="B26:B27"/>
    <mergeCell ref="B28:B29"/>
    <mergeCell ref="A10:A17"/>
    <mergeCell ref="A18:A23"/>
    <mergeCell ref="B18:B19"/>
    <mergeCell ref="B20:B21"/>
    <mergeCell ref="B22:B23"/>
    <mergeCell ref="A5:A7"/>
    <mergeCell ref="A1:AP1"/>
    <mergeCell ref="AO3:AO4"/>
    <mergeCell ref="N3:AL3"/>
    <mergeCell ref="AM3:AM4"/>
    <mergeCell ref="AP3:AP4"/>
    <mergeCell ref="AN3:AN4"/>
    <mergeCell ref="L3:M3"/>
    <mergeCell ref="A3:A4"/>
    <mergeCell ref="B3:B4"/>
    <mergeCell ref="C3:C4"/>
    <mergeCell ref="D3:K3"/>
  </mergeCells>
  <phoneticPr fontId="22" type="noConversion"/>
  <pageMargins left="0" right="0" top="0.35433070866141736" bottom="0" header="0.31496062992125984" footer="0.31496062992125984"/>
  <pageSetup paperSize="9" scale="65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AU80"/>
  <sheetViews>
    <sheetView zoomScale="70" zoomScaleNormal="70" workbookViewId="0">
      <selection activeCell="K7" sqref="K7"/>
    </sheetView>
  </sheetViews>
  <sheetFormatPr defaultRowHeight="17.399999999999999"/>
  <cols>
    <col min="1" max="1" width="8.19921875" style="5170" customWidth="1"/>
    <col min="2" max="2" width="12" style="5170" customWidth="1"/>
    <col min="3" max="3" width="8.69921875" style="5170" bestFit="1" customWidth="1"/>
    <col min="4" max="5" width="8.69921875" style="5170" hidden="1" customWidth="1"/>
    <col min="6" max="6" width="7.69921875" style="5170" hidden="1" customWidth="1"/>
    <col min="7" max="7" width="8.796875" style="5170" hidden="1" customWidth="1"/>
    <col min="8" max="8" width="8.69921875" style="5170" hidden="1" customWidth="1"/>
    <col min="9" max="13" width="8.69921875" style="5170" customWidth="1"/>
    <col min="14" max="20" width="8.69921875" style="1536" hidden="1" customWidth="1"/>
    <col min="21" max="21" width="9.69921875" style="1536" hidden="1" customWidth="1"/>
    <col min="22" max="24" width="8.69921875" style="1536" customWidth="1"/>
    <col min="25" max="25" width="8.69921875" style="1536" hidden="1" customWidth="1"/>
    <col min="26" max="26" width="8.69921875" style="1536" customWidth="1"/>
    <col min="27" max="27" width="8.69921875" style="853" hidden="1" customWidth="1"/>
    <col min="28" max="33" width="8.69921875" style="1536" hidden="1" customWidth="1"/>
    <col min="34" max="34" width="9.69921875" style="1536" hidden="1" customWidth="1"/>
    <col min="35" max="37" width="8.69921875" style="1536" customWidth="1"/>
    <col min="38" max="38" width="8.69921875" style="1536" hidden="1" customWidth="1"/>
    <col min="39" max="39" width="10.3984375" style="5170" customWidth="1"/>
    <col min="40" max="40" width="10.296875" style="5170" customWidth="1"/>
    <col min="41" max="41" width="7.296875" style="1536" bestFit="1" customWidth="1"/>
    <col min="42" max="42" width="14" style="5170" bestFit="1" customWidth="1"/>
    <col min="43" max="43" width="13.09765625" style="1534" bestFit="1" customWidth="1"/>
    <col min="44" max="44" width="14" style="1534" bestFit="1" customWidth="1"/>
  </cols>
  <sheetData>
    <row r="1" spans="1:47" ht="30">
      <c r="A1" s="7401" t="s">
        <v>1344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7" ht="18" thickBot="1">
      <c r="N2" s="361"/>
      <c r="O2" s="361"/>
      <c r="P2" s="361"/>
      <c r="Q2" s="361"/>
      <c r="R2" s="362"/>
      <c r="S2" s="361"/>
      <c r="T2" s="361"/>
      <c r="U2" s="361"/>
      <c r="V2" s="361"/>
      <c r="W2" s="361"/>
      <c r="X2" s="361"/>
      <c r="Y2" s="361"/>
      <c r="Z2" s="361"/>
      <c r="AA2" s="852"/>
      <c r="AB2" s="361"/>
      <c r="AC2" s="361"/>
      <c r="AD2" s="361"/>
      <c r="AE2" s="361"/>
      <c r="AF2" s="361"/>
      <c r="AG2" s="361"/>
      <c r="AH2" s="361"/>
      <c r="AI2" s="361"/>
      <c r="AJ2" s="361"/>
      <c r="AK2" s="361"/>
      <c r="AL2" s="361"/>
      <c r="AM2" s="361"/>
      <c r="AN2" s="361"/>
      <c r="AO2" s="361"/>
      <c r="AP2" s="5159" t="s">
        <v>402</v>
      </c>
    </row>
    <row r="3" spans="1:47" ht="15.6" customHeight="1" thickBot="1">
      <c r="A3" s="7132" t="s">
        <v>252</v>
      </c>
      <c r="B3" s="7223" t="s">
        <v>253</v>
      </c>
      <c r="C3" s="7225" t="s">
        <v>234</v>
      </c>
      <c r="D3" s="7400" t="s">
        <v>255</v>
      </c>
      <c r="E3" s="7377"/>
      <c r="F3" s="7377"/>
      <c r="G3" s="7377"/>
      <c r="H3" s="7377"/>
      <c r="I3" s="7377"/>
      <c r="J3" s="7377"/>
      <c r="K3" s="7427"/>
      <c r="L3" s="7341" t="s">
        <v>286</v>
      </c>
      <c r="M3" s="7419"/>
      <c r="N3" s="7341" t="s">
        <v>1338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1335</v>
      </c>
      <c r="AN3" s="7332" t="s">
        <v>462</v>
      </c>
      <c r="AO3" s="7332" t="s">
        <v>365</v>
      </c>
      <c r="AP3" s="7223" t="s">
        <v>287</v>
      </c>
    </row>
    <row r="4" spans="1:47" ht="15.6" customHeight="1">
      <c r="A4" s="7420"/>
      <c r="B4" s="7421"/>
      <c r="C4" s="7422"/>
      <c r="D4" s="5161" t="s">
        <v>256</v>
      </c>
      <c r="E4" s="1182" t="s">
        <v>257</v>
      </c>
      <c r="F4" s="1182" t="s">
        <v>194</v>
      </c>
      <c r="G4" s="1182" t="s">
        <v>258</v>
      </c>
      <c r="H4" s="1182" t="s">
        <v>556</v>
      </c>
      <c r="I4" s="1038" t="s">
        <v>716</v>
      </c>
      <c r="J4" s="1038" t="s">
        <v>718</v>
      </c>
      <c r="K4" s="3132" t="s">
        <v>999</v>
      </c>
      <c r="L4" s="5157" t="s">
        <v>1272</v>
      </c>
      <c r="M4" s="5158" t="s">
        <v>823</v>
      </c>
      <c r="N4" s="4160" t="s">
        <v>370</v>
      </c>
      <c r="O4" s="3588" t="s">
        <v>372</v>
      </c>
      <c r="P4" s="3588" t="s">
        <v>373</v>
      </c>
      <c r="Q4" s="3588" t="s">
        <v>374</v>
      </c>
      <c r="R4" s="3588" t="s">
        <v>375</v>
      </c>
      <c r="S4" s="3588" t="s">
        <v>376</v>
      </c>
      <c r="T4" s="3588" t="s">
        <v>950</v>
      </c>
      <c r="U4" s="3588" t="s">
        <v>378</v>
      </c>
      <c r="V4" s="3588" t="s">
        <v>379</v>
      </c>
      <c r="W4" s="5461" t="s">
        <v>380</v>
      </c>
      <c r="X4" s="5304" t="s">
        <v>381</v>
      </c>
      <c r="Y4" s="6626" t="s">
        <v>382</v>
      </c>
      <c r="Z4" s="1290" t="s">
        <v>894</v>
      </c>
      <c r="AA4" s="5132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904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43"/>
      <c r="AN4" s="7406"/>
      <c r="AO4" s="7406"/>
      <c r="AP4" s="7444"/>
    </row>
    <row r="5" spans="1:47" ht="15.6" customHeight="1">
      <c r="A5" s="7441" t="s">
        <v>260</v>
      </c>
      <c r="B5" s="1049" t="s">
        <v>261</v>
      </c>
      <c r="C5" s="911" t="s">
        <v>309</v>
      </c>
      <c r="D5" s="838">
        <v>280607.90000000002</v>
      </c>
      <c r="E5" s="652">
        <v>313095</v>
      </c>
      <c r="F5" s="790">
        <v>291017.58</v>
      </c>
      <c r="G5" s="790">
        <v>286570.19</v>
      </c>
      <c r="H5" s="514">
        <v>311777</v>
      </c>
      <c r="I5" s="1039">
        <v>313507</v>
      </c>
      <c r="J5" s="2186">
        <v>309398.58</v>
      </c>
      <c r="K5" s="2186">
        <f>년간!C10</f>
        <v>291974.88</v>
      </c>
      <c r="L5" s="3133">
        <f>년간!D10</f>
        <v>273530</v>
      </c>
      <c r="M5" s="2794">
        <f>L5/10</f>
        <v>27353</v>
      </c>
      <c r="N5" s="4161">
        <f>년간!F10</f>
        <v>24738.14</v>
      </c>
      <c r="O5" s="3616">
        <f>년간!G10</f>
        <v>24620.850000000002</v>
      </c>
      <c r="P5" s="3616">
        <f>년간!H10</f>
        <v>26927.78</v>
      </c>
      <c r="Q5" s="3616">
        <f>년간!I10</f>
        <v>24694.04</v>
      </c>
      <c r="R5" s="3616">
        <f>년간!J10</f>
        <v>22811.49</v>
      </c>
      <c r="S5" s="3616">
        <f>년간!K10</f>
        <v>24990.170000000002</v>
      </c>
      <c r="T5" s="3616">
        <f>년간!L10</f>
        <v>30848.92</v>
      </c>
      <c r="U5" s="3616">
        <f>년간!M10</f>
        <v>27730.79</v>
      </c>
      <c r="V5" s="3616">
        <f>년간!N10</f>
        <v>29266.38</v>
      </c>
      <c r="W5" s="5505">
        <f>년간!O10</f>
        <v>27208.309999999998</v>
      </c>
      <c r="X5" s="5350">
        <f>년간!P10</f>
        <v>1333.4739999999999</v>
      </c>
      <c r="Y5" s="5968">
        <f>년간!Q10</f>
        <v>0</v>
      </c>
      <c r="Z5" s="3616">
        <f>SUM(N5:Y5)</f>
        <v>265170.34399999998</v>
      </c>
      <c r="AA5" s="5133"/>
      <c r="AB5" s="4151"/>
      <c r="AC5" s="4151"/>
      <c r="AD5" s="4151"/>
      <c r="AE5" s="4151"/>
      <c r="AF5" s="4151"/>
      <c r="AG5" s="4151"/>
      <c r="AH5" s="4151"/>
      <c r="AI5" s="4151"/>
      <c r="AJ5" s="4151"/>
      <c r="AK5" s="4151"/>
      <c r="AL5" s="4151"/>
      <c r="AM5" s="4151"/>
      <c r="AN5" s="4151"/>
      <c r="AO5" s="4163"/>
      <c r="AP5" s="4164"/>
      <c r="AR5" s="1536"/>
    </row>
    <row r="6" spans="1:47" ht="15.6" customHeight="1">
      <c r="A6" s="7441"/>
      <c r="B6" s="1049" t="s">
        <v>263</v>
      </c>
      <c r="C6" s="911" t="s">
        <v>310</v>
      </c>
      <c r="D6" s="839">
        <v>36.635276454076639</v>
      </c>
      <c r="E6" s="650">
        <v>40.28819407956113</v>
      </c>
      <c r="F6" s="840">
        <v>40.952245905022799</v>
      </c>
      <c r="G6" s="840">
        <v>39.301413955784739</v>
      </c>
      <c r="H6" s="520">
        <v>39.166384432747506</v>
      </c>
      <c r="I6" s="5174">
        <v>39.29</v>
      </c>
      <c r="J6" s="5175">
        <v>39.056847287531163</v>
      </c>
      <c r="K6" s="5175">
        <f>년간!C120</f>
        <v>39.078220717254119</v>
      </c>
      <c r="L6" s="5176">
        <f>년간!D119</f>
        <v>40.049999999999997</v>
      </c>
      <c r="M6" s="5177">
        <f>L6</f>
        <v>40.049999999999997</v>
      </c>
      <c r="N6" s="5178">
        <f>년간!F120</f>
        <v>42.135028790988457</v>
      </c>
      <c r="O6" s="5249">
        <f>년간!G120</f>
        <v>43.809064070863357</v>
      </c>
      <c r="P6" s="5249">
        <f>년간!H120</f>
        <v>40.549871664261666</v>
      </c>
      <c r="Q6" s="5178">
        <f>년간!I120</f>
        <v>38.281127680468018</v>
      </c>
      <c r="R6" s="5178">
        <f>년간!J120</f>
        <v>45.497314972961597</v>
      </c>
      <c r="S6" s="5178">
        <f>년간!K120</f>
        <v>38.804861359958601</v>
      </c>
      <c r="T6" s="5178">
        <f>년간!L120</f>
        <v>39.027029838828497</v>
      </c>
      <c r="U6" s="5178">
        <f>년간!M120</f>
        <v>34.8970510402606</v>
      </c>
      <c r="V6" s="5178">
        <f>년간!N120</f>
        <v>38.0912994926449</v>
      </c>
      <c r="W6" s="5561">
        <f>년간!O120</f>
        <v>36.75</v>
      </c>
      <c r="X6" s="5373">
        <f>년간!P120</f>
        <v>0</v>
      </c>
      <c r="Y6" s="5372">
        <f>년간!Q120</f>
        <v>0</v>
      </c>
      <c r="Z6" s="5249">
        <f>년간!V120</f>
        <v>39.874156545930497</v>
      </c>
      <c r="AA6" s="5192">
        <f>년간!F144/1000</f>
        <v>100674.71494632709</v>
      </c>
      <c r="AB6" s="5179">
        <f>년간!G144/1000</f>
        <v>149144.1159133013</v>
      </c>
      <c r="AC6" s="5179">
        <f>년간!H144/1000</f>
        <v>54820.673847583079</v>
      </c>
      <c r="AD6" s="5179">
        <f>년간!I144/1000</f>
        <v>-28843.298780974801</v>
      </c>
      <c r="AE6" s="5179">
        <f>년간!J144/1000</f>
        <v>180538.62378070661</v>
      </c>
      <c r="AF6" s="5179">
        <f>년간!K144/1000</f>
        <v>-9875.1910840237942</v>
      </c>
      <c r="AG6" s="5179">
        <f>년간!L144/1000</f>
        <v>-2269.8415139812237</v>
      </c>
      <c r="AH6" s="5179">
        <f>년간!M144/1000</f>
        <v>-186380.20898257472</v>
      </c>
      <c r="AI6" s="5179">
        <f>년간!N144/1000</f>
        <v>-42535.759926017927</v>
      </c>
      <c r="AJ6" s="5179">
        <f>년간!O144/1000</f>
        <v>-96693.40679593914</v>
      </c>
      <c r="AK6" s="5179" t="e">
        <f>년간!P144/1000</f>
        <v>#DIV/0!</v>
      </c>
      <c r="AL6" s="5179" t="e">
        <f>년간!Q144/1000</f>
        <v>#DIV/0!</v>
      </c>
      <c r="AM6" s="5179">
        <f>년간!D143/1000</f>
        <v>372059.74393755232</v>
      </c>
      <c r="AN6" s="5179" t="e">
        <f>AA6+AB6+AC6+AD6+AE6+AF6+AG6+AH6+AI6+AJ6+AK6</f>
        <v>#DIV/0!</v>
      </c>
      <c r="AO6" s="5180" t="e">
        <f>AN6/AM6</f>
        <v>#DIV/0!</v>
      </c>
      <c r="AP6" s="5181" t="s">
        <v>1537</v>
      </c>
      <c r="AQ6" s="5191" t="s">
        <v>1775</v>
      </c>
      <c r="AR6" s="4242"/>
      <c r="AS6" s="3925"/>
      <c r="AT6" s="3925"/>
      <c r="AU6" s="3925"/>
    </row>
    <row r="7" spans="1:47" ht="15.6" customHeight="1" thickBot="1">
      <c r="A7" s="7442"/>
      <c r="B7" s="5164" t="s">
        <v>265</v>
      </c>
      <c r="C7" s="936" t="s">
        <v>235</v>
      </c>
      <c r="D7" s="1051">
        <v>97.667805773742728</v>
      </c>
      <c r="E7" s="937">
        <v>97.812305962509853</v>
      </c>
      <c r="F7" s="1052">
        <v>97.369683073985954</v>
      </c>
      <c r="G7" s="1052">
        <v>97.201892954742391</v>
      </c>
      <c r="H7" s="1053">
        <v>98.032043940345559</v>
      </c>
      <c r="I7" s="1053">
        <v>98.81</v>
      </c>
      <c r="J7" s="1621">
        <v>98.842928115557456</v>
      </c>
      <c r="K7" s="1621">
        <f>년간!C113*100</f>
        <v>98.320217917675549</v>
      </c>
      <c r="L7" s="1683">
        <f>년간!D113*100</f>
        <v>99.4</v>
      </c>
      <c r="M7" s="1543">
        <f>L7</f>
        <v>99.4</v>
      </c>
      <c r="N7" s="4167">
        <f>년간!F113*100</f>
        <v>100</v>
      </c>
      <c r="O7" s="3484">
        <f>년간!G113*100</f>
        <v>99.447030683367203</v>
      </c>
      <c r="P7" s="3484">
        <f>년간!H113*100</f>
        <v>99.859550561797747</v>
      </c>
      <c r="Q7" s="3484">
        <f>년간!I113*100</f>
        <v>100</v>
      </c>
      <c r="R7" s="3484">
        <f>년간!J113*100</f>
        <v>99.062268651805539</v>
      </c>
      <c r="S7" s="3484">
        <f>년간!K113*100</f>
        <v>99.425747863247864</v>
      </c>
      <c r="T7" s="3484">
        <f>년간!L113*100</f>
        <v>99.966397849462368</v>
      </c>
      <c r="U7" s="3484">
        <f>년간!M113*100</f>
        <v>98.151623193844998</v>
      </c>
      <c r="V7" s="3484">
        <f>년간!N113*100</f>
        <v>99.973226889938189</v>
      </c>
      <c r="W7" s="5470">
        <f>년간!O113*100</f>
        <v>99.798387096774192</v>
      </c>
      <c r="X7" s="5313">
        <f>년간!P113*100</f>
        <v>100</v>
      </c>
      <c r="Y7" s="6635" t="e">
        <f>년간!Q113*100</f>
        <v>#DIV/0!</v>
      </c>
      <c r="Z7" s="2337">
        <f>년간!V113*100</f>
        <v>99.570661542304435</v>
      </c>
      <c r="AA7" s="5135">
        <f>년간!F142/1000</f>
        <v>22952.847259645052</v>
      </c>
      <c r="AB7" s="4703">
        <f>년간!G142/1000</f>
        <v>15918.165843019324</v>
      </c>
      <c r="AC7" s="4703">
        <f>년간!H142/1000</f>
        <v>23991.939108845952</v>
      </c>
      <c r="AD7" s="4703">
        <f>년간!I142/1000</f>
        <v>21721.126285043243</v>
      </c>
      <c r="AE7" s="4703">
        <f>년간!J142/1000</f>
        <v>9794.9350410321385</v>
      </c>
      <c r="AF7" s="4703">
        <f>년간!K142/1000</f>
        <v>15035.477921816344</v>
      </c>
      <c r="AG7" s="4703">
        <f>년간!L142/1000</f>
        <v>26839.075505194571</v>
      </c>
      <c r="AH7" s="4703">
        <f>년간!M142/1000</f>
        <v>-2577.4437300636068</v>
      </c>
      <c r="AI7" s="4703">
        <f>년간!N142/1000</f>
        <v>24806.460580074207</v>
      </c>
      <c r="AJ7" s="4703">
        <f>년간!O142/1000</f>
        <v>24059.348948145212</v>
      </c>
      <c r="AK7" s="4703">
        <f>년간!P142/1000</f>
        <v>1865.6859804631274</v>
      </c>
      <c r="AL7" s="4703" t="e">
        <f>년간!Q142/1000</f>
        <v>#DIV/0!</v>
      </c>
      <c r="AM7" s="4703">
        <f>년간!D142/1000</f>
        <v>162528.51241891523</v>
      </c>
      <c r="AN7" s="3234">
        <f>AA7+AB7+AC7+AD7+AE7+AF7+AG7+AH7+AI7+AJ7+AK7</f>
        <v>184407.61874321554</v>
      </c>
      <c r="AO7" s="4168">
        <f>AN7/AM7</f>
        <v>1.1346170342586241</v>
      </c>
      <c r="AP7" s="3753" t="s">
        <v>1537</v>
      </c>
      <c r="AR7" s="1536"/>
    </row>
    <row r="8" spans="1:47" ht="15.6" customHeight="1">
      <c r="A8" s="7445" t="s">
        <v>267</v>
      </c>
      <c r="B8" s="1070" t="s">
        <v>536</v>
      </c>
      <c r="C8" s="926" t="s">
        <v>235</v>
      </c>
      <c r="D8" s="1071">
        <v>99.254476328030421</v>
      </c>
      <c r="E8" s="1072">
        <v>98.904868508912699</v>
      </c>
      <c r="F8" s="1073">
        <v>98.54878099892494</v>
      </c>
      <c r="G8" s="1073">
        <v>98.709193043687762</v>
      </c>
      <c r="H8" s="1074">
        <v>99.068155973510756</v>
      </c>
      <c r="I8" s="1074">
        <v>99.83</v>
      </c>
      <c r="J8" s="1074">
        <v>100.18118732416113</v>
      </c>
      <c r="K8" s="1074">
        <f>년간!C89*100</f>
        <v>100.18258233928049</v>
      </c>
      <c r="L8" s="930">
        <f>년간!D89*100</f>
        <v>100.35000000000001</v>
      </c>
      <c r="M8" s="1544">
        <f>L8</f>
        <v>100.35000000000001</v>
      </c>
      <c r="N8" s="4169">
        <f>년간!F89*100</f>
        <v>100.70524985861206</v>
      </c>
      <c r="O8" s="1090">
        <f>년간!G89*100</f>
        <v>100.6108820007982</v>
      </c>
      <c r="P8" s="1090">
        <f>년간!H89*100</f>
        <v>100.27112703876352</v>
      </c>
      <c r="Q8" s="1090">
        <f>년간!I89*100</f>
        <v>100.15607027380437</v>
      </c>
      <c r="R8" s="1090">
        <f>년간!J89*100</f>
        <v>100.46615565330576</v>
      </c>
      <c r="S8" s="1090">
        <f>년간!K89*100</f>
        <v>100.13871134113718</v>
      </c>
      <c r="T8" s="1090">
        <f>년간!L89*100</f>
        <v>100.2504384380867</v>
      </c>
      <c r="U8" s="1090">
        <f>년간!M89*100</f>
        <v>100.26117222159274</v>
      </c>
      <c r="V8" s="1090">
        <f>년간!N89*100</f>
        <v>100.32249771187051</v>
      </c>
      <c r="W8" s="5507">
        <f>년간!O89*100</f>
        <v>100.64747142115121</v>
      </c>
      <c r="X8" s="5352">
        <f>년간!P89*100</f>
        <v>100.95498387414261</v>
      </c>
      <c r="Y8" s="6848" t="e">
        <f>년간!Q89*100</f>
        <v>#DIV/0!</v>
      </c>
      <c r="Z8" s="1879">
        <f>년간!V89*100</f>
        <v>100.3806325331841</v>
      </c>
      <c r="AA8" s="5136">
        <f>년간!F140/1000</f>
        <v>55689.109841919329</v>
      </c>
      <c r="AB8" s="4701">
        <f>년간!G140/1000</f>
        <v>45393.163717209405</v>
      </c>
      <c r="AC8" s="4701">
        <f>년간!H140/1000</f>
        <v>10307.125051040923</v>
      </c>
      <c r="AD8" s="4701">
        <f>년간!I140/1000</f>
        <v>-2835.7846323568419</v>
      </c>
      <c r="AE8" s="4701">
        <f>년간!J140/1000</f>
        <v>27900.139040028007</v>
      </c>
      <c r="AF8" s="4701">
        <f>년간!K140/1000</f>
        <v>-4741.9185334040585</v>
      </c>
      <c r="AG8" s="4701">
        <f>년간!L140/1000</f>
        <v>9047.4084548953251</v>
      </c>
      <c r="AH8" s="4701">
        <f>년간!M140/1000</f>
        <v>9427.4428491391682</v>
      </c>
      <c r="AI8" s="4701">
        <f>년간!N140/1000</f>
        <v>17707.241658700113</v>
      </c>
      <c r="AJ8" s="4701">
        <f>년간!O140/1000</f>
        <v>54472.3670083365</v>
      </c>
      <c r="AK8" s="4701">
        <f>년간!P140/1000</f>
        <v>4426.0338041061168</v>
      </c>
      <c r="AL8" s="4701" t="e">
        <f>년간!Q140/1000</f>
        <v>#DIV/0!</v>
      </c>
      <c r="AM8" s="4701">
        <f>년간!D140/1000</f>
        <v>197841.67519918102</v>
      </c>
      <c r="AN8" s="5169">
        <f>AA8+AB8+AC8+AD8+AE8+AF8+AG8+AH8+AI8+AJ8+AK8</f>
        <v>226792.32825961398</v>
      </c>
      <c r="AO8" s="1075">
        <f>AN8/AM8</f>
        <v>1.146332429864872</v>
      </c>
      <c r="AP8" s="934" t="s">
        <v>1538</v>
      </c>
      <c r="AR8" s="1536"/>
    </row>
    <row r="9" spans="1:47" ht="15.6" customHeight="1" thickBot="1">
      <c r="A9" s="7446"/>
      <c r="B9" s="1076" t="s">
        <v>518</v>
      </c>
      <c r="C9" s="915" t="s">
        <v>309</v>
      </c>
      <c r="D9" s="1077">
        <v>2050.37</v>
      </c>
      <c r="E9" s="1078">
        <v>1953.53</v>
      </c>
      <c r="F9" s="1079">
        <v>2508.8000000000002</v>
      </c>
      <c r="G9" s="1079">
        <v>1973.88</v>
      </c>
      <c r="H9" s="1080">
        <v>820.61999999999978</v>
      </c>
      <c r="I9" s="3767">
        <v>320</v>
      </c>
      <c r="J9" s="2338">
        <v>307.49</v>
      </c>
      <c r="K9" s="2338">
        <f>년간!C22</f>
        <v>363.24000000000007</v>
      </c>
      <c r="L9" s="3768">
        <f>년간!D22</f>
        <v>180</v>
      </c>
      <c r="M9" s="3136">
        <f t="shared" ref="M9:M14" si="0">L9/10</f>
        <v>18</v>
      </c>
      <c r="N9" s="4170">
        <f>년간!F22</f>
        <v>4.84</v>
      </c>
      <c r="O9" s="2431">
        <f>년간!G22</f>
        <v>41.36</v>
      </c>
      <c r="P9" s="2431">
        <f>년간!H22</f>
        <v>22.59</v>
      </c>
      <c r="Q9" s="2431">
        <f>년간!I22</f>
        <v>0</v>
      </c>
      <c r="R9" s="2431">
        <f>년간!J22</f>
        <v>26.65</v>
      </c>
      <c r="S9" s="2431">
        <f>년간!K22</f>
        <v>40.56</v>
      </c>
      <c r="T9" s="2431">
        <f>년간!L22</f>
        <v>37.85</v>
      </c>
      <c r="U9" s="2431">
        <f>년간!M22</f>
        <v>7.47</v>
      </c>
      <c r="V9" s="2431">
        <f>년간!N22</f>
        <v>0</v>
      </c>
      <c r="W9" s="5508">
        <f>년간!O22</f>
        <v>24.21</v>
      </c>
      <c r="X9" s="5353">
        <f>년간!P22</f>
        <v>0</v>
      </c>
      <c r="Y9" s="6849">
        <f>년간!Q22</f>
        <v>0</v>
      </c>
      <c r="Z9" s="2433">
        <f>SUM(N9:Y9)</f>
        <v>205.53</v>
      </c>
      <c r="AA9" s="5137"/>
      <c r="AB9" s="4826"/>
      <c r="AC9" s="4826"/>
      <c r="AD9" s="4826"/>
      <c r="AE9" s="4826"/>
      <c r="AF9" s="4826"/>
      <c r="AG9" s="4826"/>
      <c r="AH9" s="4826"/>
      <c r="AI9" s="4826"/>
      <c r="AJ9" s="4826"/>
      <c r="AK9" s="4826"/>
      <c r="AL9" s="4826"/>
      <c r="AM9" s="4826"/>
      <c r="AN9" s="3270"/>
      <c r="AO9" s="3271"/>
      <c r="AP9" s="3147" t="s">
        <v>299</v>
      </c>
      <c r="AR9" s="1536"/>
    </row>
    <row r="10" spans="1:47" ht="15.6" customHeight="1">
      <c r="A10" s="7445" t="s">
        <v>544</v>
      </c>
      <c r="B10" s="1094" t="s">
        <v>881</v>
      </c>
      <c r="C10" s="973" t="s">
        <v>440</v>
      </c>
      <c r="D10" s="1046"/>
      <c r="E10" s="1091"/>
      <c r="F10" s="1093">
        <v>1575.96</v>
      </c>
      <c r="G10" s="1093">
        <v>1350.99</v>
      </c>
      <c r="H10" s="1039">
        <v>1329</v>
      </c>
      <c r="I10" s="3769">
        <v>651</v>
      </c>
      <c r="J10" s="2188">
        <v>685.29199999999992</v>
      </c>
      <c r="K10" s="2188">
        <v>560.84799999999996</v>
      </c>
      <c r="L10" s="1121">
        <v>300</v>
      </c>
      <c r="M10" s="2115">
        <f t="shared" si="0"/>
        <v>30</v>
      </c>
      <c r="N10" s="4165">
        <v>12.92</v>
      </c>
      <c r="O10" s="3617">
        <v>19.43</v>
      </c>
      <c r="P10" s="3617">
        <v>32.14</v>
      </c>
      <c r="Q10" s="3617">
        <f>CGL!Q10</f>
        <v>1.94</v>
      </c>
      <c r="R10" s="3617">
        <f>CGL!R10</f>
        <v>16.36</v>
      </c>
      <c r="S10" s="3617">
        <f>CGL!S10</f>
        <v>22.52</v>
      </c>
      <c r="T10" s="3617">
        <f>CGL!T10</f>
        <v>10.119999999999999</v>
      </c>
      <c r="U10" s="3617">
        <f>CGL!U10</f>
        <v>46.18</v>
      </c>
      <c r="V10" s="3617">
        <f>CGL!V10</f>
        <v>9.07</v>
      </c>
      <c r="W10" s="5506">
        <f>CGL!W10</f>
        <v>18.400000000000002</v>
      </c>
      <c r="X10" s="5351"/>
      <c r="Y10" s="5969"/>
      <c r="Z10" s="1069">
        <f t="shared" ref="Z10:Z23" si="1">SUM(N10:Y10)</f>
        <v>189.08</v>
      </c>
      <c r="AA10" s="5138"/>
      <c r="AB10" s="4827"/>
      <c r="AC10" s="4151"/>
      <c r="AD10" s="4151"/>
      <c r="AE10" s="4151"/>
      <c r="AF10" s="4151"/>
      <c r="AG10" s="4151"/>
      <c r="AH10" s="4151"/>
      <c r="AI10" s="4151"/>
      <c r="AJ10" s="4151"/>
      <c r="AK10" s="4151"/>
      <c r="AL10" s="4151"/>
      <c r="AM10" s="4151"/>
      <c r="AN10" s="4151"/>
      <c r="AO10" s="4163"/>
      <c r="AP10" s="3882" t="s">
        <v>663</v>
      </c>
      <c r="AR10" s="1536"/>
    </row>
    <row r="11" spans="1:47" ht="15.6" customHeight="1">
      <c r="A11" s="7455"/>
      <c r="B11" s="1049" t="s">
        <v>923</v>
      </c>
      <c r="C11" s="911" t="s">
        <v>440</v>
      </c>
      <c r="D11" s="839"/>
      <c r="E11" s="650"/>
      <c r="F11" s="790">
        <v>608.03</v>
      </c>
      <c r="G11" s="790">
        <v>505.16999999999996</v>
      </c>
      <c r="H11" s="790">
        <f>스크!L13</f>
        <v>594.27</v>
      </c>
      <c r="I11" s="3770">
        <f>스크!L14</f>
        <v>506.82</v>
      </c>
      <c r="J11" s="3770">
        <f>스크!L15</f>
        <v>387.63</v>
      </c>
      <c r="K11" s="3771">
        <v>349.56999999999994</v>
      </c>
      <c r="L11" s="2795">
        <v>300</v>
      </c>
      <c r="M11" s="2790">
        <f t="shared" si="0"/>
        <v>30</v>
      </c>
      <c r="N11" s="4171">
        <f>스크!L18</f>
        <v>25.2</v>
      </c>
      <c r="O11" s="3618">
        <f>스크!L19</f>
        <v>33.04</v>
      </c>
      <c r="P11" s="3618">
        <f>스크!L20</f>
        <v>33.69</v>
      </c>
      <c r="Q11" s="3618">
        <f>스크!L22</f>
        <v>40.299999999999997</v>
      </c>
      <c r="R11" s="3618">
        <f>스크!L23</f>
        <v>26.92</v>
      </c>
      <c r="S11" s="3618">
        <f>스크!L24</f>
        <v>38.840000000000003</v>
      </c>
      <c r="T11" s="3618">
        <f>스크!M24</f>
        <v>43.3</v>
      </c>
      <c r="U11" s="3618">
        <f>스크!L28</f>
        <v>35.6</v>
      </c>
      <c r="V11" s="3618">
        <f>스크!L29</f>
        <v>43.22</v>
      </c>
      <c r="W11" s="5509">
        <f>스크!M29</f>
        <v>42.65</v>
      </c>
      <c r="X11" s="5354">
        <f>스크!L32</f>
        <v>2.85</v>
      </c>
      <c r="Y11" s="5970">
        <f>스크!L33</f>
        <v>0</v>
      </c>
      <c r="Z11" s="3616">
        <f t="shared" si="1"/>
        <v>365.61</v>
      </c>
      <c r="AA11" s="5138"/>
      <c r="AB11" s="4827"/>
      <c r="AC11" s="4151"/>
      <c r="AD11" s="4151"/>
      <c r="AE11" s="4151"/>
      <c r="AF11" s="4151"/>
      <c r="AG11" s="4151"/>
      <c r="AH11" s="4151"/>
      <c r="AI11" s="4151"/>
      <c r="AJ11" s="4151"/>
      <c r="AK11" s="4151"/>
      <c r="AL11" s="4151"/>
      <c r="AM11" s="4151"/>
      <c r="AN11" s="4151"/>
      <c r="AO11" s="4163"/>
      <c r="AP11" s="3756" t="s">
        <v>1478</v>
      </c>
      <c r="AR11" s="1536"/>
    </row>
    <row r="12" spans="1:47" ht="15.6" customHeight="1">
      <c r="A12" s="7455"/>
      <c r="B12" s="1625" t="s">
        <v>1013</v>
      </c>
      <c r="C12" s="1626" t="s">
        <v>440</v>
      </c>
      <c r="D12" s="1627"/>
      <c r="E12" s="1628"/>
      <c r="F12" s="1629"/>
      <c r="G12" s="1630"/>
      <c r="H12" s="1631"/>
      <c r="I12" s="3772"/>
      <c r="J12" s="3771"/>
      <c r="K12" s="3771">
        <v>307.38</v>
      </c>
      <c r="L12" s="2795">
        <v>100</v>
      </c>
      <c r="M12" s="2790">
        <f t="shared" si="0"/>
        <v>10</v>
      </c>
      <c r="N12" s="4172">
        <v>0</v>
      </c>
      <c r="O12" s="3604">
        <v>14.81</v>
      </c>
      <c r="P12" s="3604">
        <v>0</v>
      </c>
      <c r="Q12" s="3604">
        <f>CGL!Q12</f>
        <v>0</v>
      </c>
      <c r="R12" s="3604">
        <f>CGL!R12</f>
        <v>0</v>
      </c>
      <c r="S12" s="3604">
        <f>CGL!S12</f>
        <v>0</v>
      </c>
      <c r="T12" s="3604">
        <f>CGL!T12</f>
        <v>0</v>
      </c>
      <c r="U12" s="3604">
        <f>CGL!U12</f>
        <v>3</v>
      </c>
      <c r="V12" s="3604">
        <f>CGL!V12</f>
        <v>110.86</v>
      </c>
      <c r="W12" s="5510">
        <f>CGL!W12</f>
        <v>3.88</v>
      </c>
      <c r="X12" s="5355"/>
      <c r="Y12" s="6850"/>
      <c r="Z12" s="3616">
        <f t="shared" si="1"/>
        <v>132.55000000000001</v>
      </c>
      <c r="AA12" s="5133"/>
      <c r="AB12" s="4827"/>
      <c r="AC12" s="4151"/>
      <c r="AD12" s="4151"/>
      <c r="AE12" s="4151"/>
      <c r="AF12" s="4151"/>
      <c r="AG12" s="4151"/>
      <c r="AH12" s="4151"/>
      <c r="AI12" s="4151"/>
      <c r="AJ12" s="4151"/>
      <c r="AK12" s="4151"/>
      <c r="AL12" s="4151"/>
      <c r="AM12" s="4151"/>
      <c r="AN12" s="4151"/>
      <c r="AO12" s="4163"/>
      <c r="AP12" s="3756" t="s">
        <v>1476</v>
      </c>
      <c r="AQ12" s="1534" t="s">
        <v>1141</v>
      </c>
      <c r="AR12" s="1536"/>
    </row>
    <row r="13" spans="1:47" ht="15.6" customHeight="1">
      <c r="A13" s="7455"/>
      <c r="B13" s="1625" t="s">
        <v>1135</v>
      </c>
      <c r="C13" s="1626" t="s">
        <v>440</v>
      </c>
      <c r="D13" s="1627"/>
      <c r="E13" s="1628"/>
      <c r="F13" s="1629"/>
      <c r="G13" s="2140"/>
      <c r="H13" s="2139"/>
      <c r="I13" s="3772"/>
      <c r="J13" s="3771"/>
      <c r="K13" s="3138">
        <v>467.16800000000006</v>
      </c>
      <c r="L13" s="2795">
        <v>150</v>
      </c>
      <c r="M13" s="2790">
        <f t="shared" si="0"/>
        <v>15</v>
      </c>
      <c r="N13" s="4172">
        <v>30.21</v>
      </c>
      <c r="O13" s="3604">
        <f>4.82</f>
        <v>4.82</v>
      </c>
      <c r="P13" s="3604">
        <v>41</v>
      </c>
      <c r="Q13" s="3604">
        <f>CGL!Q13</f>
        <v>34.29</v>
      </c>
      <c r="R13" s="3604">
        <f>CGL!R13</f>
        <v>9.74</v>
      </c>
      <c r="S13" s="3604">
        <f>CGL!S13</f>
        <v>6.04</v>
      </c>
      <c r="T13" s="3604">
        <f>CGL!T13</f>
        <v>43.269999999999996</v>
      </c>
      <c r="U13" s="3604">
        <f>CGL!U13</f>
        <v>53</v>
      </c>
      <c r="V13" s="3604">
        <f>CGL!V13</f>
        <v>27.3</v>
      </c>
      <c r="W13" s="5510">
        <f>CGL!W13</f>
        <v>47.28</v>
      </c>
      <c r="X13" s="5355"/>
      <c r="Y13" s="6850"/>
      <c r="Z13" s="3616">
        <f t="shared" si="1"/>
        <v>296.95000000000005</v>
      </c>
      <c r="AA13" s="5133"/>
      <c r="AB13" s="4827"/>
      <c r="AC13" s="4151"/>
      <c r="AD13" s="4151"/>
      <c r="AE13" s="4151"/>
      <c r="AF13" s="4151"/>
      <c r="AG13" s="4151"/>
      <c r="AH13" s="4151"/>
      <c r="AI13" s="4151"/>
      <c r="AJ13" s="4151"/>
      <c r="AK13" s="4151"/>
      <c r="AL13" s="4151"/>
      <c r="AM13" s="4151"/>
      <c r="AN13" s="4151"/>
      <c r="AO13" s="4163"/>
      <c r="AP13" s="3756" t="s">
        <v>1483</v>
      </c>
      <c r="AR13" s="1536"/>
    </row>
    <row r="14" spans="1:47" ht="15.6" customHeight="1">
      <c r="A14" s="7455"/>
      <c r="B14" s="1625" t="s">
        <v>1058</v>
      </c>
      <c r="C14" s="1626" t="s">
        <v>1059</v>
      </c>
      <c r="D14" s="1627">
        <v>556</v>
      </c>
      <c r="E14" s="1628">
        <v>376</v>
      </c>
      <c r="F14" s="1629">
        <v>577</v>
      </c>
      <c r="G14" s="2140">
        <v>353</v>
      </c>
      <c r="H14" s="2139">
        <v>233</v>
      </c>
      <c r="I14" s="3772">
        <v>133</v>
      </c>
      <c r="J14" s="3771">
        <v>158</v>
      </c>
      <c r="K14" s="3138">
        <v>61.089999999999996</v>
      </c>
      <c r="L14" s="2795">
        <v>40</v>
      </c>
      <c r="M14" s="2790">
        <f t="shared" si="0"/>
        <v>4</v>
      </c>
      <c r="N14" s="4172">
        <v>0</v>
      </c>
      <c r="O14" s="3604">
        <v>0</v>
      </c>
      <c r="P14" s="3604">
        <v>3.83</v>
      </c>
      <c r="Q14" s="3604">
        <f>CGL!Q14</f>
        <v>0</v>
      </c>
      <c r="R14" s="3604">
        <f>CGL!R14</f>
        <v>10.06</v>
      </c>
      <c r="S14" s="3604">
        <f>CGL!S14</f>
        <v>0</v>
      </c>
      <c r="T14" s="3604">
        <f>CGL!T14</f>
        <v>12.51</v>
      </c>
      <c r="U14" s="3604">
        <f>CGL!U14</f>
        <v>1.32</v>
      </c>
      <c r="V14" s="3604">
        <f>CGL!V14</f>
        <v>1.5</v>
      </c>
      <c r="W14" s="5510">
        <f>CGL!W14</f>
        <v>3.5</v>
      </c>
      <c r="X14" s="5355"/>
      <c r="Y14" s="6850">
        <v>0</v>
      </c>
      <c r="Z14" s="3616">
        <f t="shared" si="1"/>
        <v>32.72</v>
      </c>
      <c r="AA14" s="5133"/>
      <c r="AB14" s="4827"/>
      <c r="AC14" s="4151"/>
      <c r="AD14" s="4151"/>
      <c r="AE14" s="4151"/>
      <c r="AF14" s="4151"/>
      <c r="AG14" s="4151"/>
      <c r="AH14" s="4151"/>
      <c r="AI14" s="4151"/>
      <c r="AJ14" s="4151"/>
      <c r="AK14" s="4151"/>
      <c r="AL14" s="4151"/>
      <c r="AM14" s="4151"/>
      <c r="AN14" s="4151"/>
      <c r="AO14" s="4163"/>
      <c r="AP14" s="3756" t="s">
        <v>1479</v>
      </c>
      <c r="AQ14" s="1304" t="s">
        <v>1704</v>
      </c>
      <c r="AR14" s="1536"/>
    </row>
    <row r="15" spans="1:47" ht="15.6" customHeight="1" thickBot="1">
      <c r="A15" s="7455"/>
      <c r="B15" s="1049" t="s">
        <v>112</v>
      </c>
      <c r="C15" s="911" t="s">
        <v>440</v>
      </c>
      <c r="D15" s="839"/>
      <c r="E15" s="650"/>
      <c r="F15" s="790"/>
      <c r="G15" s="2140"/>
      <c r="H15" s="2139">
        <f>SUM(H10:H14)</f>
        <v>2156.27</v>
      </c>
      <c r="I15" s="2139">
        <f>SUM(I10:I14)</f>
        <v>1290.82</v>
      </c>
      <c r="J15" s="2139">
        <f>SUM(J10:J14)</f>
        <v>1230.922</v>
      </c>
      <c r="K15" s="2139">
        <f>SUM(K10:K14)</f>
        <v>1746.0559999999998</v>
      </c>
      <c r="L15" s="3137">
        <f>SUM(L10:L14)</f>
        <v>890</v>
      </c>
      <c r="M15" s="3138">
        <f>SUM(M10:M12)</f>
        <v>70</v>
      </c>
      <c r="N15" s="3615">
        <f>SUM(N10:N14)</f>
        <v>68.33</v>
      </c>
      <c r="O15" s="3602">
        <f t="shared" ref="O15:Y15" si="2">SUM(O10:O14)</f>
        <v>72.099999999999994</v>
      </c>
      <c r="P15" s="3602">
        <f t="shared" si="2"/>
        <v>110.66</v>
      </c>
      <c r="Q15" s="3619">
        <f t="shared" si="2"/>
        <v>76.53</v>
      </c>
      <c r="R15" s="3619">
        <f t="shared" si="2"/>
        <v>63.080000000000005</v>
      </c>
      <c r="S15" s="3619">
        <f t="shared" si="2"/>
        <v>67.400000000000006</v>
      </c>
      <c r="T15" s="3619">
        <f t="shared" si="2"/>
        <v>109.2</v>
      </c>
      <c r="U15" s="3619">
        <f t="shared" si="2"/>
        <v>139.1</v>
      </c>
      <c r="V15" s="3619">
        <f t="shared" si="2"/>
        <v>191.95000000000002</v>
      </c>
      <c r="W15" s="5511">
        <f t="shared" si="2"/>
        <v>115.71</v>
      </c>
      <c r="X15" s="5356">
        <f t="shared" si="2"/>
        <v>2.85</v>
      </c>
      <c r="Y15" s="6670">
        <f t="shared" si="2"/>
        <v>0</v>
      </c>
      <c r="Z15" s="3616">
        <f t="shared" si="1"/>
        <v>1016.9100000000002</v>
      </c>
      <c r="AA15" s="5138"/>
      <c r="AB15" s="4827"/>
      <c r="AC15" s="4151"/>
      <c r="AD15" s="4151"/>
      <c r="AE15" s="4151"/>
      <c r="AF15" s="4151"/>
      <c r="AG15" s="4151"/>
      <c r="AH15" s="4151"/>
      <c r="AI15" s="4151"/>
      <c r="AJ15" s="4151"/>
      <c r="AK15" s="4151"/>
      <c r="AL15" s="4151"/>
      <c r="AM15" s="4151"/>
      <c r="AN15" s="4151"/>
      <c r="AO15" s="4163"/>
      <c r="AP15" s="3756" t="s">
        <v>1477</v>
      </c>
      <c r="AR15" s="1536"/>
    </row>
    <row r="16" spans="1:47" ht="15.6" customHeight="1">
      <c r="A16" s="7455"/>
      <c r="B16" s="1968" t="s">
        <v>882</v>
      </c>
      <c r="C16" s="1617" t="s">
        <v>270</v>
      </c>
      <c r="D16" s="2089"/>
      <c r="E16" s="3606"/>
      <c r="F16" s="3606">
        <f>(F10+F11+종합!D48)*1000/F5</f>
        <v>9.7349101727806246</v>
      </c>
      <c r="G16" s="3606">
        <f>(G10+G11+종합!E48)*1000/G5</f>
        <v>6.4771566086479542</v>
      </c>
      <c r="H16" s="3606">
        <f>(H10+H11+종합!F48)*1000/H5</f>
        <v>7.8398021662919328</v>
      </c>
      <c r="I16" s="3606">
        <f>(I10+I11+종합!G48)*1000/I5</f>
        <v>4.180863585183106</v>
      </c>
      <c r="J16" s="3606">
        <f>(J10+J11+종합!H48)*1000/J5</f>
        <v>3.926398110812273</v>
      </c>
      <c r="K16" s="3605">
        <f>(K10+K11+종합!I48)*1000/K5</f>
        <v>3.3374206712577461</v>
      </c>
      <c r="L16" s="3603">
        <f>(L10+L11+종합!J48)*1000/L5</f>
        <v>2.3849163960742215</v>
      </c>
      <c r="M16" s="1543">
        <f>L16</f>
        <v>2.3849163960742215</v>
      </c>
      <c r="N16" s="4173">
        <f>(N10+N11+종합!L48)*1000/N5</f>
        <v>2.593161814105668</v>
      </c>
      <c r="O16" s="3485">
        <f>(O10+O11+종합!M48)*1000/O5</f>
        <v>2.3098308953590148</v>
      </c>
      <c r="P16" s="3485">
        <f>(P10+P11+종합!N48)*1000/P5</f>
        <v>3.2301214582115567</v>
      </c>
      <c r="Q16" s="3485">
        <f>(Q10+Q11+종합!O48)*1000/Q5</f>
        <v>1.9174667247643558</v>
      </c>
      <c r="R16" s="3485">
        <f>(R10+R11+종합!P48)*1000/R5</f>
        <v>2.5132071600759089</v>
      </c>
      <c r="S16" s="3485">
        <f>(S10+S11+종합!Q48)*1000/S5</f>
        <v>2.7538828267274691</v>
      </c>
      <c r="T16" s="3485">
        <f>(T10+T11+종합!R48)*1000/T5</f>
        <v>1.7890415612604915</v>
      </c>
      <c r="U16" s="3485">
        <f>(U10+U11+종합!S48)*1000/U5</f>
        <v>3.3208574295936031</v>
      </c>
      <c r="V16" s="3485">
        <f>(V10+V11+종합!T48)*1000/V5</f>
        <v>2.2565141298650526</v>
      </c>
      <c r="W16" s="5512">
        <f>(W10+W11+종합!U48)*1000/W5</f>
        <v>2.426097026974479</v>
      </c>
      <c r="X16" s="5354">
        <f>(X10+X11+종합!V48)*1000/X5</f>
        <v>4.5220229265812462</v>
      </c>
      <c r="Y16" s="5970" t="e">
        <f>(Y10+Y11+종합!W48)*1000/Y5</f>
        <v>#DIV/0!</v>
      </c>
      <c r="Z16" s="3618">
        <f>(Z10+Z11+종합!X48)*1000/Z5</f>
        <v>2.5304111684525328</v>
      </c>
      <c r="AA16" s="5135">
        <f>($K$16-N16)*N5/1000*420.789</f>
        <v>7747.3902543423301</v>
      </c>
      <c r="AB16" s="4703">
        <f t="shared" ref="AB16:AL16" si="3">($K$16-O16)*O5/1000*420.789</f>
        <v>10646.017973769314</v>
      </c>
      <c r="AC16" s="4703">
        <f t="shared" si="3"/>
        <v>1215.7981143508161</v>
      </c>
      <c r="AD16" s="4703">
        <f t="shared" si="3"/>
        <v>14754.713623450782</v>
      </c>
      <c r="AE16" s="4703">
        <f t="shared" si="3"/>
        <v>7911.4804863331356</v>
      </c>
      <c r="AF16" s="4703">
        <f t="shared" si="3"/>
        <v>6136.2439313626783</v>
      </c>
      <c r="AG16" s="4703">
        <f t="shared" si="3"/>
        <v>20099.333018049081</v>
      </c>
      <c r="AH16" s="4703">
        <f t="shared" si="3"/>
        <v>193.27334304069902</v>
      </c>
      <c r="AI16" s="4703">
        <f t="shared" si="3"/>
        <v>13311.332466481877</v>
      </c>
      <c r="AJ16" s="4703">
        <f t="shared" si="3"/>
        <v>10433.705723716046</v>
      </c>
      <c r="AK16" s="4703">
        <f t="shared" si="3"/>
        <v>-664.69358232927061</v>
      </c>
      <c r="AL16" s="4703" t="e">
        <f t="shared" si="3"/>
        <v>#DIV/0!</v>
      </c>
      <c r="AM16" s="4703">
        <f>($K$16-L16)*L5/1000*420.789</f>
        <v>109631.73251627324</v>
      </c>
      <c r="AN16" s="4703">
        <f>AA16+AB16+AC16+AD16+AE16+AF16+AG16+AH16+AI16+AJ16+AK16</f>
        <v>91784.595352567485</v>
      </c>
      <c r="AO16" s="4168">
        <f>AN16/AM16</f>
        <v>0.83720829039113642</v>
      </c>
      <c r="AP16" s="934" t="s">
        <v>1538</v>
      </c>
      <c r="AR16" s="1536"/>
    </row>
    <row r="17" spans="1:44" ht="15.6" customHeight="1" thickBot="1">
      <c r="A17" s="7446"/>
      <c r="B17" s="2090" t="s">
        <v>1792</v>
      </c>
      <c r="C17" s="1617" t="s">
        <v>270</v>
      </c>
      <c r="D17" s="3607">
        <f>스크!O9</f>
        <v>5.0463282813080603</v>
      </c>
      <c r="E17" s="3608">
        <f>스크!O10</f>
        <v>6.2361664615134718</v>
      </c>
      <c r="F17" s="3609">
        <f>스크!O11</f>
        <v>10.39604409959378</v>
      </c>
      <c r="G17" s="3610">
        <f>스크!O12</f>
        <v>11.080875269004844</v>
      </c>
      <c r="H17" s="3610">
        <f>스크!O13</f>
        <v>12.472939130562299</v>
      </c>
      <c r="I17" s="3610">
        <f>스크!O14</f>
        <v>4.7723774099444256</v>
      </c>
      <c r="J17" s="3611">
        <f>스크!O15</f>
        <v>4.8366748760360867</v>
      </c>
      <c r="K17" s="3611">
        <f>스크!O16</f>
        <v>4.4457959925817487</v>
      </c>
      <c r="L17" s="3612">
        <f>(L10+L11+L12+L13+종합!J48)*1000/CGL!L5</f>
        <v>3.2988929251569545</v>
      </c>
      <c r="M17" s="3613">
        <f>L17</f>
        <v>3.2988929251569545</v>
      </c>
      <c r="N17" s="3612">
        <f>스크!O18</f>
        <v>4.6543515397681476</v>
      </c>
      <c r="O17" s="3614">
        <f>스크!O19</f>
        <v>3.296799257539849</v>
      </c>
      <c r="P17" s="3614">
        <f>스크!O20</f>
        <v>3.5208992349165062</v>
      </c>
      <c r="Q17" s="3614">
        <f>스크!O22</f>
        <v>4.040651104477031</v>
      </c>
      <c r="R17" s="3614">
        <f>스크!O23</f>
        <v>2.0239800205948844</v>
      </c>
      <c r="S17" s="3614">
        <f>스크!O24</f>
        <v>3.2868924060940761</v>
      </c>
      <c r="T17" s="3614">
        <f>스크!O27</f>
        <v>1.9893727235831917</v>
      </c>
      <c r="U17" s="3614">
        <f>스크!O28</f>
        <v>3.092951913739205</v>
      </c>
      <c r="V17" s="3614">
        <f>스크!O29</f>
        <v>2.9340834090174459</v>
      </c>
      <c r="W17" s="5562">
        <f>스크!O31</f>
        <v>2.9961434576421691</v>
      </c>
      <c r="X17" s="5357">
        <f>스크!O32</f>
        <v>15.97331481528699</v>
      </c>
      <c r="Y17" s="6872" t="e">
        <f>스크!O33</f>
        <v>#DIV/0!</v>
      </c>
      <c r="Z17" s="3614">
        <f>스크!O36</f>
        <v>3.2502880488023203</v>
      </c>
      <c r="AA17" s="5139"/>
      <c r="AB17" s="4828"/>
      <c r="AC17" s="4828"/>
      <c r="AD17" s="4828"/>
      <c r="AE17" s="4828"/>
      <c r="AF17" s="4828"/>
      <c r="AG17" s="4828"/>
      <c r="AH17" s="4828"/>
      <c r="AI17" s="4828"/>
      <c r="AJ17" s="4828"/>
      <c r="AK17" s="4828"/>
      <c r="AL17" s="4828"/>
      <c r="AM17" s="4828"/>
      <c r="AN17" s="4828"/>
      <c r="AO17" s="4174"/>
      <c r="AP17" s="4175"/>
      <c r="AR17" s="1536"/>
    </row>
    <row r="18" spans="1:44" ht="15.6" customHeight="1">
      <c r="A18" s="7183" t="s">
        <v>701</v>
      </c>
      <c r="B18" s="7208" t="s">
        <v>784</v>
      </c>
      <c r="C18" s="1009" t="s">
        <v>740</v>
      </c>
      <c r="D18" s="1081"/>
      <c r="E18" s="1082"/>
      <c r="F18" s="1082"/>
      <c r="G18" s="1082">
        <v>97</v>
      </c>
      <c r="H18" s="1082">
        <v>53</v>
      </c>
      <c r="I18" s="1083">
        <v>22</v>
      </c>
      <c r="J18" s="1083">
        <v>15</v>
      </c>
      <c r="K18" s="1083">
        <v>18</v>
      </c>
      <c r="L18" s="1788">
        <v>6</v>
      </c>
      <c r="M18" s="2853">
        <f t="shared" ref="M18:M23" si="4">L18/10</f>
        <v>0.6</v>
      </c>
      <c r="N18" s="1925">
        <f>년간!F37</f>
        <v>0</v>
      </c>
      <c r="O18" s="2173">
        <f>년간!G37</f>
        <v>1</v>
      </c>
      <c r="P18" s="2173">
        <f>년간!H37</f>
        <v>0</v>
      </c>
      <c r="Q18" s="2173">
        <f>년간!I37</f>
        <v>0</v>
      </c>
      <c r="R18" s="2173">
        <f>년간!J37</f>
        <v>1</v>
      </c>
      <c r="S18" s="2173">
        <f>년간!K37</f>
        <v>1</v>
      </c>
      <c r="T18" s="2173">
        <f>년간!L37</f>
        <v>0</v>
      </c>
      <c r="U18" s="2173">
        <f>년간!M37</f>
        <v>0</v>
      </c>
      <c r="V18" s="2173">
        <f>년간!N37</f>
        <v>0</v>
      </c>
      <c r="W18" s="5514">
        <f>년간!O37</f>
        <v>1</v>
      </c>
      <c r="X18" s="5358">
        <f>년간!P37</f>
        <v>0</v>
      </c>
      <c r="Y18" s="6852">
        <f>년간!Q37</f>
        <v>0</v>
      </c>
      <c r="Z18" s="1344">
        <f t="shared" si="1"/>
        <v>4</v>
      </c>
      <c r="AA18" s="5140">
        <f>년간!F39/1000</f>
        <v>4489.9222499217149</v>
      </c>
      <c r="AB18" s="4829">
        <f>년간!G39/1000</f>
        <v>1496.640749973905</v>
      </c>
      <c r="AC18" s="4829">
        <f>년간!H39/1000</f>
        <v>4489.9222499217149</v>
      </c>
      <c r="AD18" s="4829">
        <f>년간!I39/1000</f>
        <v>4489.9222499217149</v>
      </c>
      <c r="AE18" s="4829">
        <f>년간!J39/1000</f>
        <v>1496.640749973905</v>
      </c>
      <c r="AF18" s="4829">
        <f>년간!K39/1000</f>
        <v>1496.640749973905</v>
      </c>
      <c r="AG18" s="4829">
        <f>년간!L39/1000</f>
        <v>4489.9222499217149</v>
      </c>
      <c r="AH18" s="4829">
        <f>년간!M39/1000</f>
        <v>4489.9222499217149</v>
      </c>
      <c r="AI18" s="4829">
        <f>년간!N39/1000</f>
        <v>4489.9222499217149</v>
      </c>
      <c r="AJ18" s="4829">
        <f>년간!O39/1000</f>
        <v>1496.640749973905</v>
      </c>
      <c r="AK18" s="4829">
        <f>년간!P39/1000</f>
        <v>4489.9222499217149</v>
      </c>
      <c r="AL18" s="4829">
        <f>년간!Q39/1000</f>
        <v>4489.9222499217149</v>
      </c>
      <c r="AM18" s="4829">
        <f>(K18*12/10-L18)*년간!F215/1000</f>
        <v>46695.191399185846</v>
      </c>
      <c r="AN18" s="4701">
        <f>AA18+AB18+AC18+AD18+AE18+AF18+AG18+AH18+AI18+AJ18+AK18</f>
        <v>37416.018749347619</v>
      </c>
      <c r="AO18" s="1084">
        <f t="shared" ref="AO18:AO23" si="5">AN18/AM18</f>
        <v>0.80128205128205099</v>
      </c>
      <c r="AP18" s="1085"/>
      <c r="AR18" s="1536"/>
    </row>
    <row r="19" spans="1:44" ht="15.6" customHeight="1">
      <c r="A19" s="7184"/>
      <c r="B19" s="7209"/>
      <c r="C19" s="936" t="s">
        <v>791</v>
      </c>
      <c r="D19" s="1045"/>
      <c r="E19" s="1086"/>
      <c r="F19" s="1086"/>
      <c r="G19" s="1086">
        <v>108.11666666666666</v>
      </c>
      <c r="H19" s="1086">
        <v>77.849999999999994</v>
      </c>
      <c r="I19" s="1041">
        <v>28</v>
      </c>
      <c r="J19" s="2179">
        <v>21.35</v>
      </c>
      <c r="K19" s="2179">
        <v>50.95</v>
      </c>
      <c r="L19" s="3759">
        <v>17</v>
      </c>
      <c r="M19" s="2944">
        <f t="shared" si="4"/>
        <v>1.7</v>
      </c>
      <c r="N19" s="3739">
        <f>년간!F36/60</f>
        <v>0</v>
      </c>
      <c r="O19" s="3620">
        <f>년간!G36/60</f>
        <v>3.5</v>
      </c>
      <c r="P19" s="3620">
        <f>년간!H36/60</f>
        <v>0</v>
      </c>
      <c r="Q19" s="3620">
        <f>년간!I36/60</f>
        <v>0</v>
      </c>
      <c r="R19" s="3620">
        <f>년간!J36/60</f>
        <v>5.083333333333333</v>
      </c>
      <c r="S19" s="3620">
        <f>년간!K36/60</f>
        <v>2.0499999999999998</v>
      </c>
      <c r="T19" s="3620">
        <f>년간!L36/60</f>
        <v>0</v>
      </c>
      <c r="U19" s="3620">
        <f>년간!M36/60</f>
        <v>0</v>
      </c>
      <c r="V19" s="3620">
        <f>년간!N36/60</f>
        <v>0</v>
      </c>
      <c r="W19" s="5515">
        <f>년간!O36/60</f>
        <v>1.5</v>
      </c>
      <c r="X19" s="5359">
        <f>년간!P36/60</f>
        <v>0</v>
      </c>
      <c r="Y19" s="5399">
        <f>년간!Q36/60</f>
        <v>0</v>
      </c>
      <c r="Z19" s="5761">
        <f t="shared" si="1"/>
        <v>12.133333333333333</v>
      </c>
      <c r="AA19" s="5141">
        <f>년간!F38/1000</f>
        <v>12708.97436852841</v>
      </c>
      <c r="AB19" s="4830">
        <f>년간!G38/1000</f>
        <v>2232.4891187110748</v>
      </c>
      <c r="AC19" s="4830">
        <f>년간!H38/1000</f>
        <v>12708.97436852841</v>
      </c>
      <c r="AD19" s="4830">
        <f>년간!I38/1000</f>
        <v>12708.97436852841</v>
      </c>
      <c r="AE19" s="4830">
        <f>년간!J38/1000</f>
        <v>-2506.873256206291</v>
      </c>
      <c r="AF19" s="4830">
        <f>년간!K38/1000</f>
        <v>6572.7472936353997</v>
      </c>
      <c r="AG19" s="4830">
        <f>년간!L38/1000</f>
        <v>12708.97436852841</v>
      </c>
      <c r="AH19" s="4830">
        <f>년간!M38/1000</f>
        <v>12708.97436852841</v>
      </c>
      <c r="AI19" s="4830">
        <f>년간!N38/1000</f>
        <v>12708.97436852841</v>
      </c>
      <c r="AJ19" s="4830">
        <f>년간!O38/1000</f>
        <v>8219.0521186066944</v>
      </c>
      <c r="AK19" s="4830">
        <f>년간!P38/1000</f>
        <v>12708.97436852841</v>
      </c>
      <c r="AL19" s="4830">
        <f>년간!Q38/1000</f>
        <v>12708.97436852841</v>
      </c>
      <c r="AM19" s="4830">
        <f>(K19/12-L19)*년간!E215/1000</f>
        <v>-27958.595977947163</v>
      </c>
      <c r="AN19" s="4703">
        <f>AA19+AB19+AC19+AD19+AE19+AF19+AG19+AH19+AI19+AJ19+AK19</f>
        <v>103480.23585444574</v>
      </c>
      <c r="AO19" s="4176">
        <f t="shared" si="5"/>
        <v>-3.7011957229922277</v>
      </c>
      <c r="AP19" s="3753" t="s">
        <v>1537</v>
      </c>
      <c r="AQ19" s="731"/>
      <c r="AR19" s="1536"/>
    </row>
    <row r="20" spans="1:44" ht="15.6" customHeight="1">
      <c r="A20" s="7184"/>
      <c r="B20" s="7439" t="s">
        <v>789</v>
      </c>
      <c r="C20" s="936" t="s">
        <v>740</v>
      </c>
      <c r="D20" s="1045"/>
      <c r="E20" s="1086"/>
      <c r="F20" s="1086"/>
      <c r="G20" s="1086">
        <v>35</v>
      </c>
      <c r="H20" s="1086">
        <v>27</v>
      </c>
      <c r="I20" s="1041">
        <v>18</v>
      </c>
      <c r="J20" s="2179">
        <v>13</v>
      </c>
      <c r="K20" s="2179">
        <v>18</v>
      </c>
      <c r="L20" s="3139">
        <f>년간!D42</f>
        <v>10</v>
      </c>
      <c r="M20" s="3140">
        <f t="shared" si="4"/>
        <v>1</v>
      </c>
      <c r="N20" s="4177">
        <f>년간!F42</f>
        <v>0</v>
      </c>
      <c r="O20" s="3621">
        <f>년간!G42</f>
        <v>0</v>
      </c>
      <c r="P20" s="3621">
        <f>년간!H42</f>
        <v>0</v>
      </c>
      <c r="Q20" s="3621">
        <f>년간!I42</f>
        <v>0</v>
      </c>
      <c r="R20" s="3621">
        <f>년간!J42</f>
        <v>0</v>
      </c>
      <c r="S20" s="3621">
        <f>년간!K42</f>
        <v>0</v>
      </c>
      <c r="T20" s="3621">
        <f>년간!L42</f>
        <v>0</v>
      </c>
      <c r="U20" s="3621">
        <f>년간!M42</f>
        <v>3</v>
      </c>
      <c r="V20" s="3621">
        <f>년간!N42</f>
        <v>0</v>
      </c>
      <c r="W20" s="5516">
        <f>년간!O42</f>
        <v>0</v>
      </c>
      <c r="X20" s="5360">
        <f>년간!P42</f>
        <v>0</v>
      </c>
      <c r="Y20" s="6853">
        <f>년간!Q42</f>
        <v>0</v>
      </c>
      <c r="Z20" s="3624">
        <f t="shared" si="1"/>
        <v>3</v>
      </c>
      <c r="AA20" s="5133"/>
      <c r="AB20" s="4151"/>
      <c r="AC20" s="4151"/>
      <c r="AD20" s="4151"/>
      <c r="AE20" s="4151"/>
      <c r="AF20" s="4151"/>
      <c r="AG20" s="4151"/>
      <c r="AH20" s="4151"/>
      <c r="AI20" s="4151"/>
      <c r="AJ20" s="4151"/>
      <c r="AK20" s="4151"/>
      <c r="AL20" s="4151"/>
      <c r="AM20" s="4151"/>
      <c r="AN20" s="4151"/>
      <c r="AO20" s="4163"/>
      <c r="AP20" s="4164"/>
      <c r="AR20" s="1536"/>
    </row>
    <row r="21" spans="1:44" ht="15.6" customHeight="1">
      <c r="A21" s="7184"/>
      <c r="B21" s="7209"/>
      <c r="C21" s="936" t="s">
        <v>791</v>
      </c>
      <c r="D21" s="1045"/>
      <c r="E21" s="1086"/>
      <c r="F21" s="1086"/>
      <c r="G21" s="1086">
        <v>73.766666666666666</v>
      </c>
      <c r="H21" s="1086">
        <v>45</v>
      </c>
      <c r="I21" s="1041">
        <v>32</v>
      </c>
      <c r="J21" s="2179">
        <v>40.18</v>
      </c>
      <c r="K21" s="2179">
        <v>48.783333333333339</v>
      </c>
      <c r="L21" s="3760">
        <f>년간!D52/60</f>
        <v>39.913636363636392</v>
      </c>
      <c r="M21" s="2944">
        <f t="shared" si="4"/>
        <v>3.9913636363636393</v>
      </c>
      <c r="N21" s="4178">
        <f>년간!F52/60</f>
        <v>0</v>
      </c>
      <c r="O21" s="3622">
        <f>년간!G52/60</f>
        <v>0</v>
      </c>
      <c r="P21" s="3622">
        <f>년간!H52/60</f>
        <v>0</v>
      </c>
      <c r="Q21" s="3622">
        <f>년간!I52/60</f>
        <v>0</v>
      </c>
      <c r="R21" s="3622">
        <f>년간!J52/60</f>
        <v>0</v>
      </c>
      <c r="S21" s="3622">
        <f>년간!K52/60</f>
        <v>0</v>
      </c>
      <c r="T21" s="3622">
        <f>년간!L52/60</f>
        <v>0</v>
      </c>
      <c r="U21" s="3622">
        <f>년간!M52/60</f>
        <v>9</v>
      </c>
      <c r="V21" s="3622">
        <f>년간!N52/60</f>
        <v>0</v>
      </c>
      <c r="W21" s="5517">
        <f>년간!O52/60</f>
        <v>0</v>
      </c>
      <c r="X21" s="5361">
        <f>년간!P52/60</f>
        <v>0</v>
      </c>
      <c r="Y21" s="6854">
        <f>년간!Q52/60</f>
        <v>0</v>
      </c>
      <c r="Z21" s="5761">
        <f t="shared" si="1"/>
        <v>9</v>
      </c>
      <c r="AA21" s="5141">
        <f>년간!F178/1000</f>
        <v>8771.769673453593</v>
      </c>
      <c r="AB21" s="4830">
        <f>년간!G178/1000</f>
        <v>9068.6964222929582</v>
      </c>
      <c r="AC21" s="4830">
        <f>년간!H178/1000</f>
        <v>10005.446370843059</v>
      </c>
      <c r="AD21" s="4830">
        <f>년간!I178/1000</f>
        <v>8301.0493062177284</v>
      </c>
      <c r="AE21" s="4830">
        <f>년간!J178/1000</f>
        <v>8473.6702281338221</v>
      </c>
      <c r="AF21" s="4830">
        <f>년간!K178/1000</f>
        <v>8730.7252966393062</v>
      </c>
      <c r="AG21" s="4830">
        <f>년간!L178/1000</f>
        <v>10466.316087643494</v>
      </c>
      <c r="AH21" s="4830">
        <f>년간!M178/1000</f>
        <v>-9550.30295874476</v>
      </c>
      <c r="AI21" s="4830">
        <f>년간!N178/1000</f>
        <v>9633.7015865536468</v>
      </c>
      <c r="AJ21" s="4830">
        <f>년간!O178/1000</f>
        <v>10448.725640437369</v>
      </c>
      <c r="AK21" s="4830">
        <f>년간!P178/1000</f>
        <v>712.99946008820666</v>
      </c>
      <c r="AL21" s="4830" t="e">
        <f>년간!Q178/1000</f>
        <v>#DIV/0!</v>
      </c>
      <c r="AM21" s="4830">
        <f>년간!E178/1000</f>
        <v>9076.6196449241961</v>
      </c>
      <c r="AN21" s="4830">
        <f>AA21+AB21+AC21+AD21+AE21+AF21+AG21+AH21+AI21+AJ21+AK21</f>
        <v>75062.797113558423</v>
      </c>
      <c r="AO21" s="4176">
        <f t="shared" si="5"/>
        <v>8.2699066447644807</v>
      </c>
      <c r="AP21" s="3756"/>
      <c r="AR21" s="1536"/>
    </row>
    <row r="22" spans="1:44" ht="15.6" customHeight="1">
      <c r="A22" s="7184"/>
      <c r="B22" s="7439" t="s">
        <v>25</v>
      </c>
      <c r="C22" s="936" t="s">
        <v>740</v>
      </c>
      <c r="D22" s="1045"/>
      <c r="E22" s="1086"/>
      <c r="F22" s="1086"/>
      <c r="G22" s="1086">
        <v>20</v>
      </c>
      <c r="H22" s="1086">
        <v>21</v>
      </c>
      <c r="I22" s="1041">
        <v>16</v>
      </c>
      <c r="J22" s="2179">
        <v>21</v>
      </c>
      <c r="K22" s="2179">
        <v>14</v>
      </c>
      <c r="L22" s="3139">
        <f>년간!D47</f>
        <v>8</v>
      </c>
      <c r="M22" s="3140">
        <f t="shared" si="4"/>
        <v>0.8</v>
      </c>
      <c r="N22" s="4177">
        <f>년간!F47</f>
        <v>0</v>
      </c>
      <c r="O22" s="3621">
        <f>년간!G47</f>
        <v>1</v>
      </c>
      <c r="P22" s="3621">
        <f>년간!H47</f>
        <v>1</v>
      </c>
      <c r="Q22" s="3621">
        <f>년간!I47</f>
        <v>0</v>
      </c>
      <c r="R22" s="3621">
        <f>년간!J47</f>
        <v>0</v>
      </c>
      <c r="S22" s="3621">
        <f>년간!K47</f>
        <v>2</v>
      </c>
      <c r="T22" s="3621">
        <f>년간!L47</f>
        <v>1</v>
      </c>
      <c r="U22" s="3621">
        <f>년간!M47</f>
        <v>0</v>
      </c>
      <c r="V22" s="3621">
        <f>년간!N47</f>
        <v>2</v>
      </c>
      <c r="W22" s="5516">
        <f>년간!O47</f>
        <v>0</v>
      </c>
      <c r="X22" s="5360">
        <f>년간!P47</f>
        <v>0</v>
      </c>
      <c r="Y22" s="6853">
        <f>년간!Q47</f>
        <v>0</v>
      </c>
      <c r="Z22" s="3624">
        <f t="shared" si="1"/>
        <v>7</v>
      </c>
      <c r="AA22" s="5133"/>
      <c r="AB22" s="4151"/>
      <c r="AC22" s="4151"/>
      <c r="AD22" s="4151"/>
      <c r="AE22" s="4151"/>
      <c r="AF22" s="4151"/>
      <c r="AG22" s="4151"/>
      <c r="AH22" s="4151"/>
      <c r="AI22" s="4151"/>
      <c r="AJ22" s="4151"/>
      <c r="AK22" s="4151"/>
      <c r="AL22" s="4151"/>
      <c r="AM22" s="4151"/>
      <c r="AN22" s="4151"/>
      <c r="AO22" s="4163"/>
      <c r="AP22" s="4164"/>
      <c r="AR22" s="1536"/>
    </row>
    <row r="23" spans="1:44" ht="15.6" customHeight="1" thickBot="1">
      <c r="A23" s="7212"/>
      <c r="B23" s="7211"/>
      <c r="C23" s="915" t="s">
        <v>791</v>
      </c>
      <c r="D23" s="1087"/>
      <c r="E23" s="1088"/>
      <c r="F23" s="1088"/>
      <c r="G23" s="1088">
        <v>7.5666666666666664</v>
      </c>
      <c r="H23" s="1088">
        <v>19</v>
      </c>
      <c r="I23" s="1089">
        <v>35</v>
      </c>
      <c r="J23" s="2467">
        <v>19.52</v>
      </c>
      <c r="K23" s="2467">
        <v>27.916666666666668</v>
      </c>
      <c r="L23" s="3761">
        <f>년간!D57/60</f>
        <v>22.840909090909026</v>
      </c>
      <c r="M23" s="2948">
        <f t="shared" si="4"/>
        <v>2.2840909090909025</v>
      </c>
      <c r="N23" s="4179">
        <f>년간!F57/60</f>
        <v>0</v>
      </c>
      <c r="O23" s="2432">
        <f>년간!G57/60</f>
        <v>8.3333333333333329E-2</v>
      </c>
      <c r="P23" s="2432">
        <f>년간!H57/60</f>
        <v>1</v>
      </c>
      <c r="Q23" s="2432">
        <f>년간!I57/60</f>
        <v>0</v>
      </c>
      <c r="R23" s="2432">
        <f>년간!J57/60</f>
        <v>0</v>
      </c>
      <c r="S23" s="2432">
        <f>년간!K57/60</f>
        <v>1.5333333333333334</v>
      </c>
      <c r="T23" s="2432">
        <f>년간!L57/60</f>
        <v>0.25</v>
      </c>
      <c r="U23" s="2432">
        <f>년간!M57/60</f>
        <v>0</v>
      </c>
      <c r="V23" s="2432">
        <f>년간!N57/60</f>
        <v>0.18333333333333332</v>
      </c>
      <c r="W23" s="5518">
        <f>년간!O57/60</f>
        <v>0</v>
      </c>
      <c r="X23" s="5362">
        <f>년간!P57/60</f>
        <v>0</v>
      </c>
      <c r="Y23" s="6855">
        <f>년간!Q57/60</f>
        <v>0</v>
      </c>
      <c r="Z23" s="2431">
        <f t="shared" si="1"/>
        <v>3.05</v>
      </c>
      <c r="AA23" s="5142">
        <f>년간!F184/1000</f>
        <v>5019.7178691611789</v>
      </c>
      <c r="AB23" s="3276">
        <f>년간!G184/1000</f>
        <v>5007.9705813542414</v>
      </c>
      <c r="AC23" s="3276">
        <f>년간!H184/1000</f>
        <v>3536.6637131764305</v>
      </c>
      <c r="AD23" s="3276">
        <f>년간!I184/1000</f>
        <v>4750.344239123574</v>
      </c>
      <c r="AE23" s="3276">
        <f>년간!J184/1000</f>
        <v>4849.1279918428945</v>
      </c>
      <c r="AF23" s="3276">
        <f>년간!K184/1000</f>
        <v>1654.2893824620428</v>
      </c>
      <c r="AG23" s="3276">
        <f>년간!L184/1000</f>
        <v>5441.5915733672673</v>
      </c>
      <c r="AH23" s="3276">
        <f>년간!M184/1000</f>
        <v>5616.1784630262146</v>
      </c>
      <c r="AI23" s="3276">
        <f>년간!N184/1000</f>
        <v>5111.1854540280201</v>
      </c>
      <c r="AJ23" s="3276">
        <f>년간!O184/1000</f>
        <v>5979.369814736111</v>
      </c>
      <c r="AK23" s="3276">
        <f>년간!P184/1000</f>
        <v>408.01984818850229</v>
      </c>
      <c r="AL23" s="3276" t="e">
        <f>년간!Q184/1000</f>
        <v>#DIV/0!</v>
      </c>
      <c r="AM23" s="3276">
        <f>년간!E184/1000</f>
        <v>5194.1707909971092</v>
      </c>
      <c r="AN23" s="3276">
        <f>AA23+AB23+AC23+AD23+AE23+AF23+AG23+AH23+AI23+AJ23+AK23</f>
        <v>47374.458930466477</v>
      </c>
      <c r="AO23" s="4180">
        <f t="shared" si="5"/>
        <v>9.1206971885828469</v>
      </c>
      <c r="AP23" s="3278"/>
      <c r="AR23" s="1536"/>
    </row>
    <row r="24" spans="1:44" ht="15.6" customHeight="1">
      <c r="A24" s="7447" t="s">
        <v>313</v>
      </c>
      <c r="B24" s="5163" t="s">
        <v>314</v>
      </c>
      <c r="C24" s="917" t="s">
        <v>235</v>
      </c>
      <c r="D24" s="1056">
        <v>103.82</v>
      </c>
      <c r="E24" s="1057">
        <v>103.88</v>
      </c>
      <c r="F24" s="1057">
        <v>104.1</v>
      </c>
      <c r="G24" s="1057">
        <v>103.62</v>
      </c>
      <c r="H24" s="1057">
        <v>102.28</v>
      </c>
      <c r="I24" s="1059">
        <v>101.81</v>
      </c>
      <c r="J24" s="1059">
        <v>101.58</v>
      </c>
      <c r="K24" s="1059">
        <v>99.984010721754942</v>
      </c>
      <c r="L24" s="1056">
        <v>100</v>
      </c>
      <c r="M24" s="1546">
        <f t="shared" ref="M24:M41" si="6">L24</f>
        <v>100</v>
      </c>
      <c r="N24" s="4181">
        <v>99.622247799999997</v>
      </c>
      <c r="O24" s="1059">
        <v>100.06858792211101</v>
      </c>
      <c r="P24" s="1059">
        <v>100.7185573</v>
      </c>
      <c r="Q24" s="1059">
        <f>CGL!Q24</f>
        <v>100.8135599</v>
      </c>
      <c r="R24" s="1059">
        <f>CGL!R24</f>
        <v>100.5854544</v>
      </c>
      <c r="S24" s="1059">
        <f>CGL!S24</f>
        <v>100.080066</v>
      </c>
      <c r="T24" s="1059">
        <v>100.220308</v>
      </c>
      <c r="U24" s="1059">
        <v>100.20377581177</v>
      </c>
      <c r="V24" s="1059">
        <v>100.71383498362999</v>
      </c>
      <c r="W24" s="5519">
        <v>100.346099148183</v>
      </c>
      <c r="X24" s="5363"/>
      <c r="Y24" s="6675"/>
      <c r="Z24" s="1878">
        <f t="shared" ref="Z24:Z41" si="7">AVERAGE(N24:Y24)</f>
        <v>100.3372491265694</v>
      </c>
      <c r="AA24" s="5143">
        <f>($K$24-N24)/100*32.89*N5*3228.24/1000</f>
        <v>9502.1259669158953</v>
      </c>
      <c r="AB24" s="5169">
        <f>($K$24-O24)/100*32.89*O5*3228.24/1000</f>
        <v>-2210.9862174032073</v>
      </c>
      <c r="AC24" s="5169">
        <f t="shared" ref="AC24:AL24" si="8">($K$24-P24)/100*32.89*P5*3228.24/1000</f>
        <v>-21001.464393208895</v>
      </c>
      <c r="AD24" s="5169">
        <f t="shared" si="8"/>
        <v>-21750.235950475198</v>
      </c>
      <c r="AE24" s="5169">
        <f t="shared" si="8"/>
        <v>-14567.274558024737</v>
      </c>
      <c r="AF24" s="5169">
        <f t="shared" si="8"/>
        <v>-2548.7082970768656</v>
      </c>
      <c r="AG24" s="5169">
        <f t="shared" si="8"/>
        <v>-7739.7756381341514</v>
      </c>
      <c r="AH24" s="5169">
        <f t="shared" si="8"/>
        <v>-6470.6906138933582</v>
      </c>
      <c r="AI24" s="5169">
        <f t="shared" si="8"/>
        <v>-22678.639204469258</v>
      </c>
      <c r="AJ24" s="5169">
        <f t="shared" si="8"/>
        <v>-10460.34235015724</v>
      </c>
      <c r="AK24" s="5169">
        <f t="shared" si="8"/>
        <v>141561.38207548391</v>
      </c>
      <c r="AL24" s="5169">
        <f t="shared" si="8"/>
        <v>0</v>
      </c>
      <c r="AM24" s="5169">
        <f>($K$24-L24)/100*32.89*L5*3228.24/1000</f>
        <v>-4643.6931414636501</v>
      </c>
      <c r="AN24" s="5169">
        <f>SUM(AA24:AL24)</f>
        <v>41635.390819556895</v>
      </c>
      <c r="AO24" s="5166">
        <f>AN24/AM24</f>
        <v>-8.9660082075177332</v>
      </c>
      <c r="AP24" s="1060" t="s">
        <v>1379</v>
      </c>
      <c r="AR24" s="1536"/>
    </row>
    <row r="25" spans="1:44" ht="15.6" customHeight="1" thickBot="1">
      <c r="A25" s="7442"/>
      <c r="B25" s="5164" t="s">
        <v>315</v>
      </c>
      <c r="C25" s="936" t="s">
        <v>270</v>
      </c>
      <c r="D25" s="1051">
        <v>6.0291210618090219</v>
      </c>
      <c r="E25" s="937">
        <v>5.969108417572941</v>
      </c>
      <c r="F25" s="937">
        <v>4.2878337453015725</v>
      </c>
      <c r="G25" s="937">
        <v>5.4081180600117547</v>
      </c>
      <c r="H25" s="937">
        <v>5.35</v>
      </c>
      <c r="I25" s="1054">
        <v>4.5</v>
      </c>
      <c r="J25" s="1590">
        <v>4.18</v>
      </c>
      <c r="K25" s="1590">
        <v>4.1374715776825299</v>
      </c>
      <c r="L25" s="2089">
        <v>3.5</v>
      </c>
      <c r="M25" s="1545">
        <f t="shared" si="6"/>
        <v>3.5</v>
      </c>
      <c r="N25" s="4167">
        <v>3.80206434275172</v>
      </c>
      <c r="O25" s="3484">
        <v>4.8069420836404904</v>
      </c>
      <c r="P25" s="3484">
        <v>5.9326465085499098</v>
      </c>
      <c r="Q25" s="3484">
        <f>CGL!Q25</f>
        <v>3.97261849417916</v>
      </c>
      <c r="R25" s="3484">
        <f>CGL!R25</f>
        <v>5.4446246168049504</v>
      </c>
      <c r="S25" s="3484">
        <f>CGL!S25</f>
        <v>4.6098125783057897</v>
      </c>
      <c r="T25" s="3484">
        <v>4.36157894668598</v>
      </c>
      <c r="U25" s="3484">
        <v>3.4564467871272302</v>
      </c>
      <c r="V25" s="3484">
        <v>2.9983209402734499</v>
      </c>
      <c r="W25" s="5470">
        <v>3.3739692027913502</v>
      </c>
      <c r="X25" s="5313"/>
      <c r="Y25" s="6635"/>
      <c r="Z25" s="2337">
        <f t="shared" si="7"/>
        <v>4.275902450111003</v>
      </c>
      <c r="AA25" s="5135">
        <f>($K$25-N25)*645.648*N5/1000</f>
        <v>5357.1681654369731</v>
      </c>
      <c r="AB25" s="4703">
        <f t="shared" ref="AB25:AK25" si="9">($K$25-O25)*468*O5/1000</f>
        <v>-7714.0126002958441</v>
      </c>
      <c r="AC25" s="4703">
        <f t="shared" si="9"/>
        <v>-22623.155380758821</v>
      </c>
      <c r="AD25" s="4703">
        <f t="shared" si="9"/>
        <v>1905.1758826568005</v>
      </c>
      <c r="AE25" s="4703">
        <f t="shared" si="9"/>
        <v>-13954.874768832209</v>
      </c>
      <c r="AF25" s="4703">
        <f t="shared" si="9"/>
        <v>-5524.2167308592334</v>
      </c>
      <c r="AG25" s="4703">
        <f t="shared" si="9"/>
        <v>-3235.504099369422</v>
      </c>
      <c r="AH25" s="4703">
        <f t="shared" si="9"/>
        <v>8838.346351387645</v>
      </c>
      <c r="AI25" s="4703">
        <f t="shared" si="9"/>
        <v>15602.565622015174</v>
      </c>
      <c r="AJ25" s="4703">
        <f t="shared" si="9"/>
        <v>9722.0491532309043</v>
      </c>
      <c r="AK25" s="4703">
        <f t="shared" si="9"/>
        <v>2582.0546425028006</v>
      </c>
      <c r="AL25" s="4703">
        <f>($K$25-Y25)*645.648*Y5/1000</f>
        <v>0</v>
      </c>
      <c r="AM25" s="4703">
        <f>($K$25-L25)*645.648*L5/1000</f>
        <v>112580.09262027605</v>
      </c>
      <c r="AN25" s="4703">
        <f>SUM(AA25:AL25)</f>
        <v>-9044.4037628852293</v>
      </c>
      <c r="AO25" s="4168">
        <f>AN25/AM25</f>
        <v>-8.0337505080861002E-2</v>
      </c>
      <c r="AP25" s="4182" t="s">
        <v>1380</v>
      </c>
      <c r="AR25" s="1536"/>
    </row>
    <row r="26" spans="1:44" ht="15.6" customHeight="1">
      <c r="A26" s="7449" t="s">
        <v>272</v>
      </c>
      <c r="B26" s="7452" t="s">
        <v>273</v>
      </c>
      <c r="C26" s="926" t="s">
        <v>317</v>
      </c>
      <c r="D26" s="1071">
        <v>20.02</v>
      </c>
      <c r="E26" s="1072">
        <v>18.89</v>
      </c>
      <c r="F26" s="1072">
        <v>18.96</v>
      </c>
      <c r="G26" s="1072">
        <v>19.028502392263018</v>
      </c>
      <c r="H26" s="1072">
        <v>19.101947616711083</v>
      </c>
      <c r="I26" s="1090">
        <v>20.55</v>
      </c>
      <c r="J26" s="1090">
        <v>20.22</v>
      </c>
      <c r="K26" s="1090">
        <v>19.778588486790369</v>
      </c>
      <c r="L26" s="1071">
        <v>19</v>
      </c>
      <c r="M26" s="1548">
        <f t="shared" si="6"/>
        <v>19</v>
      </c>
      <c r="N26" s="4169">
        <v>19.843488637383409</v>
      </c>
      <c r="O26" s="1090">
        <v>18.508702989539355</v>
      </c>
      <c r="P26" s="1090">
        <v>20.58138472610813</v>
      </c>
      <c r="Q26" s="1090">
        <v>18.97166279798688</v>
      </c>
      <c r="R26" s="1090">
        <f>CGL!R26</f>
        <v>19.389789969879214</v>
      </c>
      <c r="S26" s="1090">
        <f>CGL!S26</f>
        <v>21.213221038512344</v>
      </c>
      <c r="T26" s="1090">
        <v>19.295262200427114</v>
      </c>
      <c r="U26" s="1090">
        <v>20.093297017502927</v>
      </c>
      <c r="V26" s="1090">
        <v>18.665752306913255</v>
      </c>
      <c r="W26" s="5507">
        <v>21.003877124305038</v>
      </c>
      <c r="X26" s="5352"/>
      <c r="Y26" s="6848"/>
      <c r="Z26" s="1879">
        <f t="shared" si="7"/>
        <v>19.756643880855766</v>
      </c>
      <c r="AA26" s="5136">
        <f>($K$26-N26)*604.35*N5/1000</f>
        <v>-970.28937103457781</v>
      </c>
      <c r="AB26" s="4701">
        <f t="shared" ref="AB26:AL26" si="10">($K$26-O26)*604.35*O5/1000</f>
        <v>18895.401829496299</v>
      </c>
      <c r="AC26" s="4701">
        <f t="shared" si="10"/>
        <v>-13064.548524555328</v>
      </c>
      <c r="AD26" s="4701">
        <f t="shared" si="10"/>
        <v>12042.432352082624</v>
      </c>
      <c r="AE26" s="4701">
        <f t="shared" si="10"/>
        <v>5360.0245579605098</v>
      </c>
      <c r="AF26" s="4701">
        <f t="shared" si="10"/>
        <v>-21666.981757434114</v>
      </c>
      <c r="AG26" s="4701">
        <f t="shared" si="10"/>
        <v>9010.9152737976237</v>
      </c>
      <c r="AH26" s="4701">
        <f t="shared" si="10"/>
        <v>-5274.2326612064298</v>
      </c>
      <c r="AI26" s="4701">
        <f t="shared" si="10"/>
        <v>19682.88569717262</v>
      </c>
      <c r="AJ26" s="4701">
        <f t="shared" si="10"/>
        <v>-20147.840297323099</v>
      </c>
      <c r="AK26" s="4701">
        <f t="shared" si="10"/>
        <v>15939.268018042261</v>
      </c>
      <c r="AL26" s="4701">
        <f t="shared" si="10"/>
        <v>0</v>
      </c>
      <c r="AM26" s="4701">
        <f>(K$26-L26)*604.35*L5/1000</f>
        <v>128706.79306830597</v>
      </c>
      <c r="AN26" s="4701">
        <f>SUM(AA26:AL26)</f>
        <v>19807.035116998388</v>
      </c>
      <c r="AO26" s="1075">
        <f>AN26/AM26</f>
        <v>0.15389269396594007</v>
      </c>
      <c r="AP26" s="934" t="s">
        <v>1414</v>
      </c>
      <c r="AR26" s="1536"/>
    </row>
    <row r="27" spans="1:44" ht="15.6" customHeight="1">
      <c r="A27" s="7450"/>
      <c r="B27" s="7453"/>
      <c r="C27" s="973" t="s">
        <v>719</v>
      </c>
      <c r="D27" s="1046"/>
      <c r="E27" s="1091"/>
      <c r="F27" s="1091"/>
      <c r="G27" s="1092">
        <v>13826</v>
      </c>
      <c r="H27" s="1092">
        <v>10697</v>
      </c>
      <c r="I27" s="1043">
        <v>12092</v>
      </c>
      <c r="J27" s="2180">
        <v>11574.74</v>
      </c>
      <c r="K27" s="2180">
        <v>11976.65438949101</v>
      </c>
      <c r="L27" s="3141">
        <v>11409.32</v>
      </c>
      <c r="M27" s="3142">
        <f t="shared" si="6"/>
        <v>11409.32</v>
      </c>
      <c r="N27" s="4183">
        <v>12608.029218830508</v>
      </c>
      <c r="O27" s="3623">
        <v>11860.669410952254</v>
      </c>
      <c r="P27" s="3623">
        <v>13078.456583392281</v>
      </c>
      <c r="Q27" s="3623">
        <v>11681.069231386396</v>
      </c>
      <c r="R27" s="3623">
        <f>CGL!R27</f>
        <v>12014.182122535154</v>
      </c>
      <c r="S27" s="3623">
        <f>CGL!S27</f>
        <v>12904.174130999063</v>
      </c>
      <c r="T27" s="3623">
        <v>9884.8000275363265</v>
      </c>
      <c r="U27" s="3623">
        <v>10611.639724714776</v>
      </c>
      <c r="V27" s="3623">
        <v>8981.9880960983774</v>
      </c>
      <c r="W27" s="5520">
        <v>9311.0660601990057</v>
      </c>
      <c r="X27" s="5364"/>
      <c r="Y27" s="6856"/>
      <c r="Z27" s="5457">
        <f t="shared" si="7"/>
        <v>11293.607460664414</v>
      </c>
      <c r="AA27" s="5133"/>
      <c r="AB27" s="4151"/>
      <c r="AC27" s="4151"/>
      <c r="AD27" s="4151"/>
      <c r="AE27" s="4151"/>
      <c r="AF27" s="4151"/>
      <c r="AG27" s="4151"/>
      <c r="AH27" s="4151"/>
      <c r="AI27" s="4151"/>
      <c r="AJ27" s="4151"/>
      <c r="AK27" s="4151"/>
      <c r="AL27" s="4151"/>
      <c r="AM27" s="4151"/>
      <c r="AN27" s="4151"/>
      <c r="AO27" s="4163"/>
      <c r="AP27" s="4164"/>
      <c r="AR27" s="1536"/>
    </row>
    <row r="28" spans="1:44" ht="15.6" customHeight="1">
      <c r="A28" s="7450"/>
      <c r="B28" s="7454" t="s">
        <v>275</v>
      </c>
      <c r="C28" s="973" t="s">
        <v>319</v>
      </c>
      <c r="D28" s="1046">
        <v>75.48</v>
      </c>
      <c r="E28" s="1091">
        <v>70.39</v>
      </c>
      <c r="F28" s="1091">
        <v>75.72</v>
      </c>
      <c r="G28" s="1091">
        <v>80.17</v>
      </c>
      <c r="H28" s="1091">
        <v>81.21731478694231</v>
      </c>
      <c r="I28" s="1042">
        <v>85.08</v>
      </c>
      <c r="J28" s="2176">
        <v>82.8</v>
      </c>
      <c r="K28" s="2176">
        <v>82.462816674231007</v>
      </c>
      <c r="L28" s="3143">
        <f>K28*0.985</f>
        <v>81.225874424117535</v>
      </c>
      <c r="M28" s="3127">
        <f t="shared" si="6"/>
        <v>81.225874424117535</v>
      </c>
      <c r="N28" s="4165">
        <v>79.290355297528436</v>
      </c>
      <c r="O28" s="3617">
        <v>78.765102545199298</v>
      </c>
      <c r="P28" s="3617">
        <v>78.709590987448664</v>
      </c>
      <c r="Q28" s="3617">
        <v>76.58236562344598</v>
      </c>
      <c r="R28" s="3617">
        <f>CGL!R28</f>
        <v>82.539588602059794</v>
      </c>
      <c r="S28" s="3617">
        <f>CGL!S28</f>
        <v>74.823900757777963</v>
      </c>
      <c r="T28" s="3617">
        <v>69.994703218135356</v>
      </c>
      <c r="U28" s="3617">
        <v>74.467009414445101</v>
      </c>
      <c r="V28" s="3617">
        <v>64.833699111404613</v>
      </c>
      <c r="W28" s="5506">
        <v>71.735139925999434</v>
      </c>
      <c r="X28" s="5351"/>
      <c r="Y28" s="5969"/>
      <c r="Z28" s="3484">
        <f t="shared" si="7"/>
        <v>75.174145548344455</v>
      </c>
      <c r="AA28" s="5144">
        <f>($K$28-N28)*101.42*N5/1000</f>
        <v>7959.5220951737701</v>
      </c>
      <c r="AB28" s="4702">
        <f t="shared" ref="AB28:AL28" si="11">($K$28-O28)*101.42*O5/1000</f>
        <v>9233.3645195545905</v>
      </c>
      <c r="AC28" s="4702">
        <f t="shared" si="11"/>
        <v>10250.117328931699</v>
      </c>
      <c r="AD28" s="4702">
        <f t="shared" si="11"/>
        <v>14727.410519334651</v>
      </c>
      <c r="AE28" s="4702">
        <f t="shared" si="11"/>
        <v>-177.61502692551466</v>
      </c>
      <c r="AF28" s="4702">
        <f t="shared" si="11"/>
        <v>19360.85562324911</v>
      </c>
      <c r="AG28" s="4702">
        <f t="shared" si="11"/>
        <v>39008.954980874201</v>
      </c>
      <c r="AH28" s="4702">
        <f t="shared" si="11"/>
        <v>22487.861874002112</v>
      </c>
      <c r="AI28" s="4702">
        <f t="shared" si="11"/>
        <v>52326.680810029968</v>
      </c>
      <c r="AJ28" s="4702">
        <f t="shared" si="11"/>
        <v>29602.667830022521</v>
      </c>
      <c r="AK28" s="4702">
        <f t="shared" si="11"/>
        <v>11152.348271427983</v>
      </c>
      <c r="AL28" s="4702">
        <f t="shared" si="11"/>
        <v>0</v>
      </c>
      <c r="AM28" s="4702">
        <f>(K28-L28)*101.42*L5/1000</f>
        <v>34314.525322770227</v>
      </c>
      <c r="AN28" s="4702">
        <f>SUM(AA28:AL28)</f>
        <v>215932.16882567509</v>
      </c>
      <c r="AO28" s="4166">
        <f>AN28/AM28</f>
        <v>6.2927336687472151</v>
      </c>
      <c r="AP28" s="3753" t="s">
        <v>1413</v>
      </c>
      <c r="AR28" s="1536"/>
    </row>
    <row r="29" spans="1:44" ht="15.6" customHeight="1">
      <c r="A29" s="7450"/>
      <c r="B29" s="7453"/>
      <c r="C29" s="973" t="s">
        <v>719</v>
      </c>
      <c r="D29" s="1046"/>
      <c r="E29" s="1091"/>
      <c r="F29" s="1091"/>
      <c r="G29" s="1092">
        <v>8430</v>
      </c>
      <c r="H29" s="1092">
        <v>8310</v>
      </c>
      <c r="I29" s="1043">
        <v>8913</v>
      </c>
      <c r="J29" s="2180">
        <v>8445.14</v>
      </c>
      <c r="K29" s="2180">
        <v>8428.0276622529946</v>
      </c>
      <c r="L29" s="3141">
        <f>K29*0.985</f>
        <v>8301.6072473191998</v>
      </c>
      <c r="M29" s="3142">
        <f t="shared" si="6"/>
        <v>8301.6072473191998</v>
      </c>
      <c r="N29" s="4183">
        <v>9637.891110827044</v>
      </c>
      <c r="O29" s="2181">
        <v>8828.7027439707108</v>
      </c>
      <c r="P29" s="3623">
        <v>7013.5746430152576</v>
      </c>
      <c r="Q29" s="3623">
        <v>6817.2064461635991</v>
      </c>
      <c r="R29" s="3623">
        <f>CGL!R29</f>
        <v>7338.9236187083561</v>
      </c>
      <c r="S29" s="3623">
        <f>CGL!S29</f>
        <v>8722.8327519735867</v>
      </c>
      <c r="T29" s="3623">
        <v>8249.3938608850949</v>
      </c>
      <c r="U29" s="3623">
        <v>8647.7884479914519</v>
      </c>
      <c r="V29" s="3623">
        <v>6032.4878970357595</v>
      </c>
      <c r="W29" s="5520">
        <v>6381.8886884681342</v>
      </c>
      <c r="X29" s="5364"/>
      <c r="Y29" s="6856"/>
      <c r="Z29" s="3484">
        <f t="shared" si="7"/>
        <v>7767.0690209038994</v>
      </c>
      <c r="AA29" s="5133"/>
      <c r="AB29" s="4151"/>
      <c r="AC29" s="4151"/>
      <c r="AD29" s="4151"/>
      <c r="AE29" s="4151"/>
      <c r="AF29" s="4151"/>
      <c r="AG29" s="4151"/>
      <c r="AH29" s="4151"/>
      <c r="AI29" s="4151"/>
      <c r="AJ29" s="4151"/>
      <c r="AK29" s="4151"/>
      <c r="AL29" s="4151"/>
      <c r="AM29" s="4151"/>
      <c r="AN29" s="4151"/>
      <c r="AO29" s="4163"/>
      <c r="AP29" s="4164"/>
      <c r="AR29" s="1536"/>
    </row>
    <row r="30" spans="1:44" ht="15.6" customHeight="1">
      <c r="A30" s="7450"/>
      <c r="B30" s="1094" t="s">
        <v>320</v>
      </c>
      <c r="C30" s="973" t="s">
        <v>321</v>
      </c>
      <c r="D30" s="1047">
        <v>10.3</v>
      </c>
      <c r="E30" s="1095">
        <v>12.67</v>
      </c>
      <c r="F30" s="1095">
        <v>8.89</v>
      </c>
      <c r="G30" s="1091">
        <v>10.385022137857394</v>
      </c>
      <c r="H30" s="1091">
        <v>12.894324301022847</v>
      </c>
      <c r="I30" s="1042">
        <v>12.42</v>
      </c>
      <c r="J30" s="2176">
        <v>11.36</v>
      </c>
      <c r="K30" s="2176">
        <v>10.144948041854921</v>
      </c>
      <c r="L30" s="3143">
        <v>9.2200000000000006</v>
      </c>
      <c r="M30" s="3127">
        <f t="shared" si="6"/>
        <v>9.2200000000000006</v>
      </c>
      <c r="N30" s="4165">
        <v>7.5021808430221499</v>
      </c>
      <c r="O30" s="2182">
        <v>9.6219261317135683</v>
      </c>
      <c r="P30" s="3617">
        <v>7.8160917832810597</v>
      </c>
      <c r="Q30" s="3617">
        <f>CGL!Q30</f>
        <v>8.1108639979525403</v>
      </c>
      <c r="R30" s="3617">
        <f>CGL!R30</f>
        <v>7.8793625489999997</v>
      </c>
      <c r="S30" s="3617">
        <f>CGL!S30</f>
        <v>10.6345815174527</v>
      </c>
      <c r="T30" s="3617">
        <v>8.9711406428490896</v>
      </c>
      <c r="U30" s="3617">
        <v>10.520796558626699</v>
      </c>
      <c r="V30" s="3617">
        <v>8.408829517008936</v>
      </c>
      <c r="W30" s="5506">
        <v>10.6406829384111</v>
      </c>
      <c r="X30" s="5351"/>
      <c r="Y30" s="5969"/>
      <c r="Z30" s="3484">
        <f t="shared" si="7"/>
        <v>9.0106456479317849</v>
      </c>
      <c r="AA30" s="5144">
        <f t="shared" ref="AA30:AL30" si="12">($K$30-N30)*180*N5/1000</f>
        <v>11767.886091383925</v>
      </c>
      <c r="AB30" s="4702">
        <f t="shared" si="12"/>
        <v>2317.9039193346698</v>
      </c>
      <c r="AC30" s="4702">
        <f t="shared" si="12"/>
        <v>11287.967216850007</v>
      </c>
      <c r="AD30" s="4702">
        <f t="shared" si="12"/>
        <v>9041.3554938276829</v>
      </c>
      <c r="AE30" s="4702">
        <f t="shared" si="12"/>
        <v>9302.64854659292</v>
      </c>
      <c r="AF30" s="4702">
        <f t="shared" si="12"/>
        <v>-2202.4842827182847</v>
      </c>
      <c r="AG30" s="4702">
        <f t="shared" si="12"/>
        <v>6517.924298521013</v>
      </c>
      <c r="AH30" s="4702">
        <f t="shared" si="12"/>
        <v>-1876.0637322737409</v>
      </c>
      <c r="AI30" s="4702">
        <f t="shared" si="12"/>
        <v>9145.7828051727665</v>
      </c>
      <c r="AJ30" s="4702">
        <f t="shared" si="12"/>
        <v>-2427.8595737973219</v>
      </c>
      <c r="AK30" s="4702">
        <f t="shared" si="12"/>
        <v>2435.0444001296005</v>
      </c>
      <c r="AL30" s="4702">
        <f t="shared" si="12"/>
        <v>0</v>
      </c>
      <c r="AM30" s="4702">
        <f>(K30-L30)*180*L5/1000</f>
        <v>45540.18681994373</v>
      </c>
      <c r="AN30" s="4702">
        <f>SUM(AA30:AL30)</f>
        <v>55310.105183023246</v>
      </c>
      <c r="AO30" s="4166">
        <f>AN30/AM30</f>
        <v>1.214533998327844</v>
      </c>
      <c r="AP30" s="3753" t="s">
        <v>1129</v>
      </c>
      <c r="AR30" s="1536"/>
    </row>
    <row r="31" spans="1:44" ht="15.6" customHeight="1">
      <c r="A31" s="7450"/>
      <c r="B31" s="1094" t="s">
        <v>322</v>
      </c>
      <c r="C31" s="973" t="s">
        <v>317</v>
      </c>
      <c r="D31" s="1047">
        <v>1.25</v>
      </c>
      <c r="E31" s="1095">
        <v>1.3</v>
      </c>
      <c r="F31" s="1095">
        <v>1.1200000000000001</v>
      </c>
      <c r="G31" s="1095">
        <v>1.18</v>
      </c>
      <c r="H31" s="1091">
        <v>1.3297110344024723</v>
      </c>
      <c r="I31" s="1042">
        <v>1.18</v>
      </c>
      <c r="J31" s="2176">
        <v>1.05</v>
      </c>
      <c r="K31" s="2176">
        <v>0.95723359147669773</v>
      </c>
      <c r="L31" s="3144">
        <v>0.96</v>
      </c>
      <c r="M31" s="3145">
        <f t="shared" si="6"/>
        <v>0.96</v>
      </c>
      <c r="N31" s="4165">
        <v>0.78255681308295599</v>
      </c>
      <c r="O31" s="2182">
        <v>0.95106383410808326</v>
      </c>
      <c r="P31" s="3617">
        <v>0.94764588837252794</v>
      </c>
      <c r="Q31" s="3617">
        <f>CGL!Q31</f>
        <v>0.84911176947959899</v>
      </c>
      <c r="R31" s="3617">
        <f>CGL!R31</f>
        <v>0.92321895700000001</v>
      </c>
      <c r="S31" s="3617">
        <f>CGL!S31</f>
        <v>1.1012730205516801</v>
      </c>
      <c r="T31" s="3617">
        <v>0.80022250373756998</v>
      </c>
      <c r="U31" s="3617">
        <v>0.98720591804272395</v>
      </c>
      <c r="V31" s="3617">
        <v>0.92102268883271499</v>
      </c>
      <c r="W31" s="5506">
        <v>1.0561479195143</v>
      </c>
      <c r="X31" s="5351"/>
      <c r="Y31" s="5969"/>
      <c r="Z31" s="3484">
        <f t="shared" si="7"/>
        <v>0.93194693127221551</v>
      </c>
      <c r="AA31" s="5144">
        <f t="shared" ref="AA31:AL31" si="13">($K$31-N31)*570*N5/1000</f>
        <v>2463.0718012324141</v>
      </c>
      <c r="AB31" s="4702">
        <f t="shared" si="13"/>
        <v>86.585662304159399</v>
      </c>
      <c r="AC31" s="4702">
        <f t="shared" si="13"/>
        <v>147.16006913980863</v>
      </c>
      <c r="AD31" s="4702">
        <f t="shared" si="13"/>
        <v>1521.8798204434647</v>
      </c>
      <c r="AE31" s="4702">
        <f t="shared" si="13"/>
        <v>442.27696170474189</v>
      </c>
      <c r="AF31" s="4702">
        <f t="shared" si="13"/>
        <v>-2051.7547969934485</v>
      </c>
      <c r="AG31" s="4702">
        <f t="shared" si="13"/>
        <v>2760.8648163230796</v>
      </c>
      <c r="AH31" s="4702">
        <f t="shared" si="13"/>
        <v>-473.75908747391981</v>
      </c>
      <c r="AI31" s="4702">
        <f t="shared" si="13"/>
        <v>604.0643610454282</v>
      </c>
      <c r="AJ31" s="4702">
        <f t="shared" si="13"/>
        <v>-1534.0362693926008</v>
      </c>
      <c r="AK31" s="4702">
        <f t="shared" si="13"/>
        <v>727.57428051165482</v>
      </c>
      <c r="AL31" s="4702">
        <f t="shared" si="13"/>
        <v>0</v>
      </c>
      <c r="AM31" s="4702">
        <f>(K31-L31)*570*L5/1000</f>
        <v>-431.31656232595009</v>
      </c>
      <c r="AN31" s="4702">
        <f t="shared" ref="AN31:AN37" si="14">SUM(AA31:AL31)</f>
        <v>4693.927618844783</v>
      </c>
      <c r="AO31" s="4166">
        <f>AN31/AM31</f>
        <v>-10.882790110196456</v>
      </c>
      <c r="AP31" s="3753" t="s">
        <v>618</v>
      </c>
      <c r="AR31" s="1536"/>
    </row>
    <row r="32" spans="1:44" ht="15.6" customHeight="1" thickBot="1">
      <c r="A32" s="7451"/>
      <c r="B32" s="1076" t="s">
        <v>303</v>
      </c>
      <c r="C32" s="915" t="s">
        <v>324</v>
      </c>
      <c r="D32" s="842">
        <v>0.17</v>
      </c>
      <c r="E32" s="1096">
        <v>0.34</v>
      </c>
      <c r="F32" s="1096">
        <v>0.35</v>
      </c>
      <c r="G32" s="1097">
        <v>0.33255950224809949</v>
      </c>
      <c r="H32" s="1097">
        <v>0.24203781851766429</v>
      </c>
      <c r="I32" s="1098">
        <v>0.36</v>
      </c>
      <c r="J32" s="2337">
        <v>0.34</v>
      </c>
      <c r="K32" s="2337">
        <v>0.28923301933330509</v>
      </c>
      <c r="L32" s="3146">
        <v>0.28000000000000003</v>
      </c>
      <c r="M32" s="3147">
        <f t="shared" si="6"/>
        <v>0.28000000000000003</v>
      </c>
      <c r="N32" s="4184">
        <v>0.38673885748888198</v>
      </c>
      <c r="O32" s="2337">
        <v>0.34595068813627478</v>
      </c>
      <c r="P32" s="4185">
        <v>0.35924238834393302</v>
      </c>
      <c r="Q32" s="2337">
        <f>CGL!Q32</f>
        <v>0.20266682854790899</v>
      </c>
      <c r="R32" s="2337">
        <f>CGL!R32</f>
        <v>0.131625564</v>
      </c>
      <c r="S32" s="2337">
        <f>CGL!S32</f>
        <v>0.15833597153221199</v>
      </c>
      <c r="T32" s="2337">
        <v>0.159897633410478</v>
      </c>
      <c r="U32" s="2337">
        <v>6.45131278265062E-2</v>
      </c>
      <c r="V32" s="2337">
        <v>0.170067082542979</v>
      </c>
      <c r="W32" s="5521">
        <v>0.183299472088333</v>
      </c>
      <c r="X32" s="5365"/>
      <c r="Y32" s="6857"/>
      <c r="Z32" s="2337">
        <f t="shared" si="7"/>
        <v>0.21623376139175071</v>
      </c>
      <c r="AA32" s="5145">
        <f t="shared" ref="AA32:AL32" si="15">($K$32-N32)*923*N5/1000</f>
        <v>-2226.3803683265332</v>
      </c>
      <c r="AB32" s="3234">
        <f t="shared" si="15"/>
        <v>-1288.9115503196315</v>
      </c>
      <c r="AC32" s="3234">
        <f t="shared" si="15"/>
        <v>-1740.0367263844169</v>
      </c>
      <c r="AD32" s="3234">
        <f t="shared" si="15"/>
        <v>1973.068466603733</v>
      </c>
      <c r="AE32" s="3234">
        <f t="shared" si="15"/>
        <v>3318.4258026340281</v>
      </c>
      <c r="AF32" s="3234">
        <f t="shared" si="15"/>
        <v>3019.26173731479</v>
      </c>
      <c r="AG32" s="3234">
        <f t="shared" si="15"/>
        <v>3682.637986542733</v>
      </c>
      <c r="AH32" s="3234">
        <f t="shared" si="15"/>
        <v>5751.8222909425913</v>
      </c>
      <c r="AI32" s="3234">
        <f t="shared" si="15"/>
        <v>3219.0138087962155</v>
      </c>
      <c r="AJ32" s="3234">
        <f t="shared" si="15"/>
        <v>2660.3377877921012</v>
      </c>
      <c r="AK32" s="3234">
        <f t="shared" si="15"/>
        <v>355.9869884583303</v>
      </c>
      <c r="AL32" s="3234">
        <f t="shared" si="15"/>
        <v>0</v>
      </c>
      <c r="AM32" s="3234">
        <f>(K32-L32)*923*L5/1000</f>
        <v>2331.043679314535</v>
      </c>
      <c r="AN32" s="3234">
        <f t="shared" si="14"/>
        <v>18725.226224053942</v>
      </c>
      <c r="AO32" s="4186">
        <f>AN32/AM32</f>
        <v>8.0329795577062146</v>
      </c>
      <c r="AP32" s="3147" t="s">
        <v>811</v>
      </c>
      <c r="AR32" s="1536"/>
    </row>
    <row r="33" spans="1:44" ht="15.6" customHeight="1">
      <c r="A33" s="7447" t="s">
        <v>325</v>
      </c>
      <c r="B33" s="5163" t="s">
        <v>326</v>
      </c>
      <c r="C33" s="917" t="s">
        <v>321</v>
      </c>
      <c r="D33" s="1061">
        <v>2.1800000000000002</v>
      </c>
      <c r="E33" s="896">
        <v>1.02</v>
      </c>
      <c r="F33" s="896">
        <v>1.27</v>
      </c>
      <c r="G33" s="1057">
        <v>1.1929619727718364</v>
      </c>
      <c r="H33" s="1057">
        <v>0.86263579417339953</v>
      </c>
      <c r="I33" s="1059">
        <v>1.03</v>
      </c>
      <c r="J33" s="1059">
        <v>0.93</v>
      </c>
      <c r="K33" s="1059">
        <v>1.5107186589069637</v>
      </c>
      <c r="L33" s="1061">
        <v>1.47</v>
      </c>
      <c r="M33" s="1060">
        <f t="shared" si="6"/>
        <v>1.47</v>
      </c>
      <c r="N33" s="4181">
        <v>0</v>
      </c>
      <c r="O33" s="1059">
        <v>0.827753713</v>
      </c>
      <c r="P33" s="1059">
        <v>0.76166694766519905</v>
      </c>
      <c r="Q33" s="1059">
        <f>CGL!Q33</f>
        <v>0.79209396275376598</v>
      </c>
      <c r="R33" s="1059">
        <f>CGL!R33</f>
        <v>0.84737998299999995</v>
      </c>
      <c r="S33" s="1059">
        <f>CGL!S33</f>
        <v>0.77350414182856697</v>
      </c>
      <c r="T33" s="1059">
        <v>1.2616324979934499</v>
      </c>
      <c r="U33" s="1059">
        <v>0.70535314716962605</v>
      </c>
      <c r="V33" s="1059">
        <v>0.67613418536901404</v>
      </c>
      <c r="W33" s="5519">
        <v>1.4397072070996</v>
      </c>
      <c r="X33" s="5363"/>
      <c r="Y33" s="6675"/>
      <c r="Z33" s="1878">
        <f t="shared" si="7"/>
        <v>0.80852257858792209</v>
      </c>
      <c r="AA33" s="5143">
        <f t="shared" ref="AA33:AL33" si="16">($K$33-N33)*458*N5/1000</f>
        <v>17116.545315570944</v>
      </c>
      <c r="AB33" s="5169">
        <f t="shared" si="16"/>
        <v>7701.3512897025284</v>
      </c>
      <c r="AC33" s="5169">
        <f t="shared" si="16"/>
        <v>9237.9972575353277</v>
      </c>
      <c r="AD33" s="5169">
        <f t="shared" si="16"/>
        <v>8127.5521222420675</v>
      </c>
      <c r="AE33" s="5169">
        <f t="shared" si="16"/>
        <v>6930.338556005745</v>
      </c>
      <c r="AF33" s="5169">
        <f t="shared" si="16"/>
        <v>8437.7871775817239</v>
      </c>
      <c r="AG33" s="5169">
        <f t="shared" si="16"/>
        <v>3519.2898854166751</v>
      </c>
      <c r="AH33" s="5169">
        <f t="shared" si="16"/>
        <v>10228.707220687635</v>
      </c>
      <c r="AI33" s="5169">
        <f t="shared" si="16"/>
        <v>11186.771985855004</v>
      </c>
      <c r="AJ33" s="5169">
        <f t="shared" si="16"/>
        <v>884.90253020076352</v>
      </c>
      <c r="AK33" s="5169">
        <f t="shared" si="16"/>
        <v>922.64285625902551</v>
      </c>
      <c r="AL33" s="5169">
        <f t="shared" si="16"/>
        <v>0</v>
      </c>
      <c r="AM33" s="5169">
        <f>(K33-L33)*458*$L$5/1000</f>
        <v>5101.1008450363743</v>
      </c>
      <c r="AN33" s="5169">
        <f t="shared" si="14"/>
        <v>84293.886197057436</v>
      </c>
      <c r="AO33" s="5166">
        <f>AN33/AM33</f>
        <v>16.524646102434851</v>
      </c>
      <c r="AP33" s="1060" t="s">
        <v>327</v>
      </c>
      <c r="AR33" s="1536"/>
    </row>
    <row r="34" spans="1:44" ht="15.6" customHeight="1" thickBot="1">
      <c r="A34" s="7442"/>
      <c r="B34" s="5164" t="s">
        <v>305</v>
      </c>
      <c r="C34" s="936" t="s">
        <v>329</v>
      </c>
      <c r="D34" s="1048">
        <v>0.56000000000000005</v>
      </c>
      <c r="E34" s="895">
        <v>0.41</v>
      </c>
      <c r="F34" s="895">
        <v>0.48</v>
      </c>
      <c r="G34" s="937">
        <v>0.48649455339370778</v>
      </c>
      <c r="H34" s="937">
        <v>0.35233195521157751</v>
      </c>
      <c r="I34" s="1054">
        <v>0.31</v>
      </c>
      <c r="J34" s="1590">
        <v>0.27</v>
      </c>
      <c r="K34" s="1590">
        <v>0.27824003334002306</v>
      </c>
      <c r="L34" s="2116">
        <v>0.28999999999999998</v>
      </c>
      <c r="M34" s="1591">
        <f t="shared" si="6"/>
        <v>0.28999999999999998</v>
      </c>
      <c r="N34" s="4167">
        <v>0.40811475721295137</v>
      </c>
      <c r="O34" s="3484">
        <v>0.40851554699999998</v>
      </c>
      <c r="P34" s="3484">
        <v>0.37247779059395197</v>
      </c>
      <c r="Q34" s="2337">
        <f>CGL!Q34</f>
        <v>0</v>
      </c>
      <c r="R34" s="3484">
        <f>CGL!R34</f>
        <v>0</v>
      </c>
      <c r="S34" s="3484">
        <f>CGL!S34</f>
        <v>0.398796806904475</v>
      </c>
      <c r="T34" s="3484">
        <v>0.32270173477710101</v>
      </c>
      <c r="U34" s="3484">
        <v>0.35952816346018301</v>
      </c>
      <c r="V34" s="3484">
        <v>0.341347307046516</v>
      </c>
      <c r="W34" s="5470">
        <v>0.36786555284028999</v>
      </c>
      <c r="X34" s="5313"/>
      <c r="Y34" s="6635"/>
      <c r="Z34" s="1878">
        <f t="shared" si="7"/>
        <v>0.29793476598354685</v>
      </c>
      <c r="AA34" s="5135">
        <f t="shared" ref="AA34:AL34" si="17">($K$34-N34)*1980*N5/1000</f>
        <v>-6361.4610212270891</v>
      </c>
      <c r="AB34" s="4703">
        <f t="shared" si="17"/>
        <v>-6350.8378833805809</v>
      </c>
      <c r="AC34" s="4703">
        <f t="shared" si="17"/>
        <v>-5024.47491815386</v>
      </c>
      <c r="AD34" s="4703">
        <f t="shared" si="17"/>
        <v>13604.323615541729</v>
      </c>
      <c r="AE34" s="4703">
        <f t="shared" si="17"/>
        <v>12567.198081508493</v>
      </c>
      <c r="AF34" s="4703">
        <f t="shared" si="17"/>
        <v>-5965.2138467337772</v>
      </c>
      <c r="AG34" s="4703">
        <f t="shared" si="17"/>
        <v>-2715.7590319786796</v>
      </c>
      <c r="AH34" s="4703">
        <f t="shared" si="17"/>
        <v>-4463.2844503925635</v>
      </c>
      <c r="AI34" s="4703">
        <f t="shared" si="17"/>
        <v>-3656.9044770552969</v>
      </c>
      <c r="AJ34" s="4703">
        <f t="shared" si="17"/>
        <v>-4828.3466585791284</v>
      </c>
      <c r="AK34" s="4703">
        <f t="shared" si="17"/>
        <v>734.63118343174665</v>
      </c>
      <c r="AL34" s="4703">
        <f t="shared" si="17"/>
        <v>0</v>
      </c>
      <c r="AM34" s="4703">
        <f>(K34-L34)*1980*$L$5/1000</f>
        <v>-6369.0732873969027</v>
      </c>
      <c r="AN34" s="4703">
        <f t="shared" si="14"/>
        <v>-12460.129407019005</v>
      </c>
      <c r="AO34" s="4168">
        <f>AN34/AM34</f>
        <v>1.9563488822895256</v>
      </c>
      <c r="AP34" s="4182" t="s">
        <v>538</v>
      </c>
      <c r="AR34" s="1536"/>
    </row>
    <row r="35" spans="1:44" ht="15.6" customHeight="1">
      <c r="A35" s="7449" t="s">
        <v>330</v>
      </c>
      <c r="B35" s="1070" t="s">
        <v>331</v>
      </c>
      <c r="C35" s="926" t="s">
        <v>321</v>
      </c>
      <c r="D35" s="1099">
        <v>0.08</v>
      </c>
      <c r="E35" s="1100">
        <v>0.06</v>
      </c>
      <c r="F35" s="1100">
        <v>7.0000000000000007E-2</v>
      </c>
      <c r="G35" s="1100">
        <v>7.0000000000000007E-2</v>
      </c>
      <c r="H35" s="1072">
        <v>7.9920743537899089E-2</v>
      </c>
      <c r="I35" s="1090">
        <v>0.14000000000000001</v>
      </c>
      <c r="J35" s="1090">
        <v>0.13</v>
      </c>
      <c r="K35" s="1090">
        <v>0.14111543781775723</v>
      </c>
      <c r="L35" s="1099">
        <v>0.16</v>
      </c>
      <c r="M35" s="934">
        <f t="shared" si="6"/>
        <v>0.16</v>
      </c>
      <c r="N35" s="4169">
        <v>0.12288001258291331</v>
      </c>
      <c r="O35" s="1090">
        <v>0.12934870300000001</v>
      </c>
      <c r="P35" s="1090">
        <v>0.122497378556099</v>
      </c>
      <c r="Q35" s="1059">
        <f>CGL!Q35</f>
        <v>9.0260365049020394E-2</v>
      </c>
      <c r="R35" s="1090">
        <f>CGL!R35</f>
        <v>0.15729873999999999</v>
      </c>
      <c r="S35" s="1090">
        <f>CGL!S35</f>
        <v>0.105197824508989</v>
      </c>
      <c r="T35" s="1090">
        <v>0.21148773159668999</v>
      </c>
      <c r="U35" s="1090">
        <v>0.153484638489957</v>
      </c>
      <c r="V35" s="1090">
        <v>0.114960499572347</v>
      </c>
      <c r="W35" s="5507">
        <v>0.1651649502358</v>
      </c>
      <c r="X35" s="5352"/>
      <c r="Y35" s="6848"/>
      <c r="Z35" s="1879">
        <f t="shared" si="7"/>
        <v>0.13725808435918158</v>
      </c>
      <c r="AA35" s="5136">
        <f t="shared" ref="AA35:AK35" si="18">($K$35-N35)*2250*N54/1000</f>
        <v>333.90057435674515</v>
      </c>
      <c r="AB35" s="4701">
        <f t="shared" si="18"/>
        <v>204.68046947731608</v>
      </c>
      <c r="AC35" s="4701">
        <f>($K$35-P35)*2250*P54/1000</f>
        <v>341.97167182273029</v>
      </c>
      <c r="AD35" s="4701">
        <f t="shared" si="18"/>
        <v>1267.7094056457033</v>
      </c>
      <c r="AE35" s="4701">
        <f t="shared" si="18"/>
        <v>-231.48583304003404</v>
      </c>
      <c r="AF35" s="4701">
        <f t="shared" si="18"/>
        <v>768.21579079159494</v>
      </c>
      <c r="AG35" s="4701">
        <f t="shared" si="18"/>
        <v>-2246.0545556072834</v>
      </c>
      <c r="AH35" s="4701">
        <f t="shared" si="18"/>
        <v>-362.65129574215433</v>
      </c>
      <c r="AI35" s="4701">
        <f t="shared" si="18"/>
        <v>767.85432306431164</v>
      </c>
      <c r="AJ35" s="4701">
        <f t="shared" si="18"/>
        <v>-491.43056256799491</v>
      </c>
      <c r="AK35" s="4701">
        <f t="shared" si="18"/>
        <v>0</v>
      </c>
      <c r="AL35" s="4701">
        <f>($K$35-Y35)*2250*Y54/1000</f>
        <v>0</v>
      </c>
      <c r="AM35" s="4701">
        <f>(K35-L35)*2250*$L$5/1000</f>
        <v>-11622.362160844947</v>
      </c>
      <c r="AN35" s="4701">
        <f t="shared" si="14"/>
        <v>352.70998820093496</v>
      </c>
      <c r="AO35" s="1075"/>
      <c r="AP35" s="934" t="s">
        <v>332</v>
      </c>
      <c r="AR35" s="1536"/>
    </row>
    <row r="36" spans="1:44" ht="15.6" customHeight="1" thickBot="1">
      <c r="A36" s="7451"/>
      <c r="B36" s="1076" t="s">
        <v>333</v>
      </c>
      <c r="C36" s="915" t="s">
        <v>321</v>
      </c>
      <c r="D36" s="842">
        <v>1.72</v>
      </c>
      <c r="E36" s="1096">
        <v>1.59</v>
      </c>
      <c r="F36" s="1096">
        <v>1.76</v>
      </c>
      <c r="G36" s="1096">
        <v>1.74</v>
      </c>
      <c r="H36" s="1097">
        <v>1.547402994966701</v>
      </c>
      <c r="I36" s="1098">
        <v>1.45</v>
      </c>
      <c r="J36" s="2337">
        <v>1.31</v>
      </c>
      <c r="K36" s="2337">
        <v>1.6841320490416061</v>
      </c>
      <c r="L36" s="3148">
        <v>1.62</v>
      </c>
      <c r="M36" s="3147">
        <f t="shared" si="6"/>
        <v>1.62</v>
      </c>
      <c r="N36" s="4184">
        <v>1.9575600970949807</v>
      </c>
      <c r="O36" s="2337">
        <v>2.5744001650000001</v>
      </c>
      <c r="P36" s="2337">
        <v>1.14054021687372</v>
      </c>
      <c r="Q36" s="2337">
        <f>CGL!Q36</f>
        <v>1.2696101873521399</v>
      </c>
      <c r="R36" s="2337">
        <f>CGL!R36</f>
        <v>2.0250396149999998</v>
      </c>
      <c r="S36" s="2337">
        <f>CGL!S36</f>
        <v>2.15817711727966</v>
      </c>
      <c r="T36" s="2337">
        <v>1.1882623445604299</v>
      </c>
      <c r="U36" s="2337">
        <v>1.84057951960875</v>
      </c>
      <c r="V36" s="2337">
        <v>1.85534876433772</v>
      </c>
      <c r="W36" s="5521">
        <v>1.01672926329831</v>
      </c>
      <c r="X36" s="5365"/>
      <c r="Y36" s="6857"/>
      <c r="Z36" s="2337">
        <f t="shared" si="7"/>
        <v>1.7026247290405709</v>
      </c>
      <c r="AA36" s="5145">
        <f>($K$36-N36)*6000*N55/1000</f>
        <v>-2933.237665419304</v>
      </c>
      <c r="AB36" s="3234">
        <f t="shared" ref="AB36:AK36" si="19">($K$36-O36)*6400*O55/1000</f>
        <v>-11066.103902812116</v>
      </c>
      <c r="AC36" s="3234">
        <f>($K$36-P36)*6400*P55/1000</f>
        <v>12201.192643291617</v>
      </c>
      <c r="AD36" s="3234">
        <f t="shared" si="19"/>
        <v>6268.7113129080963</v>
      </c>
      <c r="AE36" s="3234">
        <f t="shared" si="19"/>
        <v>-4309.6607219880734</v>
      </c>
      <c r="AF36" s="3234">
        <f t="shared" si="19"/>
        <v>-7028.8217135480072</v>
      </c>
      <c r="AG36" s="3234">
        <f t="shared" si="19"/>
        <v>5341.5243245017737</v>
      </c>
      <c r="AH36" s="3234">
        <f t="shared" si="19"/>
        <v>-3807.9564651995738</v>
      </c>
      <c r="AI36" s="3234">
        <f t="shared" si="19"/>
        <v>-5315.4873038528085</v>
      </c>
      <c r="AJ36" s="3234">
        <f t="shared" si="19"/>
        <v>21005.482889813629</v>
      </c>
      <c r="AK36" s="3234">
        <f t="shared" si="19"/>
        <v>0</v>
      </c>
      <c r="AL36" s="3234">
        <f>($K$36-Y36)*6000*Y55/1000</f>
        <v>0</v>
      </c>
      <c r="AM36" s="3234">
        <f>(K36-L36)*6000*(L5*0.117338)/1000</f>
        <v>12350.08689664522</v>
      </c>
      <c r="AN36" s="3234">
        <f t="shared" si="14"/>
        <v>10355.643397695236</v>
      </c>
      <c r="AO36" s="4186">
        <f t="shared" ref="AO36:AO41" si="20">AN36/AM36</f>
        <v>0.83850773556162139</v>
      </c>
      <c r="AP36" s="3147" t="s">
        <v>1378</v>
      </c>
      <c r="AQ36" s="1504"/>
      <c r="AR36" s="1536"/>
    </row>
    <row r="37" spans="1:44" ht="15.6" customHeight="1" thickBot="1">
      <c r="A37" s="5165" t="s">
        <v>770</v>
      </c>
      <c r="B37" s="1063" t="s">
        <v>756</v>
      </c>
      <c r="C37" s="913" t="s">
        <v>719</v>
      </c>
      <c r="D37" s="1064"/>
      <c r="E37" s="1065"/>
      <c r="F37" s="1065"/>
      <c r="G37" s="5171"/>
      <c r="H37" s="1067">
        <v>143.37170477617013</v>
      </c>
      <c r="I37" s="1068">
        <v>860</v>
      </c>
      <c r="J37" s="1068">
        <v>71.52</v>
      </c>
      <c r="K37" s="1068">
        <v>23.333646133822892</v>
      </c>
      <c r="L37" s="2854">
        <v>34.81</v>
      </c>
      <c r="M37" s="2117">
        <f t="shared" si="6"/>
        <v>34.81</v>
      </c>
      <c r="N37" s="4187">
        <v>0</v>
      </c>
      <c r="O37" s="1279">
        <v>0</v>
      </c>
      <c r="P37" s="1279">
        <v>0</v>
      </c>
      <c r="Q37" s="5371">
        <f>CGL!Q37</f>
        <v>0</v>
      </c>
      <c r="R37" s="1279">
        <f>CGL!R37</f>
        <v>0</v>
      </c>
      <c r="S37" s="1279">
        <f>CGL!S37</f>
        <v>19.207552409607501</v>
      </c>
      <c r="T37" s="1279">
        <v>0</v>
      </c>
      <c r="U37" s="1279">
        <v>0</v>
      </c>
      <c r="V37" s="1279">
        <v>0</v>
      </c>
      <c r="W37" s="5522">
        <v>0</v>
      </c>
      <c r="X37" s="5366"/>
      <c r="Y37" s="6858"/>
      <c r="Z37" s="1878">
        <f t="shared" si="7"/>
        <v>1.9207552409607502</v>
      </c>
      <c r="AA37" s="5134">
        <f t="shared" ref="AA37:AL37" si="21">($K$37-N37)*N5/1000</f>
        <v>577.23100476896934</v>
      </c>
      <c r="AB37" s="5168">
        <f t="shared" si="21"/>
        <v>574.49420141393341</v>
      </c>
      <c r="AC37" s="5168">
        <f t="shared" si="21"/>
        <v>628.32328968943341</v>
      </c>
      <c r="AD37" s="5168">
        <f t="shared" si="21"/>
        <v>576.20199097446778</v>
      </c>
      <c r="AE37" s="5168">
        <f t="shared" si="21"/>
        <v>532.27523544523956</v>
      </c>
      <c r="AF37" s="5168">
        <f t="shared" si="21"/>
        <v>103.11178360407574</v>
      </c>
      <c r="AG37" s="5168">
        <f t="shared" si="21"/>
        <v>719.81778289061162</v>
      </c>
      <c r="AH37" s="5168">
        <f t="shared" si="21"/>
        <v>647.06044087135456</v>
      </c>
      <c r="AI37" s="5168">
        <f t="shared" si="21"/>
        <v>682.89135453799167</v>
      </c>
      <c r="AJ37" s="5168">
        <f t="shared" si="21"/>
        <v>634.86907743935478</v>
      </c>
      <c r="AK37" s="5168">
        <f t="shared" si="21"/>
        <v>31.114810444653347</v>
      </c>
      <c r="AL37" s="5168">
        <f t="shared" si="21"/>
        <v>0</v>
      </c>
      <c r="AM37" s="5168">
        <f>(K37-L37)*L5/1000</f>
        <v>-3139.1270730154247</v>
      </c>
      <c r="AN37" s="5168">
        <f t="shared" si="14"/>
        <v>5707.3909720800839</v>
      </c>
      <c r="AO37" s="5167">
        <f t="shared" si="20"/>
        <v>-1.8181458855686279</v>
      </c>
      <c r="AP37" s="5160" t="s">
        <v>760</v>
      </c>
      <c r="AR37" s="1536"/>
    </row>
    <row r="38" spans="1:44" ht="15.6" customHeight="1" thickBot="1">
      <c r="A38" s="1101" t="s">
        <v>758</v>
      </c>
      <c r="B38" s="1102" t="s">
        <v>776</v>
      </c>
      <c r="C38" s="945" t="s">
        <v>334</v>
      </c>
      <c r="D38" s="1103">
        <v>1025</v>
      </c>
      <c r="E38" s="1104">
        <v>856</v>
      </c>
      <c r="F38" s="1104">
        <v>980</v>
      </c>
      <c r="G38" s="1105"/>
      <c r="H38" s="1104">
        <v>6617.8326432033155</v>
      </c>
      <c r="I38" s="1106">
        <v>7820</v>
      </c>
      <c r="J38" s="1106">
        <v>5759</v>
      </c>
      <c r="K38" s="1106">
        <v>6270.6033332895695</v>
      </c>
      <c r="L38" s="2855">
        <v>6532.36</v>
      </c>
      <c r="M38" s="956">
        <f t="shared" si="6"/>
        <v>6532.36</v>
      </c>
      <c r="N38" s="4188">
        <v>4855.9523068427943</v>
      </c>
      <c r="O38" s="1106">
        <v>6622.2340409999997</v>
      </c>
      <c r="P38" s="1106">
        <v>5456.6663869060103</v>
      </c>
      <c r="Q38" s="5371">
        <f>CGL!Q38</f>
        <v>5494.0822157897201</v>
      </c>
      <c r="R38" s="1106">
        <f>CGL!R38</f>
        <v>4394.7677683483198</v>
      </c>
      <c r="S38" s="1106">
        <f>CGL!S38</f>
        <v>6084.1668544071499</v>
      </c>
      <c r="T38" s="1106">
        <v>4847.8562620668699</v>
      </c>
      <c r="U38" s="1106">
        <v>9318.7816863493608</v>
      </c>
      <c r="V38" s="1106">
        <v>5346.4099420563798</v>
      </c>
      <c r="W38" s="5523">
        <v>4396.5049648434597</v>
      </c>
      <c r="X38" s="5367"/>
      <c r="Y38" s="6859"/>
      <c r="Z38" s="1880">
        <f t="shared" si="7"/>
        <v>5681.7422428610062</v>
      </c>
      <c r="AA38" s="5146">
        <f t="shared" ref="AA38:AL38" si="22">($K$38-N38)*N5/1000</f>
        <v>34995.835143384022</v>
      </c>
      <c r="AB38" s="4704">
        <f t="shared" si="22"/>
        <v>-8657.4469099323469</v>
      </c>
      <c r="AC38" s="4704">
        <f t="shared" si="22"/>
        <v>21917.515026088276</v>
      </c>
      <c r="AD38" s="4704">
        <f t="shared" si="22"/>
        <v>19175.443536385985</v>
      </c>
      <c r="AE38" s="4704">
        <f t="shared" si="22"/>
        <v>42790.604231301673</v>
      </c>
      <c r="AF38" s="4704">
        <f t="shared" si="22"/>
        <v>4659.0793014730752</v>
      </c>
      <c r="AG38" s="4704">
        <f t="shared" si="22"/>
        <v>43890.210580383362</v>
      </c>
      <c r="AH38" s="4704">
        <f t="shared" si="22"/>
        <v>-84528.393791246941</v>
      </c>
      <c r="AI38" s="4704">
        <f t="shared" si="22"/>
        <v>27047.794981319199</v>
      </c>
      <c r="AJ38" s="4704">
        <f t="shared" si="22"/>
        <v>50991.049379175965</v>
      </c>
      <c r="AK38" s="4704">
        <f t="shared" si="22"/>
        <v>8361.686509254976</v>
      </c>
      <c r="AL38" s="4704">
        <f t="shared" si="22"/>
        <v>0</v>
      </c>
      <c r="AM38" s="4704">
        <f>(K38-L38)*$L$5/1000</f>
        <v>-71598.301045303975</v>
      </c>
      <c r="AN38" s="4831">
        <f>SUM(AA38:AL38)</f>
        <v>160643.37798758724</v>
      </c>
      <c r="AO38" s="1107">
        <f t="shared" si="20"/>
        <v>-2.2436758364690776</v>
      </c>
      <c r="AP38" s="1108"/>
      <c r="AR38" s="1536"/>
    </row>
    <row r="39" spans="1:44" ht="15.6" customHeight="1">
      <c r="A39" s="7447" t="s">
        <v>335</v>
      </c>
      <c r="B39" s="5163" t="s">
        <v>794</v>
      </c>
      <c r="C39" s="917" t="s">
        <v>334</v>
      </c>
      <c r="D39" s="1061"/>
      <c r="E39" s="899">
        <v>4635</v>
      </c>
      <c r="F39" s="899">
        <v>4706</v>
      </c>
      <c r="G39" s="899">
        <v>5059</v>
      </c>
      <c r="H39" s="899">
        <v>3837.0636378627969</v>
      </c>
      <c r="I39" s="1069">
        <v>2952</v>
      </c>
      <c r="J39" s="1069">
        <v>2816</v>
      </c>
      <c r="K39" s="1069">
        <v>4379.3263231981045</v>
      </c>
      <c r="L39" s="2856">
        <v>1775</v>
      </c>
      <c r="M39" s="1060">
        <f t="shared" si="6"/>
        <v>1775</v>
      </c>
      <c r="N39" s="4189">
        <v>4305.3091086403738</v>
      </c>
      <c r="O39" s="1069">
        <v>4041.577589</v>
      </c>
      <c r="P39" s="1069">
        <v>3378.1287085869999</v>
      </c>
      <c r="Q39" s="1059">
        <f>CGL!Q39</f>
        <v>2116.0731409560599</v>
      </c>
      <c r="R39" s="1069">
        <f>CGL!R39</f>
        <v>3408.8870220579402</v>
      </c>
      <c r="S39" s="1069">
        <f>CGL!S39</f>
        <v>1359.1245463165301</v>
      </c>
      <c r="T39" s="1069">
        <v>1630.3885407115399</v>
      </c>
      <c r="U39" s="1069">
        <v>1224.6846071913801</v>
      </c>
      <c r="V39" s="1069">
        <v>3452.4269224752502</v>
      </c>
      <c r="W39" s="5505">
        <v>1130.4305992474001</v>
      </c>
      <c r="X39" s="6865"/>
      <c r="Y39" s="6860"/>
      <c r="Z39" s="1881">
        <f t="shared" si="7"/>
        <v>2604.703078518347</v>
      </c>
      <c r="AA39" s="5143">
        <f t="shared" ref="AA39:AK39" si="23">($K$39-N39)*N56/1000</f>
        <v>734.69191101145327</v>
      </c>
      <c r="AB39" s="5169">
        <f t="shared" si="23"/>
        <v>3267.1245655944731</v>
      </c>
      <c r="AC39" s="5169">
        <f>($K$39-P39)*P56/1000</f>
        <v>11684.526821199628</v>
      </c>
      <c r="AD39" s="5169">
        <f t="shared" si="23"/>
        <v>30422.626643165742</v>
      </c>
      <c r="AE39" s="5169">
        <f t="shared" si="23"/>
        <v>8086.2825206805337</v>
      </c>
      <c r="AF39" s="5169">
        <f t="shared" si="23"/>
        <v>35706.848941484481</v>
      </c>
      <c r="AG39" s="5169">
        <f t="shared" si="23"/>
        <v>43621.106860720676</v>
      </c>
      <c r="AH39" s="5169">
        <f t="shared" si="23"/>
        <v>53104.513079662516</v>
      </c>
      <c r="AI39" s="5169">
        <f t="shared" si="23"/>
        <v>16590.386993658223</v>
      </c>
      <c r="AJ39" s="5169">
        <f t="shared" si="23"/>
        <v>45483.110621191321</v>
      </c>
      <c r="AK39" s="5169">
        <f t="shared" si="23"/>
        <v>0</v>
      </c>
      <c r="AL39" s="5169">
        <f>($K$39-Y39)*Y56/1000</f>
        <v>0</v>
      </c>
      <c r="AM39" s="5169">
        <f>(K39-L39)*$L$5/1000</f>
        <v>712361.3791843775</v>
      </c>
      <c r="AN39" s="5169">
        <f>SUM(AA39:AL39)</f>
        <v>248701.21895836905</v>
      </c>
      <c r="AO39" s="5166">
        <f t="shared" si="20"/>
        <v>0.34912226606546387</v>
      </c>
      <c r="AP39" s="1060"/>
      <c r="AQ39" s="1536"/>
      <c r="AR39" s="1536"/>
    </row>
    <row r="40" spans="1:44" ht="15.6" customHeight="1">
      <c r="A40" s="7441"/>
      <c r="B40" s="1049" t="s">
        <v>336</v>
      </c>
      <c r="C40" s="911" t="s">
        <v>334</v>
      </c>
      <c r="D40" s="841"/>
      <c r="E40" s="652">
        <v>1652</v>
      </c>
      <c r="F40" s="652">
        <v>1696</v>
      </c>
      <c r="G40" s="652">
        <v>1418</v>
      </c>
      <c r="H40" s="652">
        <v>1808.8376984726422</v>
      </c>
      <c r="I40" s="1044">
        <v>1699</v>
      </c>
      <c r="J40" s="2175">
        <v>1437</v>
      </c>
      <c r="K40" s="2175">
        <v>1819.8876303629272</v>
      </c>
      <c r="L40" s="3149">
        <v>1833</v>
      </c>
      <c r="M40" s="3150">
        <f t="shared" si="6"/>
        <v>1833</v>
      </c>
      <c r="N40" s="4190">
        <v>3230.175116563033</v>
      </c>
      <c r="O40" s="3616">
        <v>1830.609393</v>
      </c>
      <c r="P40" s="3616">
        <v>2463.1593198264</v>
      </c>
      <c r="Q40" s="3617">
        <f>CGL!Q40</f>
        <v>2030.1336334872999</v>
      </c>
      <c r="R40" s="3616">
        <f>CGL!R40</f>
        <v>2299.6667306723002</v>
      </c>
      <c r="S40" s="3616">
        <f>CGL!S40</f>
        <v>1847.1403667699401</v>
      </c>
      <c r="T40" s="3616">
        <v>1831.26109519893</v>
      </c>
      <c r="U40" s="3616">
        <v>1509.7395295290401</v>
      </c>
      <c r="V40" s="3616">
        <v>1988.00059221847</v>
      </c>
      <c r="W40" s="5505">
        <v>1952.4910068602201</v>
      </c>
      <c r="X40" s="5350"/>
      <c r="Y40" s="5968"/>
      <c r="Z40" s="3623">
        <f t="shared" si="7"/>
        <v>2098.2376784125627</v>
      </c>
      <c r="AA40" s="5144">
        <f t="shared" ref="AA40:AK40" si="24">($K$40-N40)*N56/1000</f>
        <v>-13998.457176522801</v>
      </c>
      <c r="AB40" s="4702">
        <f t="shared" si="24"/>
        <v>-103.71418321143754</v>
      </c>
      <c r="AC40" s="4702">
        <f>($K$40-P40)*P56/1000</f>
        <v>-7507.3344154679307</v>
      </c>
      <c r="AD40" s="4702">
        <f t="shared" si="24"/>
        <v>-2826.1246715377861</v>
      </c>
      <c r="AE40" s="4702">
        <f t="shared" si="24"/>
        <v>-3997.807331237882</v>
      </c>
      <c r="AF40" s="4702">
        <f t="shared" si="24"/>
        <v>-322.20010913709905</v>
      </c>
      <c r="AG40" s="4702">
        <f t="shared" si="24"/>
        <v>-180.47812073038452</v>
      </c>
      <c r="AH40" s="4702">
        <f t="shared" si="24"/>
        <v>5220.9617953744655</v>
      </c>
      <c r="AI40" s="4702">
        <f t="shared" si="24"/>
        <v>-3009.0202816599899</v>
      </c>
      <c r="AJ40" s="4702">
        <f t="shared" si="24"/>
        <v>-1856.3889254764413</v>
      </c>
      <c r="AK40" s="4702">
        <f t="shared" si="24"/>
        <v>0</v>
      </c>
      <c r="AL40" s="4702">
        <f>($K$40-Y40)*Y56/1000</f>
        <v>0</v>
      </c>
      <c r="AM40" s="4702">
        <f>(K40-L40)*$L$5/1000</f>
        <v>-3586.6264668285198</v>
      </c>
      <c r="AN40" s="4702">
        <f>SUM(AA40:AL40)</f>
        <v>-28580.563419607286</v>
      </c>
      <c r="AO40" s="4166">
        <f t="shared" si="20"/>
        <v>7.968647887907796</v>
      </c>
      <c r="AP40" s="3753"/>
      <c r="AQ40" s="1536"/>
      <c r="AR40" s="1536"/>
    </row>
    <row r="41" spans="1:44" ht="15.6" customHeight="1" thickBot="1">
      <c r="A41" s="7442"/>
      <c r="B41" s="5164" t="s">
        <v>337</v>
      </c>
      <c r="C41" s="936" t="s">
        <v>334</v>
      </c>
      <c r="D41" s="1048"/>
      <c r="E41" s="898">
        <v>2950</v>
      </c>
      <c r="F41" s="898">
        <v>2721</v>
      </c>
      <c r="G41" s="898">
        <v>2737</v>
      </c>
      <c r="H41" s="898">
        <v>2748.7798342693204</v>
      </c>
      <c r="I41" s="864">
        <v>2650</v>
      </c>
      <c r="J41" s="1662">
        <v>2064</v>
      </c>
      <c r="K41" s="1662">
        <v>2675.6321990295987</v>
      </c>
      <c r="L41" s="2118">
        <v>2676</v>
      </c>
      <c r="M41" s="1591">
        <f t="shared" si="6"/>
        <v>2676</v>
      </c>
      <c r="N41" s="4191">
        <v>2814.8914563427602</v>
      </c>
      <c r="O41" s="3624">
        <v>2888.4324179999999</v>
      </c>
      <c r="P41" s="3624">
        <v>2503.23883621595</v>
      </c>
      <c r="Q41" s="3617">
        <f>CGL!Q41</f>
        <v>2279.8257802602102</v>
      </c>
      <c r="R41" s="3624">
        <f>CGL!R41</f>
        <v>3353.1550776468298</v>
      </c>
      <c r="S41" s="3624">
        <f>CGL!S41</f>
        <v>2484.5370800335299</v>
      </c>
      <c r="T41" s="3624">
        <v>2048.9123947984499</v>
      </c>
      <c r="U41" s="3624">
        <v>1997.8673238377401</v>
      </c>
      <c r="V41" s="3624">
        <v>1919.1457527878999</v>
      </c>
      <c r="W41" s="5524">
        <v>2232.1030089517099</v>
      </c>
      <c r="X41" s="5368"/>
      <c r="Y41" s="6861"/>
      <c r="Z41" s="1881">
        <f t="shared" si="7"/>
        <v>2452.2109128875081</v>
      </c>
      <c r="AA41" s="5135">
        <f t="shared" ref="AA41:AK41" si="25">($K$41-N41)*N56/1000</f>
        <v>-1382.281817720148</v>
      </c>
      <c r="AB41" s="4703">
        <f t="shared" si="25"/>
        <v>-2058.4675901532432</v>
      </c>
      <c r="AC41" s="4703">
        <f>($K$41-P41)*P56/1000</f>
        <v>2011.9253603848283</v>
      </c>
      <c r="AD41" s="4703">
        <f t="shared" si="25"/>
        <v>5320.425923033933</v>
      </c>
      <c r="AE41" s="4703">
        <f t="shared" si="25"/>
        <v>-5645.5271383659401</v>
      </c>
      <c r="AF41" s="4703">
        <f t="shared" si="25"/>
        <v>2259.2545305012527</v>
      </c>
      <c r="AG41" s="4703">
        <f t="shared" si="25"/>
        <v>9945.0092054713496</v>
      </c>
      <c r="AH41" s="4703">
        <f t="shared" si="25"/>
        <v>11409.338023058455</v>
      </c>
      <c r="AI41" s="4703">
        <f t="shared" si="25"/>
        <v>13540.199603990917</v>
      </c>
      <c r="AJ41" s="4703">
        <f t="shared" si="25"/>
        <v>6209.2135082468094</v>
      </c>
      <c r="AK41" s="4703">
        <f t="shared" si="25"/>
        <v>0</v>
      </c>
      <c r="AL41" s="4703">
        <f>($K$41-Y41)*Y56/1000</f>
        <v>0</v>
      </c>
      <c r="AM41" s="4703">
        <f>(K41-L41)*$L$5/1000</f>
        <v>-100.60459943386118</v>
      </c>
      <c r="AN41" s="4703">
        <f>SUM(AA41:AL41)</f>
        <v>41609.089608448216</v>
      </c>
      <c r="AO41" s="4168">
        <f t="shared" si="20"/>
        <v>-413.59033128304031</v>
      </c>
      <c r="AP41" s="4182"/>
      <c r="AQ41" s="1536"/>
      <c r="AR41" s="1536"/>
    </row>
    <row r="42" spans="1:44" ht="15.6" customHeight="1">
      <c r="A42" s="7445" t="s">
        <v>762</v>
      </c>
      <c r="B42" s="5162" t="s">
        <v>764</v>
      </c>
      <c r="C42" s="1009" t="s">
        <v>766</v>
      </c>
      <c r="D42" s="1110"/>
      <c r="E42" s="1111"/>
      <c r="F42" s="1111"/>
      <c r="G42" s="1111">
        <v>4</v>
      </c>
      <c r="H42" s="1111">
        <v>14</v>
      </c>
      <c r="I42" s="1112">
        <v>16</v>
      </c>
      <c r="J42" s="1112">
        <v>10</v>
      </c>
      <c r="K42" s="1112">
        <v>7</v>
      </c>
      <c r="L42" s="1113">
        <f>'성과개선 실적'!C7</f>
        <v>18</v>
      </c>
      <c r="M42" s="3073">
        <f>L42/10</f>
        <v>1.8</v>
      </c>
      <c r="N42" s="4192"/>
      <c r="O42" s="1112"/>
      <c r="P42" s="1112"/>
      <c r="Q42" s="1112"/>
      <c r="R42" s="1112"/>
      <c r="S42" s="1112"/>
      <c r="T42" s="1112"/>
      <c r="U42" s="1112"/>
      <c r="V42" s="1112"/>
      <c r="W42" s="5563"/>
      <c r="X42" s="5369"/>
      <c r="Y42" s="6862"/>
      <c r="Z42" s="1112">
        <f>SUM(N42:Y42)</f>
        <v>0</v>
      </c>
      <c r="AA42" s="5147"/>
      <c r="AB42" s="4832"/>
      <c r="AC42" s="4832"/>
      <c r="AD42" s="4832"/>
      <c r="AE42" s="4832"/>
      <c r="AF42" s="4832"/>
      <c r="AG42" s="4832"/>
      <c r="AH42" s="4832"/>
      <c r="AI42" s="4832"/>
      <c r="AJ42" s="4832"/>
      <c r="AK42" s="4832"/>
      <c r="AL42" s="4832"/>
      <c r="AM42" s="4833">
        <f>(K42-L42)*$L$5/1000</f>
        <v>-3008.83</v>
      </c>
      <c r="AN42" s="4833"/>
      <c r="AO42" s="1114"/>
      <c r="AP42" s="1115"/>
      <c r="AQ42" s="1536"/>
      <c r="AR42" s="1536"/>
    </row>
    <row r="43" spans="1:44" ht="15.6" customHeight="1" thickBot="1">
      <c r="A43" s="7446"/>
      <c r="B43" s="1076" t="s">
        <v>763</v>
      </c>
      <c r="C43" s="915" t="s">
        <v>765</v>
      </c>
      <c r="D43" s="842"/>
      <c r="E43" s="1116"/>
      <c r="F43" s="1116"/>
      <c r="G43" s="1116">
        <v>-40715.40512100701</v>
      </c>
      <c r="H43" s="1116">
        <v>1492216.1689492157</v>
      </c>
      <c r="I43" s="3066">
        <v>1896509</v>
      </c>
      <c r="J43" s="2433">
        <v>1766066.6837757656</v>
      </c>
      <c r="K43" s="2433">
        <v>82785.042955935292</v>
      </c>
      <c r="L43" s="3151">
        <f>'성과개선 실적'!I7</f>
        <v>1642794.5401776629</v>
      </c>
      <c r="M43" s="3152">
        <f>L43/10</f>
        <v>164279.45401776629</v>
      </c>
      <c r="N43" s="4193"/>
      <c r="O43" s="2433"/>
      <c r="P43" s="2433"/>
      <c r="Q43" s="2433"/>
      <c r="R43" s="2433"/>
      <c r="S43" s="2433"/>
      <c r="T43" s="2433"/>
      <c r="U43" s="2433"/>
      <c r="V43" s="2433"/>
      <c r="W43" s="5525"/>
      <c r="X43" s="5370"/>
      <c r="Y43" s="6863"/>
      <c r="Z43" s="2433"/>
      <c r="AA43" s="5148"/>
      <c r="AB43" s="3270"/>
      <c r="AC43" s="3270"/>
      <c r="AD43" s="3270"/>
      <c r="AE43" s="3270"/>
      <c r="AF43" s="3270"/>
      <c r="AG43" s="3270"/>
      <c r="AH43" s="3270"/>
      <c r="AI43" s="3270"/>
      <c r="AJ43" s="3270"/>
      <c r="AK43" s="3270"/>
      <c r="AL43" s="3270"/>
      <c r="AM43" s="3238"/>
      <c r="AN43" s="3238"/>
      <c r="AO43" s="3271"/>
      <c r="AP43" s="4194"/>
      <c r="AQ43" s="1536"/>
      <c r="AR43" s="1536"/>
    </row>
    <row r="44" spans="1:44" ht="15.6" customHeight="1" thickBot="1">
      <c r="A44" s="7393" t="s">
        <v>308</v>
      </c>
      <c r="B44" s="7394"/>
      <c r="C44" s="916" t="s">
        <v>418</v>
      </c>
      <c r="D44" s="1327"/>
      <c r="E44" s="1327"/>
      <c r="F44" s="1327"/>
      <c r="G44" s="1330"/>
      <c r="H44" s="1328"/>
      <c r="I44" s="1329"/>
      <c r="J44" s="1329"/>
      <c r="K44" s="1329"/>
      <c r="L44" s="1330"/>
      <c r="M44" s="1550">
        <f>AM44/10</f>
        <v>164279.45401776629</v>
      </c>
      <c r="N44" s="4195">
        <f>AA44</f>
        <v>219288.60659620955</v>
      </c>
      <c r="O44" s="1329">
        <f>AB44</f>
        <v>219817.79733685969</v>
      </c>
      <c r="P44" s="5103">
        <f>AC44</f>
        <v>69047.283103698981</v>
      </c>
      <c r="Q44" s="5103">
        <f>AD44</f>
        <v>51032.265572962082</v>
      </c>
      <c r="R44" s="5103">
        <f>AE44</f>
        <v>239445.93615095725</v>
      </c>
      <c r="S44" s="5103">
        <f t="shared" ref="S44:Y44" si="26">AF44</f>
        <v>35361.561543903888</v>
      </c>
      <c r="T44" s="6092">
        <f t="shared" si="26"/>
        <v>171619.71947566466</v>
      </c>
      <c r="U44" s="5103">
        <f t="shared" si="26"/>
        <v>-168990.68351541812</v>
      </c>
      <c r="V44" s="5103">
        <f t="shared" si="26"/>
        <v>122299.81034360947</v>
      </c>
      <c r="W44" s="6867">
        <f t="shared" si="26"/>
        <v>94042.165867245436</v>
      </c>
      <c r="X44" s="5710" t="e">
        <f t="shared" si="26"/>
        <v>#DIV/0!</v>
      </c>
      <c r="Y44" s="6873" t="e">
        <f t="shared" si="26"/>
        <v>#DIV/0!</v>
      </c>
      <c r="Z44" s="5903"/>
      <c r="AA44" s="5149">
        <f>SUM(AA5:AA8)+SUM(AA24:AA29)+AA32+SUM(AA38:AA41)</f>
        <v>219288.60659620955</v>
      </c>
      <c r="AB44" s="2450">
        <f t="shared" ref="AB44:AN44" si="27">SUM(AB5:AB8)+SUM(AB24:AB29)+AB32+SUM(AB38:AB41)</f>
        <v>219817.79733685969</v>
      </c>
      <c r="AC44" s="2450">
        <f t="shared" si="27"/>
        <v>69047.283103698981</v>
      </c>
      <c r="AD44" s="2450">
        <f t="shared" si="27"/>
        <v>51032.265572962082</v>
      </c>
      <c r="AE44" s="2450">
        <f t="shared" si="27"/>
        <v>239445.93615095725</v>
      </c>
      <c r="AF44" s="2450">
        <f t="shared" si="27"/>
        <v>35361.561543903888</v>
      </c>
      <c r="AG44" s="2450">
        <f t="shared" si="27"/>
        <v>171619.71947566466</v>
      </c>
      <c r="AH44" s="2450">
        <f t="shared" si="27"/>
        <v>-168990.68351541812</v>
      </c>
      <c r="AI44" s="2450">
        <f t="shared" si="27"/>
        <v>122299.81034360947</v>
      </c>
      <c r="AJ44" s="2450">
        <f t="shared" si="27"/>
        <v>94042.165867245436</v>
      </c>
      <c r="AK44" s="2450" t="e">
        <f t="shared" si="27"/>
        <v>#DIV/0!</v>
      </c>
      <c r="AL44" s="2450" t="e">
        <f t="shared" si="27"/>
        <v>#DIV/0!</v>
      </c>
      <c r="AM44" s="2450">
        <f t="shared" si="27"/>
        <v>1642794.5401776629</v>
      </c>
      <c r="AN44" s="2450" t="e">
        <f t="shared" si="27"/>
        <v>#DIV/0!</v>
      </c>
      <c r="AO44" s="1331" t="e">
        <f>AN44/AM44</f>
        <v>#DIV/0!</v>
      </c>
      <c r="AP44" s="1332"/>
      <c r="AQ44" s="1536"/>
    </row>
    <row r="45" spans="1:44" ht="15.6" customHeight="1">
      <c r="A45" s="794" t="s">
        <v>795</v>
      </c>
      <c r="AM45" s="345"/>
      <c r="AN45" s="345"/>
      <c r="AQ45" s="1536"/>
    </row>
    <row r="46" spans="1:44" hidden="1">
      <c r="N46" s="1534"/>
      <c r="X46" s="1536">
        <v>27507</v>
      </c>
      <c r="AF46" s="382"/>
      <c r="AG46" s="382"/>
      <c r="AM46" s="1536"/>
      <c r="AN46" s="1536"/>
      <c r="AQ46" s="1536"/>
    </row>
    <row r="47" spans="1:44" hidden="1">
      <c r="A47" s="1534"/>
      <c r="B47" s="1534"/>
      <c r="C47" s="1534"/>
      <c r="D47" s="1534"/>
      <c r="E47" s="1534"/>
      <c r="F47" s="1534">
        <v>875.15999999999985</v>
      </c>
      <c r="N47" s="771"/>
      <c r="O47" s="1534"/>
      <c r="P47" s="1534"/>
      <c r="Q47" s="1534"/>
      <c r="R47" s="1534"/>
      <c r="S47" s="1534"/>
      <c r="T47" s="1534"/>
      <c r="V47" s="1534"/>
      <c r="W47" s="372"/>
      <c r="AM47" s="1536"/>
      <c r="AN47" s="1536"/>
    </row>
    <row r="48" spans="1:44" hidden="1">
      <c r="A48" s="1534"/>
      <c r="B48" s="1534"/>
      <c r="C48" s="1534"/>
      <c r="D48" s="1534"/>
      <c r="E48" s="1534"/>
      <c r="I48" s="1538"/>
      <c r="J48" s="1538"/>
      <c r="K48" s="1538"/>
      <c r="L48" s="1538"/>
      <c r="M48" s="1538"/>
      <c r="N48" s="1534"/>
      <c r="O48" s="1534"/>
      <c r="P48" s="1534"/>
      <c r="Q48" s="1534"/>
      <c r="R48" s="1534"/>
      <c r="S48" s="1534"/>
      <c r="T48" s="1534"/>
      <c r="V48" s="1534"/>
      <c r="W48" s="1534"/>
      <c r="X48" s="1534"/>
      <c r="Y48" s="1534"/>
      <c r="Z48" s="1534"/>
      <c r="AA48" s="725"/>
      <c r="AB48" s="1534"/>
      <c r="AC48" s="1534"/>
      <c r="AD48" s="1534"/>
      <c r="AE48" s="1534"/>
      <c r="AF48" s="1534"/>
      <c r="AG48" s="1534"/>
      <c r="AM48" s="1536"/>
      <c r="AN48" s="1536"/>
    </row>
    <row r="49" spans="1:40" hidden="1">
      <c r="A49" s="1534"/>
      <c r="B49" s="1534"/>
      <c r="C49" s="1534"/>
      <c r="D49" s="1534"/>
      <c r="E49" s="1534"/>
      <c r="H49" s="1534"/>
      <c r="I49" s="1534"/>
      <c r="J49" s="1534"/>
      <c r="K49" s="1534"/>
      <c r="L49" s="1534"/>
      <c r="M49" s="1534"/>
      <c r="N49" s="1534"/>
      <c r="AG49" s="662"/>
      <c r="AM49" s="1536"/>
      <c r="AN49" s="1536"/>
    </row>
    <row r="50" spans="1:40" hidden="1">
      <c r="B50" s="1534"/>
      <c r="C50" s="1534"/>
      <c r="D50" s="1534"/>
      <c r="E50" s="1534"/>
      <c r="I50" s="1538"/>
      <c r="J50" s="1538"/>
      <c r="K50" s="1538"/>
      <c r="L50" s="1538"/>
      <c r="M50" s="1538"/>
      <c r="AG50" s="372"/>
      <c r="AM50" s="1536"/>
      <c r="AN50" s="1536"/>
    </row>
    <row r="51" spans="1:40" hidden="1">
      <c r="B51" s="1534"/>
      <c r="C51" s="1534"/>
      <c r="D51" s="1534"/>
      <c r="E51" s="1534"/>
      <c r="I51" s="1538"/>
      <c r="J51" s="1538"/>
      <c r="K51" s="1538"/>
      <c r="L51" s="1538"/>
      <c r="M51" s="1538"/>
      <c r="AM51" s="1536"/>
      <c r="AN51" s="1536"/>
    </row>
    <row r="52" spans="1:40">
      <c r="B52" s="1534"/>
      <c r="C52" s="1534"/>
      <c r="D52" s="1534"/>
      <c r="E52" s="1534"/>
      <c r="I52" s="1538"/>
      <c r="J52" s="1538"/>
      <c r="K52" s="1538"/>
      <c r="L52" s="7448" t="s">
        <v>1139</v>
      </c>
      <c r="M52" s="7448"/>
      <c r="AM52" s="1536"/>
      <c r="AN52" s="1536"/>
    </row>
    <row r="53" spans="1:40">
      <c r="A53" s="1534"/>
      <c r="B53" s="1534"/>
      <c r="C53" s="1534"/>
      <c r="D53" s="1534"/>
      <c r="E53" s="1534"/>
      <c r="I53" s="1538"/>
      <c r="J53" s="1538"/>
      <c r="K53" s="1538"/>
      <c r="L53" s="2243" t="s">
        <v>47</v>
      </c>
      <c r="M53" s="2244"/>
      <c r="N53" s="2245" t="s">
        <v>18</v>
      </c>
      <c r="O53" s="2245" t="s">
        <v>5</v>
      </c>
      <c r="P53" s="2245" t="s">
        <v>6</v>
      </c>
      <c r="Q53" s="2245" t="s">
        <v>7</v>
      </c>
      <c r="R53" s="2245" t="s">
        <v>8</v>
      </c>
      <c r="S53" s="2245" t="s">
        <v>9</v>
      </c>
      <c r="T53" s="2245" t="s">
        <v>10</v>
      </c>
      <c r="U53" s="2245" t="s">
        <v>11</v>
      </c>
      <c r="V53" s="2245" t="s">
        <v>12</v>
      </c>
      <c r="W53" s="2245" t="s">
        <v>13</v>
      </c>
      <c r="X53" s="2245" t="s">
        <v>14</v>
      </c>
      <c r="Y53" s="2245" t="s">
        <v>15</v>
      </c>
      <c r="Z53" s="2246"/>
      <c r="AA53" s="2726"/>
      <c r="AM53" s="1536"/>
      <c r="AN53" s="1536"/>
    </row>
    <row r="54" spans="1:40">
      <c r="A54" s="1534"/>
      <c r="B54" s="1534"/>
      <c r="C54" s="1534"/>
      <c r="D54" s="1534"/>
      <c r="E54" s="1534"/>
      <c r="I54" s="1538"/>
      <c r="J54" s="1538"/>
      <c r="K54" s="1538"/>
      <c r="L54" s="2243" t="s">
        <v>403</v>
      </c>
      <c r="M54" s="2244"/>
      <c r="N54" s="2245">
        <f t="shared" ref="N54:S54" si="28">N56-N55</f>
        <v>8138.0199999999986</v>
      </c>
      <c r="O54" s="2245">
        <f t="shared" si="28"/>
        <v>7731.04</v>
      </c>
      <c r="P54" s="2245">
        <f t="shared" si="28"/>
        <v>8163.4399999999987</v>
      </c>
      <c r="Q54" s="2245">
        <f t="shared" si="28"/>
        <v>11079.06</v>
      </c>
      <c r="R54" s="2245">
        <f t="shared" si="28"/>
        <v>6357.33</v>
      </c>
      <c r="S54" s="2245">
        <f t="shared" si="28"/>
        <v>9505.9</v>
      </c>
      <c r="T54" s="2245">
        <f>CGL!T54</f>
        <v>14185.220000000001</v>
      </c>
      <c r="U54" s="2245">
        <v>13030.62</v>
      </c>
      <c r="V54" s="2245">
        <v>13047.96</v>
      </c>
      <c r="W54" s="2245">
        <v>9081.83</v>
      </c>
      <c r="X54" s="2245"/>
      <c r="Y54" s="2245">
        <f>Y56-Y55</f>
        <v>0</v>
      </c>
      <c r="Z54" s="2245">
        <f>Z56-Z55</f>
        <v>0</v>
      </c>
      <c r="AA54" s="2726"/>
      <c r="AM54" s="1536"/>
      <c r="AN54" s="1536"/>
    </row>
    <row r="55" spans="1:40">
      <c r="A55" s="1534"/>
      <c r="B55" s="1534"/>
      <c r="C55" s="1534"/>
      <c r="D55" s="1534"/>
      <c r="E55" s="1534"/>
      <c r="I55" s="1538"/>
      <c r="J55" s="1538"/>
      <c r="K55" s="1538"/>
      <c r="L55" s="2243" t="s">
        <v>404</v>
      </c>
      <c r="M55" s="2244"/>
      <c r="N55" s="2244">
        <v>1787.94</v>
      </c>
      <c r="O55" s="2247">
        <v>1942.2</v>
      </c>
      <c r="P55" s="2245">
        <v>3507.11</v>
      </c>
      <c r="Q55" s="2245">
        <v>2362.9299999999998</v>
      </c>
      <c r="R55" s="2245">
        <v>1975.27</v>
      </c>
      <c r="S55" s="2245">
        <v>2316.77</v>
      </c>
      <c r="T55" s="2245">
        <f>CGL!T55</f>
        <v>1683.13</v>
      </c>
      <c r="U55" s="2245">
        <v>3803.15</v>
      </c>
      <c r="V55" s="2245">
        <v>4850.84</v>
      </c>
      <c r="W55" s="2245">
        <v>4917.7299999999996</v>
      </c>
      <c r="X55" s="2245"/>
      <c r="Y55" s="2245"/>
      <c r="Z55" s="2246"/>
      <c r="AA55" s="2726"/>
      <c r="AM55" s="1536"/>
      <c r="AN55" s="1536"/>
    </row>
    <row r="56" spans="1:40">
      <c r="A56" s="1534"/>
      <c r="B56" s="1534"/>
      <c r="C56" s="1534"/>
      <c r="D56" s="1534"/>
      <c r="E56" s="1534"/>
      <c r="I56" s="1538"/>
      <c r="J56" s="1538"/>
      <c r="K56" s="1538"/>
      <c r="L56" s="2243" t="s">
        <v>415</v>
      </c>
      <c r="M56" s="2244"/>
      <c r="N56" s="2244">
        <v>9925.9599999999991</v>
      </c>
      <c r="O56" s="2245">
        <v>9673.24</v>
      </c>
      <c r="P56" s="2245">
        <v>11670.55</v>
      </c>
      <c r="Q56" s="2245">
        <v>13441.99</v>
      </c>
      <c r="R56" s="2245">
        <v>8332.6</v>
      </c>
      <c r="S56" s="2245">
        <v>11822.67</v>
      </c>
      <c r="T56" s="2245">
        <f>CGL!T56</f>
        <v>15868.35</v>
      </c>
      <c r="U56" s="2245">
        <v>16833.77</v>
      </c>
      <c r="V56" s="2245">
        <v>17898.8</v>
      </c>
      <c r="W56" s="2245">
        <v>13999.56</v>
      </c>
      <c r="X56" s="2245"/>
      <c r="Y56" s="2245"/>
      <c r="Z56" s="2246"/>
      <c r="AA56" s="2726"/>
      <c r="AM56" s="1536"/>
      <c r="AN56" s="1536"/>
    </row>
    <row r="57" spans="1:40">
      <c r="A57" s="1534"/>
      <c r="B57" s="1534"/>
      <c r="C57" s="1534"/>
      <c r="D57" s="1534"/>
      <c r="E57" s="1534"/>
      <c r="I57" s="1538"/>
      <c r="J57" s="1538"/>
      <c r="K57" s="1538"/>
      <c r="AB57" s="5170"/>
      <c r="AM57" s="1536"/>
      <c r="AN57" s="1536"/>
    </row>
    <row r="58" spans="1:40">
      <c r="A58" s="1534"/>
      <c r="B58" s="1534"/>
      <c r="C58" s="1534"/>
      <c r="D58" s="1534"/>
      <c r="E58" s="1534"/>
      <c r="I58" s="1538"/>
      <c r="J58" s="1538"/>
      <c r="K58" s="1538"/>
      <c r="O58" s="382"/>
      <c r="P58" s="382"/>
      <c r="AB58" s="5170"/>
      <c r="AJ58" s="664"/>
      <c r="AM58" s="1536"/>
      <c r="AN58" s="1536"/>
    </row>
    <row r="59" spans="1:40">
      <c r="A59" s="1534"/>
      <c r="B59" s="1534"/>
      <c r="C59" s="1534"/>
      <c r="D59" s="1534"/>
      <c r="E59" s="1534"/>
      <c r="I59" s="1538"/>
      <c r="J59" s="1538"/>
      <c r="K59" s="1538"/>
      <c r="AB59" s="5170"/>
      <c r="AJ59" s="1536">
        <v>264718.55</v>
      </c>
      <c r="AK59" s="1536">
        <f>X59/AJ59</f>
        <v>0</v>
      </c>
      <c r="AM59" s="1536"/>
      <c r="AN59" s="1536"/>
    </row>
    <row r="60" spans="1:40">
      <c r="A60" s="1534"/>
      <c r="B60" s="1534"/>
      <c r="C60" s="1534"/>
      <c r="D60" s="1534"/>
      <c r="E60" s="1534"/>
      <c r="I60" s="1538"/>
      <c r="J60" s="1538"/>
      <c r="K60" s="1538"/>
      <c r="AB60" s="5170"/>
      <c r="AJ60" s="1536">
        <v>264718.55</v>
      </c>
      <c r="AK60" s="1536">
        <f>X60/AJ60</f>
        <v>0</v>
      </c>
      <c r="AM60" s="1536"/>
      <c r="AN60" s="1536"/>
    </row>
    <row r="61" spans="1:40">
      <c r="A61" s="1534"/>
      <c r="B61" s="1534"/>
      <c r="C61" s="1534"/>
      <c r="D61" s="1534"/>
      <c r="E61" s="1534"/>
      <c r="I61" s="1538"/>
      <c r="J61" s="1538"/>
      <c r="K61" s="1538"/>
      <c r="AB61" s="5170"/>
      <c r="AJ61" s="1536">
        <v>264718.55</v>
      </c>
      <c r="AK61" s="1536">
        <f>X61/AJ61</f>
        <v>0</v>
      </c>
      <c r="AM61" s="1536"/>
      <c r="AN61" s="1536"/>
    </row>
    <row r="62" spans="1:40">
      <c r="A62" s="1534"/>
      <c r="B62" s="1534"/>
      <c r="C62" s="1534"/>
      <c r="D62" s="1534"/>
      <c r="E62" s="1534"/>
      <c r="F62" s="1534"/>
      <c r="G62" s="1534"/>
      <c r="H62" s="1534"/>
      <c r="I62" s="1534"/>
      <c r="J62" s="1534"/>
      <c r="K62" s="1534"/>
    </row>
    <row r="63" spans="1:40">
      <c r="A63" s="1534"/>
      <c r="B63" s="1534"/>
      <c r="C63" s="1534"/>
      <c r="D63" s="1534"/>
      <c r="E63" s="1534"/>
      <c r="F63" s="1534"/>
      <c r="G63" s="1534"/>
      <c r="H63" s="1534"/>
      <c r="I63" s="1534"/>
      <c r="J63" s="1534"/>
      <c r="K63" s="1534"/>
    </row>
    <row r="64" spans="1:40">
      <c r="A64" s="1534"/>
      <c r="B64" s="1534"/>
      <c r="C64" s="1534"/>
      <c r="D64" s="1534"/>
      <c r="E64" s="1534"/>
      <c r="F64" s="1534"/>
      <c r="G64" s="1534"/>
      <c r="H64" s="1534"/>
      <c r="I64" s="1534"/>
      <c r="J64" s="1534"/>
      <c r="K64" s="1534"/>
    </row>
    <row r="65" spans="1:42">
      <c r="A65" s="1534"/>
      <c r="B65" s="1534"/>
      <c r="C65" s="1534"/>
      <c r="D65" s="1534"/>
      <c r="E65" s="1534"/>
      <c r="F65" s="1534"/>
      <c r="G65" s="1534"/>
      <c r="H65" s="1534"/>
      <c r="I65" s="1534"/>
      <c r="J65" s="1534"/>
      <c r="K65" s="1534"/>
    </row>
    <row r="66" spans="1:42">
      <c r="A66" s="1534"/>
      <c r="B66" s="1534"/>
      <c r="C66" s="1534"/>
      <c r="D66" s="1534"/>
      <c r="E66" s="1534"/>
      <c r="F66" s="1534"/>
      <c r="G66" s="1534"/>
      <c r="H66" s="1534"/>
      <c r="I66" s="1534"/>
      <c r="J66" s="1534"/>
      <c r="K66" s="1534"/>
    </row>
    <row r="67" spans="1:42">
      <c r="A67" s="1536"/>
      <c r="B67" s="1536"/>
      <c r="C67" s="1536"/>
      <c r="D67" s="1536"/>
      <c r="E67" s="1536"/>
      <c r="F67" s="1536"/>
      <c r="G67" s="1536"/>
      <c r="H67" s="1536"/>
      <c r="I67" s="1536"/>
      <c r="J67" s="1536"/>
      <c r="K67" s="1536"/>
    </row>
    <row r="79" spans="1:42">
      <c r="A79" s="1534"/>
      <c r="B79" s="1534"/>
      <c r="C79" s="1534"/>
      <c r="D79" s="1534"/>
      <c r="E79" s="1534"/>
      <c r="F79" s="1534"/>
      <c r="G79" s="1534"/>
      <c r="H79" s="1534"/>
      <c r="I79" s="1534"/>
      <c r="J79" s="1534"/>
      <c r="K79" s="1534"/>
      <c r="L79" s="1534"/>
      <c r="M79" s="1534"/>
      <c r="N79" s="1534"/>
      <c r="O79" s="1534"/>
      <c r="P79" s="1534"/>
      <c r="Q79" s="1534"/>
      <c r="R79" s="1534"/>
      <c r="S79" s="1534"/>
      <c r="T79" s="1534"/>
      <c r="U79" s="1534"/>
      <c r="V79" s="1534"/>
      <c r="W79" s="1534"/>
      <c r="X79" s="1534"/>
      <c r="Y79" s="1534"/>
      <c r="Z79" s="1534"/>
      <c r="AA79" s="725"/>
      <c r="AB79" s="1534"/>
      <c r="AC79" s="1534"/>
      <c r="AD79" s="1534"/>
      <c r="AE79" s="1534"/>
      <c r="AF79" s="1534"/>
      <c r="AG79" s="1534"/>
      <c r="AH79" s="1534"/>
      <c r="AI79" s="1534"/>
      <c r="AJ79" s="1534"/>
      <c r="AK79" s="1534"/>
      <c r="AL79" s="1534"/>
      <c r="AM79" s="1534"/>
      <c r="AN79" s="1534"/>
      <c r="AO79" s="1534"/>
      <c r="AP79" s="1534"/>
    </row>
    <row r="80" spans="1:42">
      <c r="A80" s="1534"/>
      <c r="B80" s="1534"/>
      <c r="C80" s="1534"/>
      <c r="D80" s="1534"/>
      <c r="E80" s="1534"/>
      <c r="F80" s="1534"/>
      <c r="G80" s="1534"/>
      <c r="H80" s="1534"/>
      <c r="I80" s="1534"/>
      <c r="J80" s="1534"/>
      <c r="K80" s="1534"/>
      <c r="L80" s="1534"/>
      <c r="M80" s="1534"/>
      <c r="N80" s="1534"/>
      <c r="O80" s="1534"/>
      <c r="P80" s="1534"/>
      <c r="Q80" s="1534"/>
      <c r="R80" s="1534"/>
      <c r="S80" s="1534"/>
      <c r="T80" s="1534"/>
      <c r="U80" s="1534"/>
      <c r="V80" s="1534"/>
      <c r="W80" s="1534"/>
      <c r="X80" s="1534"/>
      <c r="Y80" s="1534"/>
      <c r="Z80" s="1534"/>
      <c r="AA80" s="725"/>
      <c r="AB80" s="1534"/>
      <c r="AC80" s="1534"/>
      <c r="AD80" s="1534"/>
      <c r="AE80" s="1534"/>
      <c r="AF80" s="1534"/>
      <c r="AG80" s="1534"/>
      <c r="AH80" s="1534"/>
      <c r="AI80" s="1534"/>
      <c r="AJ80" s="1534"/>
      <c r="AK80" s="1534"/>
      <c r="AL80" s="1534"/>
      <c r="AM80" s="1534"/>
      <c r="AN80" s="1534"/>
      <c r="AO80" s="1534"/>
      <c r="AP80" s="1534"/>
    </row>
  </sheetData>
  <mergeCells count="28">
    <mergeCell ref="A1:AP1"/>
    <mergeCell ref="A3:A4"/>
    <mergeCell ref="B3:B4"/>
    <mergeCell ref="C3:C4"/>
    <mergeCell ref="D3:K3"/>
    <mergeCell ref="L3:M3"/>
    <mergeCell ref="N3:AL3"/>
    <mergeCell ref="AM3:AM4"/>
    <mergeCell ref="AN3:AN4"/>
    <mergeCell ref="AO3:AO4"/>
    <mergeCell ref="AP3:AP4"/>
    <mergeCell ref="A5:A7"/>
    <mergeCell ref="A8:A9"/>
    <mergeCell ref="A10:A17"/>
    <mergeCell ref="A18:A23"/>
    <mergeCell ref="B18:B19"/>
    <mergeCell ref="B20:B21"/>
    <mergeCell ref="B22:B23"/>
    <mergeCell ref="A39:A41"/>
    <mergeCell ref="A42:A43"/>
    <mergeCell ref="A44:B44"/>
    <mergeCell ref="L52:M52"/>
    <mergeCell ref="A24:A25"/>
    <mergeCell ref="A26:A32"/>
    <mergeCell ref="B26:B27"/>
    <mergeCell ref="B28:B29"/>
    <mergeCell ref="A33:A34"/>
    <mergeCell ref="A35:A36"/>
  </mergeCells>
  <phoneticPr fontId="22" type="noConversion"/>
  <pageMargins left="0.7" right="0.7" top="0.75" bottom="0.75" header="0.3" footer="0.3"/>
  <pageSetup paperSize="9" scale="65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2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Z38" sqref="Z38"/>
    </sheetView>
  </sheetViews>
  <sheetFormatPr defaultColWidth="8.8984375" defaultRowHeight="17.399999999999999"/>
  <cols>
    <col min="1" max="1" width="8.8984375" style="354"/>
    <col min="2" max="2" width="14.3984375" style="354" customWidth="1"/>
    <col min="3" max="3" width="8.69921875" style="354" customWidth="1"/>
    <col min="4" max="8" width="8.69921875" style="346" hidden="1" customWidth="1"/>
    <col min="9" max="9" width="9.5" style="346" customWidth="1"/>
    <col min="10" max="10" width="9.09765625" style="1535" customWidth="1"/>
    <col min="11" max="11" width="8.69921875" style="1535" customWidth="1"/>
    <col min="12" max="12" width="9.09765625" style="346" customWidth="1"/>
    <col min="13" max="13" width="8.69921875" style="346" customWidth="1"/>
    <col min="14" max="20" width="8.796875" style="346" customWidth="1"/>
    <col min="21" max="21" width="9.19921875" style="346" customWidth="1"/>
    <col min="22" max="25" width="8.796875" style="346" customWidth="1"/>
    <col min="26" max="26" width="8.796875" style="1535" customWidth="1"/>
    <col min="27" max="38" width="8.796875" style="346" customWidth="1"/>
    <col min="39" max="40" width="9.796875" style="346" customWidth="1"/>
    <col min="41" max="41" width="7.796875" style="354" bestFit="1" customWidth="1"/>
    <col min="42" max="42" width="19.69921875" style="354" customWidth="1"/>
    <col min="43" max="43" width="8.8984375" style="354"/>
    <col min="44" max="44" width="11.69921875" style="354" bestFit="1" customWidth="1"/>
    <col min="45" max="16384" width="8.8984375" style="354"/>
  </cols>
  <sheetData>
    <row r="1" spans="1:43" ht="30">
      <c r="A1" s="7401" t="s">
        <v>1343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3" ht="18" thickBot="1">
      <c r="L2" s="7403" t="s">
        <v>402</v>
      </c>
      <c r="M2" s="7403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</row>
    <row r="3" spans="1:43" ht="18" thickBot="1">
      <c r="A3" s="7391" t="s">
        <v>339</v>
      </c>
      <c r="B3" s="7349" t="s">
        <v>340</v>
      </c>
      <c r="C3" s="7473" t="s">
        <v>341</v>
      </c>
      <c r="D3" s="7400" t="s">
        <v>342</v>
      </c>
      <c r="E3" s="7377"/>
      <c r="F3" s="7377"/>
      <c r="G3" s="7377"/>
      <c r="H3" s="7377"/>
      <c r="I3" s="7377"/>
      <c r="J3" s="7377"/>
      <c r="K3" s="7427"/>
      <c r="L3" s="7391" t="s">
        <v>343</v>
      </c>
      <c r="M3" s="7349"/>
      <c r="N3" s="7342" t="s">
        <v>1340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332" t="s">
        <v>1336</v>
      </c>
      <c r="AN3" s="7332" t="s">
        <v>438</v>
      </c>
      <c r="AO3" s="7332" t="s">
        <v>365</v>
      </c>
      <c r="AP3" s="7349" t="s">
        <v>344</v>
      </c>
    </row>
    <row r="4" spans="1:43" ht="16.5" customHeight="1">
      <c r="A4" s="7483"/>
      <c r="B4" s="7475"/>
      <c r="C4" s="7474"/>
      <c r="D4" s="3216" t="s">
        <v>256</v>
      </c>
      <c r="E4" s="3217" t="s">
        <v>257</v>
      </c>
      <c r="F4" s="3217" t="s">
        <v>194</v>
      </c>
      <c r="G4" s="3217" t="s">
        <v>258</v>
      </c>
      <c r="H4" s="3218" t="s">
        <v>556</v>
      </c>
      <c r="I4" s="2762" t="s">
        <v>716</v>
      </c>
      <c r="J4" s="2762" t="s">
        <v>718</v>
      </c>
      <c r="K4" s="3636" t="s">
        <v>1032</v>
      </c>
      <c r="L4" s="3405" t="s">
        <v>1273</v>
      </c>
      <c r="M4" s="3406" t="s">
        <v>824</v>
      </c>
      <c r="N4" s="2183" t="s">
        <v>370</v>
      </c>
      <c r="O4" s="2174" t="s">
        <v>372</v>
      </c>
      <c r="P4" s="2174" t="s">
        <v>373</v>
      </c>
      <c r="Q4" s="3588" t="s">
        <v>374</v>
      </c>
      <c r="R4" s="3588" t="s">
        <v>375</v>
      </c>
      <c r="S4" s="3588" t="s">
        <v>376</v>
      </c>
      <c r="T4" s="3588" t="s">
        <v>377</v>
      </c>
      <c r="U4" s="3588" t="s">
        <v>378</v>
      </c>
      <c r="V4" s="3588" t="s">
        <v>379</v>
      </c>
      <c r="W4" s="3588" t="s">
        <v>380</v>
      </c>
      <c r="X4" s="5461" t="s">
        <v>381</v>
      </c>
      <c r="Y4" s="5304" t="s">
        <v>382</v>
      </c>
      <c r="Z4" s="6927" t="s">
        <v>1004</v>
      </c>
      <c r="AA4" s="3668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904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06"/>
      <c r="AN4" s="7406"/>
      <c r="AO4" s="7406"/>
      <c r="AP4" s="7475"/>
    </row>
    <row r="5" spans="1:43">
      <c r="A5" s="7469" t="s">
        <v>345</v>
      </c>
      <c r="B5" s="3219" t="s">
        <v>346</v>
      </c>
      <c r="C5" s="3220" t="s">
        <v>347</v>
      </c>
      <c r="D5" s="3221">
        <v>117306.192</v>
      </c>
      <c r="E5" s="3222">
        <v>131569.45000000001</v>
      </c>
      <c r="F5" s="3222">
        <v>124779.053</v>
      </c>
      <c r="G5" s="3222">
        <v>102108.323</v>
      </c>
      <c r="H5" s="3222">
        <v>119735.24</v>
      </c>
      <c r="I5" s="2763">
        <v>125950</v>
      </c>
      <c r="J5" s="2763">
        <v>143690.20500000002</v>
      </c>
      <c r="K5" s="3637">
        <f>년간!C11</f>
        <v>151508.71799999999</v>
      </c>
      <c r="L5" s="3643">
        <f>년간!D11</f>
        <v>167380</v>
      </c>
      <c r="M5" s="3644">
        <f>L5/12</f>
        <v>13948.333333333334</v>
      </c>
      <c r="N5" s="2191">
        <f>년간!F11</f>
        <v>13714.31</v>
      </c>
      <c r="O5" s="2186">
        <f>년간!G11</f>
        <v>11408.93</v>
      </c>
      <c r="P5" s="2186">
        <f>년간!H11</f>
        <v>13299.08</v>
      </c>
      <c r="Q5" s="5096">
        <f>년간!I11</f>
        <v>12905.32</v>
      </c>
      <c r="R5" s="5096">
        <f>년간!J11</f>
        <v>12638.958000000001</v>
      </c>
      <c r="S5" s="5096">
        <f>년간!K11</f>
        <v>13592.15</v>
      </c>
      <c r="T5" s="5096">
        <f>년간!L11</f>
        <v>15058.49</v>
      </c>
      <c r="U5" s="5096">
        <f>년간!M11</f>
        <v>12414.97</v>
      </c>
      <c r="V5" s="5096">
        <f>년간!N11</f>
        <v>13015.86</v>
      </c>
      <c r="W5" s="5096">
        <f>년간!O11</f>
        <v>13640.470000000001</v>
      </c>
      <c r="X5" s="5526">
        <f>년간!P11</f>
        <v>13281.05</v>
      </c>
      <c r="Y5" s="5377">
        <f>년간!Q11</f>
        <v>12661.900000000001</v>
      </c>
      <c r="Z5" s="6671">
        <f>SUM(N5:Y5)</f>
        <v>157631.48799999998</v>
      </c>
      <c r="AA5" s="5762"/>
      <c r="AB5" s="3223"/>
      <c r="AC5" s="3223"/>
      <c r="AD5" s="3223"/>
      <c r="AE5" s="3223"/>
      <c r="AF5" s="3223"/>
      <c r="AG5" s="3223"/>
      <c r="AH5" s="3223"/>
      <c r="AI5" s="3223"/>
      <c r="AJ5" s="3223"/>
      <c r="AK5" s="3223"/>
      <c r="AL5" s="3223"/>
      <c r="AM5" s="2464"/>
      <c r="AN5" s="2464"/>
      <c r="AO5" s="2464"/>
      <c r="AP5" s="3224"/>
    </row>
    <row r="6" spans="1:43">
      <c r="A6" s="7184"/>
      <c r="B6" s="3219" t="s">
        <v>348</v>
      </c>
      <c r="C6" s="3225" t="s">
        <v>349</v>
      </c>
      <c r="D6" s="1636">
        <v>21.77</v>
      </c>
      <c r="E6" s="3226">
        <v>22.81</v>
      </c>
      <c r="F6" s="3227">
        <v>21.43</v>
      </c>
      <c r="G6" s="3227">
        <v>20.03</v>
      </c>
      <c r="H6" s="3227">
        <v>19.959255318262262</v>
      </c>
      <c r="I6" s="2747">
        <v>22.3</v>
      </c>
      <c r="J6" s="2747">
        <v>23.635136290988044</v>
      </c>
      <c r="K6" s="3638">
        <f>년간!C121</f>
        <v>23.126629659404287</v>
      </c>
      <c r="L6" s="3645">
        <f>년간!D121</f>
        <v>24.5</v>
      </c>
      <c r="M6" s="3646">
        <f>L6</f>
        <v>24.5</v>
      </c>
      <c r="N6" s="2192">
        <f>년간!F121</f>
        <v>23.168020947715178</v>
      </c>
      <c r="O6" s="2187">
        <f>년간!G121</f>
        <v>22.388742436631237</v>
      </c>
      <c r="P6" s="2187">
        <f>년간!H121</f>
        <v>24.288338964478129</v>
      </c>
      <c r="Q6" s="3590">
        <f>년간!I121</f>
        <v>22.942111344849042</v>
      </c>
      <c r="R6" s="3590">
        <f>년간!J121</f>
        <v>21.184386401095065</v>
      </c>
      <c r="S6" s="3590">
        <f>년간!K121</f>
        <v>22.248172195547795</v>
      </c>
      <c r="T6" s="3590">
        <f>년간!L121</f>
        <v>23.236019956794568</v>
      </c>
      <c r="U6" s="3590">
        <f>년간!M121</f>
        <v>22.968708951312014</v>
      </c>
      <c r="V6" s="3590">
        <f>년간!N121</f>
        <v>22.938130764260119</v>
      </c>
      <c r="W6" s="3590">
        <f>년간!O121</f>
        <v>22.080294609615283</v>
      </c>
      <c r="X6" s="5463">
        <f>년간!P121</f>
        <v>21.626852304184986</v>
      </c>
      <c r="Y6" s="5306">
        <f>년간!Q121</f>
        <v>21.470551661768035</v>
      </c>
      <c r="Z6" s="6628">
        <f>년간!V121</f>
        <v>22.529190340300048</v>
      </c>
      <c r="AA6" s="5728">
        <f>년간!F150/1000</f>
        <v>1113.2316251604568</v>
      </c>
      <c r="AB6" s="3228">
        <f>년간!G150/1000</f>
        <v>-17084.283593932734</v>
      </c>
      <c r="AC6" s="3228">
        <f>년간!H150/1000</f>
        <v>28900.996523740872</v>
      </c>
      <c r="AD6" s="3228">
        <f>년간!I150/1000</f>
        <v>-4715.9201175723119</v>
      </c>
      <c r="AE6" s="3228">
        <f>년간!J150/1000</f>
        <v>-52649.053791808707</v>
      </c>
      <c r="AF6" s="3228">
        <f>년간!K150/1000</f>
        <v>-24384.065997604426</v>
      </c>
      <c r="AG6" s="3228">
        <f>년간!L150/1000</f>
        <v>3220.9950214657383</v>
      </c>
      <c r="AH6" s="3228">
        <f>년간!M150/1000</f>
        <v>-3878.2851644771054</v>
      </c>
      <c r="AI6" s="3228">
        <f>년간!N150/1000</f>
        <v>-4859.764451398979</v>
      </c>
      <c r="AJ6" s="3228">
        <f>년간!O150/1000</f>
        <v>-29368.841193495366</v>
      </c>
      <c r="AK6" s="3228">
        <f>년간!P150/1000</f>
        <v>-41846.337734836416</v>
      </c>
      <c r="AL6" s="3228">
        <f>년간!Q150/1000</f>
        <v>-44373.943870562238</v>
      </c>
      <c r="AM6" s="2175">
        <f>년간!D150/1000</f>
        <v>426148.53729105281</v>
      </c>
      <c r="AN6" s="3229">
        <f>AA6+AB6+AC6+AD6+AE6+AF6+AG6+AH6+AI6+AJ6+AK6+AL6</f>
        <v>-189925.27274532121</v>
      </c>
      <c r="AO6" s="3230">
        <f>AN6/AM6</f>
        <v>-0.44567857478202538</v>
      </c>
      <c r="AP6" s="3150" t="s">
        <v>1544</v>
      </c>
    </row>
    <row r="7" spans="1:43">
      <c r="A7" s="7184"/>
      <c r="B7" s="3219" t="s">
        <v>350</v>
      </c>
      <c r="C7" s="3225" t="s">
        <v>351</v>
      </c>
      <c r="D7" s="1560">
        <v>86.72</v>
      </c>
      <c r="E7" s="3231">
        <v>89.84</v>
      </c>
      <c r="F7" s="3232">
        <v>78.11</v>
      </c>
      <c r="G7" s="3232">
        <v>78.27</v>
      </c>
      <c r="H7" s="3232">
        <v>79.456908293395784</v>
      </c>
      <c r="I7" s="2137">
        <v>83.23</v>
      </c>
      <c r="J7" s="2137">
        <v>84.853947953038173</v>
      </c>
      <c r="K7" s="3639">
        <f>년간!C114*100</f>
        <v>85.941544812145807</v>
      </c>
      <c r="L7" s="3647">
        <f>년간!D114*100</f>
        <v>89</v>
      </c>
      <c r="M7" s="3646">
        <f>L7</f>
        <v>89</v>
      </c>
      <c r="N7" s="2193">
        <f>년간!F114*100</f>
        <v>88.834696480828384</v>
      </c>
      <c r="O7" s="2188">
        <f>년간!G114*100</f>
        <v>86.240938707584689</v>
      </c>
      <c r="P7" s="2188">
        <f>년간!H114*100</f>
        <v>87.226529311809685</v>
      </c>
      <c r="Q7" s="5097">
        <f>년간!I114*100</f>
        <v>87.676321600207814</v>
      </c>
      <c r="R7" s="5097">
        <f>년간!J114*100</f>
        <v>88.782242063492063</v>
      </c>
      <c r="S7" s="5097">
        <f>년간!K114*100</f>
        <v>88.181096490172962</v>
      </c>
      <c r="T7" s="5097">
        <f>년간!L114*100</f>
        <v>87.105734767025083</v>
      </c>
      <c r="U7" s="5097">
        <f>년간!M114*100</f>
        <v>84.986897274633122</v>
      </c>
      <c r="V7" s="5097">
        <f>년간!N114*100</f>
        <v>85.191672505254729</v>
      </c>
      <c r="W7" s="5097">
        <f>년간!O114*100</f>
        <v>87.896608963718279</v>
      </c>
      <c r="X7" s="5527">
        <f>년간!P114*100</f>
        <v>86.749540895606728</v>
      </c>
      <c r="Y7" s="5378">
        <f>년간!Q114*100</f>
        <v>83.354534746760905</v>
      </c>
      <c r="Z7" s="6628">
        <f>년간!V114*100</f>
        <v>86.855215790127033</v>
      </c>
      <c r="AA7" s="5763">
        <f>년간!F149/1000</f>
        <v>17995.343400670339</v>
      </c>
      <c r="AB7" s="3228">
        <f>년간!G149/1000</f>
        <v>1603.1053687836998</v>
      </c>
      <c r="AC7" s="3228">
        <f>년간!H149/1000</f>
        <v>7393.083044547574</v>
      </c>
      <c r="AD7" s="3228">
        <f>년간!I149/1000</f>
        <v>10253.754363370377</v>
      </c>
      <c r="AE7" s="3228">
        <f>년간!J149/1000</f>
        <v>17808.373049684862</v>
      </c>
      <c r="AF7" s="3228">
        <f>년간!K149/1000</f>
        <v>14376.687145855783</v>
      </c>
      <c r="AG7" s="3228">
        <f>년간!L149/1000</f>
        <v>7927.7043232941987</v>
      </c>
      <c r="AH7" s="3228">
        <f>년간!M149/1000</f>
        <v>-5421.9568723754765</v>
      </c>
      <c r="AI7" s="3228">
        <f>년간!N149/1000</f>
        <v>-4471.0144340685783</v>
      </c>
      <c r="AJ7" s="3228">
        <f>년간!O149/1000</f>
        <v>12690.811568039548</v>
      </c>
      <c r="AK7" s="3228">
        <f>년간!P149/1000</f>
        <v>5213.774760301485</v>
      </c>
      <c r="AL7" s="3228">
        <f>년간!Q149/1000</f>
        <v>-16030.892680291308</v>
      </c>
      <c r="AM7" s="2223">
        <f>년간!D149/1000</f>
        <v>246602.68384770799</v>
      </c>
      <c r="AN7" s="3229">
        <f>AA7+AB7+AC7+AD7+AE7+AF7+AG7+AH7+AI7+AJ7+AK7+AL7</f>
        <v>69338.773037812498</v>
      </c>
      <c r="AO7" s="3230">
        <f>AN7/AM7</f>
        <v>0.28117606814301083</v>
      </c>
      <c r="AP7" s="3150" t="s">
        <v>1544</v>
      </c>
    </row>
    <row r="8" spans="1:43" ht="18" thickBot="1">
      <c r="A8" s="7184"/>
      <c r="B8" s="3219" t="s">
        <v>852</v>
      </c>
      <c r="C8" s="3225" t="s">
        <v>853</v>
      </c>
      <c r="D8" s="1560"/>
      <c r="E8" s="3231"/>
      <c r="F8" s="3232"/>
      <c r="G8" s="3233">
        <v>620.37000000000023</v>
      </c>
      <c r="H8" s="1187">
        <v>420.60000000000008</v>
      </c>
      <c r="I8" s="1525">
        <v>1029.94</v>
      </c>
      <c r="J8" s="1525">
        <v>384</v>
      </c>
      <c r="K8" s="3640">
        <v>1686.7099999999998</v>
      </c>
      <c r="L8" s="3648">
        <v>200</v>
      </c>
      <c r="M8" s="3646">
        <f>L8/12</f>
        <v>16.666666666666668</v>
      </c>
      <c r="N8" s="2193">
        <v>0</v>
      </c>
      <c r="O8" s="2188">
        <v>0</v>
      </c>
      <c r="P8" s="2188">
        <v>3.51</v>
      </c>
      <c r="Q8" s="5150">
        <v>0</v>
      </c>
      <c r="R8" s="5150">
        <v>39.479999999999997</v>
      </c>
      <c r="S8" s="5150">
        <v>14.17</v>
      </c>
      <c r="T8" s="5150">
        <v>0</v>
      </c>
      <c r="U8" s="5150">
        <v>1.65</v>
      </c>
      <c r="V8" s="5150">
        <v>0</v>
      </c>
      <c r="W8" s="5150">
        <v>0</v>
      </c>
      <c r="X8" s="5528">
        <v>36.6</v>
      </c>
      <c r="Y8" s="5379">
        <v>120.88</v>
      </c>
      <c r="Z8" s="6674">
        <f>SUM(N8:Y8)</f>
        <v>216.29</v>
      </c>
      <c r="AA8" s="3491">
        <f>($K$8/12-N8)/20*1050.76</f>
        <v>7384.6974983333321</v>
      </c>
      <c r="AB8" s="6908">
        <f t="shared" ref="AB8:AL8" si="0">($K$8/12-O8)/20*1050.76</f>
        <v>7384.6974983333321</v>
      </c>
      <c r="AC8" s="6908">
        <f t="shared" si="0"/>
        <v>7200.2891183333331</v>
      </c>
      <c r="AD8" s="6908">
        <f t="shared" si="0"/>
        <v>7384.6974983333321</v>
      </c>
      <c r="AE8" s="6908">
        <f t="shared" si="0"/>
        <v>5310.497258333332</v>
      </c>
      <c r="AF8" s="6908">
        <f t="shared" si="0"/>
        <v>6640.2340383333312</v>
      </c>
      <c r="AG8" s="6908">
        <f t="shared" si="0"/>
        <v>7384.6974983333321</v>
      </c>
      <c r="AH8" s="6908">
        <f t="shared" si="0"/>
        <v>7298.0097983333317</v>
      </c>
      <c r="AI8" s="6908">
        <f t="shared" si="0"/>
        <v>7384.6974983333321</v>
      </c>
      <c r="AJ8" s="6908">
        <f t="shared" si="0"/>
        <v>7384.6974983333321</v>
      </c>
      <c r="AK8" s="6908">
        <f t="shared" si="0"/>
        <v>5461.806698333332</v>
      </c>
      <c r="AL8" s="6908">
        <f t="shared" si="0"/>
        <v>1033.9040583333322</v>
      </c>
      <c r="AM8" s="2094">
        <f>(K8/20-L8/20)*1051.683</f>
        <v>78177.381646499998</v>
      </c>
      <c r="AN8" s="3234">
        <f>AA8+AB8+AC8+AD8+AE8+AF8+AG8+AH8+AI8+AJ8+AK8+AL8</f>
        <v>77252.925959999979</v>
      </c>
      <c r="AO8" s="1637">
        <f>AN8/AM8</f>
        <v>0.98817489576869955</v>
      </c>
      <c r="AP8" s="3150" t="s">
        <v>1544</v>
      </c>
      <c r="AQ8" s="354" t="s">
        <v>1012</v>
      </c>
    </row>
    <row r="9" spans="1:43">
      <c r="A9" s="7390" t="s">
        <v>352</v>
      </c>
      <c r="B9" s="925" t="s">
        <v>353</v>
      </c>
      <c r="C9" s="926" t="s">
        <v>351</v>
      </c>
      <c r="D9" s="1119">
        <v>100.41446490736</v>
      </c>
      <c r="E9" s="1120">
        <v>100.42935120169599</v>
      </c>
      <c r="F9" s="1120">
        <v>100.606244705544</v>
      </c>
      <c r="G9" s="1120">
        <v>100.05369360660397</v>
      </c>
      <c r="H9" s="1120">
        <v>100.05700705029608</v>
      </c>
      <c r="I9" s="1531">
        <v>100.32</v>
      </c>
      <c r="J9" s="1531">
        <v>100.5338473118038</v>
      </c>
      <c r="K9" s="1531">
        <f>년간!C90*100</f>
        <v>100.40908537375219</v>
      </c>
      <c r="L9" s="1121">
        <f>년간!D90*100</f>
        <v>100.42999999999999</v>
      </c>
      <c r="M9" s="2115">
        <f>L9</f>
        <v>100.42999999999999</v>
      </c>
      <c r="N9" s="1672">
        <f>년간!F90*100</f>
        <v>100.36160945520129</v>
      </c>
      <c r="O9" s="1280">
        <f>년간!G90*100</f>
        <v>100.58263871021329</v>
      </c>
      <c r="P9" s="1280">
        <f>년간!H90*100</f>
        <v>100.56326965082182</v>
      </c>
      <c r="Q9" s="1280">
        <f>년간!I90*100</f>
        <v>100.51074275427105</v>
      </c>
      <c r="R9" s="1280">
        <f>년간!J90*100</f>
        <v>100.51921499650693</v>
      </c>
      <c r="S9" s="1280">
        <f>년간!K90*100</f>
        <v>100.52191401959753</v>
      </c>
      <c r="T9" s="1280">
        <f>년간!L90*100</f>
        <v>100.32393926352069</v>
      </c>
      <c r="U9" s="1280">
        <f>년간!M90*100</f>
        <v>100.58894527804263</v>
      </c>
      <c r="V9" s="1280">
        <f>년간!N90*100</f>
        <v>100.54621220361106</v>
      </c>
      <c r="W9" s="1280">
        <f>년간!O90*100</f>
        <v>100.50741609556901</v>
      </c>
      <c r="X9" s="5529">
        <f>년간!P90*100</f>
        <v>100.54005512330649</v>
      </c>
      <c r="Y9" s="5380">
        <f>년간!Q90*100</f>
        <v>100.28391724137056</v>
      </c>
      <c r="Z9" s="6928">
        <f>년간!V90*100</f>
        <v>100.48416087822143</v>
      </c>
      <c r="AA9" s="5729">
        <f>년간!F147/1000</f>
        <v>-4561.2880794877001</v>
      </c>
      <c r="AB9" s="931">
        <f>년간!G147/1000</f>
        <v>13840.632604400333</v>
      </c>
      <c r="AC9" s="931">
        <f>년간!H147/1000</f>
        <v>14332.947757048414</v>
      </c>
      <c r="AD9" s="931">
        <f>년간!I147/1000</f>
        <v>9174.7595605757233</v>
      </c>
      <c r="AE9" s="931">
        <f>년간!J147/1000</f>
        <v>9733.6576542436578</v>
      </c>
      <c r="AF9" s="931">
        <f>년간!K147/1000</f>
        <v>10725.09919080844</v>
      </c>
      <c r="AG9" s="931">
        <f>년간!L147/1000</f>
        <v>-8984.0962027664464</v>
      </c>
      <c r="AH9" s="931">
        <f>년간!M147/1000</f>
        <v>15603.650127946996</v>
      </c>
      <c r="AI9" s="931">
        <f>년간!N147/1000</f>
        <v>12482.311305416095</v>
      </c>
      <c r="AJ9" s="931">
        <f>년간!O147/1000</f>
        <v>9382.3855420715154</v>
      </c>
      <c r="AK9" s="931">
        <f>년간!P147/1000</f>
        <v>12160.766306904874</v>
      </c>
      <c r="AL9" s="931">
        <f>년간!Q147/1000</f>
        <v>-11102.176508441618</v>
      </c>
      <c r="AM9" s="1122">
        <f>년간!D147/1000</f>
        <v>24501.908887719092</v>
      </c>
      <c r="AN9" s="2341">
        <f>AA9+AB9+AC9+AD9+AE9+AF9+AG9+AH9+AI9+AJ9+AK9+AL9</f>
        <v>82788.649258720281</v>
      </c>
      <c r="AO9" s="933">
        <f>AN9/AM9</f>
        <v>3.3788652809910587</v>
      </c>
      <c r="AP9" s="934" t="s">
        <v>1543</v>
      </c>
    </row>
    <row r="10" spans="1:43" ht="18" thickBot="1">
      <c r="A10" s="7206"/>
      <c r="B10" s="2456" t="s">
        <v>354</v>
      </c>
      <c r="C10" s="3235" t="s">
        <v>309</v>
      </c>
      <c r="D10" s="1789">
        <v>138.85</v>
      </c>
      <c r="E10" s="1790">
        <v>144.58000000000001</v>
      </c>
      <c r="F10" s="1790">
        <v>223.98999999999995</v>
      </c>
      <c r="G10" s="1790">
        <v>118.37</v>
      </c>
      <c r="H10" s="1790">
        <v>139.78</v>
      </c>
      <c r="I10" s="1528">
        <v>125.91</v>
      </c>
      <c r="J10" s="1528">
        <v>92.647999999999996</v>
      </c>
      <c r="K10" s="1528">
        <f>년간!C23</f>
        <v>83.9</v>
      </c>
      <c r="L10" s="3649">
        <f>년간!D23</f>
        <v>60</v>
      </c>
      <c r="M10" s="3650">
        <f t="shared" ref="M10:M20" si="1">L10/12</f>
        <v>5</v>
      </c>
      <c r="N10" s="3690">
        <f>년간!F23</f>
        <v>1.82</v>
      </c>
      <c r="O10" s="2338">
        <f>년간!G23</f>
        <v>1.69</v>
      </c>
      <c r="P10" s="2338">
        <f>년간!H23</f>
        <v>4.66</v>
      </c>
      <c r="Q10" s="2338">
        <f>년간!I23</f>
        <v>4.93</v>
      </c>
      <c r="R10" s="2338">
        <f>년간!J23</f>
        <v>4.53</v>
      </c>
      <c r="S10" s="2338">
        <f>년간!K23</f>
        <v>3.47</v>
      </c>
      <c r="T10" s="2338">
        <f>년간!L23</f>
        <v>4.5999999999999996</v>
      </c>
      <c r="U10" s="2338">
        <f>년간!M23</f>
        <v>4.83</v>
      </c>
      <c r="V10" s="2338">
        <f>년간!N23</f>
        <v>0</v>
      </c>
      <c r="W10" s="2338">
        <f>년간!O23</f>
        <v>2.2799999999999998</v>
      </c>
      <c r="X10" s="5530">
        <f>년간!P23</f>
        <v>5.16</v>
      </c>
      <c r="Y10" s="5381">
        <f>년간!Q23</f>
        <v>12.2</v>
      </c>
      <c r="Z10" s="6679">
        <f>SUM(N10:Y10)</f>
        <v>50.17</v>
      </c>
      <c r="AA10" s="3236"/>
      <c r="AB10" s="3236"/>
      <c r="AC10" s="3236"/>
      <c r="AD10" s="3236"/>
      <c r="AE10" s="3236"/>
      <c r="AF10" s="3236"/>
      <c r="AG10" s="3236"/>
      <c r="AH10" s="3236"/>
      <c r="AI10" s="3236"/>
      <c r="AJ10" s="3236"/>
      <c r="AK10" s="3236"/>
      <c r="AL10" s="3236"/>
      <c r="AM10" s="3237"/>
      <c r="AN10" s="3238"/>
      <c r="AO10" s="3239"/>
      <c r="AP10" s="3147" t="s">
        <v>355</v>
      </c>
    </row>
    <row r="11" spans="1:43">
      <c r="A11" s="7183" t="s">
        <v>549</v>
      </c>
      <c r="B11" s="3166" t="s">
        <v>611</v>
      </c>
      <c r="C11" s="1009" t="s">
        <v>356</v>
      </c>
      <c r="D11" s="3693">
        <f>952/12</f>
        <v>79.333333333333329</v>
      </c>
      <c r="E11" s="3694">
        <f>912/12</f>
        <v>76</v>
      </c>
      <c r="F11" s="3695">
        <f>799/12</f>
        <v>66.583333333333329</v>
      </c>
      <c r="G11" s="3696">
        <f>720</f>
        <v>720</v>
      </c>
      <c r="H11" s="3625">
        <f>스크!R13</f>
        <v>742.44</v>
      </c>
      <c r="I11" s="3626">
        <f>스크!R14</f>
        <v>542.54</v>
      </c>
      <c r="J11" s="3626">
        <f>스크!R15</f>
        <v>423.25</v>
      </c>
      <c r="K11" s="3626">
        <v>437.47500000000008</v>
      </c>
      <c r="L11" s="3627">
        <f>(K11/11*12)*0.9</f>
        <v>429.52090909090919</v>
      </c>
      <c r="M11" s="3628">
        <f t="shared" si="1"/>
        <v>35.793409090909101</v>
      </c>
      <c r="N11" s="3629">
        <f>스크!R18</f>
        <v>50.5</v>
      </c>
      <c r="O11" s="3630">
        <f>스크!R19</f>
        <v>29.68</v>
      </c>
      <c r="P11" s="3630">
        <f>스크!R20</f>
        <v>34.93</v>
      </c>
      <c r="Q11" s="3630">
        <f>스크!R22</f>
        <v>39.979999999999997</v>
      </c>
      <c r="R11" s="3630">
        <f>스크!R23</f>
        <v>32.44</v>
      </c>
      <c r="S11" s="3630">
        <f>스크!R24</f>
        <v>37.299999999999997</v>
      </c>
      <c r="T11" s="3630">
        <f>스크!R27</f>
        <v>50.38</v>
      </c>
      <c r="U11" s="3630">
        <f>스크!R28</f>
        <v>25.17</v>
      </c>
      <c r="V11" s="3630">
        <f>스크!R29</f>
        <v>40.65</v>
      </c>
      <c r="W11" s="3630">
        <f>스크!R31</f>
        <v>23.59</v>
      </c>
      <c r="X11" s="5531">
        <f>스크!R32</f>
        <v>36.479999999999997</v>
      </c>
      <c r="Y11" s="5382">
        <f>스크!R33</f>
        <v>64.010000000000005</v>
      </c>
      <c r="Z11" s="6681">
        <f t="shared" ref="Z11:Z21" si="2">SUM(N11:Y11)</f>
        <v>465.10999999999996</v>
      </c>
      <c r="AA11" s="5764"/>
      <c r="AB11" s="3631"/>
      <c r="AC11" s="3631"/>
      <c r="AD11" s="3631"/>
      <c r="AE11" s="3631"/>
      <c r="AF11" s="3631"/>
      <c r="AG11" s="3631"/>
      <c r="AH11" s="3631"/>
      <c r="AI11" s="3631"/>
      <c r="AJ11" s="3631"/>
      <c r="AK11" s="3631"/>
      <c r="AL11" s="3631"/>
      <c r="AM11" s="3632"/>
      <c r="AN11" s="3633"/>
      <c r="AO11" s="3634"/>
      <c r="AP11" s="3635" t="s">
        <v>1462</v>
      </c>
    </row>
    <row r="12" spans="1:43" ht="16.5" customHeight="1">
      <c r="A12" s="7184"/>
      <c r="B12" s="1616" t="s">
        <v>541</v>
      </c>
      <c r="C12" s="1617" t="s">
        <v>873</v>
      </c>
      <c r="D12" s="3240">
        <v>0</v>
      </c>
      <c r="E12" s="3241">
        <v>0</v>
      </c>
      <c r="F12" s="3242">
        <v>0</v>
      </c>
      <c r="G12" s="3226">
        <v>0</v>
      </c>
      <c r="H12" s="3226">
        <v>60</v>
      </c>
      <c r="I12" s="3243">
        <v>58.59</v>
      </c>
      <c r="J12" s="2093">
        <v>5.56</v>
      </c>
      <c r="K12" s="2093">
        <v>13.93</v>
      </c>
      <c r="L12" s="3651">
        <v>10</v>
      </c>
      <c r="M12" s="3652">
        <f t="shared" si="1"/>
        <v>0.83333333333333337</v>
      </c>
      <c r="N12" s="3483">
        <v>0</v>
      </c>
      <c r="O12" s="1590">
        <v>0</v>
      </c>
      <c r="P12" s="1590">
        <v>2</v>
      </c>
      <c r="Q12" s="3484">
        <v>0</v>
      </c>
      <c r="R12" s="3484">
        <v>0</v>
      </c>
      <c r="S12" s="3484">
        <v>3.43</v>
      </c>
      <c r="T12" s="3484">
        <v>1.19</v>
      </c>
      <c r="U12" s="3484">
        <v>0</v>
      </c>
      <c r="V12" s="3484">
        <v>0</v>
      </c>
      <c r="W12" s="3484">
        <v>0</v>
      </c>
      <c r="X12" s="5470">
        <v>0</v>
      </c>
      <c r="Y12" s="5313">
        <v>0</v>
      </c>
      <c r="Z12" s="5398">
        <f t="shared" si="2"/>
        <v>6.6199999999999992</v>
      </c>
      <c r="AA12" s="5742"/>
      <c r="AB12" s="1593"/>
      <c r="AC12" s="1593"/>
      <c r="AD12" s="1593"/>
      <c r="AE12" s="1593"/>
      <c r="AF12" s="1593"/>
      <c r="AG12" s="1593"/>
      <c r="AH12" s="1593"/>
      <c r="AI12" s="1593"/>
      <c r="AJ12" s="1593"/>
      <c r="AK12" s="1593"/>
      <c r="AL12" s="1593"/>
      <c r="AM12" s="2440"/>
      <c r="AN12" s="2441"/>
      <c r="AO12" s="1596"/>
      <c r="AP12" s="1591" t="s">
        <v>1463</v>
      </c>
    </row>
    <row r="13" spans="1:43" ht="16.5" customHeight="1">
      <c r="A13" s="7184"/>
      <c r="B13" s="1616" t="s">
        <v>542</v>
      </c>
      <c r="C13" s="1617" t="s">
        <v>874</v>
      </c>
      <c r="D13" s="3244">
        <v>0</v>
      </c>
      <c r="E13" s="3245">
        <f>600</f>
        <v>600</v>
      </c>
      <c r="F13" s="3246">
        <f>878</f>
        <v>878</v>
      </c>
      <c r="G13" s="3247">
        <f>973</f>
        <v>973</v>
      </c>
      <c r="H13" s="3247">
        <f>527</f>
        <v>527</v>
      </c>
      <c r="I13" s="3243">
        <v>145</v>
      </c>
      <c r="J13" s="2093">
        <v>52.56</v>
      </c>
      <c r="K13" s="2093">
        <v>21.73</v>
      </c>
      <c r="L13" s="3763">
        <v>20</v>
      </c>
      <c r="M13" s="3764">
        <f t="shared" si="1"/>
        <v>1.6666666666666667</v>
      </c>
      <c r="N13" s="3691">
        <v>0.3</v>
      </c>
      <c r="O13" s="2176">
        <v>0.53</v>
      </c>
      <c r="P13" s="2176">
        <v>3.83</v>
      </c>
      <c r="Q13" s="3617">
        <f>5.26+0.49</f>
        <v>5.75</v>
      </c>
      <c r="R13" s="3620">
        <v>2.33</v>
      </c>
      <c r="S13" s="3617">
        <v>1.6</v>
      </c>
      <c r="T13" s="3617">
        <v>5.23</v>
      </c>
      <c r="U13" s="3617">
        <v>4.3899999999999997</v>
      </c>
      <c r="V13" s="3617">
        <v>4.51</v>
      </c>
      <c r="W13" s="3617">
        <v>3.26</v>
      </c>
      <c r="X13" s="5506">
        <v>3.55</v>
      </c>
      <c r="Y13" s="5351">
        <v>6.3739999999999997</v>
      </c>
      <c r="Z13" s="5398">
        <f t="shared" si="2"/>
        <v>41.653999999999996</v>
      </c>
      <c r="AA13" s="3491">
        <f>($K$13/12-N13)*년간!$C$216/1000</f>
        <v>1062.3851155512718</v>
      </c>
      <c r="AB13" s="3174">
        <f>($K$13/12-O13)*년간!$C$216/1000</f>
        <v>900.65412167805027</v>
      </c>
      <c r="AC13" s="3174">
        <f>($K$13/12-P13)*년간!$C$216/1000</f>
        <v>-1419.8340512855668</v>
      </c>
      <c r="AD13" s="3174">
        <f>($K$13/12-Q13)*년간!$C$216/1000</f>
        <v>-2769.9362610098528</v>
      </c>
      <c r="AE13" s="3174">
        <f>($K$13/12-R13)*년간!$C$216/1000</f>
        <v>-365.06669993846805</v>
      </c>
      <c r="AF13" s="3174">
        <f>($K$13/12-S13)*년간!$C$216/1000</f>
        <v>148.2534110504532</v>
      </c>
      <c r="AG13" s="3174">
        <f>($K$13/12-T13)*년간!$C$216/1000</f>
        <v>-2404.2835792095257</v>
      </c>
      <c r="AH13" s="3174">
        <f>($K$13/12-U13)*년간!$C$216/1000</f>
        <v>-1813.61386245515</v>
      </c>
      <c r="AI13" s="3174">
        <f>($K$13/12-V13)*년간!$C$216/1000</f>
        <v>-1897.9952505629178</v>
      </c>
      <c r="AJ13" s="3174">
        <f>($K$13/12-W13)*년간!$C$216/1000</f>
        <v>-1019.022457773669</v>
      </c>
      <c r="AK13" s="3174">
        <f>($K$13/12-X13)*년간!$C$216/1000</f>
        <v>-1222.9441457007747</v>
      </c>
      <c r="AL13" s="3174">
        <f>($K$13/12-Y13)*년간!$C$216/1000</f>
        <v>-3208.7194791702454</v>
      </c>
      <c r="AM13" s="1639">
        <f>(K13-L13)*년간!C216/1000</f>
        <v>1216.4983452203205</v>
      </c>
      <c r="AN13" s="2342">
        <f>AA13+AB13+AC13+AD13+AE13+AF13+AG13+AH13+AI13+AJ13+AK13+AL13</f>
        <v>-14010.123138826395</v>
      </c>
      <c r="AO13" s="3248">
        <f>AN13/AM13</f>
        <v>-11.516763005780346</v>
      </c>
      <c r="AP13" s="3249" t="s">
        <v>1464</v>
      </c>
    </row>
    <row r="14" spans="1:43" ht="16.5" customHeight="1">
      <c r="A14" s="7184"/>
      <c r="B14" s="1616" t="s">
        <v>543</v>
      </c>
      <c r="C14" s="1617" t="s">
        <v>873</v>
      </c>
      <c r="D14" s="3240">
        <v>0</v>
      </c>
      <c r="E14" s="3241">
        <v>0</v>
      </c>
      <c r="F14" s="3242">
        <v>0</v>
      </c>
      <c r="G14" s="3226">
        <v>0</v>
      </c>
      <c r="H14" s="3226">
        <f>832</f>
        <v>832</v>
      </c>
      <c r="I14" s="3243">
        <v>422.05</v>
      </c>
      <c r="J14" s="2093">
        <v>492.53</v>
      </c>
      <c r="K14" s="2093">
        <v>542.02199999999993</v>
      </c>
      <c r="L14" s="3651">
        <f>(K14/11*12)*0.9</f>
        <v>532.16705454545456</v>
      </c>
      <c r="M14" s="3652">
        <f t="shared" si="1"/>
        <v>44.347254545454547</v>
      </c>
      <c r="N14" s="3483">
        <v>54.22</v>
      </c>
      <c r="O14" s="1590">
        <v>34.29</v>
      </c>
      <c r="P14" s="1590">
        <v>38.35</v>
      </c>
      <c r="Q14" s="3617">
        <v>40.44</v>
      </c>
      <c r="R14" s="3617">
        <v>42.87</v>
      </c>
      <c r="S14" s="3617">
        <v>37.99</v>
      </c>
      <c r="T14" s="3617">
        <v>43.74</v>
      </c>
      <c r="U14" s="3617">
        <v>32.67</v>
      </c>
      <c r="V14" s="3617">
        <v>47.07</v>
      </c>
      <c r="W14" s="3617">
        <v>55.73</v>
      </c>
      <c r="X14" s="5506">
        <v>36.03</v>
      </c>
      <c r="Y14" s="5351">
        <v>39.409999999999997</v>
      </c>
      <c r="Z14" s="5398">
        <f t="shared" si="2"/>
        <v>502.80999999999995</v>
      </c>
      <c r="AA14" s="5727"/>
      <c r="AB14" s="3250"/>
      <c r="AC14" s="3250"/>
      <c r="AD14" s="3250"/>
      <c r="AE14" s="3250"/>
      <c r="AF14" s="3250"/>
      <c r="AG14" s="3250"/>
      <c r="AH14" s="3250"/>
      <c r="AI14" s="3250"/>
      <c r="AJ14" s="3250"/>
      <c r="AK14" s="3250"/>
      <c r="AL14" s="3250"/>
      <c r="AM14" s="2464"/>
      <c r="AN14" s="3251"/>
      <c r="AO14" s="1596"/>
      <c r="AP14" s="3249" t="s">
        <v>1465</v>
      </c>
    </row>
    <row r="15" spans="1:43" s="1536" customFormat="1" ht="16.5" customHeight="1">
      <c r="A15" s="7184"/>
      <c r="B15" s="1616" t="s">
        <v>1100</v>
      </c>
      <c r="C15" s="1617" t="s">
        <v>1017</v>
      </c>
      <c r="D15" s="3240"/>
      <c r="E15" s="3241">
        <v>196</v>
      </c>
      <c r="F15" s="3242">
        <v>196</v>
      </c>
      <c r="G15" s="3252">
        <v>196</v>
      </c>
      <c r="H15" s="3252">
        <v>196</v>
      </c>
      <c r="I15" s="3253">
        <v>196</v>
      </c>
      <c r="J15" s="2764">
        <v>196</v>
      </c>
      <c r="K15" s="2764">
        <v>81.070000000000007</v>
      </c>
      <c r="L15" s="3651">
        <f>(K15/11*12)*0.8</f>
        <v>70.75200000000001</v>
      </c>
      <c r="M15" s="2278">
        <f t="shared" si="1"/>
        <v>5.8960000000000008</v>
      </c>
      <c r="N15" s="3483">
        <v>26.77</v>
      </c>
      <c r="O15" s="1590">
        <v>0</v>
      </c>
      <c r="P15" s="1590">
        <v>0</v>
      </c>
      <c r="Q15" s="1059">
        <v>8.3800000000000008</v>
      </c>
      <c r="R15" s="1059">
        <v>0</v>
      </c>
      <c r="S15" s="1059">
        <v>0</v>
      </c>
      <c r="T15" s="1059">
        <v>0</v>
      </c>
      <c r="U15" s="1059">
        <v>0</v>
      </c>
      <c r="V15" s="1059">
        <v>0</v>
      </c>
      <c r="W15" s="1059">
        <v>0</v>
      </c>
      <c r="X15" s="5519">
        <v>0</v>
      </c>
      <c r="Y15" s="5363">
        <v>8.5510000000000002</v>
      </c>
      <c r="Z15" s="5398">
        <f t="shared" si="2"/>
        <v>43.701000000000001</v>
      </c>
      <c r="AA15" s="5733"/>
      <c r="AB15" s="825"/>
      <c r="AC15" s="825"/>
      <c r="AD15" s="825"/>
      <c r="AE15" s="825"/>
      <c r="AF15" s="825"/>
      <c r="AG15" s="825"/>
      <c r="AH15" s="825"/>
      <c r="AI15" s="825"/>
      <c r="AJ15" s="825"/>
      <c r="AK15" s="825"/>
      <c r="AL15" s="825"/>
      <c r="AM15" s="2095"/>
      <c r="AN15" s="2343"/>
      <c r="AO15" s="1596"/>
      <c r="AP15" s="3254" t="s">
        <v>1466</v>
      </c>
    </row>
    <row r="16" spans="1:43" s="1536" customFormat="1" ht="16.5" customHeight="1">
      <c r="A16" s="7184"/>
      <c r="B16" s="1616" t="s">
        <v>1135</v>
      </c>
      <c r="C16" s="1617" t="s">
        <v>440</v>
      </c>
      <c r="D16" s="3698"/>
      <c r="E16" s="3699"/>
      <c r="F16" s="3700"/>
      <c r="G16" s="3701"/>
      <c r="H16" s="3701"/>
      <c r="I16" s="3702"/>
      <c r="J16" s="3703"/>
      <c r="K16" s="3703">
        <v>201.822</v>
      </c>
      <c r="L16" s="3704">
        <f>(K16/P49)*P50*0.85</f>
        <v>187.93409119863321</v>
      </c>
      <c r="M16" s="3705">
        <f>L16/12</f>
        <v>15.661174266552768</v>
      </c>
      <c r="N16" s="4153">
        <v>0</v>
      </c>
      <c r="O16" s="1592">
        <v>0</v>
      </c>
      <c r="P16" s="1592">
        <v>31.02</v>
      </c>
      <c r="Q16" s="4154">
        <v>13.83</v>
      </c>
      <c r="R16" s="4154">
        <v>0</v>
      </c>
      <c r="S16" s="4154">
        <v>8.74</v>
      </c>
      <c r="T16" s="4154">
        <v>6.46</v>
      </c>
      <c r="U16" s="4154">
        <v>26.853999999999999</v>
      </c>
      <c r="V16" s="4154">
        <v>46.933000000000007</v>
      </c>
      <c r="W16" s="4154">
        <v>10.412000000000001</v>
      </c>
      <c r="X16" s="5532">
        <v>60.631999999999998</v>
      </c>
      <c r="Y16" s="5383">
        <v>17.620000000000005</v>
      </c>
      <c r="Z16" s="6682">
        <f t="shared" si="2"/>
        <v>222.501</v>
      </c>
      <c r="AA16" s="5727"/>
      <c r="AB16" s="3250"/>
      <c r="AC16" s="3250"/>
      <c r="AD16" s="3250"/>
      <c r="AE16" s="3250"/>
      <c r="AF16" s="3250"/>
      <c r="AG16" s="3250"/>
      <c r="AH16" s="3250"/>
      <c r="AI16" s="3250"/>
      <c r="AJ16" s="3250"/>
      <c r="AK16" s="3250"/>
      <c r="AL16" s="3250"/>
      <c r="AM16" s="3255"/>
      <c r="AN16" s="3251"/>
      <c r="AO16" s="1596"/>
      <c r="AP16" s="3254" t="s">
        <v>1467</v>
      </c>
    </row>
    <row r="17" spans="1:45" s="1536" customFormat="1" ht="16.5" customHeight="1">
      <c r="A17" s="7184"/>
      <c r="B17" s="3472" t="s">
        <v>1630</v>
      </c>
      <c r="C17" s="1617" t="s">
        <v>440</v>
      </c>
      <c r="D17" s="4145"/>
      <c r="E17" s="3699"/>
      <c r="F17" s="4146"/>
      <c r="G17" s="3701"/>
      <c r="H17" s="3701"/>
      <c r="I17" s="4147"/>
      <c r="J17" s="4148"/>
      <c r="K17" s="4148"/>
      <c r="L17" s="3704"/>
      <c r="M17" s="3705"/>
      <c r="N17" s="4153">
        <v>9.0300000000000011</v>
      </c>
      <c r="O17" s="4155">
        <v>0</v>
      </c>
      <c r="P17" s="4155">
        <v>0</v>
      </c>
      <c r="Q17" s="4154">
        <v>0.41</v>
      </c>
      <c r="R17" s="4154">
        <v>0</v>
      </c>
      <c r="S17" s="4154">
        <v>0</v>
      </c>
      <c r="T17" s="4154">
        <v>0</v>
      </c>
      <c r="U17" s="4154">
        <v>0</v>
      </c>
      <c r="V17" s="4154">
        <v>0</v>
      </c>
      <c r="W17" s="4154">
        <v>0</v>
      </c>
      <c r="X17" s="5532">
        <v>0</v>
      </c>
      <c r="Y17" s="5383">
        <v>0</v>
      </c>
      <c r="Z17" s="6682">
        <f t="shared" si="2"/>
        <v>9.4400000000000013</v>
      </c>
      <c r="AA17" s="5727"/>
      <c r="AB17" s="4149"/>
      <c r="AC17" s="4149"/>
      <c r="AD17" s="4149"/>
      <c r="AE17" s="4149"/>
      <c r="AF17" s="4149"/>
      <c r="AG17" s="4149"/>
      <c r="AH17" s="4149"/>
      <c r="AI17" s="4149"/>
      <c r="AJ17" s="4149"/>
      <c r="AK17" s="4149"/>
      <c r="AL17" s="4149"/>
      <c r="AM17" s="4150"/>
      <c r="AN17" s="4151"/>
      <c r="AO17" s="3479"/>
      <c r="AP17" s="4152" t="s">
        <v>1631</v>
      </c>
    </row>
    <row r="18" spans="1:45" s="1536" customFormat="1" ht="16.5" customHeight="1">
      <c r="A18" s="7184"/>
      <c r="B18" s="1616" t="s">
        <v>1041</v>
      </c>
      <c r="C18" s="1617" t="s">
        <v>1017</v>
      </c>
      <c r="D18" s="3240"/>
      <c r="E18" s="3241"/>
      <c r="F18" s="3242"/>
      <c r="G18" s="3252"/>
      <c r="H18" s="3252"/>
      <c r="I18" s="3253"/>
      <c r="J18" s="2764">
        <v>193.06</v>
      </c>
      <c r="K18" s="2764">
        <v>171.13900000000001</v>
      </c>
      <c r="L18" s="3651">
        <f>(K18/P51)*R51*0.7</f>
        <v>233.56853187755897</v>
      </c>
      <c r="M18" s="3652">
        <f t="shared" si="1"/>
        <v>19.464044323129915</v>
      </c>
      <c r="N18" s="3483">
        <v>3.48</v>
      </c>
      <c r="O18" s="1590">
        <v>18.39</v>
      </c>
      <c r="P18" s="1590">
        <v>6.56</v>
      </c>
      <c r="Q18" s="1059">
        <v>7.55</v>
      </c>
      <c r="R18" s="1059">
        <v>15.354999999999999</v>
      </c>
      <c r="S18" s="1059">
        <v>6.742</v>
      </c>
      <c r="T18" s="1059">
        <v>8.2270000000000003</v>
      </c>
      <c r="U18" s="1059">
        <v>11.039</v>
      </c>
      <c r="V18" s="1059">
        <v>25.794</v>
      </c>
      <c r="W18" s="1059">
        <v>3.13</v>
      </c>
      <c r="X18" s="5519">
        <v>6.66</v>
      </c>
      <c r="Y18" s="5363">
        <v>21.088999999999999</v>
      </c>
      <c r="Z18" s="5398">
        <f t="shared" si="2"/>
        <v>134.01599999999996</v>
      </c>
      <c r="AA18" s="5727"/>
      <c r="AB18" s="3250"/>
      <c r="AC18" s="3250"/>
      <c r="AD18" s="3250"/>
      <c r="AE18" s="3250"/>
      <c r="AF18" s="3250"/>
      <c r="AG18" s="3250"/>
      <c r="AH18" s="3250"/>
      <c r="AI18" s="3250"/>
      <c r="AJ18" s="3250"/>
      <c r="AK18" s="3250"/>
      <c r="AL18" s="3250"/>
      <c r="AM18" s="3255"/>
      <c r="AN18" s="3251"/>
      <c r="AO18" s="1596"/>
      <c r="AP18" s="3249" t="s">
        <v>1468</v>
      </c>
    </row>
    <row r="19" spans="1:45" s="1536" customFormat="1" ht="16.5" customHeight="1">
      <c r="A19" s="7184"/>
      <c r="B19" s="1616" t="s">
        <v>1042</v>
      </c>
      <c r="C19" s="1617" t="s">
        <v>1017</v>
      </c>
      <c r="D19" s="3698"/>
      <c r="E19" s="3699"/>
      <c r="F19" s="3700"/>
      <c r="G19" s="3701"/>
      <c r="H19" s="3701"/>
      <c r="I19" s="3702"/>
      <c r="J19" s="3703">
        <v>91.61999999999999</v>
      </c>
      <c r="K19" s="3703">
        <v>32.479999999999997</v>
      </c>
      <c r="L19" s="3704">
        <f>(K19/11*12)*0.8</f>
        <v>28.346181818181819</v>
      </c>
      <c r="M19" s="3706">
        <f>L19/12</f>
        <v>2.3621818181818184</v>
      </c>
      <c r="N19" s="4153">
        <v>19.309999999999999</v>
      </c>
      <c r="O19" s="1592">
        <v>0</v>
      </c>
      <c r="P19" s="1592">
        <v>12.89</v>
      </c>
      <c r="Q19" s="4154">
        <v>2.69</v>
      </c>
      <c r="R19" s="4154">
        <v>2.19</v>
      </c>
      <c r="S19" s="4154">
        <v>6.76</v>
      </c>
      <c r="T19" s="4154">
        <v>0.61</v>
      </c>
      <c r="U19" s="4154">
        <v>4.04</v>
      </c>
      <c r="V19" s="4154">
        <v>3.33</v>
      </c>
      <c r="W19" s="4154">
        <v>1.06</v>
      </c>
      <c r="X19" s="5532">
        <v>0</v>
      </c>
      <c r="Y19" s="5383">
        <v>0.51</v>
      </c>
      <c r="Z19" s="6682">
        <f t="shared" si="2"/>
        <v>53.389999999999993</v>
      </c>
      <c r="AA19" s="5727"/>
      <c r="AB19" s="3250"/>
      <c r="AC19" s="3250"/>
      <c r="AD19" s="3250"/>
      <c r="AE19" s="3250"/>
      <c r="AF19" s="3250"/>
      <c r="AG19" s="3250"/>
      <c r="AH19" s="3250"/>
      <c r="AI19" s="3250"/>
      <c r="AJ19" s="3250"/>
      <c r="AK19" s="3250"/>
      <c r="AL19" s="3250"/>
      <c r="AM19" s="3255"/>
      <c r="AN19" s="3251"/>
      <c r="AO19" s="1596"/>
      <c r="AP19" s="3249" t="s">
        <v>1469</v>
      </c>
      <c r="AQ19" s="1536" t="s">
        <v>1445</v>
      </c>
    </row>
    <row r="20" spans="1:45" ht="16.5" customHeight="1">
      <c r="A20" s="7184"/>
      <c r="B20" s="1616" t="s">
        <v>920</v>
      </c>
      <c r="C20" s="1617" t="s">
        <v>921</v>
      </c>
      <c r="D20" s="3698"/>
      <c r="E20" s="3699"/>
      <c r="F20" s="3700"/>
      <c r="G20" s="3701">
        <v>487.3</v>
      </c>
      <c r="H20" s="3701">
        <v>163.19999999999999</v>
      </c>
      <c r="I20" s="3702">
        <v>608.5</v>
      </c>
      <c r="J20" s="3703">
        <v>595.41999999999996</v>
      </c>
      <c r="K20" s="3703">
        <v>568.35</v>
      </c>
      <c r="L20" s="3707">
        <f>(K20/P49)*P50</f>
        <v>622.63567565795131</v>
      </c>
      <c r="M20" s="3708">
        <f t="shared" si="1"/>
        <v>51.886306304829276</v>
      </c>
      <c r="N20" s="4156">
        <f>스크!P18</f>
        <v>47.81</v>
      </c>
      <c r="O20" s="4157">
        <f>스크!P19</f>
        <v>47.12</v>
      </c>
      <c r="P20" s="4157">
        <f>스크!P20</f>
        <v>26.68</v>
      </c>
      <c r="Q20" s="4154">
        <f>스크!P22</f>
        <v>23.16</v>
      </c>
      <c r="R20" s="4154">
        <f>스크!P23</f>
        <v>28.99</v>
      </c>
      <c r="S20" s="4154">
        <f>스크!P24</f>
        <v>20.52</v>
      </c>
      <c r="T20" s="4154">
        <f>스크!P27</f>
        <v>30.56</v>
      </c>
      <c r="U20" s="4154">
        <f>스크!P28</f>
        <v>22.74</v>
      </c>
      <c r="V20" s="4154">
        <f>스크!P29</f>
        <v>22.23</v>
      </c>
      <c r="W20" s="4154">
        <f>스크!P31</f>
        <v>32.619999999999997</v>
      </c>
      <c r="X20" s="5532">
        <f>스크!P32</f>
        <v>8.48</v>
      </c>
      <c r="Y20" s="5383">
        <f>스크!P33</f>
        <v>25.89</v>
      </c>
      <c r="Z20" s="6682">
        <f t="shared" si="2"/>
        <v>336.80000000000007</v>
      </c>
      <c r="AA20" s="5733"/>
      <c r="AB20" s="825"/>
      <c r="AC20" s="825"/>
      <c r="AD20" s="825"/>
      <c r="AE20" s="825"/>
      <c r="AF20" s="825"/>
      <c r="AG20" s="825"/>
      <c r="AH20" s="825"/>
      <c r="AI20" s="825"/>
      <c r="AJ20" s="825"/>
      <c r="AK20" s="825"/>
      <c r="AL20" s="825"/>
      <c r="AM20" s="2095"/>
      <c r="AN20" s="2343"/>
      <c r="AO20" s="1596"/>
      <c r="AP20" s="3254" t="s">
        <v>1470</v>
      </c>
      <c r="AQ20" s="1318" t="s">
        <v>1635</v>
      </c>
      <c r="AR20" s="4242"/>
      <c r="AS20" s="4242"/>
    </row>
    <row r="21" spans="1:45" ht="18" thickBot="1">
      <c r="A21" s="7184"/>
      <c r="B21" s="1616" t="s">
        <v>772</v>
      </c>
      <c r="C21" s="1617" t="s">
        <v>309</v>
      </c>
      <c r="D21" s="3256"/>
      <c r="E21" s="3257"/>
      <c r="F21" s="3258"/>
      <c r="G21" s="3215">
        <f>SUM(G12:G20)</f>
        <v>1656.3</v>
      </c>
      <c r="H21" s="3215">
        <f>SUM(H12:H20)</f>
        <v>1778.2</v>
      </c>
      <c r="I21" s="3215">
        <f>SUM(I12:I20)</f>
        <v>1430.1399999999999</v>
      </c>
      <c r="J21" s="3215">
        <f>SUM(J12:J20)</f>
        <v>1626.75</v>
      </c>
      <c r="K21" s="3215">
        <f>SUM(K12:K20)</f>
        <v>1632.5430000000001</v>
      </c>
      <c r="L21" s="3654">
        <f>SUM(L12:L19)</f>
        <v>1082.7678594398287</v>
      </c>
      <c r="M21" s="3655">
        <f>L21/12</f>
        <v>90.23065495331906</v>
      </c>
      <c r="N21" s="3692">
        <f>SUM(N12:N20)</f>
        <v>160.92000000000002</v>
      </c>
      <c r="O21" s="3688">
        <f>SUM(O12:O20)</f>
        <v>100.33</v>
      </c>
      <c r="P21" s="3688">
        <f>SUM(P12:P20)</f>
        <v>121.33000000000001</v>
      </c>
      <c r="Q21" s="5122">
        <f t="shared" ref="Q21:Y21" si="3">SUM(Q12:Q20)</f>
        <v>102.21</v>
      </c>
      <c r="R21" s="5122">
        <f t="shared" si="3"/>
        <v>91.734999999999985</v>
      </c>
      <c r="S21" s="5122">
        <f t="shared" si="3"/>
        <v>85.781999999999996</v>
      </c>
      <c r="T21" s="5122">
        <f t="shared" si="3"/>
        <v>96.01700000000001</v>
      </c>
      <c r="U21" s="5122">
        <f t="shared" si="3"/>
        <v>101.733</v>
      </c>
      <c r="V21" s="5122">
        <f t="shared" si="3"/>
        <v>149.86699999999999</v>
      </c>
      <c r="W21" s="5122">
        <f t="shared" si="3"/>
        <v>106.21199999999999</v>
      </c>
      <c r="X21" s="5533">
        <f t="shared" si="3"/>
        <v>115.35199999999999</v>
      </c>
      <c r="Y21" s="5384">
        <f t="shared" si="3"/>
        <v>119.44400000000002</v>
      </c>
      <c r="Z21" s="5398">
        <f t="shared" si="2"/>
        <v>1350.932</v>
      </c>
      <c r="AA21" s="5727"/>
      <c r="AB21" s="1593"/>
      <c r="AC21" s="1593"/>
      <c r="AD21" s="1593"/>
      <c r="AE21" s="1593"/>
      <c r="AF21" s="1593"/>
      <c r="AG21" s="1593"/>
      <c r="AH21" s="1593"/>
      <c r="AI21" s="1593"/>
      <c r="AJ21" s="1593"/>
      <c r="AK21" s="1593"/>
      <c r="AL21" s="1593"/>
      <c r="AM21" s="1622"/>
      <c r="AN21" s="3259"/>
      <c r="AO21" s="3260"/>
      <c r="AP21" s="3249" t="s">
        <v>1471</v>
      </c>
    </row>
    <row r="22" spans="1:45" ht="16.5" customHeight="1" thickBot="1">
      <c r="A22" s="7184"/>
      <c r="B22" s="3168" t="s">
        <v>886</v>
      </c>
      <c r="C22" s="1617" t="s">
        <v>540</v>
      </c>
      <c r="D22" s="3240">
        <v>11.385725986556967</v>
      </c>
      <c r="E22" s="3689">
        <f>(E12+E13+E14+E15+E18)/E5*1000</f>
        <v>6.050036691648403</v>
      </c>
      <c r="F22" s="3689">
        <f>(F12+F13+F14+F15+F18)/F5*1000</f>
        <v>8.6072139047248584</v>
      </c>
      <c r="G22" s="3689">
        <f>(G12+G13+G14+G15+G18)/G5*1000</f>
        <v>11.44862598517067</v>
      </c>
      <c r="H22" s="3689">
        <f>(H12+H13+H14+H15+H18)/H5*1000</f>
        <v>13.488092561554977</v>
      </c>
      <c r="I22" s="3875">
        <f>(I12+I13+I14+I15+I18)/I5*1000</f>
        <v>6.5235410877332276</v>
      </c>
      <c r="J22" s="3877">
        <f>(J12+J13+J14+J15+J17+J18)/J5*1000</f>
        <v>6.5398333866946601</v>
      </c>
      <c r="K22" s="3876">
        <f>(K12+K13+K14+K15+K17+K18)/K5*1000</f>
        <v>5.4775131817827143</v>
      </c>
      <c r="L22" s="3656">
        <f>(L12+L13+L14+L15+L17+L18)/L5*1000</f>
        <v>5.1767689474430254</v>
      </c>
      <c r="M22" s="3653">
        <f>L22</f>
        <v>5.1767689474430254</v>
      </c>
      <c r="N22" s="3683">
        <f>(N12+N13+N14+N15+N17+N18)/N5*1000</f>
        <v>6.839571221592629</v>
      </c>
      <c r="O22" s="3689">
        <f t="shared" ref="O22:Z22" si="4">(O12+O13+O14+O15+O17+O18)/O5*1000</f>
        <v>4.6638904787740829</v>
      </c>
      <c r="P22" s="3689">
        <f>(P12+P13+P14+P15+P17+P18)/P5*1000</f>
        <v>3.8153015095781062</v>
      </c>
      <c r="Q22" s="3875">
        <f t="shared" si="4"/>
        <v>4.8452886096586525</v>
      </c>
      <c r="R22" s="3875">
        <f t="shared" si="4"/>
        <v>4.7911386365869708</v>
      </c>
      <c r="S22" s="3875">
        <f>(S12+S13+S14+S15+S17+S18)/S5*1000</f>
        <v>3.6610837873331299</v>
      </c>
      <c r="T22" s="3875">
        <f t="shared" si="4"/>
        <v>3.8773475959408943</v>
      </c>
      <c r="U22" s="3875">
        <f>(U12+U13+U14+U15+U17+U18)/U5*1000</f>
        <v>3.8742743639332198</v>
      </c>
      <c r="V22" s="3875">
        <f>(V12+V13+V14+V15+V17+V18)/V5*1000</f>
        <v>5.9445937494717978</v>
      </c>
      <c r="W22" s="3875">
        <f t="shared" si="4"/>
        <v>4.5540952767756533</v>
      </c>
      <c r="X22" s="5534">
        <f t="shared" si="4"/>
        <v>3.4816524295895275</v>
      </c>
      <c r="Y22" s="5385">
        <f t="shared" si="4"/>
        <v>5.9567679416201358</v>
      </c>
      <c r="Z22" s="5376">
        <f t="shared" si="4"/>
        <v>4.683334588581693</v>
      </c>
      <c r="AA22" s="3448">
        <f>($K$22-N22)*726.715967251073*N5/1000</f>
        <v>-13574.826221833058</v>
      </c>
      <c r="AB22" s="2054">
        <f t="shared" ref="AB22:AL22" si="5">($K$22-O22)*726.715967251073*O5/1000</f>
        <v>6745.7878137792695</v>
      </c>
      <c r="AC22" s="2054">
        <f t="shared" si="5"/>
        <v>16064.700330489106</v>
      </c>
      <c r="AD22" s="2054">
        <f t="shared" si="5"/>
        <v>5929.3194814368499</v>
      </c>
      <c r="AE22" s="2054">
        <f t="shared" si="5"/>
        <v>6304.3039277528314</v>
      </c>
      <c r="AF22" s="2054">
        <f t="shared" si="5"/>
        <v>17942.021901179669</v>
      </c>
      <c r="AG22" s="2054">
        <f t="shared" si="5"/>
        <v>17511.004247561359</v>
      </c>
      <c r="AH22" s="2054">
        <f t="shared" si="5"/>
        <v>14464.672214021004</v>
      </c>
      <c r="AI22" s="2054">
        <f t="shared" si="5"/>
        <v>-4418.0372225381861</v>
      </c>
      <c r="AJ22" s="2054">
        <f t="shared" si="5"/>
        <v>9153.6083906251497</v>
      </c>
      <c r="AK22" s="2054">
        <f t="shared" si="5"/>
        <v>19263.152032009704</v>
      </c>
      <c r="AL22" s="2054">
        <f t="shared" si="5"/>
        <v>-4409.9129492175198</v>
      </c>
      <c r="AM22" s="2094">
        <f>(K22-L22)*L5*년간!C216/1000000</f>
        <v>35396.986726798976</v>
      </c>
      <c r="AN22" s="2342">
        <f>AA22+AB22+AC22+AD22+AE22+AF22+AG22+AH22+AI22+AJ22+AK22+AL22</f>
        <v>90975.793945266167</v>
      </c>
      <c r="AO22" s="1637">
        <f>AN22/AM22</f>
        <v>2.570156455616845</v>
      </c>
      <c r="AP22" s="934" t="s">
        <v>1472</v>
      </c>
      <c r="AQ22" s="354">
        <v>6.38</v>
      </c>
    </row>
    <row r="23" spans="1:45" s="1536" customFormat="1" ht="18" thickBot="1">
      <c r="A23" s="7212"/>
      <c r="B23" s="3261" t="s">
        <v>1513</v>
      </c>
      <c r="C23" s="3235" t="s">
        <v>270</v>
      </c>
      <c r="D23" s="2096">
        <f>스크!U9</f>
        <v>11.385725986556967</v>
      </c>
      <c r="E23" s="3666">
        <f>스크!U10</f>
        <v>13.3530832979393</v>
      </c>
      <c r="F23" s="3667">
        <f>스크!U11</f>
        <v>15.469047818621421</v>
      </c>
      <c r="G23" s="2097">
        <f>스크!U12</f>
        <v>15.753150207654006</v>
      </c>
      <c r="H23" s="1643">
        <f>스크!U13</f>
        <v>10.999915883094561</v>
      </c>
      <c r="I23" s="5442">
        <f>스크!U14</f>
        <v>10.125404504155878</v>
      </c>
      <c r="J23" s="5442">
        <f>스크!U15</f>
        <v>7.4771619816489139</v>
      </c>
      <c r="K23" s="5443">
        <f>스크!U16</f>
        <v>6.9260370878459945</v>
      </c>
      <c r="L23" s="5444">
        <f>(L11+L12+L13+L15+L16+L18)/L5*1000</f>
        <v>5.6863157615432032</v>
      </c>
      <c r="M23" s="5445">
        <f>(M11+M12+M13+M15+M16+M18)/M5*1000</f>
        <v>5.6863157615432032</v>
      </c>
      <c r="N23" s="5446">
        <f>스크!U18</f>
        <v>9.3289418133322055</v>
      </c>
      <c r="O23" s="5447">
        <f>스크!U19</f>
        <v>7.6142109733340471</v>
      </c>
      <c r="P23" s="5447">
        <f>스크!U20</f>
        <v>6.6553475879534512</v>
      </c>
      <c r="Q23" s="5448">
        <f>스크!U22</f>
        <v>7.8680730117501945</v>
      </c>
      <c r="R23" s="5448">
        <f>스크!U23</f>
        <v>5.4648492383628451</v>
      </c>
      <c r="S23" s="5448">
        <f>스크!U24</f>
        <v>4.5386491467501466</v>
      </c>
      <c r="T23" s="5448">
        <f>스크!U27</f>
        <v>6.1247840918976602</v>
      </c>
      <c r="U23" s="5448">
        <f>스크!U28</f>
        <v>4.6484204150312083</v>
      </c>
      <c r="V23" s="5448">
        <f>스크!U29</f>
        <v>6.9730313632752647</v>
      </c>
      <c r="W23" s="5448">
        <f>스크!U31</f>
        <v>5.0372164595501472</v>
      </c>
      <c r="X23" s="5535">
        <f>스크!U32</f>
        <v>3.6751612259572846</v>
      </c>
      <c r="Y23" s="5449">
        <f>스크!U33</f>
        <v>7.1000402783152605</v>
      </c>
      <c r="Z23" s="5450">
        <f>스크!U36</f>
        <v>6.2407581916628239</v>
      </c>
      <c r="AA23" s="5730"/>
      <c r="AB23" s="3068"/>
      <c r="AC23" s="3068"/>
      <c r="AD23" s="3068"/>
      <c r="AE23" s="3068"/>
      <c r="AF23" s="3068"/>
      <c r="AG23" s="3068"/>
      <c r="AH23" s="3068"/>
      <c r="AI23" s="3068"/>
      <c r="AJ23" s="3068"/>
      <c r="AK23" s="3068"/>
      <c r="AL23" s="3068"/>
      <c r="AM23" s="3237"/>
      <c r="AN23" s="3238"/>
      <c r="AO23" s="3239"/>
      <c r="AP23" s="934" t="s">
        <v>1543</v>
      </c>
    </row>
    <row r="24" spans="1:45" ht="16.5" customHeight="1">
      <c r="A24" s="7184" t="s">
        <v>793</v>
      </c>
      <c r="B24" s="7213" t="s">
        <v>784</v>
      </c>
      <c r="C24" s="913" t="s">
        <v>740</v>
      </c>
      <c r="D24" s="1185"/>
      <c r="E24" s="1186"/>
      <c r="F24" s="1186"/>
      <c r="G24" s="1188">
        <v>185</v>
      </c>
      <c r="H24" s="1188">
        <v>139</v>
      </c>
      <c r="I24" s="1553">
        <v>112</v>
      </c>
      <c r="J24" s="1553">
        <v>46</v>
      </c>
      <c r="K24" s="1553">
        <v>49</v>
      </c>
      <c r="L24" s="1420">
        <v>32</v>
      </c>
      <c r="M24" s="2279">
        <f t="shared" ref="M24:M29" si="6">L24/12</f>
        <v>2.6666666666666665</v>
      </c>
      <c r="N24" s="1738">
        <v>5</v>
      </c>
      <c r="O24" s="1068">
        <v>4</v>
      </c>
      <c r="P24" s="1068">
        <v>4</v>
      </c>
      <c r="Q24" s="1068">
        <v>1</v>
      </c>
      <c r="R24" s="1068">
        <v>1</v>
      </c>
      <c r="S24" s="1068">
        <v>3</v>
      </c>
      <c r="T24" s="1068">
        <v>1</v>
      </c>
      <c r="U24" s="1068">
        <v>5</v>
      </c>
      <c r="V24" s="1068">
        <v>2</v>
      </c>
      <c r="W24" s="1068">
        <v>3</v>
      </c>
      <c r="X24" s="5494">
        <v>4</v>
      </c>
      <c r="Y24" s="5338">
        <v>8</v>
      </c>
      <c r="Z24" s="6929">
        <f t="shared" ref="Z24:Z29" si="7">SUM(N24:Y24)</f>
        <v>41</v>
      </c>
      <c r="AA24" s="5733"/>
      <c r="AB24" s="825"/>
      <c r="AC24" s="825"/>
      <c r="AD24" s="825"/>
      <c r="AE24" s="825"/>
      <c r="AF24" s="825"/>
      <c r="AG24" s="825"/>
      <c r="AH24" s="825"/>
      <c r="AI24" s="825"/>
      <c r="AJ24" s="825"/>
      <c r="AK24" s="825"/>
      <c r="AL24" s="825"/>
      <c r="AM24" s="2095"/>
      <c r="AN24" s="2343"/>
      <c r="AO24" s="944"/>
      <c r="AP24" s="1273"/>
    </row>
    <row r="25" spans="1:45" ht="16.5" customHeight="1">
      <c r="A25" s="7184"/>
      <c r="B25" s="7209"/>
      <c r="C25" s="1617" t="s">
        <v>791</v>
      </c>
      <c r="D25" s="1565"/>
      <c r="E25" s="1566"/>
      <c r="F25" s="1566"/>
      <c r="G25" s="1566">
        <v>105.25</v>
      </c>
      <c r="H25" s="1566">
        <v>83.816666666666663</v>
      </c>
      <c r="I25" s="1523">
        <v>69.069999999999993</v>
      </c>
      <c r="J25" s="1523">
        <v>21.93</v>
      </c>
      <c r="K25" s="1523">
        <v>23.533333333333335</v>
      </c>
      <c r="L25" s="3648">
        <v>19</v>
      </c>
      <c r="M25" s="3657">
        <f t="shared" si="6"/>
        <v>1.5833333333333333</v>
      </c>
      <c r="N25" s="1659">
        <f>43/60</f>
        <v>0.71666666666666667</v>
      </c>
      <c r="O25" s="1592">
        <f>78/60</f>
        <v>1.3</v>
      </c>
      <c r="P25" s="1592">
        <f>201/60</f>
        <v>3.35</v>
      </c>
      <c r="Q25" s="4155">
        <f>109/60</f>
        <v>1.8166666666666667</v>
      </c>
      <c r="R25" s="4155">
        <f>18/60</f>
        <v>0.3</v>
      </c>
      <c r="S25" s="4155">
        <f>325/60</f>
        <v>5.416666666666667</v>
      </c>
      <c r="T25" s="4155">
        <f>14/60</f>
        <v>0.23333333333333334</v>
      </c>
      <c r="U25" s="4155">
        <f>202/60</f>
        <v>3.3666666666666667</v>
      </c>
      <c r="V25" s="4155">
        <f>42/60</f>
        <v>0.7</v>
      </c>
      <c r="W25" s="4155">
        <f>147/60</f>
        <v>2.4500000000000002</v>
      </c>
      <c r="X25" s="5495">
        <f>369/60</f>
        <v>6.15</v>
      </c>
      <c r="Y25" s="5339">
        <f>241/60</f>
        <v>4.0166666666666666</v>
      </c>
      <c r="Z25" s="5398">
        <f t="shared" si="7"/>
        <v>29.816666666666663</v>
      </c>
      <c r="AA25" s="5763">
        <f>($K$25/12-N25)*년간!$E$216/1000</f>
        <v>1307.6135899324461</v>
      </c>
      <c r="AB25" s="1680">
        <f>($K$25/12-O25)*년간!$E$216/1000</f>
        <v>694.66971965161213</v>
      </c>
      <c r="AC25" s="1680">
        <f>($K$25/12-P25)*년간!$E$216/1000</f>
        <v>-1459.3901673353193</v>
      </c>
      <c r="AD25" s="1680">
        <f>($K$25/12-Q25)*년간!$E$216/1000</f>
        <v>151.77657740287339</v>
      </c>
      <c r="AE25" s="1680">
        <f>($K$25/12-R25)*년간!$E$216/1000</f>
        <v>1745.4306401330418</v>
      </c>
      <c r="AF25" s="1680">
        <f>($K$25/12-S25)*년간!$E$216/1000</f>
        <v>-3630.9627363302743</v>
      </c>
      <c r="AG25" s="1680">
        <f>($K$25/12-T25)*년간!$E$216/1000</f>
        <v>1815.4813681651372</v>
      </c>
      <c r="AH25" s="1680">
        <f>($K$25/12-U25)*년간!$E$216/1000</f>
        <v>-1476.902849343343</v>
      </c>
      <c r="AI25" s="1680">
        <f>($K$25/12-V25)*년간!$E$216/1000</f>
        <v>1325.1262719404701</v>
      </c>
      <c r="AJ25" s="1680">
        <f>($K$25/12-W25)*년간!$E$216/1000</f>
        <v>-513.70533890203239</v>
      </c>
      <c r="AK25" s="1680">
        <f>($K$25/12-X25)*년간!$E$216/1000</f>
        <v>-4401.5207446833238</v>
      </c>
      <c r="AL25" s="1680">
        <f>($K$25/12-Y25)*년간!$E$216/1000</f>
        <v>-2159.8974476562726</v>
      </c>
      <c r="AM25" s="2223">
        <f>(K25-L25)*년간!E216/1000</f>
        <v>4763.4495061824846</v>
      </c>
      <c r="AN25" s="3229">
        <f>AA25+AB25+AC25+AD25+AE25+AF25+AG25+AH25+AI25+AJ25+AK25+AL25</f>
        <v>-6602.2811170249843</v>
      </c>
      <c r="AO25" s="3230">
        <f>AN25/AM25</f>
        <v>-1.3860294117647052</v>
      </c>
      <c r="AP25" s="1597"/>
      <c r="AQ25" s="511">
        <f>SUM(N25:X25)</f>
        <v>25.799999999999997</v>
      </c>
    </row>
    <row r="26" spans="1:45" ht="16.5" customHeight="1">
      <c r="A26" s="7184"/>
      <c r="B26" s="7210" t="s">
        <v>789</v>
      </c>
      <c r="C26" s="1617" t="s">
        <v>740</v>
      </c>
      <c r="D26" s="1565"/>
      <c r="E26" s="1566"/>
      <c r="F26" s="1566"/>
      <c r="G26" s="1567">
        <v>19</v>
      </c>
      <c r="H26" s="1567">
        <v>30</v>
      </c>
      <c r="I26" s="1522">
        <v>15</v>
      </c>
      <c r="J26" s="1522">
        <v>4</v>
      </c>
      <c r="K26" s="1522">
        <v>6</v>
      </c>
      <c r="L26" s="3658">
        <f>년간!D43</f>
        <v>6</v>
      </c>
      <c r="M26" s="3659">
        <v>0.5</v>
      </c>
      <c r="N26" s="1673">
        <f>년간!F43</f>
        <v>0</v>
      </c>
      <c r="O26" s="1669">
        <f>년간!G43</f>
        <v>1</v>
      </c>
      <c r="P26" s="1669">
        <f>년간!H43</f>
        <v>0</v>
      </c>
      <c r="Q26" s="5374">
        <f>년간!I43</f>
        <v>3</v>
      </c>
      <c r="R26" s="5374">
        <f>년간!J43</f>
        <v>1</v>
      </c>
      <c r="S26" s="5374">
        <f>년간!K43</f>
        <v>0</v>
      </c>
      <c r="T26" s="5374">
        <f>년간!L43</f>
        <v>0</v>
      </c>
      <c r="U26" s="5374">
        <f>년간!M43</f>
        <v>0</v>
      </c>
      <c r="V26" s="5374">
        <f>년간!N43</f>
        <v>0</v>
      </c>
      <c r="W26" s="5374">
        <f>년간!O43</f>
        <v>0</v>
      </c>
      <c r="X26" s="5536">
        <f>년간!P43</f>
        <v>1</v>
      </c>
      <c r="Y26" s="5386">
        <f>년간!Q43</f>
        <v>3</v>
      </c>
      <c r="Z26" s="6671">
        <f t="shared" si="7"/>
        <v>9</v>
      </c>
      <c r="AA26" s="5742"/>
      <c r="AB26" s="1593"/>
      <c r="AC26" s="1593"/>
      <c r="AD26" s="1593"/>
      <c r="AE26" s="1593"/>
      <c r="AF26" s="1593"/>
      <c r="AG26" s="1593"/>
      <c r="AH26" s="1593"/>
      <c r="AI26" s="1593"/>
      <c r="AJ26" s="1593"/>
      <c r="AK26" s="1593"/>
      <c r="AL26" s="1593"/>
      <c r="AM26" s="2440"/>
      <c r="AN26" s="2441"/>
      <c r="AO26" s="1596"/>
      <c r="AP26" s="1597"/>
    </row>
    <row r="27" spans="1:45" ht="16.5" customHeight="1">
      <c r="A27" s="7184"/>
      <c r="B27" s="7209"/>
      <c r="C27" s="1617" t="s">
        <v>791</v>
      </c>
      <c r="D27" s="1565"/>
      <c r="E27" s="1566"/>
      <c r="F27" s="1566"/>
      <c r="G27" s="1566">
        <v>22.1</v>
      </c>
      <c r="H27" s="1566">
        <v>50</v>
      </c>
      <c r="I27" s="1523">
        <v>32</v>
      </c>
      <c r="J27" s="1523">
        <v>3.93</v>
      </c>
      <c r="K27" s="1523">
        <v>15.983333333333334</v>
      </c>
      <c r="L27" s="3648">
        <f>년간!D53/60</f>
        <v>13.949090909090909</v>
      </c>
      <c r="M27" s="3657">
        <f t="shared" si="6"/>
        <v>1.1624242424242424</v>
      </c>
      <c r="N27" s="1659">
        <f>년간!F53/60</f>
        <v>0</v>
      </c>
      <c r="O27" s="1592">
        <f>년간!G53/60</f>
        <v>1</v>
      </c>
      <c r="P27" s="1592">
        <f>년간!H53/60</f>
        <v>0</v>
      </c>
      <c r="Q27" s="4155">
        <f>년간!I53/60</f>
        <v>2.4333333333333331</v>
      </c>
      <c r="R27" s="4155">
        <f>년간!J53/60</f>
        <v>2.8333333333333335</v>
      </c>
      <c r="S27" s="4155">
        <f>년간!K53/60</f>
        <v>0</v>
      </c>
      <c r="T27" s="4155">
        <f>년간!L53/60</f>
        <v>0</v>
      </c>
      <c r="U27" s="4155">
        <f>년간!M53/60</f>
        <v>0</v>
      </c>
      <c r="V27" s="4155">
        <f>년간!N53/60</f>
        <v>0</v>
      </c>
      <c r="W27" s="4155">
        <f>년간!O53/60</f>
        <v>0</v>
      </c>
      <c r="X27" s="5495">
        <f>년간!P53/60</f>
        <v>3.15</v>
      </c>
      <c r="Y27" s="5339">
        <f>년간!Q53/60</f>
        <v>4.916666666666667</v>
      </c>
      <c r="Z27" s="5398">
        <f t="shared" si="7"/>
        <v>14.333333333333332</v>
      </c>
      <c r="AA27" s="3491">
        <f>년간!F179/1000</f>
        <v>1304.1698993321559</v>
      </c>
      <c r="AB27" s="1598">
        <f>년간!G179/1000</f>
        <v>216.51557336350555</v>
      </c>
      <c r="AC27" s="1598">
        <f>년간!H179/1000</f>
        <v>1206.3488949730922</v>
      </c>
      <c r="AD27" s="1598">
        <f>년간!I179/1000</f>
        <v>-1002.430315745377</v>
      </c>
      <c r="AE27" s="1598">
        <f>년간!J179/1000</f>
        <v>-1328.7344081926656</v>
      </c>
      <c r="AF27" s="1598">
        <f>년간!K179/1000</f>
        <v>1345.993519439128</v>
      </c>
      <c r="AG27" s="1598">
        <f>년간!L179/1000</f>
        <v>1427.8047798415278</v>
      </c>
      <c r="AH27" s="1598">
        <f>년간!M179/1000</f>
        <v>1190.8532253636608</v>
      </c>
      <c r="AI27" s="1598">
        <f>년간!N179/1000</f>
        <v>1250.1553732765319</v>
      </c>
      <c r="AJ27" s="1598">
        <f>년간!O179/1000</f>
        <v>1361.0485538937887</v>
      </c>
      <c r="AK27" s="1598">
        <f>년간!P179/1000</f>
        <v>-1518.3501217254939</v>
      </c>
      <c r="AL27" s="1598">
        <f>년간!Q179/1000</f>
        <v>-3007.0101167596017</v>
      </c>
      <c r="AM27" s="2195">
        <f>년간!E179/1000</f>
        <v>2001.469605158866</v>
      </c>
      <c r="AN27" s="2344">
        <f>AA27+AB27+AC27+AD27+AE27+AF27+AG27+AH27+AI27+AJ27+AK27+AL27</f>
        <v>2446.3648570602513</v>
      </c>
      <c r="AO27" s="3230">
        <f>AN27/AM27</f>
        <v>1.2222842908803864</v>
      </c>
      <c r="AP27" s="1610"/>
    </row>
    <row r="28" spans="1:45" ht="16.5" customHeight="1">
      <c r="A28" s="7184"/>
      <c r="B28" s="7210" t="s">
        <v>790</v>
      </c>
      <c r="C28" s="1617" t="s">
        <v>740</v>
      </c>
      <c r="D28" s="1565"/>
      <c r="E28" s="1566"/>
      <c r="F28" s="1566"/>
      <c r="G28" s="1567">
        <v>13</v>
      </c>
      <c r="H28" s="1567">
        <v>14</v>
      </c>
      <c r="I28" s="1522">
        <v>18</v>
      </c>
      <c r="J28" s="1522">
        <v>6</v>
      </c>
      <c r="K28" s="1522">
        <v>6</v>
      </c>
      <c r="L28" s="3658">
        <f>년간!D48</f>
        <v>6</v>
      </c>
      <c r="M28" s="3659">
        <f t="shared" si="6"/>
        <v>0.5</v>
      </c>
      <c r="N28" s="1673">
        <f>년간!F48</f>
        <v>0</v>
      </c>
      <c r="O28" s="1669">
        <f>년간!G48</f>
        <v>0</v>
      </c>
      <c r="P28" s="1669">
        <f>년간!H48</f>
        <v>0</v>
      </c>
      <c r="Q28" s="5374">
        <f>년간!I48</f>
        <v>0</v>
      </c>
      <c r="R28" s="5374">
        <f>년간!J48</f>
        <v>1</v>
      </c>
      <c r="S28" s="5374">
        <f>년간!K48</f>
        <v>0</v>
      </c>
      <c r="T28" s="5374">
        <f>년간!L48</f>
        <v>0</v>
      </c>
      <c r="U28" s="5374">
        <f>년간!M48</f>
        <v>0</v>
      </c>
      <c r="V28" s="5374">
        <f>년간!N48</f>
        <v>0</v>
      </c>
      <c r="W28" s="5374">
        <f>년간!O48</f>
        <v>0</v>
      </c>
      <c r="X28" s="5536">
        <f>년간!P48</f>
        <v>0</v>
      </c>
      <c r="Y28" s="5386">
        <f>년간!Q48</f>
        <v>1</v>
      </c>
      <c r="Z28" s="6671">
        <f t="shared" si="7"/>
        <v>2</v>
      </c>
      <c r="AA28" s="5727"/>
      <c r="AB28" s="1593"/>
      <c r="AC28" s="1593"/>
      <c r="AD28" s="1593"/>
      <c r="AE28" s="1593"/>
      <c r="AF28" s="1593"/>
      <c r="AG28" s="1593"/>
      <c r="AH28" s="1593"/>
      <c r="AI28" s="1593"/>
      <c r="AJ28" s="1593"/>
      <c r="AK28" s="1593"/>
      <c r="AL28" s="1593"/>
      <c r="AM28" s="2440"/>
      <c r="AN28" s="2441"/>
      <c r="AO28" s="1596"/>
      <c r="AP28" s="1597"/>
      <c r="AQ28" s="1705"/>
      <c r="AR28" s="1705"/>
      <c r="AS28" s="1705"/>
    </row>
    <row r="29" spans="1:45" ht="16.5" customHeight="1" thickBot="1">
      <c r="A29" s="7212"/>
      <c r="B29" s="7211"/>
      <c r="C29" s="3235" t="s">
        <v>791</v>
      </c>
      <c r="D29" s="2104"/>
      <c r="E29" s="2105"/>
      <c r="F29" s="2105"/>
      <c r="G29" s="2105">
        <v>16.516666666666666</v>
      </c>
      <c r="H29" s="2105">
        <v>16</v>
      </c>
      <c r="I29" s="1519">
        <v>37</v>
      </c>
      <c r="J29" s="1519">
        <v>4.93</v>
      </c>
      <c r="K29" s="1519">
        <v>7.7833333333333341</v>
      </c>
      <c r="L29" s="3651">
        <f>년간!D58/60</f>
        <v>6.7927272727272729</v>
      </c>
      <c r="M29" s="3660">
        <f t="shared" si="6"/>
        <v>0.56606060606060604</v>
      </c>
      <c r="N29" s="1659">
        <f>년간!F58/60</f>
        <v>0</v>
      </c>
      <c r="O29" s="1592">
        <f>년간!G58/60</f>
        <v>0</v>
      </c>
      <c r="P29" s="1592">
        <f>년간!H58/60</f>
        <v>0</v>
      </c>
      <c r="Q29" s="4155">
        <f>년간!I58/60</f>
        <v>0</v>
      </c>
      <c r="R29" s="4155">
        <f>년간!J58/60</f>
        <v>2.3333333333333335</v>
      </c>
      <c r="S29" s="4155">
        <f>년간!K58/60</f>
        <v>0</v>
      </c>
      <c r="T29" s="4155">
        <f>년간!L58/60</f>
        <v>0</v>
      </c>
      <c r="U29" s="4155">
        <f>년간!M58/60</f>
        <v>0</v>
      </c>
      <c r="V29" s="4155">
        <f>년간!N58/60</f>
        <v>0</v>
      </c>
      <c r="W29" s="4155">
        <f>년간!O58/60</f>
        <v>0</v>
      </c>
      <c r="X29" s="5495">
        <f>년간!P58/60</f>
        <v>0</v>
      </c>
      <c r="Y29" s="5339">
        <f>년간!Q58/60</f>
        <v>6.916666666666667</v>
      </c>
      <c r="Z29" s="6672">
        <f t="shared" si="7"/>
        <v>9.25</v>
      </c>
      <c r="AA29" s="3491">
        <f>년간!F185/1000</f>
        <v>635.08586338698319</v>
      </c>
      <c r="AB29" s="1598">
        <f>년간!G185/1000</f>
        <v>546.71707275549761</v>
      </c>
      <c r="AC29" s="1598">
        <f>년간!H185/1000</f>
        <v>587.45040036750163</v>
      </c>
      <c r="AD29" s="1598">
        <f>년간!I185/1000</f>
        <v>603.50769983878331</v>
      </c>
      <c r="AE29" s="1598">
        <f>년간!J185/1000</f>
        <v>-1536.6486487698917</v>
      </c>
      <c r="AF29" s="1598">
        <f>년간!K185/1000</f>
        <v>655.45252719298514</v>
      </c>
      <c r="AG29" s="1598">
        <f>년간!L185/1000</f>
        <v>695.29179581438348</v>
      </c>
      <c r="AH29" s="1598">
        <f>년간!M185/1000</f>
        <v>579.90454248678816</v>
      </c>
      <c r="AI29" s="1598">
        <f>년간!N185/1000</f>
        <v>608.78264788335821</v>
      </c>
      <c r="AJ29" s="1598">
        <f>년간!O185/1000</f>
        <v>662.7838109159535</v>
      </c>
      <c r="AK29" s="1598">
        <f>년간!P185/1000</f>
        <v>658.84995135728764</v>
      </c>
      <c r="AL29" s="1598">
        <f>년간!Q185/1000</f>
        <v>-5425.3023964572358</v>
      </c>
      <c r="AM29" s="2195">
        <f>년간!E185/1000</f>
        <v>974.64682545275377</v>
      </c>
      <c r="AN29" s="2344">
        <f>AA29+AB29+AC29+AD29+AE29+AF29+AG29+AH29+AI29+AJ29+AK29+AL29</f>
        <v>-728.12473322760616</v>
      </c>
      <c r="AO29" s="1637">
        <f>AN29/AM29</f>
        <v>-0.74706520784015229</v>
      </c>
      <c r="AP29" s="1610"/>
      <c r="AQ29" s="1705"/>
      <c r="AR29" s="1705"/>
      <c r="AS29" s="1705"/>
    </row>
    <row r="30" spans="1:45">
      <c r="A30" s="7183" t="s">
        <v>357</v>
      </c>
      <c r="B30" s="7208" t="s">
        <v>358</v>
      </c>
      <c r="C30" s="965" t="s">
        <v>359</v>
      </c>
      <c r="D30" s="3742">
        <v>24.72544279546339</v>
      </c>
      <c r="E30" s="2201">
        <v>26.141686980240948</v>
      </c>
      <c r="F30" s="2201">
        <v>29.95</v>
      </c>
      <c r="G30" s="2201">
        <v>27.847944510753116</v>
      </c>
      <c r="H30" s="2119">
        <v>26.925635918047181</v>
      </c>
      <c r="I30" s="2120">
        <v>24.51</v>
      </c>
      <c r="J30" s="2120">
        <v>25.5164081871166</v>
      </c>
      <c r="K30" s="2120">
        <v>24.863893783777399</v>
      </c>
      <c r="L30" s="2196">
        <f>24.8638937837774-0.5</f>
        <v>24.363893783777399</v>
      </c>
      <c r="M30" s="2281">
        <v>24.35</v>
      </c>
      <c r="N30" s="2198">
        <v>23.86</v>
      </c>
      <c r="O30" s="2197">
        <v>25.8</v>
      </c>
      <c r="P30" s="2197">
        <v>24.39</v>
      </c>
      <c r="Q30" s="2197">
        <v>23.94</v>
      </c>
      <c r="R30" s="2197">
        <v>25.22</v>
      </c>
      <c r="S30" s="2197">
        <v>24.06</v>
      </c>
      <c r="T30" s="2197">
        <v>23.66</v>
      </c>
      <c r="U30" s="2197">
        <v>24.03</v>
      </c>
      <c r="V30" s="2197">
        <v>23.96</v>
      </c>
      <c r="W30" s="2197">
        <v>24.45</v>
      </c>
      <c r="X30" s="5537">
        <v>25.211862013922094</v>
      </c>
      <c r="Y30" s="5387">
        <v>25.48</v>
      </c>
      <c r="Z30" s="6673">
        <f t="shared" ref="Z30:Z41" si="8">AVERAGE(N30:Y30)</f>
        <v>24.505155167826842</v>
      </c>
      <c r="AA30" s="7470">
        <f>($K$30-N30)*N5*3.785</f>
        <v>52110.784461258751</v>
      </c>
      <c r="AB30" s="7470">
        <f t="shared" ref="AB30:AL30" si="9">($K$30-O30)*O5*3.785</f>
        <v>-40423.68756070266</v>
      </c>
      <c r="AC30" s="7470">
        <f t="shared" si="9"/>
        <v>23854.399829312279</v>
      </c>
      <c r="AD30" s="7470">
        <f t="shared" si="9"/>
        <v>45129.103543616031</v>
      </c>
      <c r="AE30" s="7470">
        <f t="shared" si="9"/>
        <v>-17035.571566774495</v>
      </c>
      <c r="AF30" s="7470">
        <f t="shared" si="9"/>
        <v>41357.350920648445</v>
      </c>
      <c r="AG30" s="7470">
        <f t="shared" si="9"/>
        <v>68617.593177920586</v>
      </c>
      <c r="AH30" s="7470">
        <f t="shared" si="9"/>
        <v>39185.220478743227</v>
      </c>
      <c r="AI30" s="7470">
        <f t="shared" si="9"/>
        <v>44530.354464996439</v>
      </c>
      <c r="AJ30" s="7470">
        <f t="shared" si="9"/>
        <v>21368.996228936001</v>
      </c>
      <c r="AK30" s="7470">
        <f t="shared" si="9"/>
        <v>-17491.936407315679</v>
      </c>
      <c r="AL30" s="7470">
        <f t="shared" si="9"/>
        <v>-29527.070007430186</v>
      </c>
      <c r="AM30" s="7481">
        <f>(K30-L30)*3785*L5/1000</f>
        <v>316766.65000000002</v>
      </c>
      <c r="AN30" s="7479">
        <f>SUM(AA30:AL31)</f>
        <v>231675.53756320872</v>
      </c>
      <c r="AO30" s="7467">
        <f>AN30/AM30</f>
        <v>0.73137603836517739</v>
      </c>
      <c r="AP30" s="972" t="s">
        <v>360</v>
      </c>
      <c r="AQ30" s="1705"/>
      <c r="AR30" s="1706"/>
      <c r="AS30" s="1705"/>
    </row>
    <row r="31" spans="1:45">
      <c r="A31" s="7124"/>
      <c r="B31" s="7209"/>
      <c r="C31" s="914" t="s">
        <v>361</v>
      </c>
      <c r="D31" s="3743">
        <v>105283.06681791833</v>
      </c>
      <c r="E31" s="2202">
        <v>114065.66260715712</v>
      </c>
      <c r="F31" s="2202">
        <v>134458</v>
      </c>
      <c r="G31" s="2202">
        <v>117950.72450326069</v>
      </c>
      <c r="H31" s="2202">
        <v>106044</v>
      </c>
      <c r="I31" s="3641">
        <v>91380</v>
      </c>
      <c r="J31" s="3641">
        <v>94521.411917584599</v>
      </c>
      <c r="K31" s="3744">
        <v>94499.699186638114</v>
      </c>
      <c r="L31" s="3601">
        <v>92596</v>
      </c>
      <c r="M31" s="3661">
        <v>925896</v>
      </c>
      <c r="N31" s="2127">
        <v>89731</v>
      </c>
      <c r="O31" s="2126">
        <v>97870.11</v>
      </c>
      <c r="P31" s="2126">
        <v>91823.76</v>
      </c>
      <c r="Q31" s="3592">
        <v>90068.34</v>
      </c>
      <c r="R31" s="3592">
        <v>96146</v>
      </c>
      <c r="S31" s="3592">
        <v>95512</v>
      </c>
      <c r="T31" s="3592">
        <v>92235</v>
      </c>
      <c r="U31" s="3592">
        <v>96456</v>
      </c>
      <c r="V31" s="3592">
        <v>94652</v>
      </c>
      <c r="W31" s="3592">
        <v>98445</v>
      </c>
      <c r="X31" s="5476">
        <v>98245.733582811605</v>
      </c>
      <c r="Y31" s="5319">
        <v>104595</v>
      </c>
      <c r="Z31" s="6671">
        <f t="shared" si="8"/>
        <v>95481.661965234307</v>
      </c>
      <c r="AA31" s="7471"/>
      <c r="AB31" s="7471"/>
      <c r="AC31" s="7471"/>
      <c r="AD31" s="7471"/>
      <c r="AE31" s="7471"/>
      <c r="AF31" s="7471"/>
      <c r="AG31" s="7471"/>
      <c r="AH31" s="7471"/>
      <c r="AI31" s="7471"/>
      <c r="AJ31" s="7471"/>
      <c r="AK31" s="7471"/>
      <c r="AL31" s="7471"/>
      <c r="AM31" s="7482"/>
      <c r="AN31" s="7480"/>
      <c r="AO31" s="7478"/>
      <c r="AP31" s="1117" t="s">
        <v>1536</v>
      </c>
      <c r="AQ31" s="1708"/>
      <c r="AR31" s="1705"/>
      <c r="AS31" s="1705"/>
    </row>
    <row r="32" spans="1:45" ht="16.5" hidden="1" customHeight="1">
      <c r="A32" s="7180" t="s">
        <v>1020</v>
      </c>
      <c r="B32" s="3167" t="s">
        <v>1026</v>
      </c>
      <c r="C32" s="917" t="s">
        <v>1027</v>
      </c>
      <c r="D32" s="834"/>
      <c r="E32" s="804"/>
      <c r="F32" s="804"/>
      <c r="G32" s="2121"/>
      <c r="H32" s="2121"/>
      <c r="I32" s="2122"/>
      <c r="J32" s="2122">
        <v>18660</v>
      </c>
      <c r="K32" s="1541" t="e">
        <v>#DIV/0!</v>
      </c>
      <c r="L32" s="1829"/>
      <c r="M32" s="2283"/>
      <c r="N32" s="2276"/>
      <c r="O32" s="1282"/>
      <c r="P32" s="1282"/>
      <c r="Q32" s="1282"/>
      <c r="R32" s="1282"/>
      <c r="S32" s="1282"/>
      <c r="T32" s="1282"/>
      <c r="U32" s="1282"/>
      <c r="V32" s="1282"/>
      <c r="W32" s="1282"/>
      <c r="X32" s="5538"/>
      <c r="Y32" s="5388"/>
      <c r="Z32" s="6671" t="e">
        <f t="shared" si="8"/>
        <v>#DIV/0!</v>
      </c>
      <c r="AA32" s="5765"/>
      <c r="AB32" s="1123"/>
      <c r="AC32" s="1123"/>
      <c r="AD32" s="1123"/>
      <c r="AE32" s="1123"/>
      <c r="AF32" s="1123"/>
      <c r="AG32" s="1123"/>
      <c r="AH32" s="1123"/>
      <c r="AI32" s="1123"/>
      <c r="AJ32" s="1123"/>
      <c r="AK32" s="1123"/>
      <c r="AL32" s="1123"/>
      <c r="AM32" s="1124"/>
      <c r="AN32" s="5664"/>
      <c r="AO32" s="1125"/>
      <c r="AP32" s="3249" t="s">
        <v>1028</v>
      </c>
      <c r="AQ32" s="1705"/>
      <c r="AR32" s="1705"/>
      <c r="AS32" s="1705"/>
    </row>
    <row r="33" spans="1:46" ht="16.5" hidden="1" customHeight="1">
      <c r="A33" s="7184"/>
      <c r="B33" s="3219" t="s">
        <v>1021</v>
      </c>
      <c r="C33" s="3262" t="s">
        <v>801</v>
      </c>
      <c r="D33" s="3263"/>
      <c r="E33" s="3264"/>
      <c r="F33" s="3264"/>
      <c r="G33" s="3264"/>
      <c r="H33" s="3264"/>
      <c r="I33" s="3265"/>
      <c r="J33" s="3265">
        <v>390300</v>
      </c>
      <c r="K33" s="3642" t="e">
        <v>#DIV/0!</v>
      </c>
      <c r="L33" s="3662"/>
      <c r="M33" s="3663"/>
      <c r="N33" s="2194"/>
      <c r="O33" s="2190"/>
      <c r="P33" s="2190"/>
      <c r="Q33" s="3595"/>
      <c r="R33" s="3595"/>
      <c r="S33" s="3595"/>
      <c r="T33" s="3595"/>
      <c r="U33" s="3595"/>
      <c r="V33" s="3595"/>
      <c r="W33" s="3595"/>
      <c r="X33" s="5481"/>
      <c r="Y33" s="5323"/>
      <c r="Z33" s="6671" t="e">
        <f t="shared" si="8"/>
        <v>#DIV/0!</v>
      </c>
      <c r="AA33" s="5727"/>
      <c r="AB33" s="3250"/>
      <c r="AC33" s="3250"/>
      <c r="AD33" s="3250"/>
      <c r="AE33" s="3250"/>
      <c r="AF33" s="3250"/>
      <c r="AG33" s="3250"/>
      <c r="AH33" s="3250"/>
      <c r="AI33" s="3250"/>
      <c r="AJ33" s="3250"/>
      <c r="AK33" s="3250"/>
      <c r="AL33" s="3250"/>
      <c r="AM33" s="3266"/>
      <c r="AN33" s="3251"/>
      <c r="AO33" s="3267"/>
      <c r="AP33" s="3268" t="s">
        <v>1029</v>
      </c>
      <c r="AQ33" s="1705"/>
      <c r="AR33" s="1706"/>
      <c r="AS33" s="1705"/>
    </row>
    <row r="34" spans="1:46" ht="16.5" hidden="1" customHeight="1">
      <c r="A34" s="7184"/>
      <c r="B34" s="3169" t="s">
        <v>1022</v>
      </c>
      <c r="C34" s="913" t="s">
        <v>1024</v>
      </c>
      <c r="D34" s="1145"/>
      <c r="E34" s="941"/>
      <c r="F34" s="941"/>
      <c r="G34" s="941"/>
      <c r="H34" s="941"/>
      <c r="I34" s="942"/>
      <c r="J34" s="942">
        <v>360</v>
      </c>
      <c r="K34" s="942" t="e">
        <v>#DIV/0!</v>
      </c>
      <c r="L34" s="3662"/>
      <c r="M34" s="3663"/>
      <c r="N34" s="1505"/>
      <c r="O34" s="1281"/>
      <c r="P34" s="1281"/>
      <c r="Q34" s="1281"/>
      <c r="R34" s="1281"/>
      <c r="S34" s="1281"/>
      <c r="T34" s="1281"/>
      <c r="U34" s="1281"/>
      <c r="V34" s="1281"/>
      <c r="W34" s="1281"/>
      <c r="X34" s="5539"/>
      <c r="Y34" s="5389"/>
      <c r="Z34" s="6671" t="e">
        <f t="shared" si="8"/>
        <v>#DIV/0!</v>
      </c>
      <c r="AA34" s="5733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6"/>
      <c r="AN34" s="2345"/>
      <c r="AO34" s="828"/>
      <c r="AP34" s="3172" t="s">
        <v>1030</v>
      </c>
      <c r="AQ34" s="1705"/>
      <c r="AR34" s="1705"/>
      <c r="AS34" s="1705"/>
    </row>
    <row r="35" spans="1:46" ht="17.25" hidden="1" customHeight="1" thickBot="1">
      <c r="A35" s="7212"/>
      <c r="B35" s="2456" t="s">
        <v>1023</v>
      </c>
      <c r="C35" s="3235" t="s">
        <v>1025</v>
      </c>
      <c r="D35" s="3269"/>
      <c r="E35" s="2165"/>
      <c r="F35" s="2165"/>
      <c r="G35" s="2165"/>
      <c r="H35" s="2165"/>
      <c r="I35" s="1689"/>
      <c r="J35" s="1689">
        <v>170</v>
      </c>
      <c r="K35" s="1689" t="e">
        <v>#DIV/0!</v>
      </c>
      <c r="L35" s="2055"/>
      <c r="M35" s="3664"/>
      <c r="N35" s="2225"/>
      <c r="O35" s="2339"/>
      <c r="P35" s="2339"/>
      <c r="Q35" s="2339"/>
      <c r="R35" s="2339"/>
      <c r="S35" s="2339"/>
      <c r="T35" s="2339"/>
      <c r="U35" s="2339"/>
      <c r="V35" s="2339"/>
      <c r="W35" s="2339"/>
      <c r="X35" s="5504"/>
      <c r="Y35" s="5348"/>
      <c r="Z35" s="6671" t="e">
        <f t="shared" si="8"/>
        <v>#DIV/0!</v>
      </c>
      <c r="AA35" s="5742"/>
      <c r="AB35" s="3476"/>
      <c r="AC35" s="3476"/>
      <c r="AD35" s="3476"/>
      <c r="AE35" s="3476"/>
      <c r="AF35" s="3476"/>
      <c r="AG35" s="3476"/>
      <c r="AH35" s="3476"/>
      <c r="AI35" s="3476"/>
      <c r="AJ35" s="3476"/>
      <c r="AK35" s="3476"/>
      <c r="AL35" s="3476"/>
      <c r="AM35" s="5092"/>
      <c r="AN35" s="5093"/>
      <c r="AO35" s="5094"/>
      <c r="AP35" s="3268" t="s">
        <v>1031</v>
      </c>
      <c r="AQ35" s="1705"/>
      <c r="AR35" s="1705"/>
      <c r="AS35" s="1705"/>
    </row>
    <row r="36" spans="1:46">
      <c r="A36" s="7184" t="s">
        <v>767</v>
      </c>
      <c r="B36" s="3167" t="s">
        <v>782</v>
      </c>
      <c r="C36" s="917" t="s">
        <v>277</v>
      </c>
      <c r="D36" s="834"/>
      <c r="E36" s="804"/>
      <c r="F36" s="804"/>
      <c r="G36" s="1190"/>
      <c r="H36" s="804">
        <v>2912.3666731466255</v>
      </c>
      <c r="I36" s="1541">
        <v>2115</v>
      </c>
      <c r="J36" s="1541">
        <v>1397.29</v>
      </c>
      <c r="K36" s="1541">
        <v>1533.0851703840688</v>
      </c>
      <c r="L36" s="1787">
        <v>1456.4309118648653</v>
      </c>
      <c r="M36" s="2283">
        <f t="shared" ref="M36:M41" si="10">L36</f>
        <v>1456.4309118648653</v>
      </c>
      <c r="N36" s="1674">
        <v>1580.3857430669134</v>
      </c>
      <c r="O36" s="1282">
        <v>1636.8844405215914</v>
      </c>
      <c r="P36" s="1282">
        <v>2149.6900537480788</v>
      </c>
      <c r="Q36" s="1282">
        <v>993.72971766682269</v>
      </c>
      <c r="R36" s="1282">
        <v>362.87801573515787</v>
      </c>
      <c r="S36" s="1282">
        <v>1842.4752522595763</v>
      </c>
      <c r="T36" s="1282">
        <v>1816.1316307279151</v>
      </c>
      <c r="U36" s="1282">
        <v>1895.9288665216268</v>
      </c>
      <c r="V36" s="1282">
        <v>2366.3284638894393</v>
      </c>
      <c r="W36" s="1282">
        <v>1102.2567404202348</v>
      </c>
      <c r="X36" s="5538">
        <v>1658.9501583082663</v>
      </c>
      <c r="Y36" s="5388">
        <v>2096.7232405879054</v>
      </c>
      <c r="Z36" s="6671">
        <f t="shared" si="8"/>
        <v>1625.1968602877939</v>
      </c>
      <c r="AA36" s="5727"/>
      <c r="AB36" s="4149"/>
      <c r="AC36" s="4149"/>
      <c r="AD36" s="4149"/>
      <c r="AE36" s="4149"/>
      <c r="AF36" s="4149"/>
      <c r="AG36" s="4149"/>
      <c r="AH36" s="4149"/>
      <c r="AI36" s="4149"/>
      <c r="AJ36" s="4149"/>
      <c r="AK36" s="4149"/>
      <c r="AL36" s="4149"/>
      <c r="AM36" s="5095"/>
      <c r="AN36" s="4151"/>
      <c r="AO36" s="4163"/>
      <c r="AP36" s="3173" t="s">
        <v>814</v>
      </c>
      <c r="AQ36" s="1705"/>
      <c r="AR36" s="1706"/>
      <c r="AS36" s="1705"/>
    </row>
    <row r="37" spans="1:46" ht="18" thickBot="1">
      <c r="A37" s="7184"/>
      <c r="B37" s="3168" t="s">
        <v>780</v>
      </c>
      <c r="C37" s="1617" t="s">
        <v>277</v>
      </c>
      <c r="D37" s="3272"/>
      <c r="E37" s="1847"/>
      <c r="F37" s="1847"/>
      <c r="G37" s="3273"/>
      <c r="H37" s="1847">
        <v>7519.3209617538841</v>
      </c>
      <c r="I37" s="1518">
        <v>5677</v>
      </c>
      <c r="J37" s="1518">
        <v>4118</v>
      </c>
      <c r="K37" s="1518">
        <v>4571.6205676967529</v>
      </c>
      <c r="L37" s="2200">
        <v>4343.0395393119152</v>
      </c>
      <c r="M37" s="3664">
        <f t="shared" si="10"/>
        <v>4343.0395393119152</v>
      </c>
      <c r="N37" s="2225">
        <v>2137.9207557653285</v>
      </c>
      <c r="O37" s="2339">
        <v>4358.3918912641238</v>
      </c>
      <c r="P37" s="2339">
        <v>4618.2844226818697</v>
      </c>
      <c r="Q37" s="2339">
        <v>3741.03679722781</v>
      </c>
      <c r="R37" s="2339">
        <v>3096.9971575188397</v>
      </c>
      <c r="S37" s="2339">
        <v>4223.3597333755142</v>
      </c>
      <c r="T37" s="2339">
        <v>5002.3673688397712</v>
      </c>
      <c r="U37" s="2339">
        <v>5230.2993080128272</v>
      </c>
      <c r="V37" s="2339">
        <v>5136.2944899530266</v>
      </c>
      <c r="W37" s="2339">
        <v>4290.8784667976979</v>
      </c>
      <c r="X37" s="5504">
        <v>4977.7525120378286</v>
      </c>
      <c r="Y37" s="5348">
        <v>5247.7553921607332</v>
      </c>
      <c r="Z37" s="6679">
        <f t="shared" si="8"/>
        <v>4338.4448579696145</v>
      </c>
      <c r="AA37" s="3274">
        <f>($K$37-N37)*N5/1000</f>
        <v>33376.51366776925</v>
      </c>
      <c r="AB37" s="3274">
        <f t="shared" ref="AB37:AL37" si="11">($K$37-O37)*O5/1000</f>
        <v>2432.7110434125148</v>
      </c>
      <c r="AC37" s="3274">
        <f t="shared" si="11"/>
        <v>-620.58634055546725</v>
      </c>
      <c r="AD37" s="3274">
        <f t="shared" si="11"/>
        <v>10718.949344708259</v>
      </c>
      <c r="AE37" s="3274">
        <f t="shared" si="11"/>
        <v>18637.70334705542</v>
      </c>
      <c r="AF37" s="3274">
        <f t="shared" si="11"/>
        <v>4733.6134992194238</v>
      </c>
      <c r="AG37" s="3274">
        <f t="shared" si="11"/>
        <v>-6486.3963975441284</v>
      </c>
      <c r="AH37" s="3274">
        <f t="shared" si="11"/>
        <v>-8177.4768006618515</v>
      </c>
      <c r="AI37" s="3274">
        <f t="shared" si="11"/>
        <v>-7349.7167177385436</v>
      </c>
      <c r="AJ37" s="3274">
        <f t="shared" si="11"/>
        <v>3829.4542050505333</v>
      </c>
      <c r="AK37" s="3274">
        <f t="shared" si="11"/>
        <v>-5393.8586593910441</v>
      </c>
      <c r="AL37" s="3274">
        <f t="shared" si="11"/>
        <v>-8561.1515338804729</v>
      </c>
      <c r="AM37" s="3275">
        <f>(K37-L37)*L5/1000</f>
        <v>38259.892531054138</v>
      </c>
      <c r="AN37" s="3276">
        <f>SUM(AA37:AL37)</f>
        <v>37139.758657443883</v>
      </c>
      <c r="AO37" s="3277">
        <f>AN37/AM37</f>
        <v>0.97072302613759087</v>
      </c>
      <c r="AP37" s="3278" t="s">
        <v>800</v>
      </c>
      <c r="AQ37" s="1705"/>
      <c r="AR37" s="1705"/>
      <c r="AS37" s="1705"/>
    </row>
    <row r="38" spans="1:46">
      <c r="A38" s="7183" t="s">
        <v>300</v>
      </c>
      <c r="B38" s="7208" t="s">
        <v>363</v>
      </c>
      <c r="C38" s="965" t="s">
        <v>274</v>
      </c>
      <c r="D38" s="1126">
        <v>25.992770160000781</v>
      </c>
      <c r="E38" s="1127">
        <v>27.501883360030146</v>
      </c>
      <c r="F38" s="1127">
        <v>30.594565248919942</v>
      </c>
      <c r="G38" s="1127">
        <v>34.94</v>
      </c>
      <c r="H38" s="1127">
        <v>36.084247210762676</v>
      </c>
      <c r="I38" s="1521">
        <v>27.81</v>
      </c>
      <c r="J38" s="1521">
        <v>24.83</v>
      </c>
      <c r="K38" s="1521">
        <v>23.751775128874105</v>
      </c>
      <c r="L38" s="4995">
        <v>22.220362270190495</v>
      </c>
      <c r="M38" s="4996">
        <f t="shared" si="10"/>
        <v>22.220362270190495</v>
      </c>
      <c r="N38" s="1676">
        <v>24.794174843648715</v>
      </c>
      <c r="O38" s="1283">
        <v>23.919946918773277</v>
      </c>
      <c r="P38" s="1283">
        <v>25.361378381060945</v>
      </c>
      <c r="Q38" s="1283">
        <v>24.434419293748626</v>
      </c>
      <c r="R38" s="1283">
        <v>24.606458855231576</v>
      </c>
      <c r="S38" s="1283">
        <v>27.007353509194648</v>
      </c>
      <c r="T38" s="1283">
        <v>24.345402493875547</v>
      </c>
      <c r="U38" s="1283">
        <v>24.659262164950864</v>
      </c>
      <c r="V38" s="1283">
        <v>25.014482331555502</v>
      </c>
      <c r="W38" s="1283">
        <v>25.385195671410152</v>
      </c>
      <c r="X38" s="5540">
        <v>27.327959762217596</v>
      </c>
      <c r="Y38" s="5390">
        <v>29.321112945134619</v>
      </c>
      <c r="Z38" s="6930">
        <f t="shared" si="8"/>
        <v>25.514762264233507</v>
      </c>
      <c r="AA38" s="7458">
        <f>($K$38-N38)*604.35*N5/1000</f>
        <v>-8639.662398218994</v>
      </c>
      <c r="AB38" s="7458">
        <f t="shared" ref="AB38:AL38" si="12">($K$38-O38)*604.35*O5/1000</f>
        <v>-1159.5422791389863</v>
      </c>
      <c r="AC38" s="7458">
        <f t="shared" si="12"/>
        <v>-12936.862605978833</v>
      </c>
      <c r="AD38" s="7458">
        <f t="shared" si="12"/>
        <v>-5324.1672113662689</v>
      </c>
      <c r="AE38" s="7458">
        <f t="shared" si="12"/>
        <v>-6528.3770884144587</v>
      </c>
      <c r="AF38" s="7458">
        <f t="shared" si="12"/>
        <v>-26742.674656361341</v>
      </c>
      <c r="AG38" s="7458">
        <f t="shared" si="12"/>
        <v>-5402.3642668276016</v>
      </c>
      <c r="AH38" s="7458">
        <f t="shared" si="12"/>
        <v>-6808.8635427971558</v>
      </c>
      <c r="AI38" s="7458">
        <f t="shared" si="12"/>
        <v>-9932.6253103998733</v>
      </c>
      <c r="AJ38" s="7458">
        <f t="shared" si="12"/>
        <v>-13465.295058707143</v>
      </c>
      <c r="AK38" s="7458">
        <f t="shared" si="12"/>
        <v>-28703.897522922241</v>
      </c>
      <c r="AL38" s="7458">
        <f t="shared" si="12"/>
        <v>-42617.794130881746</v>
      </c>
      <c r="AM38" s="7465">
        <f>(K38-L38)*604.35*L5/1000</f>
        <v>154911.75686852363</v>
      </c>
      <c r="AN38" s="7479">
        <f>SUM(AA38:AL39)</f>
        <v>-168262.12607201465</v>
      </c>
      <c r="AO38" s="7467">
        <f>AN38/AM38</f>
        <v>-1.086180477669114</v>
      </c>
      <c r="AP38" s="1128" t="s">
        <v>1330</v>
      </c>
      <c r="AQ38" s="1705"/>
      <c r="AR38" s="1705"/>
      <c r="AS38" s="1705"/>
    </row>
    <row r="39" spans="1:46">
      <c r="A39" s="7184"/>
      <c r="B39" s="7209"/>
      <c r="C39" s="914" t="s">
        <v>277</v>
      </c>
      <c r="D39" s="837">
        <v>21528.90769784338</v>
      </c>
      <c r="E39" s="373">
        <v>24001.896460471191</v>
      </c>
      <c r="F39" s="373">
        <v>28328.75021096041</v>
      </c>
      <c r="G39" s="373">
        <v>25512</v>
      </c>
      <c r="H39" s="373">
        <v>20189.319102139714</v>
      </c>
      <c r="I39" s="2765">
        <v>16368</v>
      </c>
      <c r="J39" s="2765">
        <v>14200</v>
      </c>
      <c r="K39" s="2765">
        <v>14375.865880614154</v>
      </c>
      <c r="L39" s="1058">
        <v>13353.880502475075</v>
      </c>
      <c r="M39" s="2283">
        <f t="shared" si="10"/>
        <v>13353.880502475075</v>
      </c>
      <c r="N39" s="1677">
        <v>15753.564637651134</v>
      </c>
      <c r="O39" s="1284">
        <v>15328.280047037308</v>
      </c>
      <c r="P39" s="1284">
        <v>16115.907188253128</v>
      </c>
      <c r="Q39" s="1284">
        <v>15044.550730117746</v>
      </c>
      <c r="R39" s="1284">
        <v>15246.502336366548</v>
      </c>
      <c r="S39" s="1284">
        <v>16428.791830688278</v>
      </c>
      <c r="T39" s="1284">
        <v>12471.944290890073</v>
      </c>
      <c r="U39" s="1284">
        <v>13023.009899460896</v>
      </c>
      <c r="V39" s="1284">
        <v>12037.006536772687</v>
      </c>
      <c r="W39" s="1284">
        <v>11253.314445172866</v>
      </c>
      <c r="X39" s="5541">
        <v>12023.704860217282</v>
      </c>
      <c r="Y39" s="5391">
        <v>14786.963084946368</v>
      </c>
      <c r="Z39" s="6676">
        <f t="shared" si="8"/>
        <v>14126.128323964527</v>
      </c>
      <c r="AA39" s="7459"/>
      <c r="AB39" s="7459"/>
      <c r="AC39" s="7459"/>
      <c r="AD39" s="7459"/>
      <c r="AE39" s="7459"/>
      <c r="AF39" s="7459"/>
      <c r="AG39" s="7459"/>
      <c r="AH39" s="7459"/>
      <c r="AI39" s="7459"/>
      <c r="AJ39" s="7459"/>
      <c r="AK39" s="7459"/>
      <c r="AL39" s="7459"/>
      <c r="AM39" s="7466"/>
      <c r="AN39" s="7480"/>
      <c r="AO39" s="7468"/>
      <c r="AP39" s="374" t="s">
        <v>362</v>
      </c>
      <c r="AQ39" s="1705"/>
      <c r="AR39" s="1705"/>
      <c r="AS39" s="1705"/>
    </row>
    <row r="40" spans="1:46">
      <c r="A40" s="7184"/>
      <c r="B40" s="7210" t="s">
        <v>301</v>
      </c>
      <c r="C40" s="912" t="s">
        <v>276</v>
      </c>
      <c r="D40" s="3279">
        <v>69.810011659497277</v>
      </c>
      <c r="E40" s="3280">
        <v>67.782646736571039</v>
      </c>
      <c r="F40" s="3280">
        <v>77.702166010315011</v>
      </c>
      <c r="G40" s="3280">
        <v>84.58</v>
      </c>
      <c r="H40" s="3280">
        <v>79.070682134390594</v>
      </c>
      <c r="I40" s="3281">
        <v>72.349999999999994</v>
      </c>
      <c r="J40" s="3281">
        <v>65.83</v>
      </c>
      <c r="K40" s="5172">
        <v>67.750527960591967</v>
      </c>
      <c r="L40" s="3647">
        <v>63.356954989929271</v>
      </c>
      <c r="M40" s="3663">
        <f t="shared" si="10"/>
        <v>63.356954989929271</v>
      </c>
      <c r="N40" s="1678">
        <v>63.412496115856392</v>
      </c>
      <c r="O40" s="1497">
        <v>72.355967566665313</v>
      </c>
      <c r="P40" s="1497">
        <v>58.194672112657422</v>
      </c>
      <c r="Q40" s="1497">
        <v>59.030926780583513</v>
      </c>
      <c r="R40" s="1497">
        <v>56.592481753638232</v>
      </c>
      <c r="S40" s="1497">
        <v>63.324271730373781</v>
      </c>
      <c r="T40" s="1497">
        <v>53.561811310430194</v>
      </c>
      <c r="U40" s="1497">
        <v>60.199259442431199</v>
      </c>
      <c r="V40" s="1497">
        <v>57.911399054691742</v>
      </c>
      <c r="W40" s="1497">
        <v>56.2657646693971</v>
      </c>
      <c r="X40" s="5542">
        <v>52.788360107069849</v>
      </c>
      <c r="Y40" s="5392">
        <v>60.293634841534761</v>
      </c>
      <c r="Z40" s="6672">
        <f t="shared" si="8"/>
        <v>59.494253790444112</v>
      </c>
      <c r="AA40" s="7462">
        <f>($K$40-N40)*101.42*N5/1000</f>
        <v>6033.7915720397314</v>
      </c>
      <c r="AB40" s="7464">
        <f t="shared" ref="AB40:AK40" si="13">($K$40-O40)*105*O5/1000</f>
        <v>-5517.0294989164304</v>
      </c>
      <c r="AC40" s="7464">
        <f t="shared" si="13"/>
        <v>13343.829595965681</v>
      </c>
      <c r="AD40" s="7464">
        <f t="shared" si="13"/>
        <v>11815.570567540602</v>
      </c>
      <c r="AE40" s="7464">
        <f t="shared" si="13"/>
        <v>14807.738124033496</v>
      </c>
      <c r="AF40" s="7464">
        <f t="shared" si="13"/>
        <v>6317.0455550538127</v>
      </c>
      <c r="AG40" s="7464">
        <f t="shared" si="13"/>
        <v>22434.368017875928</v>
      </c>
      <c r="AH40" s="7464">
        <f t="shared" si="13"/>
        <v>9843.6210720655909</v>
      </c>
      <c r="AI40" s="7464">
        <f t="shared" si="13"/>
        <v>13446.796057920803</v>
      </c>
      <c r="AJ40" s="7464">
        <f t="shared" si="13"/>
        <v>16449.044758717711</v>
      </c>
      <c r="AK40" s="7464">
        <f t="shared" si="13"/>
        <v>20864.896433957088</v>
      </c>
      <c r="AL40" s="7464">
        <f>($K$40-Y40)*101.42*Y5/1000</f>
        <v>9575.9176760965966</v>
      </c>
      <c r="AM40" s="7460">
        <f>(K40-L40)*L5*101.42/1000</f>
        <v>74583.887049190133</v>
      </c>
      <c r="AN40" s="7476">
        <f>SUM(AA40:AL41)</f>
        <v>139415.58993235062</v>
      </c>
      <c r="AO40" s="7456">
        <f>AN40/AM40</f>
        <v>1.8692454288471474</v>
      </c>
      <c r="AP40" s="791" t="s">
        <v>1331</v>
      </c>
      <c r="AQ40" s="1705"/>
      <c r="AR40" s="1706"/>
      <c r="AS40" s="1705"/>
    </row>
    <row r="41" spans="1:46" ht="18" thickBot="1">
      <c r="A41" s="7212"/>
      <c r="B41" s="7211"/>
      <c r="C41" s="974" t="s">
        <v>277</v>
      </c>
      <c r="D41" s="1129">
        <v>6502.9342017768859</v>
      </c>
      <c r="E41" s="1130">
        <v>6730.4308803025597</v>
      </c>
      <c r="F41" s="1130">
        <v>8256.6841510507002</v>
      </c>
      <c r="G41" s="1130">
        <v>8941</v>
      </c>
      <c r="H41" s="1130">
        <v>8137.251136154071</v>
      </c>
      <c r="I41" s="1520">
        <v>7587</v>
      </c>
      <c r="J41" s="1520">
        <v>6738</v>
      </c>
      <c r="K41" s="5173">
        <v>6737.730074162424</v>
      </c>
      <c r="L41" s="3665">
        <v>6181.8613481481434</v>
      </c>
      <c r="M41" s="3664">
        <f t="shared" si="10"/>
        <v>6181.8613481481434</v>
      </c>
      <c r="N41" s="1679">
        <v>7750.8700043897716</v>
      </c>
      <c r="O41" s="1285">
        <v>8110.3110191627402</v>
      </c>
      <c r="P41" s="1285">
        <v>5185.5519964905789</v>
      </c>
      <c r="Q41" s="1285">
        <v>5254.813053834434</v>
      </c>
      <c r="R41" s="1285">
        <v>5031.862988625714</v>
      </c>
      <c r="S41" s="1285">
        <v>7382.2271473485143</v>
      </c>
      <c r="T41" s="1285">
        <v>6312.655916621793</v>
      </c>
      <c r="U41" s="1285">
        <v>6990.8871657052568</v>
      </c>
      <c r="V41" s="1285">
        <v>5388.3986057550655</v>
      </c>
      <c r="W41" s="1285">
        <v>5005.6617644024545</v>
      </c>
      <c r="X41" s="5543">
        <v>7612.714524378338</v>
      </c>
      <c r="Y41" s="5393">
        <v>9028.5834025576878</v>
      </c>
      <c r="Z41" s="6677">
        <f t="shared" si="8"/>
        <v>6587.8781324393631</v>
      </c>
      <c r="AA41" s="7463"/>
      <c r="AB41" s="7463"/>
      <c r="AC41" s="7463"/>
      <c r="AD41" s="7463"/>
      <c r="AE41" s="7463"/>
      <c r="AF41" s="7463"/>
      <c r="AG41" s="7463"/>
      <c r="AH41" s="7463"/>
      <c r="AI41" s="7463"/>
      <c r="AJ41" s="7463"/>
      <c r="AK41" s="7463"/>
      <c r="AL41" s="7463"/>
      <c r="AM41" s="7461"/>
      <c r="AN41" s="7477"/>
      <c r="AO41" s="7457"/>
      <c r="AP41" s="1131" t="s">
        <v>362</v>
      </c>
      <c r="AQ41" s="1705"/>
      <c r="AR41" s="1705"/>
      <c r="AS41" s="1705"/>
    </row>
    <row r="42" spans="1:46">
      <c r="A42" s="7184" t="s">
        <v>762</v>
      </c>
      <c r="B42" s="3169" t="s">
        <v>764</v>
      </c>
      <c r="C42" s="913" t="s">
        <v>766</v>
      </c>
      <c r="D42" s="835"/>
      <c r="E42" s="787"/>
      <c r="F42" s="787"/>
      <c r="G42" s="787">
        <v>3</v>
      </c>
      <c r="H42" s="787">
        <v>14</v>
      </c>
      <c r="I42" s="1542">
        <v>21</v>
      </c>
      <c r="J42" s="1542">
        <v>16</v>
      </c>
      <c r="K42" s="1542">
        <v>16</v>
      </c>
      <c r="L42" s="1058">
        <f>'성과개선 실적'!C8</f>
        <v>15</v>
      </c>
      <c r="M42" s="3072">
        <f>L42/12</f>
        <v>1.25</v>
      </c>
      <c r="N42" s="5424">
        <v>1</v>
      </c>
      <c r="O42" s="2493">
        <v>1</v>
      </c>
      <c r="P42" s="2493">
        <v>1</v>
      </c>
      <c r="Q42" s="2493">
        <v>1</v>
      </c>
      <c r="R42" s="2493">
        <v>1</v>
      </c>
      <c r="S42" s="2493">
        <v>1</v>
      </c>
      <c r="T42" s="1286">
        <v>1</v>
      </c>
      <c r="U42" s="1286">
        <v>1</v>
      </c>
      <c r="V42" s="1286">
        <v>1</v>
      </c>
      <c r="W42" s="1286">
        <v>0</v>
      </c>
      <c r="X42" s="5881">
        <v>3</v>
      </c>
      <c r="Y42" s="5711">
        <v>0</v>
      </c>
      <c r="Z42" s="6678">
        <f>SUM(N42:Y42)</f>
        <v>12</v>
      </c>
      <c r="AA42" s="5733"/>
      <c r="AB42" s="825"/>
      <c r="AC42" s="825"/>
      <c r="AD42" s="825"/>
      <c r="AE42" s="825"/>
      <c r="AF42" s="825"/>
      <c r="AG42" s="825"/>
      <c r="AH42" s="825"/>
      <c r="AI42" s="825"/>
      <c r="AJ42" s="825"/>
      <c r="AK42" s="825"/>
      <c r="AL42" s="825"/>
      <c r="AM42" s="825"/>
      <c r="AN42" s="2345"/>
      <c r="AO42" s="828"/>
      <c r="AP42" s="1273"/>
      <c r="AQ42" s="1705"/>
      <c r="AR42" s="1705"/>
      <c r="AS42" s="1705"/>
    </row>
    <row r="43" spans="1:46" ht="18" thickBot="1">
      <c r="A43" s="7212"/>
      <c r="B43" s="2456" t="s">
        <v>763</v>
      </c>
      <c r="C43" s="3235" t="s">
        <v>765</v>
      </c>
      <c r="D43" s="1857"/>
      <c r="E43" s="1858"/>
      <c r="F43" s="1858"/>
      <c r="G43" s="1858">
        <v>329993.13338290306</v>
      </c>
      <c r="H43" s="1858">
        <v>558492.33285125135</v>
      </c>
      <c r="I43" s="3067">
        <v>3702640</v>
      </c>
      <c r="J43" s="1530">
        <v>1662468.3140091116</v>
      </c>
      <c r="K43" s="1530">
        <v>257254.93852279164</v>
      </c>
      <c r="L43" s="3665">
        <f>'성과개선 실적'!I8</f>
        <v>1359952.6981217477</v>
      </c>
      <c r="M43" s="1527">
        <f>L43/12</f>
        <v>113329.39151014564</v>
      </c>
      <c r="N43" s="2227"/>
      <c r="O43" s="2340"/>
      <c r="P43" s="2340"/>
      <c r="Q43" s="2340"/>
      <c r="R43" s="2340"/>
      <c r="S43" s="2340"/>
      <c r="T43" s="2340"/>
      <c r="U43" s="2340"/>
      <c r="V43" s="2340"/>
      <c r="W43" s="2340"/>
      <c r="X43" s="5544"/>
      <c r="Y43" s="5394"/>
      <c r="Z43" s="6679"/>
      <c r="AA43" s="5730"/>
      <c r="AB43" s="3068"/>
      <c r="AC43" s="3068"/>
      <c r="AD43" s="3068"/>
      <c r="AE43" s="3068"/>
      <c r="AF43" s="3068"/>
      <c r="AG43" s="3068"/>
      <c r="AH43" s="3068"/>
      <c r="AI43" s="3068"/>
      <c r="AJ43" s="3068"/>
      <c r="AK43" s="3068"/>
      <c r="AL43" s="3068"/>
      <c r="AM43" s="3068"/>
      <c r="AN43" s="3270"/>
      <c r="AO43" s="3271"/>
      <c r="AP43" s="3282"/>
      <c r="AQ43" s="1705"/>
      <c r="AR43" s="1705"/>
      <c r="AS43" s="1705"/>
    </row>
    <row r="44" spans="1:46" ht="18" thickBot="1">
      <c r="A44" s="7393" t="s">
        <v>364</v>
      </c>
      <c r="B44" s="7394"/>
      <c r="C44" s="945" t="s">
        <v>856</v>
      </c>
      <c r="D44" s="1191">
        <f>D31+D32+D37+D39+D41+D43</f>
        <v>133314.90871753861</v>
      </c>
      <c r="E44" s="1192">
        <f>E31+E32+E37+E39+E41+E43</f>
        <v>144797.98994793088</v>
      </c>
      <c r="F44" s="1551">
        <f>F31+F32+F37+F39+F41+F43</f>
        <v>171043.43436201109</v>
      </c>
      <c r="G44" s="1191">
        <f>G31+G32+G37+G39+G41+G43</f>
        <v>482396.85788616375</v>
      </c>
      <c r="H44" s="1192">
        <f>H31+H32+H37+H39+H41+H43</f>
        <v>700382.22405129904</v>
      </c>
      <c r="I44" s="1551">
        <v>3783077</v>
      </c>
      <c r="J44" s="1551"/>
      <c r="K44" s="1551"/>
      <c r="L44" s="1756"/>
      <c r="M44" s="2284">
        <f>AM44/12</f>
        <v>113329.39151014564</v>
      </c>
      <c r="N44" s="2727">
        <f>AA44</f>
        <v>104813.41174752516</v>
      </c>
      <c r="O44" s="2728">
        <f>AB44</f>
        <v>-38923.39641776093</v>
      </c>
      <c r="P44" s="954">
        <f>AC44</f>
        <v>81468.096922413853</v>
      </c>
      <c r="Q44" s="954">
        <f t="shared" ref="Q44:Y44" si="14">AD44</f>
        <v>84436.747549205742</v>
      </c>
      <c r="R44" s="954">
        <f t="shared" si="14"/>
        <v>-9915.0330136468983</v>
      </c>
      <c r="S44" s="954">
        <f t="shared" si="14"/>
        <v>33023.28969595347</v>
      </c>
      <c r="T44" s="954">
        <f t="shared" si="14"/>
        <v>88712.501171751603</v>
      </c>
      <c r="U44" s="954">
        <f t="shared" si="14"/>
        <v>47643.91909677755</v>
      </c>
      <c r="V44" s="954">
        <f t="shared" si="14"/>
        <v>51231.038413060698</v>
      </c>
      <c r="W44" s="954">
        <f t="shared" si="14"/>
        <v>28271.25354894613</v>
      </c>
      <c r="X44" s="5545">
        <f t="shared" si="14"/>
        <v>-49734.786124968603</v>
      </c>
      <c r="Y44" s="5395">
        <f t="shared" si="14"/>
        <v>-141603.20699705766</v>
      </c>
      <c r="Z44" s="1496">
        <f>N44</f>
        <v>104813.41174752516</v>
      </c>
      <c r="AA44" s="1496">
        <f>SUM(AA6:AA9)+AA30+SUM(AA37:AA41)</f>
        <v>104813.41174752516</v>
      </c>
      <c r="AB44" s="1496">
        <f t="shared" ref="AB44:AM44" si="15">SUM(AB6:AB9)+AB30+SUM(AB37:AB41)</f>
        <v>-38923.39641776093</v>
      </c>
      <c r="AC44" s="1496">
        <f t="shared" si="15"/>
        <v>81468.096922413853</v>
      </c>
      <c r="AD44" s="1496">
        <f t="shared" si="15"/>
        <v>84436.747549205742</v>
      </c>
      <c r="AE44" s="1496">
        <f t="shared" si="15"/>
        <v>-9915.0330136468983</v>
      </c>
      <c r="AF44" s="1496">
        <f t="shared" si="15"/>
        <v>33023.28969595347</v>
      </c>
      <c r="AG44" s="1496">
        <f t="shared" si="15"/>
        <v>88712.501171751603</v>
      </c>
      <c r="AH44" s="1496">
        <f t="shared" si="15"/>
        <v>47643.91909677755</v>
      </c>
      <c r="AI44" s="1496">
        <f t="shared" si="15"/>
        <v>51231.038413060698</v>
      </c>
      <c r="AJ44" s="1496">
        <f t="shared" si="15"/>
        <v>28271.25354894613</v>
      </c>
      <c r="AK44" s="1496">
        <f t="shared" si="15"/>
        <v>-49734.786124968603</v>
      </c>
      <c r="AL44" s="1496">
        <f t="shared" si="15"/>
        <v>-141603.20699705766</v>
      </c>
      <c r="AM44" s="1496">
        <f t="shared" si="15"/>
        <v>1359952.6981217477</v>
      </c>
      <c r="AN44" s="1496">
        <f>SUM(AN6:AN9)+AN30+SUM(AN37:AN41)</f>
        <v>279423.83559220011</v>
      </c>
      <c r="AO44" s="376">
        <f>AN44/AM44</f>
        <v>0.20546584890644859</v>
      </c>
      <c r="AP44" s="377"/>
      <c r="AQ44" s="1705"/>
      <c r="AR44" s="1705"/>
      <c r="AS44" s="1705"/>
    </row>
    <row r="45" spans="1:46">
      <c r="D45" s="354"/>
      <c r="E45" s="354"/>
      <c r="F45" s="354"/>
      <c r="G45" s="354"/>
      <c r="H45" s="354"/>
      <c r="I45" s="354"/>
      <c r="J45" s="1536"/>
      <c r="K45" s="1536"/>
      <c r="L45" s="354"/>
      <c r="M45" s="354"/>
      <c r="N45" s="378"/>
      <c r="O45" s="7472" t="s">
        <v>925</v>
      </c>
      <c r="P45" s="7472"/>
      <c r="Q45" s="7472"/>
      <c r="R45" s="7472"/>
      <c r="S45" s="7472"/>
      <c r="T45" s="7472"/>
      <c r="U45" s="7472"/>
      <c r="V45" s="7472"/>
      <c r="W45" s="7472"/>
      <c r="X45" s="7472"/>
      <c r="Y45" s="7472"/>
      <c r="Z45" s="7472"/>
      <c r="AA45" s="7472"/>
      <c r="AB45" s="7472"/>
      <c r="AC45" s="7472"/>
      <c r="AD45" s="354"/>
      <c r="AE45" s="354"/>
      <c r="AF45" s="727">
        <f>SUM(AA44:AF44)</f>
        <v>254903.11648369039</v>
      </c>
      <c r="AG45" s="354"/>
      <c r="AH45" s="354"/>
      <c r="AI45" s="354"/>
      <c r="AJ45" s="354"/>
      <c r="AK45" s="354"/>
      <c r="AL45" s="354"/>
      <c r="AM45" s="354"/>
      <c r="AN45" s="354">
        <v>120520.10286970725</v>
      </c>
    </row>
    <row r="46" spans="1:46">
      <c r="D46" s="354"/>
      <c r="E46" s="354"/>
      <c r="F46" s="354"/>
      <c r="G46" s="354"/>
      <c r="H46" s="354"/>
      <c r="I46" s="354"/>
      <c r="J46" s="1536"/>
      <c r="K46" s="1536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1536"/>
      <c r="AA46" s="354"/>
      <c r="AB46" s="354"/>
      <c r="AC46" s="354"/>
      <c r="AD46" s="354"/>
      <c r="AE46" s="354"/>
      <c r="AF46" s="354">
        <f>AF45/AM44</f>
        <v>0.18743528126804787</v>
      </c>
      <c r="AG46" s="354"/>
      <c r="AH46" s="354"/>
      <c r="AI46" s="354"/>
      <c r="AJ46" s="354"/>
      <c r="AK46" s="354"/>
      <c r="AL46" s="354"/>
      <c r="AM46" s="354"/>
      <c r="AN46" s="727">
        <f>AN44-AN45</f>
        <v>158903.73272249286</v>
      </c>
      <c r="AP46" s="1705"/>
      <c r="AQ46" s="1705"/>
      <c r="AR46" s="1705"/>
      <c r="AS46" s="1705"/>
      <c r="AT46" s="1705"/>
    </row>
    <row r="47" spans="1:46">
      <c r="I47" s="379"/>
      <c r="J47" s="379"/>
      <c r="K47" s="379"/>
      <c r="L47" s="513"/>
      <c r="M47" s="2426">
        <f>K11/12</f>
        <v>36.456250000000004</v>
      </c>
      <c r="N47" s="1710"/>
      <c r="O47" s="2982"/>
      <c r="P47" s="1711"/>
      <c r="Q47" s="2982"/>
      <c r="R47" s="1711"/>
      <c r="S47" s="2982"/>
      <c r="T47" s="2982"/>
      <c r="U47" s="798"/>
      <c r="V47" s="798"/>
      <c r="W47" s="798"/>
      <c r="X47" s="798"/>
      <c r="Y47" s="798"/>
      <c r="Z47" s="798"/>
      <c r="AA47" s="1711"/>
      <c r="AB47" s="1711"/>
      <c r="AC47" s="1711"/>
      <c r="AD47" s="798"/>
      <c r="AE47" s="798"/>
      <c r="AF47" s="798"/>
      <c r="AG47" s="798"/>
      <c r="AH47" s="798"/>
      <c r="AI47" s="798"/>
      <c r="AJ47" s="798"/>
      <c r="AK47" s="798"/>
      <c r="AL47" s="798"/>
      <c r="AM47" s="1711"/>
      <c r="AN47" s="1711"/>
      <c r="AO47" s="1711"/>
      <c r="AP47" s="1711"/>
      <c r="AQ47" s="1711"/>
      <c r="AR47" s="1705"/>
      <c r="AS47" s="1705"/>
      <c r="AT47" s="1705"/>
    </row>
    <row r="48" spans="1:46">
      <c r="D48" s="654"/>
      <c r="E48" s="654"/>
      <c r="F48" s="654"/>
      <c r="H48" s="379"/>
      <c r="I48" s="654"/>
      <c r="J48" s="1539"/>
      <c r="K48" s="1539"/>
      <c r="L48" s="654"/>
      <c r="M48" s="1539"/>
      <c r="N48" s="1712"/>
      <c r="O48" s="1711"/>
      <c r="P48" s="1711"/>
      <c r="Q48" s="1713"/>
      <c r="R48" s="1711"/>
      <c r="S48" s="1711"/>
      <c r="T48" s="1711" t="s">
        <v>1353</v>
      </c>
      <c r="U48" s="1711"/>
      <c r="V48" s="1711"/>
      <c r="W48" s="798"/>
      <c r="X48" s="1711"/>
      <c r="Y48" s="1711"/>
      <c r="Z48" s="1711"/>
      <c r="AA48" s="1711"/>
      <c r="AB48" s="1711"/>
      <c r="AC48" s="1711"/>
      <c r="AD48" s="1711"/>
      <c r="AE48" s="1711"/>
      <c r="AF48" s="1711"/>
      <c r="AG48" s="1711"/>
      <c r="AH48" s="1711"/>
      <c r="AI48" s="1711"/>
      <c r="AJ48" s="1711"/>
      <c r="AK48" s="1711"/>
      <c r="AL48" s="1712"/>
      <c r="AM48" s="798"/>
      <c r="AN48" s="1714"/>
      <c r="AO48" s="1714"/>
      <c r="AP48" s="1711"/>
      <c r="AQ48" s="1711"/>
      <c r="AR48" s="1705"/>
      <c r="AS48" s="1705"/>
      <c r="AT48" s="1705"/>
    </row>
    <row r="49" spans="4:46">
      <c r="D49" s="654"/>
      <c r="E49" s="654"/>
      <c r="F49" s="654"/>
      <c r="G49" s="654"/>
      <c r="H49" s="654"/>
      <c r="I49" s="511"/>
      <c r="J49" s="1537"/>
      <c r="K49" s="1537"/>
      <c r="L49" s="654"/>
      <c r="M49" s="1539"/>
      <c r="N49" s="1712"/>
      <c r="O49" s="1711" t="s">
        <v>1428</v>
      </c>
      <c r="P49" s="1711">
        <v>151508.71799999999</v>
      </c>
      <c r="Q49" s="2982"/>
      <c r="R49" s="1711"/>
      <c r="S49" s="2982"/>
      <c r="T49" s="2982"/>
      <c r="U49" s="798"/>
      <c r="V49" s="798"/>
      <c r="W49" s="798"/>
      <c r="X49" s="798"/>
      <c r="Y49" s="798"/>
      <c r="Z49" s="798"/>
      <c r="AA49" s="798"/>
      <c r="AB49" s="798"/>
      <c r="AC49" s="798"/>
      <c r="AD49" s="798"/>
      <c r="AE49" s="798"/>
      <c r="AF49" s="798"/>
      <c r="AG49" s="798"/>
      <c r="AH49" s="798"/>
      <c r="AI49" s="798"/>
      <c r="AJ49" s="798"/>
      <c r="AK49" s="798"/>
      <c r="AL49" s="798"/>
      <c r="AM49" s="798"/>
      <c r="AN49" s="1715"/>
      <c r="AO49" s="1715"/>
      <c r="AP49" s="1711"/>
      <c r="AQ49" s="1711"/>
      <c r="AR49" s="1705"/>
      <c r="AS49" s="1705"/>
      <c r="AT49" s="1705"/>
    </row>
    <row r="50" spans="4:46">
      <c r="D50" s="654"/>
      <c r="E50" s="654"/>
      <c r="F50" s="654"/>
      <c r="G50" s="654"/>
      <c r="H50" s="511"/>
      <c r="I50" s="654"/>
      <c r="J50" s="1539"/>
      <c r="K50" s="1539"/>
      <c r="L50" s="654"/>
      <c r="M50" s="1539"/>
      <c r="N50" s="1712"/>
      <c r="O50" s="1711" t="s">
        <v>1355</v>
      </c>
      <c r="P50" s="1711">
        <v>165980</v>
      </c>
      <c r="Q50" s="2982"/>
      <c r="R50" s="1711" t="s">
        <v>1356</v>
      </c>
      <c r="S50" s="2982"/>
      <c r="T50" s="2982"/>
      <c r="U50" s="798"/>
      <c r="V50" s="798"/>
      <c r="W50" s="798"/>
      <c r="X50" s="798"/>
      <c r="Y50" s="798"/>
      <c r="Z50" s="798"/>
      <c r="AA50" s="798"/>
      <c r="AB50" s="798"/>
      <c r="AC50" s="798"/>
      <c r="AD50" s="798"/>
      <c r="AE50" s="798"/>
      <c r="AF50" s="798"/>
      <c r="AG50" s="798"/>
      <c r="AH50" s="798"/>
      <c r="AI50" s="798"/>
      <c r="AJ50" s="798"/>
      <c r="AK50" s="798"/>
      <c r="AL50" s="798"/>
      <c r="AM50" s="798"/>
      <c r="AN50" s="1714"/>
      <c r="AO50" s="1714"/>
      <c r="AP50" s="2256"/>
      <c r="AQ50" s="2256"/>
      <c r="AR50" s="1705"/>
      <c r="AS50" s="1705"/>
      <c r="AT50" s="1705"/>
    </row>
    <row r="51" spans="4:46">
      <c r="D51" s="654"/>
      <c r="E51" s="654"/>
      <c r="F51" s="654"/>
      <c r="G51" s="654"/>
      <c r="H51" s="654"/>
      <c r="I51" s="654"/>
      <c r="J51" s="1539"/>
      <c r="K51" s="1539"/>
      <c r="L51" s="654"/>
      <c r="M51" s="1539"/>
      <c r="N51" s="1712" t="s">
        <v>1357</v>
      </c>
      <c r="O51" s="1711" t="s">
        <v>1354</v>
      </c>
      <c r="P51" s="1711">
        <v>30774</v>
      </c>
      <c r="Q51" s="2982">
        <v>73905</v>
      </c>
      <c r="R51" s="1716">
        <v>60000</v>
      </c>
      <c r="S51" s="2982"/>
      <c r="T51" s="2993">
        <f>P50-R51</f>
        <v>105980</v>
      </c>
      <c r="U51" s="798"/>
      <c r="V51" s="798"/>
      <c r="W51" s="798"/>
      <c r="X51" s="798"/>
      <c r="Y51" s="798"/>
      <c r="Z51" s="798"/>
      <c r="AA51" s="798"/>
      <c r="AB51" s="798"/>
      <c r="AC51" s="798"/>
      <c r="AD51" s="798"/>
      <c r="AE51" s="798"/>
      <c r="AF51" s="798"/>
      <c r="AG51" s="798"/>
      <c r="AH51" s="798"/>
      <c r="AI51" s="798"/>
      <c r="AJ51" s="798"/>
      <c r="AK51" s="798"/>
      <c r="AL51" s="798"/>
      <c r="AM51" s="798"/>
      <c r="AN51" s="1717"/>
      <c r="AO51" s="1717"/>
      <c r="AP51" s="2256"/>
      <c r="AQ51" s="2256"/>
      <c r="AR51" s="1705"/>
      <c r="AS51" s="1705"/>
      <c r="AT51" s="1705"/>
    </row>
    <row r="52" spans="4:46">
      <c r="G52" s="654"/>
      <c r="H52" s="654"/>
      <c r="I52" s="379"/>
      <c r="J52" s="379"/>
      <c r="K52" s="379"/>
      <c r="L52" s="354"/>
      <c r="M52" s="354"/>
      <c r="N52" s="1712"/>
      <c r="O52" s="1711"/>
      <c r="P52" s="1711"/>
      <c r="Q52" s="798"/>
      <c r="R52" s="1716"/>
      <c r="S52" s="798"/>
      <c r="T52" s="798"/>
      <c r="U52" s="798"/>
      <c r="V52" s="798"/>
      <c r="W52" s="798"/>
      <c r="X52" s="798"/>
      <c r="Y52" s="798"/>
      <c r="Z52" s="798"/>
      <c r="AA52" s="798"/>
      <c r="AB52" s="798"/>
      <c r="AC52" s="798"/>
      <c r="AD52" s="798"/>
      <c r="AE52" s="798"/>
      <c r="AF52" s="798"/>
      <c r="AG52" s="798"/>
      <c r="AH52" s="798"/>
      <c r="AI52" s="798"/>
      <c r="AJ52" s="798"/>
      <c r="AK52" s="798"/>
      <c r="AL52" s="798"/>
      <c r="AM52" s="798"/>
      <c r="AN52" s="1711"/>
      <c r="AO52" s="1711"/>
      <c r="AP52" s="1711"/>
      <c r="AQ52" s="1711"/>
      <c r="AR52" s="1705"/>
      <c r="AS52" s="1705"/>
      <c r="AT52" s="1705"/>
    </row>
    <row r="53" spans="4:46">
      <c r="H53" s="379"/>
      <c r="N53" s="1712"/>
      <c r="O53" s="1711"/>
      <c r="P53" s="1711"/>
      <c r="Q53" s="798"/>
      <c r="R53" s="1718"/>
      <c r="S53" s="798"/>
      <c r="T53" s="798"/>
      <c r="U53" s="798"/>
      <c r="V53" s="798"/>
      <c r="W53" s="798"/>
      <c r="X53" s="798"/>
      <c r="Y53" s="798"/>
      <c r="Z53" s="798"/>
      <c r="AA53" s="798"/>
      <c r="AB53" s="798"/>
      <c r="AC53" s="798"/>
      <c r="AD53" s="798"/>
      <c r="AE53" s="798"/>
      <c r="AF53" s="798"/>
      <c r="AG53" s="798"/>
      <c r="AH53" s="798"/>
      <c r="AI53" s="798"/>
      <c r="AJ53" s="798"/>
      <c r="AK53" s="798"/>
      <c r="AL53" s="798"/>
      <c r="AM53" s="1711"/>
      <c r="AN53" s="1711"/>
      <c r="AO53" s="1711"/>
      <c r="AP53" s="1711"/>
      <c r="AQ53" s="1711"/>
      <c r="AR53" s="1705"/>
      <c r="AS53" s="1705"/>
      <c r="AT53" s="1705"/>
    </row>
    <row r="54" spans="4:46">
      <c r="H54" s="379"/>
      <c r="I54" s="379"/>
      <c r="J54" s="379"/>
      <c r="K54" s="379"/>
      <c r="L54" s="354"/>
      <c r="M54" s="354"/>
      <c r="N54" s="1712"/>
      <c r="O54" s="1711"/>
      <c r="P54" s="1711"/>
      <c r="Q54" s="798"/>
      <c r="R54" s="1711"/>
      <c r="S54" s="798"/>
      <c r="T54" s="798"/>
      <c r="U54" s="798"/>
      <c r="V54" s="798"/>
      <c r="W54" s="798"/>
      <c r="X54" s="798"/>
      <c r="Y54" s="798"/>
      <c r="Z54" s="798"/>
      <c r="AA54" s="798"/>
      <c r="AB54" s="798"/>
      <c r="AC54" s="798"/>
      <c r="AD54" s="798"/>
      <c r="AE54" s="798"/>
      <c r="AF54" s="798"/>
      <c r="AG54" s="798"/>
      <c r="AH54" s="798"/>
      <c r="AI54" s="798"/>
      <c r="AJ54" s="798"/>
      <c r="AK54" s="798"/>
      <c r="AL54" s="798"/>
      <c r="AM54" s="1711"/>
      <c r="AN54" s="1711"/>
      <c r="AO54" s="1711"/>
      <c r="AP54" s="1711"/>
      <c r="AQ54" s="1711"/>
      <c r="AR54" s="1705"/>
      <c r="AS54" s="1705"/>
      <c r="AT54" s="1705"/>
    </row>
    <row r="55" spans="4:46">
      <c r="N55" s="1712"/>
      <c r="O55" s="1711"/>
      <c r="P55" s="1711"/>
      <c r="Q55" s="798"/>
      <c r="R55" s="1719"/>
      <c r="S55" s="798"/>
      <c r="T55" s="798"/>
      <c r="U55" s="798"/>
      <c r="V55" s="798"/>
      <c r="W55" s="798"/>
      <c r="X55" s="798"/>
      <c r="Y55" s="798"/>
      <c r="Z55" s="798"/>
      <c r="AA55" s="798"/>
      <c r="AB55" s="798"/>
      <c r="AC55" s="798"/>
      <c r="AD55" s="798"/>
      <c r="AE55" s="798"/>
      <c r="AF55" s="798"/>
      <c r="AG55" s="798"/>
      <c r="AH55" s="798"/>
      <c r="AI55" s="798"/>
      <c r="AJ55" s="798"/>
      <c r="AK55" s="798"/>
      <c r="AL55" s="798"/>
      <c r="AM55" s="1711"/>
      <c r="AN55" s="1711"/>
      <c r="AO55" s="1711"/>
      <c r="AP55" s="1711"/>
      <c r="AQ55" s="1711"/>
      <c r="AR55" s="1705"/>
      <c r="AS55" s="1705"/>
      <c r="AT55" s="1705"/>
    </row>
    <row r="56" spans="4:46">
      <c r="H56" s="1230"/>
      <c r="I56" s="1230"/>
      <c r="J56" s="1230"/>
      <c r="K56" s="1230"/>
      <c r="L56" s="354"/>
      <c r="M56" s="354"/>
      <c r="N56" s="1712"/>
      <c r="O56" s="1720"/>
      <c r="P56" s="1720"/>
      <c r="Q56" s="1720"/>
      <c r="R56" s="1720"/>
      <c r="S56" s="1720"/>
      <c r="T56" s="1720"/>
      <c r="U56" s="1720"/>
      <c r="V56" s="798"/>
      <c r="W56" s="798"/>
      <c r="X56" s="798"/>
      <c r="Y56" s="798"/>
      <c r="Z56" s="798"/>
      <c r="AA56" s="798"/>
      <c r="AB56" s="798"/>
      <c r="AC56" s="798"/>
      <c r="AD56" s="798"/>
      <c r="AE56" s="798"/>
      <c r="AF56" s="798"/>
      <c r="AG56" s="798"/>
      <c r="AH56" s="798"/>
      <c r="AI56" s="798"/>
      <c r="AJ56" s="798"/>
      <c r="AK56" s="798"/>
      <c r="AL56" s="798"/>
      <c r="AM56" s="798"/>
      <c r="AN56" s="1711"/>
      <c r="AO56" s="1711"/>
      <c r="AP56" s="1711"/>
      <c r="AQ56" s="1711"/>
      <c r="AR56" s="1705"/>
      <c r="AS56" s="1705"/>
      <c r="AT56" s="1705"/>
    </row>
    <row r="57" spans="4:46">
      <c r="N57" s="1712"/>
      <c r="O57" s="1667"/>
      <c r="P57" s="1667"/>
      <c r="Q57" s="1667"/>
      <c r="R57" s="1667"/>
      <c r="S57" s="1667"/>
      <c r="T57" s="1667"/>
      <c r="U57" s="1667"/>
      <c r="V57" s="798"/>
      <c r="W57" s="798"/>
      <c r="X57" s="798"/>
      <c r="Y57" s="798"/>
      <c r="Z57" s="798"/>
      <c r="AA57" s="798"/>
      <c r="AB57" s="798"/>
      <c r="AC57" s="798"/>
      <c r="AD57" s="798"/>
      <c r="AE57" s="798"/>
      <c r="AF57" s="798"/>
      <c r="AG57" s="798"/>
      <c r="AH57" s="798"/>
      <c r="AI57" s="798"/>
      <c r="AJ57" s="798"/>
      <c r="AK57" s="798"/>
      <c r="AL57" s="798"/>
      <c r="AM57" s="798"/>
      <c r="AN57" s="1711"/>
      <c r="AO57" s="1711"/>
      <c r="AP57" s="1711"/>
      <c r="AQ57" s="1711"/>
      <c r="AR57" s="1705"/>
      <c r="AS57" s="1705"/>
      <c r="AT57" s="1705"/>
    </row>
    <row r="58" spans="4:46">
      <c r="H58" s="379"/>
      <c r="I58" s="379"/>
      <c r="J58" s="379"/>
      <c r="K58" s="379"/>
      <c r="L58" s="354"/>
      <c r="M58" s="354"/>
      <c r="N58" s="1712"/>
      <c r="O58" s="1711"/>
      <c r="P58" s="1711"/>
      <c r="Q58" s="798"/>
      <c r="R58" s="1711"/>
      <c r="S58" s="798"/>
      <c r="T58" s="798"/>
      <c r="U58" s="798"/>
      <c r="V58" s="798"/>
      <c r="W58" s="798"/>
      <c r="X58" s="798"/>
      <c r="Y58" s="798"/>
      <c r="Z58" s="798"/>
      <c r="AA58" s="798"/>
      <c r="AB58" s="798"/>
      <c r="AC58" s="798"/>
      <c r="AD58" s="798"/>
      <c r="AE58" s="798"/>
      <c r="AF58" s="798"/>
      <c r="AG58" s="798"/>
      <c r="AH58" s="798"/>
      <c r="AI58" s="798"/>
      <c r="AJ58" s="798"/>
      <c r="AK58" s="798"/>
      <c r="AL58" s="798"/>
      <c r="AM58" s="798"/>
      <c r="AN58" s="1711"/>
      <c r="AO58" s="1711"/>
      <c r="AP58" s="1711"/>
      <c r="AQ58" s="1711"/>
      <c r="AR58" s="1705"/>
      <c r="AS58" s="1705"/>
      <c r="AT58" s="1705"/>
    </row>
    <row r="59" spans="4:46">
      <c r="N59" s="1712"/>
      <c r="O59" s="1711"/>
      <c r="P59" s="1711"/>
      <c r="Q59" s="798"/>
      <c r="R59" s="798"/>
      <c r="S59" s="798"/>
      <c r="T59" s="798"/>
      <c r="U59" s="798"/>
      <c r="V59" s="798"/>
      <c r="W59" s="798"/>
      <c r="X59" s="798"/>
      <c r="Y59" s="798"/>
      <c r="Z59" s="798"/>
      <c r="AA59" s="798"/>
      <c r="AB59" s="798"/>
      <c r="AC59" s="798"/>
      <c r="AD59" s="798"/>
      <c r="AE59" s="798"/>
      <c r="AF59" s="798"/>
      <c r="AG59" s="798"/>
      <c r="AH59" s="798"/>
      <c r="AI59" s="798"/>
      <c r="AJ59" s="798"/>
      <c r="AK59" s="798"/>
      <c r="AL59" s="798"/>
      <c r="AM59" s="798"/>
      <c r="AN59" s="1711"/>
      <c r="AO59" s="1711"/>
      <c r="AP59" s="1711"/>
      <c r="AQ59" s="1711"/>
      <c r="AR59" s="1705"/>
      <c r="AS59" s="1705"/>
      <c r="AT59" s="1705"/>
    </row>
    <row r="60" spans="4:46">
      <c r="H60" s="379"/>
      <c r="I60" s="379"/>
      <c r="J60" s="379"/>
      <c r="K60" s="379"/>
      <c r="L60" s="354"/>
      <c r="M60" s="354"/>
      <c r="N60" s="1712"/>
      <c r="O60" s="1711"/>
      <c r="P60" s="1711"/>
      <c r="Q60" s="798"/>
      <c r="R60" s="798"/>
      <c r="S60" s="798"/>
      <c r="T60" s="798"/>
      <c r="U60" s="798"/>
      <c r="V60" s="798"/>
      <c r="W60" s="798"/>
      <c r="X60" s="798"/>
      <c r="Y60" s="798"/>
      <c r="Z60" s="798"/>
      <c r="AA60" s="798"/>
      <c r="AB60" s="798"/>
      <c r="AC60" s="798"/>
      <c r="AD60" s="798"/>
      <c r="AE60" s="798"/>
      <c r="AF60" s="798"/>
      <c r="AG60" s="798"/>
      <c r="AH60" s="798"/>
      <c r="AI60" s="798"/>
      <c r="AJ60" s="798"/>
      <c r="AK60" s="798"/>
      <c r="AL60" s="798"/>
      <c r="AM60" s="798"/>
      <c r="AN60" s="1711"/>
      <c r="AO60" s="1711"/>
      <c r="AP60" s="1711"/>
      <c r="AQ60" s="1711"/>
      <c r="AR60" s="1705"/>
      <c r="AS60" s="1705"/>
      <c r="AT60" s="1705"/>
    </row>
    <row r="61" spans="4:46">
      <c r="N61" s="380"/>
      <c r="O61" s="354"/>
      <c r="P61" s="354"/>
      <c r="AN61" s="354"/>
      <c r="AP61" s="1705"/>
      <c r="AQ61" s="1705"/>
      <c r="AR61" s="1705"/>
      <c r="AS61" s="1705"/>
      <c r="AT61" s="1705"/>
    </row>
    <row r="62" spans="4:46">
      <c r="H62" s="379"/>
      <c r="I62" s="379"/>
      <c r="J62" s="379"/>
      <c r="K62" s="379"/>
      <c r="L62" s="354"/>
      <c r="M62" s="354"/>
      <c r="N62" s="380"/>
      <c r="O62" s="354"/>
      <c r="P62" s="354"/>
      <c r="AN62" s="354"/>
      <c r="AP62" s="1705"/>
      <c r="AQ62" s="1705"/>
      <c r="AR62" s="1705"/>
      <c r="AS62" s="1705"/>
      <c r="AT62" s="1705"/>
    </row>
    <row r="63" spans="4:46">
      <c r="N63" s="380"/>
      <c r="O63" s="354"/>
      <c r="P63" s="354"/>
      <c r="AN63" s="354"/>
      <c r="AP63" s="1705"/>
      <c r="AQ63" s="1705"/>
      <c r="AR63" s="1705"/>
      <c r="AS63" s="1705"/>
      <c r="AT63" s="1705"/>
    </row>
    <row r="64" spans="4:46">
      <c r="H64" s="379"/>
      <c r="I64" s="379"/>
      <c r="J64" s="379"/>
      <c r="K64" s="379"/>
      <c r="L64" s="354"/>
      <c r="M64" s="354"/>
      <c r="N64" s="380"/>
      <c r="O64" s="354"/>
      <c r="P64" s="354"/>
      <c r="AN64" s="354"/>
      <c r="AP64" s="1705"/>
      <c r="AQ64" s="1705"/>
      <c r="AR64" s="1705"/>
      <c r="AS64" s="1705"/>
      <c r="AT64" s="1705"/>
    </row>
    <row r="65" spans="8:46">
      <c r="N65" s="380"/>
      <c r="O65" s="354"/>
      <c r="P65" s="354"/>
      <c r="AN65" s="354"/>
      <c r="AP65" s="1705"/>
      <c r="AQ65" s="1705"/>
      <c r="AR65" s="1705"/>
      <c r="AS65" s="1705"/>
      <c r="AT65" s="1705"/>
    </row>
    <row r="66" spans="8:46">
      <c r="H66" s="379"/>
      <c r="I66" s="379"/>
      <c r="J66" s="379"/>
      <c r="K66" s="379"/>
      <c r="L66" s="354"/>
      <c r="M66" s="354"/>
      <c r="N66" s="380"/>
      <c r="O66" s="354"/>
      <c r="P66" s="354"/>
      <c r="AN66" s="354"/>
      <c r="AP66" s="1705"/>
      <c r="AQ66" s="1705"/>
      <c r="AR66" s="1705"/>
      <c r="AS66" s="1705"/>
      <c r="AT66" s="1705"/>
    </row>
    <row r="67" spans="8:46">
      <c r="N67" s="380"/>
      <c r="O67" s="354"/>
      <c r="P67" s="354"/>
      <c r="AN67" s="354"/>
      <c r="AP67" s="1705"/>
      <c r="AQ67" s="1705"/>
      <c r="AR67" s="1705"/>
      <c r="AS67" s="1705"/>
      <c r="AT67" s="1705"/>
    </row>
    <row r="68" spans="8:46">
      <c r="H68" s="379"/>
      <c r="I68" s="379"/>
      <c r="J68" s="379"/>
      <c r="K68" s="379"/>
      <c r="L68" s="354"/>
      <c r="M68" s="354"/>
      <c r="N68" s="380"/>
      <c r="O68" s="354"/>
      <c r="P68" s="354"/>
      <c r="AN68" s="354"/>
      <c r="AP68" s="1705"/>
      <c r="AQ68" s="1705"/>
      <c r="AR68" s="1705"/>
      <c r="AS68" s="1705"/>
      <c r="AT68" s="1705"/>
    </row>
    <row r="69" spans="8:46">
      <c r="N69" s="380"/>
      <c r="O69" s="354"/>
      <c r="P69" s="354"/>
      <c r="AN69" s="354"/>
      <c r="AP69" s="1705"/>
      <c r="AQ69" s="1705"/>
      <c r="AR69" s="1705"/>
      <c r="AS69" s="1705"/>
      <c r="AT69" s="1705"/>
    </row>
    <row r="70" spans="8:46">
      <c r="N70" s="380"/>
      <c r="O70" s="354"/>
      <c r="P70" s="354"/>
    </row>
    <row r="71" spans="8:46">
      <c r="N71" s="380"/>
      <c r="O71" s="354"/>
      <c r="P71" s="354"/>
    </row>
    <row r="72" spans="8:46">
      <c r="N72" s="380"/>
      <c r="O72" s="354"/>
      <c r="P72" s="354"/>
    </row>
  </sheetData>
  <mergeCells count="74">
    <mergeCell ref="AN40:AN41"/>
    <mergeCell ref="AO30:AO31"/>
    <mergeCell ref="AN30:AN31"/>
    <mergeCell ref="AM30:AM31"/>
    <mergeCell ref="A1:AP1"/>
    <mergeCell ref="A36:A37"/>
    <mergeCell ref="L2:AP2"/>
    <mergeCell ref="AP3:AP4"/>
    <mergeCell ref="AJ38:AJ39"/>
    <mergeCell ref="AN3:AN4"/>
    <mergeCell ref="AN38:AN39"/>
    <mergeCell ref="AO3:AO4"/>
    <mergeCell ref="N3:AL3"/>
    <mergeCell ref="A3:A4"/>
    <mergeCell ref="A38:A41"/>
    <mergeCell ref="B38:B39"/>
    <mergeCell ref="AA38:AA39"/>
    <mergeCell ref="AB38:AB39"/>
    <mergeCell ref="AC38:AC39"/>
    <mergeCell ref="AD38:AD39"/>
    <mergeCell ref="AE38:AE39"/>
    <mergeCell ref="AF38:AF39"/>
    <mergeCell ref="B40:B41"/>
    <mergeCell ref="AM3:AM4"/>
    <mergeCell ref="A11:A23"/>
    <mergeCell ref="AG30:AG31"/>
    <mergeCell ref="AF40:AF41"/>
    <mergeCell ref="AJ30:AJ31"/>
    <mergeCell ref="AK30:AK31"/>
    <mergeCell ref="AL30:AL31"/>
    <mergeCell ref="L3:M3"/>
    <mergeCell ref="AE30:AE31"/>
    <mergeCell ref="AF30:AF31"/>
    <mergeCell ref="AH30:AH31"/>
    <mergeCell ref="C3:C4"/>
    <mergeCell ref="B3:B4"/>
    <mergeCell ref="D3:K3"/>
    <mergeCell ref="O45:AC45"/>
    <mergeCell ref="A44:B44"/>
    <mergeCell ref="A42:A43"/>
    <mergeCell ref="AG40:AG41"/>
    <mergeCell ref="AE40:AE41"/>
    <mergeCell ref="A32:A35"/>
    <mergeCell ref="AI38:AI39"/>
    <mergeCell ref="A5:A8"/>
    <mergeCell ref="AB30:AB31"/>
    <mergeCell ref="AC30:AC31"/>
    <mergeCell ref="AD30:AD31"/>
    <mergeCell ref="A24:A29"/>
    <mergeCell ref="B24:B25"/>
    <mergeCell ref="B26:B27"/>
    <mergeCell ref="B28:B29"/>
    <mergeCell ref="B30:B31"/>
    <mergeCell ref="A9:A10"/>
    <mergeCell ref="AA30:AA31"/>
    <mergeCell ref="AI30:AI31"/>
    <mergeCell ref="A30:A31"/>
    <mergeCell ref="AG38:AG39"/>
    <mergeCell ref="AO40:AO41"/>
    <mergeCell ref="AK38:AK39"/>
    <mergeCell ref="AM40:AM41"/>
    <mergeCell ref="AA40:AA41"/>
    <mergeCell ref="AB40:AB41"/>
    <mergeCell ref="AC40:AC41"/>
    <mergeCell ref="AD40:AD41"/>
    <mergeCell ref="AK40:AK41"/>
    <mergeCell ref="AL40:AL41"/>
    <mergeCell ref="AL38:AL39"/>
    <mergeCell ref="AM38:AM39"/>
    <mergeCell ref="AO38:AO39"/>
    <mergeCell ref="AH40:AH41"/>
    <mergeCell ref="AI40:AI41"/>
    <mergeCell ref="AJ40:AJ41"/>
    <mergeCell ref="AH38:AH39"/>
  </mergeCells>
  <phoneticPr fontId="22" type="noConversion"/>
  <pageMargins left="0" right="0" top="0.74803149606299213" bottom="0.74803149606299213" header="0.31496062992125984" footer="0.31496062992125984"/>
  <pageSetup paperSize="9" scale="65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AQ72"/>
  <sheetViews>
    <sheetView zoomScale="70" zoomScaleNormal="70" workbookViewId="0">
      <selection activeCell="AK40" sqref="AK40:AK41"/>
    </sheetView>
  </sheetViews>
  <sheetFormatPr defaultRowHeight="17.399999999999999"/>
  <cols>
    <col min="1" max="1" width="8.796875" style="1536"/>
    <col min="2" max="2" width="14.3984375" style="1536" customWidth="1"/>
    <col min="3" max="3" width="8.69921875" style="1536" customWidth="1"/>
    <col min="4" max="8" width="8.69921875" style="1535" hidden="1" customWidth="1"/>
    <col min="9" max="9" width="9.5" style="1535" customWidth="1"/>
    <col min="10" max="10" width="9.09765625" style="1535" customWidth="1"/>
    <col min="11" max="11" width="8.69921875" style="1535" customWidth="1"/>
    <col min="12" max="12" width="9.09765625" style="1535" customWidth="1"/>
    <col min="13" max="13" width="8.69921875" style="1535" customWidth="1"/>
    <col min="14" max="20" width="8.796875" style="1535" hidden="1" customWidth="1"/>
    <col min="21" max="21" width="9.19921875" style="1535" hidden="1" customWidth="1"/>
    <col min="22" max="22" width="8.796875" style="1535" hidden="1" customWidth="1"/>
    <col min="23" max="26" width="8.796875" style="1535" customWidth="1"/>
    <col min="27" max="35" width="8.796875" style="1535" hidden="1" customWidth="1"/>
    <col min="36" max="38" width="8.796875" style="1535" customWidth="1"/>
    <col min="39" max="40" width="9.796875" style="1535" customWidth="1"/>
    <col min="41" max="41" width="7.796875" style="1536" customWidth="1"/>
    <col min="42" max="42" width="18.59765625" style="1536" customWidth="1"/>
    <col min="43" max="43" width="8.8984375" style="1536"/>
  </cols>
  <sheetData>
    <row r="1" spans="1:43" ht="30">
      <c r="A1" s="7401" t="s">
        <v>1343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3" ht="18" thickBot="1">
      <c r="L2" s="7403" t="s">
        <v>402</v>
      </c>
      <c r="M2" s="7403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</row>
    <row r="3" spans="1:43" ht="18" thickBot="1">
      <c r="A3" s="7391" t="s">
        <v>252</v>
      </c>
      <c r="B3" s="7349" t="s">
        <v>253</v>
      </c>
      <c r="C3" s="7473" t="s">
        <v>254</v>
      </c>
      <c r="D3" s="7400" t="s">
        <v>255</v>
      </c>
      <c r="E3" s="7377"/>
      <c r="F3" s="7377"/>
      <c r="G3" s="7377"/>
      <c r="H3" s="7377"/>
      <c r="I3" s="7377"/>
      <c r="J3" s="7377"/>
      <c r="K3" s="7427"/>
      <c r="L3" s="7391" t="s">
        <v>286</v>
      </c>
      <c r="M3" s="7349"/>
      <c r="N3" s="7342" t="s">
        <v>1338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332" t="s">
        <v>1335</v>
      </c>
      <c r="AN3" s="7332" t="s">
        <v>438</v>
      </c>
      <c r="AO3" s="7332" t="s">
        <v>365</v>
      </c>
      <c r="AP3" s="7349" t="s">
        <v>287</v>
      </c>
    </row>
    <row r="4" spans="1:43">
      <c r="A4" s="7483"/>
      <c r="B4" s="7475"/>
      <c r="C4" s="7474"/>
      <c r="D4" s="3216" t="s">
        <v>256</v>
      </c>
      <c r="E4" s="3217" t="s">
        <v>257</v>
      </c>
      <c r="F4" s="3217" t="s">
        <v>194</v>
      </c>
      <c r="G4" s="3217" t="s">
        <v>258</v>
      </c>
      <c r="H4" s="3218" t="s">
        <v>556</v>
      </c>
      <c r="I4" s="2762" t="s">
        <v>716</v>
      </c>
      <c r="J4" s="2762" t="s">
        <v>718</v>
      </c>
      <c r="K4" s="3636" t="s">
        <v>1032</v>
      </c>
      <c r="L4" s="5919" t="s">
        <v>1272</v>
      </c>
      <c r="M4" s="5920" t="s">
        <v>823</v>
      </c>
      <c r="N4" s="2183" t="s">
        <v>370</v>
      </c>
      <c r="O4" s="2174" t="s">
        <v>372</v>
      </c>
      <c r="P4" s="2174" t="s">
        <v>373</v>
      </c>
      <c r="Q4" s="3588" t="s">
        <v>374</v>
      </c>
      <c r="R4" s="3588" t="s">
        <v>375</v>
      </c>
      <c r="S4" s="3588" t="s">
        <v>376</v>
      </c>
      <c r="T4" s="3588" t="s">
        <v>377</v>
      </c>
      <c r="U4" s="3588" t="s">
        <v>378</v>
      </c>
      <c r="V4" s="3588" t="s">
        <v>379</v>
      </c>
      <c r="W4" s="3588" t="s">
        <v>380</v>
      </c>
      <c r="X4" s="5461" t="s">
        <v>381</v>
      </c>
      <c r="Y4" s="5304" t="s">
        <v>382</v>
      </c>
      <c r="Z4" s="6927" t="s">
        <v>894</v>
      </c>
      <c r="AA4" s="5930" t="s">
        <v>371</v>
      </c>
      <c r="AB4" s="904" t="s">
        <v>383</v>
      </c>
      <c r="AC4" s="904" t="s">
        <v>384</v>
      </c>
      <c r="AD4" s="904" t="s">
        <v>385</v>
      </c>
      <c r="AE4" s="904" t="s">
        <v>386</v>
      </c>
      <c r="AF4" s="904" t="s">
        <v>387</v>
      </c>
      <c r="AG4" s="904" t="s">
        <v>388</v>
      </c>
      <c r="AH4" s="904" t="s">
        <v>389</v>
      </c>
      <c r="AI4" s="904" t="s">
        <v>390</v>
      </c>
      <c r="AJ4" s="904" t="s">
        <v>391</v>
      </c>
      <c r="AK4" s="904" t="s">
        <v>392</v>
      </c>
      <c r="AL4" s="904" t="s">
        <v>393</v>
      </c>
      <c r="AM4" s="7406"/>
      <c r="AN4" s="7406"/>
      <c r="AO4" s="7406"/>
      <c r="AP4" s="7475"/>
    </row>
    <row r="5" spans="1:43">
      <c r="A5" s="7469" t="s">
        <v>260</v>
      </c>
      <c r="B5" s="3219" t="s">
        <v>261</v>
      </c>
      <c r="C5" s="3220" t="s">
        <v>262</v>
      </c>
      <c r="D5" s="3221">
        <v>117306.192</v>
      </c>
      <c r="E5" s="3222">
        <v>131569.45000000001</v>
      </c>
      <c r="F5" s="3222">
        <v>124779.053</v>
      </c>
      <c r="G5" s="3222">
        <v>102108.323</v>
      </c>
      <c r="H5" s="3222">
        <v>119735.24</v>
      </c>
      <c r="I5" s="2763">
        <v>125950</v>
      </c>
      <c r="J5" s="2763">
        <v>143690.20500000002</v>
      </c>
      <c r="K5" s="3637">
        <f>년간!C11</f>
        <v>151508.71799999999</v>
      </c>
      <c r="L5" s="3643">
        <f>년간!D11</f>
        <v>167380</v>
      </c>
      <c r="M5" s="3644">
        <f>L5/12</f>
        <v>13948.333333333334</v>
      </c>
      <c r="N5" s="2191">
        <f>년간!F11</f>
        <v>13714.31</v>
      </c>
      <c r="O5" s="2186">
        <f>년간!G11</f>
        <v>11408.93</v>
      </c>
      <c r="P5" s="2186">
        <f>년간!H11</f>
        <v>13299.08</v>
      </c>
      <c r="Q5" s="5096">
        <f>년간!I11</f>
        <v>12905.32</v>
      </c>
      <c r="R5" s="5096">
        <f>년간!J11</f>
        <v>12638.958000000001</v>
      </c>
      <c r="S5" s="5096">
        <f>년간!K11</f>
        <v>13592.15</v>
      </c>
      <c r="T5" s="5096">
        <f>년간!L11</f>
        <v>15058.49</v>
      </c>
      <c r="U5" s="5096">
        <f>년간!M11</f>
        <v>12414.97</v>
      </c>
      <c r="V5" s="5096">
        <f>년간!N11</f>
        <v>13015.86</v>
      </c>
      <c r="W5" s="5096">
        <f>년간!O11</f>
        <v>13640.470000000001</v>
      </c>
      <c r="X5" s="5526">
        <f>년간!P11</f>
        <v>13281.05</v>
      </c>
      <c r="Y5" s="5377">
        <f>년간!Q11</f>
        <v>12661.900000000001</v>
      </c>
      <c r="Z5" s="6671">
        <f>SUM(N5:Y5)</f>
        <v>157631.48799999998</v>
      </c>
      <c r="AA5" s="5762"/>
      <c r="AB5" s="3223"/>
      <c r="AC5" s="3223"/>
      <c r="AD5" s="3223"/>
      <c r="AE5" s="3223"/>
      <c r="AF5" s="3223"/>
      <c r="AG5" s="3223"/>
      <c r="AH5" s="3223"/>
      <c r="AI5" s="3223"/>
      <c r="AJ5" s="3223"/>
      <c r="AK5" s="3223"/>
      <c r="AL5" s="3223"/>
      <c r="AM5" s="2464"/>
      <c r="AN5" s="2464"/>
      <c r="AO5" s="2464"/>
      <c r="AP5" s="3224"/>
    </row>
    <row r="6" spans="1:43">
      <c r="A6" s="7184"/>
      <c r="B6" s="3219" t="s">
        <v>263</v>
      </c>
      <c r="C6" s="3225" t="s">
        <v>264</v>
      </c>
      <c r="D6" s="1636">
        <v>21.77</v>
      </c>
      <c r="E6" s="3226">
        <v>22.81</v>
      </c>
      <c r="F6" s="3227">
        <v>21.43</v>
      </c>
      <c r="G6" s="3227">
        <v>20.03</v>
      </c>
      <c r="H6" s="3227">
        <v>19.959255318262262</v>
      </c>
      <c r="I6" s="2747">
        <v>22.3</v>
      </c>
      <c r="J6" s="2747">
        <v>23.635136290988044</v>
      </c>
      <c r="K6" s="3638">
        <f>년간!C121</f>
        <v>23.126629659404287</v>
      </c>
      <c r="L6" s="3645">
        <f>년간!D121</f>
        <v>24.5</v>
      </c>
      <c r="M6" s="3646">
        <f>L6</f>
        <v>24.5</v>
      </c>
      <c r="N6" s="5951">
        <f>년간!F122</f>
        <v>23.159755538788932</v>
      </c>
      <c r="O6" s="5952">
        <f>년간!G122</f>
        <v>23.742248737277286</v>
      </c>
      <c r="P6" s="5952">
        <f>년간!H122</f>
        <v>25.27942840956711</v>
      </c>
      <c r="Q6" s="5952">
        <f>년간!I122</f>
        <v>24.977600400896691</v>
      </c>
      <c r="R6" s="5952">
        <f>년간!J122</f>
        <v>24.103264264799073</v>
      </c>
      <c r="S6" s="5952">
        <f>년간!K122</f>
        <v>25.363665483104121</v>
      </c>
      <c r="T6" s="5953">
        <f>년간!L122</f>
        <v>25.472117747991501</v>
      </c>
      <c r="U6" s="5953">
        <f>년간!M122</f>
        <v>23.60919662546176</v>
      </c>
      <c r="V6" s="5953">
        <f>년간!N122</f>
        <v>23.854573539326406</v>
      </c>
      <c r="W6" s="5953">
        <f>년간!O122</f>
        <v>23.893653501677424</v>
      </c>
      <c r="X6" s="6973">
        <f>년간!P122</f>
        <v>24.289727153802886</v>
      </c>
      <c r="Y6" s="5954">
        <f>년간!Q122</f>
        <v>22.948482369871499</v>
      </c>
      <c r="Z6" s="5955">
        <f>Z63</f>
        <v>24.19248186662097</v>
      </c>
      <c r="AA6" s="5728">
        <f>N65</f>
        <v>800.45352609650024</v>
      </c>
      <c r="AB6" s="5728">
        <f t="shared" ref="AB6:AL6" si="0">O65</f>
        <v>13365.317355178389</v>
      </c>
      <c r="AC6" s="5728">
        <f t="shared" si="0"/>
        <v>51369.536329273535</v>
      </c>
      <c r="AD6" s="5728">
        <f t="shared" si="0"/>
        <v>43366.505177712257</v>
      </c>
      <c r="AE6" s="5728">
        <f t="shared" si="0"/>
        <v>23184.327258565929</v>
      </c>
      <c r="AF6" s="5728">
        <f t="shared" si="0"/>
        <v>54377.919496595234</v>
      </c>
      <c r="AG6" s="5728">
        <f t="shared" si="0"/>
        <v>62900.400210908374</v>
      </c>
      <c r="AH6" s="5728">
        <f t="shared" si="0"/>
        <v>11447.391311119098</v>
      </c>
      <c r="AI6" s="5728">
        <f t="shared" si="0"/>
        <v>17960.234143716112</v>
      </c>
      <c r="AJ6" s="5728">
        <f t="shared" si="0"/>
        <v>19804.844336995451</v>
      </c>
      <c r="AK6" s="5728">
        <f t="shared" si="0"/>
        <v>28806.72677975543</v>
      </c>
      <c r="AL6" s="5728">
        <f t="shared" si="0"/>
        <v>-4549.7971511225887</v>
      </c>
      <c r="AM6" s="2175">
        <f>년간!D150/1000</f>
        <v>426148.53729105281</v>
      </c>
      <c r="AN6" s="3229">
        <f>AA6+AB6+AC6+AD6+AE6+AF6+AG6+AH6+AI6+AJ6+AK6+AL6</f>
        <v>322833.85877479374</v>
      </c>
      <c r="AO6" s="3230">
        <f>AN6/AM6</f>
        <v>0.75756181360374641</v>
      </c>
      <c r="AP6" s="3150" t="s">
        <v>1544</v>
      </c>
    </row>
    <row r="7" spans="1:43">
      <c r="A7" s="7184"/>
      <c r="B7" s="3219" t="s">
        <v>265</v>
      </c>
      <c r="C7" s="3225" t="s">
        <v>266</v>
      </c>
      <c r="D7" s="1560">
        <v>86.72</v>
      </c>
      <c r="E7" s="3231">
        <v>89.84</v>
      </c>
      <c r="F7" s="3232">
        <v>78.11</v>
      </c>
      <c r="G7" s="3232">
        <v>78.27</v>
      </c>
      <c r="H7" s="3232">
        <v>79.456908293395784</v>
      </c>
      <c r="I7" s="2137">
        <v>83.23</v>
      </c>
      <c r="J7" s="2137">
        <v>84.853947953038173</v>
      </c>
      <c r="K7" s="3639">
        <f>년간!C114*100</f>
        <v>85.941544812145807</v>
      </c>
      <c r="L7" s="3647">
        <f>년간!D114*100</f>
        <v>89</v>
      </c>
      <c r="M7" s="3646">
        <f>L7</f>
        <v>89</v>
      </c>
      <c r="N7" s="2193">
        <f>년간!F114*100</f>
        <v>88.834696480828384</v>
      </c>
      <c r="O7" s="2188">
        <f>년간!G114*100</f>
        <v>86.240938707584689</v>
      </c>
      <c r="P7" s="2188">
        <f>년간!H114*100</f>
        <v>87.226529311809685</v>
      </c>
      <c r="Q7" s="5097">
        <f>년간!I114*100</f>
        <v>87.676321600207814</v>
      </c>
      <c r="R7" s="5097">
        <f>년간!J114*100</f>
        <v>88.782242063492063</v>
      </c>
      <c r="S7" s="5097">
        <f>년간!K114*100</f>
        <v>88.181096490172962</v>
      </c>
      <c r="T7" s="5097">
        <f>년간!L114*100</f>
        <v>87.105734767025083</v>
      </c>
      <c r="U7" s="5097">
        <f>년간!M114*100</f>
        <v>84.986897274633122</v>
      </c>
      <c r="V7" s="5097">
        <f>년간!N114*100</f>
        <v>85.191672505254729</v>
      </c>
      <c r="W7" s="5097">
        <f>년간!O114*100</f>
        <v>87.896608963718279</v>
      </c>
      <c r="X7" s="5527">
        <f>년간!P114*100</f>
        <v>86.749540895606728</v>
      </c>
      <c r="Y7" s="5378">
        <f>년간!Q114*100</f>
        <v>83.354534746760905</v>
      </c>
      <c r="Z7" s="6628">
        <f>년간!V114*100</f>
        <v>86.855215790127033</v>
      </c>
      <c r="AA7" s="5763">
        <f>년간!F149/1000</f>
        <v>17995.343400670339</v>
      </c>
      <c r="AB7" s="3228">
        <f>년간!G149/1000</f>
        <v>1603.1053687836998</v>
      </c>
      <c r="AC7" s="3228">
        <f>년간!H149/1000</f>
        <v>7393.083044547574</v>
      </c>
      <c r="AD7" s="3228">
        <f>년간!I149/1000</f>
        <v>10253.754363370377</v>
      </c>
      <c r="AE7" s="3228">
        <f>년간!J149/1000</f>
        <v>17808.373049684862</v>
      </c>
      <c r="AF7" s="3228">
        <f>년간!K149/1000</f>
        <v>14376.687145855783</v>
      </c>
      <c r="AG7" s="3228">
        <f>년간!L149/1000</f>
        <v>7927.7043232941987</v>
      </c>
      <c r="AH7" s="3228">
        <f>년간!M149/1000</f>
        <v>-5421.9568723754765</v>
      </c>
      <c r="AI7" s="3228">
        <f>년간!N149/1000</f>
        <v>-4471.0144340685783</v>
      </c>
      <c r="AJ7" s="3228">
        <f>년간!O149/1000</f>
        <v>12690.811568039548</v>
      </c>
      <c r="AK7" s="3228">
        <f>년간!P149/1000</f>
        <v>5213.774760301485</v>
      </c>
      <c r="AL7" s="3228">
        <f>년간!Q149/1000</f>
        <v>-16030.892680291308</v>
      </c>
      <c r="AM7" s="2223">
        <f>년간!D149/1000</f>
        <v>246602.68384770799</v>
      </c>
      <c r="AN7" s="3229">
        <f>AA7+AB7+AC7+AD7+AE7+AF7+AG7+AH7+AI7+AJ7+AK7+AL7</f>
        <v>69338.773037812498</v>
      </c>
      <c r="AO7" s="3230">
        <f>AN7/AM7</f>
        <v>0.28117606814301083</v>
      </c>
      <c r="AP7" s="3150" t="s">
        <v>1544</v>
      </c>
    </row>
    <row r="8" spans="1:43" ht="18" thickBot="1">
      <c r="A8" s="7184"/>
      <c r="B8" s="3219" t="s">
        <v>852</v>
      </c>
      <c r="C8" s="3225" t="s">
        <v>761</v>
      </c>
      <c r="D8" s="1560"/>
      <c r="E8" s="3231"/>
      <c r="F8" s="3232"/>
      <c r="G8" s="3233">
        <v>620.37000000000023</v>
      </c>
      <c r="H8" s="1187">
        <v>420.60000000000008</v>
      </c>
      <c r="I8" s="1525">
        <v>1029.94</v>
      </c>
      <c r="J8" s="1525">
        <v>384</v>
      </c>
      <c r="K8" s="3640">
        <v>1686.7099999999998</v>
      </c>
      <c r="L8" s="3648">
        <v>200</v>
      </c>
      <c r="M8" s="3646">
        <f>L8/12</f>
        <v>16.666666666666668</v>
      </c>
      <c r="N8" s="2193">
        <v>0</v>
      </c>
      <c r="O8" s="2188">
        <v>0</v>
      </c>
      <c r="P8" s="2188">
        <v>3.51</v>
      </c>
      <c r="Q8" s="5150">
        <v>0</v>
      </c>
      <c r="R8" s="5150">
        <v>39.479999999999997</v>
      </c>
      <c r="S8" s="5150">
        <v>14.17</v>
      </c>
      <c r="T8" s="5150">
        <v>0</v>
      </c>
      <c r="U8" s="5150">
        <v>1.65</v>
      </c>
      <c r="V8" s="5150">
        <f>'#1CCL'!V8</f>
        <v>0</v>
      </c>
      <c r="W8" s="5150">
        <f>'#1CCL'!W8</f>
        <v>0</v>
      </c>
      <c r="X8" s="5528">
        <f>'#1CCL'!X8</f>
        <v>36.6</v>
      </c>
      <c r="Y8" s="5379">
        <f>'#1CCL'!Y8</f>
        <v>120.88</v>
      </c>
      <c r="Z8" s="6674">
        <f>SUM(N8:Y8)</f>
        <v>216.29</v>
      </c>
      <c r="AA8" s="5929">
        <f>($K$8/12-N8)/20*1051.683</f>
        <v>7391.1843038749994</v>
      </c>
      <c r="AB8" s="5928">
        <f t="shared" ref="AB8:AL8" si="1">($K$8/12-O8)/20*1051.683</f>
        <v>7391.1843038749994</v>
      </c>
      <c r="AC8" s="5928">
        <f t="shared" si="1"/>
        <v>7206.6139373749993</v>
      </c>
      <c r="AD8" s="5928">
        <f t="shared" si="1"/>
        <v>7391.1843038749994</v>
      </c>
      <c r="AE8" s="5928">
        <f t="shared" si="1"/>
        <v>5315.1620618749985</v>
      </c>
      <c r="AF8" s="5928">
        <f t="shared" si="1"/>
        <v>6646.0668983749983</v>
      </c>
      <c r="AG8" s="5928">
        <f t="shared" si="1"/>
        <v>7391.1843038749994</v>
      </c>
      <c r="AH8" s="5928">
        <f t="shared" si="1"/>
        <v>7304.4204563749981</v>
      </c>
      <c r="AI8" s="5928">
        <f t="shared" si="1"/>
        <v>7391.1843038749994</v>
      </c>
      <c r="AJ8" s="5928">
        <f t="shared" si="1"/>
        <v>7391.1843038749994</v>
      </c>
      <c r="AK8" s="5928">
        <f t="shared" si="1"/>
        <v>5466.6044138749985</v>
      </c>
      <c r="AL8" s="5928">
        <f t="shared" si="1"/>
        <v>1034.8122518749988</v>
      </c>
      <c r="AM8" s="2094">
        <f>(K8/20-L8/20)*1051.683</f>
        <v>78177.381646499998</v>
      </c>
      <c r="AN8" s="3234">
        <f>AA8+AB8+AC8+AD8+AE8+AF8+AG8+AH8+AI8+AJ8+AK8+AL8</f>
        <v>77320.785843000005</v>
      </c>
      <c r="AO8" s="1637">
        <f>AN8/AM8</f>
        <v>0.98904292027362439</v>
      </c>
      <c r="AP8" s="3150" t="s">
        <v>1544</v>
      </c>
      <c r="AQ8" s="1536" t="s">
        <v>1012</v>
      </c>
    </row>
    <row r="9" spans="1:43">
      <c r="A9" s="7390" t="s">
        <v>267</v>
      </c>
      <c r="B9" s="925" t="s">
        <v>268</v>
      </c>
      <c r="C9" s="926" t="s">
        <v>266</v>
      </c>
      <c r="D9" s="1119">
        <v>100.41446490736</v>
      </c>
      <c r="E9" s="1120">
        <v>100.42935120169599</v>
      </c>
      <c r="F9" s="1120">
        <v>100.606244705544</v>
      </c>
      <c r="G9" s="1120">
        <v>100.05369360660397</v>
      </c>
      <c r="H9" s="1120">
        <v>100.05700705029608</v>
      </c>
      <c r="I9" s="1531">
        <v>100.32</v>
      </c>
      <c r="J9" s="1531">
        <v>100.5338473118038</v>
      </c>
      <c r="K9" s="1531">
        <f>년간!C90*100</f>
        <v>100.40908537375219</v>
      </c>
      <c r="L9" s="1121">
        <f>년간!D90*100</f>
        <v>100.42999999999999</v>
      </c>
      <c r="M9" s="2115">
        <f>L9</f>
        <v>100.42999999999999</v>
      </c>
      <c r="N9" s="1672">
        <f>년간!F90*100</f>
        <v>100.36160945520129</v>
      </c>
      <c r="O9" s="1280">
        <f>년간!G90*100</f>
        <v>100.58263871021329</v>
      </c>
      <c r="P9" s="1280">
        <f>년간!H90*100</f>
        <v>100.56326965082182</v>
      </c>
      <c r="Q9" s="1280">
        <f>년간!I90*100</f>
        <v>100.51074275427105</v>
      </c>
      <c r="R9" s="1280">
        <f>년간!J90*100</f>
        <v>100.51921499650693</v>
      </c>
      <c r="S9" s="1280">
        <f>년간!K90*100</f>
        <v>100.52191401959753</v>
      </c>
      <c r="T9" s="1280">
        <f>년간!L90*100</f>
        <v>100.32393926352069</v>
      </c>
      <c r="U9" s="1280">
        <f>년간!M90*100</f>
        <v>100.58894527804263</v>
      </c>
      <c r="V9" s="1280">
        <f>년간!N90*100</f>
        <v>100.54621220361106</v>
      </c>
      <c r="W9" s="1280">
        <f>년간!O90*100</f>
        <v>100.50741609556901</v>
      </c>
      <c r="X9" s="5529">
        <f>년간!P90*100</f>
        <v>100.54005512330649</v>
      </c>
      <c r="Y9" s="5380">
        <f>년간!Q90*100</f>
        <v>100.28391724137056</v>
      </c>
      <c r="Z9" s="6928">
        <f>년간!V90*100</f>
        <v>100.48416087822143</v>
      </c>
      <c r="AA9" s="5729">
        <f>년간!F147/1000</f>
        <v>-4561.2880794877001</v>
      </c>
      <c r="AB9" s="931">
        <f>년간!G147/1000</f>
        <v>13840.632604400333</v>
      </c>
      <c r="AC9" s="931">
        <f>년간!H147/1000</f>
        <v>14332.947757048414</v>
      </c>
      <c r="AD9" s="931">
        <f>년간!I147/1000</f>
        <v>9174.7595605757233</v>
      </c>
      <c r="AE9" s="931">
        <f>년간!J147/1000</f>
        <v>9733.6576542436578</v>
      </c>
      <c r="AF9" s="931">
        <f>년간!K147/1000</f>
        <v>10725.09919080844</v>
      </c>
      <c r="AG9" s="931">
        <f>년간!L147/1000</f>
        <v>-8984.0962027664464</v>
      </c>
      <c r="AH9" s="931">
        <f>년간!M147/1000</f>
        <v>15603.650127946996</v>
      </c>
      <c r="AI9" s="931">
        <f>년간!N147/1000</f>
        <v>12482.311305416095</v>
      </c>
      <c r="AJ9" s="931">
        <f>년간!O147/1000</f>
        <v>9382.3855420715154</v>
      </c>
      <c r="AK9" s="931">
        <f>년간!P147/1000</f>
        <v>12160.766306904874</v>
      </c>
      <c r="AL9" s="931">
        <f>년간!Q147/1000</f>
        <v>-11102.176508441618</v>
      </c>
      <c r="AM9" s="1122">
        <f>년간!D147/1000</f>
        <v>24501.908887719092</v>
      </c>
      <c r="AN9" s="2341">
        <f>AA9+AB9+AC9+AD9+AE9+AF9+AG9+AH9+AI9+AJ9+AK9+AL9</f>
        <v>82788.649258720281</v>
      </c>
      <c r="AO9" s="933">
        <f>AN9/AM9</f>
        <v>3.3788652809910587</v>
      </c>
      <c r="AP9" s="934" t="s">
        <v>1543</v>
      </c>
    </row>
    <row r="10" spans="1:43" ht="18" thickBot="1">
      <c r="A10" s="7206"/>
      <c r="B10" s="2456" t="s">
        <v>269</v>
      </c>
      <c r="C10" s="3235" t="s">
        <v>309</v>
      </c>
      <c r="D10" s="1789">
        <v>138.85</v>
      </c>
      <c r="E10" s="1790">
        <v>144.58000000000001</v>
      </c>
      <c r="F10" s="1790">
        <v>223.98999999999995</v>
      </c>
      <c r="G10" s="1790">
        <v>118.37</v>
      </c>
      <c r="H10" s="1790">
        <v>139.78</v>
      </c>
      <c r="I10" s="1528">
        <v>125.91</v>
      </c>
      <c r="J10" s="1528">
        <v>92.647999999999996</v>
      </c>
      <c r="K10" s="1528">
        <f>년간!C23</f>
        <v>83.9</v>
      </c>
      <c r="L10" s="3649">
        <f>년간!D23</f>
        <v>60</v>
      </c>
      <c r="M10" s="3650">
        <f t="shared" ref="M10:M20" si="2">L10/12</f>
        <v>5</v>
      </c>
      <c r="N10" s="3690">
        <f>년간!F23</f>
        <v>1.82</v>
      </c>
      <c r="O10" s="2338">
        <f>년간!G23</f>
        <v>1.69</v>
      </c>
      <c r="P10" s="2338">
        <f>년간!H23</f>
        <v>4.66</v>
      </c>
      <c r="Q10" s="2338">
        <f>년간!I23</f>
        <v>4.93</v>
      </c>
      <c r="R10" s="2338">
        <f>년간!J23</f>
        <v>4.53</v>
      </c>
      <c r="S10" s="2338">
        <f>년간!K23</f>
        <v>3.47</v>
      </c>
      <c r="T10" s="2338">
        <f>년간!L23</f>
        <v>4.5999999999999996</v>
      </c>
      <c r="U10" s="2338">
        <f>년간!M23</f>
        <v>4.83</v>
      </c>
      <c r="V10" s="2338">
        <f>년간!N23</f>
        <v>0</v>
      </c>
      <c r="W10" s="2338">
        <f>년간!O23</f>
        <v>2.2799999999999998</v>
      </c>
      <c r="X10" s="5530">
        <f>년간!P23</f>
        <v>5.16</v>
      </c>
      <c r="Y10" s="5381">
        <f>년간!Q23</f>
        <v>12.2</v>
      </c>
      <c r="Z10" s="6679">
        <f>SUM(N10:Y10)</f>
        <v>50.17</v>
      </c>
      <c r="AA10" s="3236"/>
      <c r="AB10" s="3236"/>
      <c r="AC10" s="3236"/>
      <c r="AD10" s="3236"/>
      <c r="AE10" s="3236"/>
      <c r="AF10" s="3236"/>
      <c r="AG10" s="3236"/>
      <c r="AH10" s="3236"/>
      <c r="AI10" s="3236"/>
      <c r="AJ10" s="3236"/>
      <c r="AK10" s="3236"/>
      <c r="AL10" s="3236"/>
      <c r="AM10" s="3237"/>
      <c r="AN10" s="3238"/>
      <c r="AO10" s="3239"/>
      <c r="AP10" s="3147" t="s">
        <v>299</v>
      </c>
    </row>
    <row r="11" spans="1:43">
      <c r="A11" s="7183" t="s">
        <v>549</v>
      </c>
      <c r="B11" s="5921" t="s">
        <v>611</v>
      </c>
      <c r="C11" s="1009" t="s">
        <v>309</v>
      </c>
      <c r="D11" s="3693">
        <f>952/12</f>
        <v>79.333333333333329</v>
      </c>
      <c r="E11" s="3694">
        <f>912/12</f>
        <v>76</v>
      </c>
      <c r="F11" s="3695">
        <f>799/12</f>
        <v>66.583333333333329</v>
      </c>
      <c r="G11" s="3696">
        <f>720</f>
        <v>720</v>
      </c>
      <c r="H11" s="3625">
        <f>스크!R13</f>
        <v>742.44</v>
      </c>
      <c r="I11" s="3626">
        <f>스크!R14</f>
        <v>542.54</v>
      </c>
      <c r="J11" s="3626">
        <f>스크!R15</f>
        <v>423.25</v>
      </c>
      <c r="K11" s="3626">
        <v>437.47500000000008</v>
      </c>
      <c r="L11" s="3627">
        <f>(K11/11*12)*0.9</f>
        <v>429.52090909090919</v>
      </c>
      <c r="M11" s="3628">
        <f t="shared" si="2"/>
        <v>35.793409090909101</v>
      </c>
      <c r="N11" s="3629">
        <f>스크!R18</f>
        <v>50.5</v>
      </c>
      <c r="O11" s="3630">
        <f>스크!R19</f>
        <v>29.68</v>
      </c>
      <c r="P11" s="3630">
        <f>스크!R20</f>
        <v>34.93</v>
      </c>
      <c r="Q11" s="3630">
        <f>스크!R22</f>
        <v>39.979999999999997</v>
      </c>
      <c r="R11" s="3630">
        <f>스크!R23</f>
        <v>32.44</v>
      </c>
      <c r="S11" s="3630">
        <f>스크!R24</f>
        <v>37.299999999999997</v>
      </c>
      <c r="T11" s="3630">
        <f>스크!R27</f>
        <v>50.38</v>
      </c>
      <c r="U11" s="3630">
        <f>스크!R28</f>
        <v>25.17</v>
      </c>
      <c r="V11" s="3630">
        <f>스크!R29</f>
        <v>40.65</v>
      </c>
      <c r="W11" s="3630">
        <f>스크!R31</f>
        <v>23.59</v>
      </c>
      <c r="X11" s="5531">
        <f>스크!R32</f>
        <v>36.479999999999997</v>
      </c>
      <c r="Y11" s="5382">
        <f>스크!R33</f>
        <v>64.010000000000005</v>
      </c>
      <c r="Z11" s="6681">
        <f t="shared" ref="Z11:Z21" si="3">SUM(N11:Y11)</f>
        <v>465.10999999999996</v>
      </c>
      <c r="AA11" s="5764"/>
      <c r="AB11" s="3631"/>
      <c r="AC11" s="3631"/>
      <c r="AD11" s="3631"/>
      <c r="AE11" s="3631"/>
      <c r="AF11" s="3631"/>
      <c r="AG11" s="3631"/>
      <c r="AH11" s="3631"/>
      <c r="AI11" s="3631"/>
      <c r="AJ11" s="3631"/>
      <c r="AK11" s="3631"/>
      <c r="AL11" s="3631"/>
      <c r="AM11" s="3632"/>
      <c r="AN11" s="3633"/>
      <c r="AO11" s="3634"/>
      <c r="AP11" s="3635" t="s">
        <v>1462</v>
      </c>
    </row>
    <row r="12" spans="1:43">
      <c r="A12" s="7184"/>
      <c r="B12" s="1616" t="s">
        <v>541</v>
      </c>
      <c r="C12" s="1617" t="s">
        <v>440</v>
      </c>
      <c r="D12" s="3240">
        <v>0</v>
      </c>
      <c r="E12" s="3241">
        <v>0</v>
      </c>
      <c r="F12" s="3242">
        <v>0</v>
      </c>
      <c r="G12" s="3226">
        <v>0</v>
      </c>
      <c r="H12" s="3226">
        <v>60</v>
      </c>
      <c r="I12" s="3243">
        <v>58.59</v>
      </c>
      <c r="J12" s="2093">
        <v>5.56</v>
      </c>
      <c r="K12" s="2093">
        <v>13.93</v>
      </c>
      <c r="L12" s="3651">
        <v>10</v>
      </c>
      <c r="M12" s="3652">
        <f t="shared" si="2"/>
        <v>0.83333333333333337</v>
      </c>
      <c r="N12" s="3483">
        <v>0</v>
      </c>
      <c r="O12" s="1590">
        <v>0</v>
      </c>
      <c r="P12" s="1590">
        <v>2</v>
      </c>
      <c r="Q12" s="3484">
        <v>0</v>
      </c>
      <c r="R12" s="3484">
        <v>0</v>
      </c>
      <c r="S12" s="3484">
        <v>3.43</v>
      </c>
      <c r="T12" s="3484">
        <v>1.19</v>
      </c>
      <c r="U12" s="3484">
        <v>0</v>
      </c>
      <c r="V12" s="3484">
        <f>'#1CCL'!V12</f>
        <v>0</v>
      </c>
      <c r="W12" s="3484">
        <f>'#1CCL'!W12</f>
        <v>0</v>
      </c>
      <c r="X12" s="5470">
        <f>'#1CCL'!X12</f>
        <v>0</v>
      </c>
      <c r="Y12" s="5313">
        <f>'#1CCL'!Y12</f>
        <v>0</v>
      </c>
      <c r="Z12" s="5398">
        <f t="shared" si="3"/>
        <v>6.6199999999999992</v>
      </c>
      <c r="AA12" s="5742"/>
      <c r="AB12" s="1593"/>
      <c r="AC12" s="1593"/>
      <c r="AD12" s="1593"/>
      <c r="AE12" s="1593"/>
      <c r="AF12" s="1593"/>
      <c r="AG12" s="1593"/>
      <c r="AH12" s="1593"/>
      <c r="AI12" s="1593"/>
      <c r="AJ12" s="1593"/>
      <c r="AK12" s="1593"/>
      <c r="AL12" s="1593"/>
      <c r="AM12" s="2440"/>
      <c r="AN12" s="2441"/>
      <c r="AO12" s="1596"/>
      <c r="AP12" s="1591" t="s">
        <v>1463</v>
      </c>
    </row>
    <row r="13" spans="1:43">
      <c r="A13" s="7184"/>
      <c r="B13" s="1616" t="s">
        <v>542</v>
      </c>
      <c r="C13" s="1617" t="s">
        <v>874</v>
      </c>
      <c r="D13" s="3244">
        <v>0</v>
      </c>
      <c r="E13" s="3245">
        <f>600</f>
        <v>600</v>
      </c>
      <c r="F13" s="3246">
        <f>878</f>
        <v>878</v>
      </c>
      <c r="G13" s="3247">
        <f>973</f>
        <v>973</v>
      </c>
      <c r="H13" s="3247">
        <f>527</f>
        <v>527</v>
      </c>
      <c r="I13" s="3243">
        <v>145</v>
      </c>
      <c r="J13" s="2093">
        <v>52.56</v>
      </c>
      <c r="K13" s="2093">
        <v>21.73</v>
      </c>
      <c r="L13" s="3763">
        <v>20</v>
      </c>
      <c r="M13" s="3764">
        <f t="shared" si="2"/>
        <v>1.6666666666666667</v>
      </c>
      <c r="N13" s="3691">
        <v>0.3</v>
      </c>
      <c r="O13" s="2176">
        <v>0.53</v>
      </c>
      <c r="P13" s="2176">
        <v>3.83</v>
      </c>
      <c r="Q13" s="3617">
        <f>5.26+0.49</f>
        <v>5.75</v>
      </c>
      <c r="R13" s="3620">
        <v>2.33</v>
      </c>
      <c r="S13" s="3617">
        <v>1.6</v>
      </c>
      <c r="T13" s="3617">
        <v>5.23</v>
      </c>
      <c r="U13" s="3617">
        <v>4.3899999999999997</v>
      </c>
      <c r="V13" s="3484">
        <f>'#1CCL'!V13</f>
        <v>4.51</v>
      </c>
      <c r="W13" s="3484">
        <f>'#1CCL'!W13</f>
        <v>3.26</v>
      </c>
      <c r="X13" s="5470">
        <f>'#1CCL'!X13</f>
        <v>3.55</v>
      </c>
      <c r="Y13" s="5313">
        <f>'#1CCL'!Y13</f>
        <v>6.3739999999999997</v>
      </c>
      <c r="Z13" s="5398">
        <f t="shared" si="3"/>
        <v>41.653999999999996</v>
      </c>
      <c r="AA13" s="5929">
        <f>($K$13/12-N13)*년간!$C$216/1000</f>
        <v>1062.3851155512718</v>
      </c>
      <c r="AB13" s="5928">
        <f>($K$13/12-O13)*년간!$C$216/1000</f>
        <v>900.65412167805027</v>
      </c>
      <c r="AC13" s="5928">
        <f>($K$13/12-P13)*년간!$C$216/1000</f>
        <v>-1419.8340512855668</v>
      </c>
      <c r="AD13" s="5928">
        <f>($K$13/12-Q13)*년간!$C$216/1000</f>
        <v>-2769.9362610098528</v>
      </c>
      <c r="AE13" s="5928">
        <f>($K$13/12-R13)*년간!$C$216/1000</f>
        <v>-365.06669993846805</v>
      </c>
      <c r="AF13" s="5928">
        <f>($K$13/12-S13)*년간!$C$216/1000</f>
        <v>148.2534110504532</v>
      </c>
      <c r="AG13" s="5928">
        <f>($K$13/12-T13)*년간!$C$216/1000</f>
        <v>-2404.2835792095257</v>
      </c>
      <c r="AH13" s="5928">
        <f>($K$13/12-U13)*년간!$C$216/1000</f>
        <v>-1813.61386245515</v>
      </c>
      <c r="AI13" s="5928">
        <f>($K$13/12-V13)*년간!$C$216/1000</f>
        <v>-1897.9952505629178</v>
      </c>
      <c r="AJ13" s="5928">
        <f>($K$13/12-W13)*년간!$C$216/1000</f>
        <v>-1019.022457773669</v>
      </c>
      <c r="AK13" s="5928">
        <f>($K$13/12-X13)*년간!$C$216/1000</f>
        <v>-1222.9441457007747</v>
      </c>
      <c r="AL13" s="5928">
        <f>($K$13/12-Y13)*년간!$C$216/1000</f>
        <v>-3208.7194791702454</v>
      </c>
      <c r="AM13" s="1639">
        <f>(K13-L13)*년간!C216/1000</f>
        <v>1216.4983452203205</v>
      </c>
      <c r="AN13" s="2342">
        <f>AA13+AB13+AC13+AD13+AE13+AF13+AG13+AH13+AI13+AJ13+AK13+AL13</f>
        <v>-14010.123138826395</v>
      </c>
      <c r="AO13" s="3248">
        <f>AN13/AM13</f>
        <v>-11.516763005780346</v>
      </c>
      <c r="AP13" s="3249" t="s">
        <v>1464</v>
      </c>
    </row>
    <row r="14" spans="1:43">
      <c r="A14" s="7184"/>
      <c r="B14" s="1616" t="s">
        <v>543</v>
      </c>
      <c r="C14" s="1617" t="s">
        <v>440</v>
      </c>
      <c r="D14" s="3240">
        <v>0</v>
      </c>
      <c r="E14" s="3241">
        <v>0</v>
      </c>
      <c r="F14" s="3242">
        <v>0</v>
      </c>
      <c r="G14" s="3226">
        <v>0</v>
      </c>
      <c r="H14" s="3226">
        <f>832</f>
        <v>832</v>
      </c>
      <c r="I14" s="3243">
        <v>422.05</v>
      </c>
      <c r="J14" s="2093">
        <v>492.53</v>
      </c>
      <c r="K14" s="2093">
        <v>542.02199999999993</v>
      </c>
      <c r="L14" s="3651">
        <f>(K14/11*12)*0.9</f>
        <v>532.16705454545456</v>
      </c>
      <c r="M14" s="3652">
        <f t="shared" si="2"/>
        <v>44.347254545454547</v>
      </c>
      <c r="N14" s="3483">
        <v>54.22</v>
      </c>
      <c r="O14" s="1590">
        <v>34.29</v>
      </c>
      <c r="P14" s="1590">
        <v>38.35</v>
      </c>
      <c r="Q14" s="3617">
        <v>40.44</v>
      </c>
      <c r="R14" s="3617">
        <v>42.87</v>
      </c>
      <c r="S14" s="3617">
        <v>37.99</v>
      </c>
      <c r="T14" s="3617">
        <v>43.74</v>
      </c>
      <c r="U14" s="3617">
        <v>32.67</v>
      </c>
      <c r="V14" s="3484">
        <f>'#1CCL'!V14</f>
        <v>47.07</v>
      </c>
      <c r="W14" s="3484">
        <f>'#1CCL'!W14</f>
        <v>55.73</v>
      </c>
      <c r="X14" s="5470">
        <f>'#1CCL'!X14</f>
        <v>36.03</v>
      </c>
      <c r="Y14" s="5313">
        <f>'#1CCL'!Y14</f>
        <v>39.409999999999997</v>
      </c>
      <c r="Z14" s="5398">
        <f t="shared" si="3"/>
        <v>502.80999999999995</v>
      </c>
      <c r="AA14" s="5727"/>
      <c r="AB14" s="3250"/>
      <c r="AC14" s="3250"/>
      <c r="AD14" s="3250"/>
      <c r="AE14" s="3250"/>
      <c r="AF14" s="3250"/>
      <c r="AG14" s="3250"/>
      <c r="AH14" s="3250"/>
      <c r="AI14" s="3250"/>
      <c r="AJ14" s="3250"/>
      <c r="AK14" s="3250"/>
      <c r="AL14" s="3250"/>
      <c r="AM14" s="2464"/>
      <c r="AN14" s="3251"/>
      <c r="AO14" s="1596"/>
      <c r="AP14" s="3249" t="s">
        <v>1465</v>
      </c>
    </row>
    <row r="15" spans="1:43">
      <c r="A15" s="7184"/>
      <c r="B15" s="1616" t="s">
        <v>1013</v>
      </c>
      <c r="C15" s="1617" t="s">
        <v>440</v>
      </c>
      <c r="D15" s="3240"/>
      <c r="E15" s="3241">
        <v>196</v>
      </c>
      <c r="F15" s="3242">
        <v>196</v>
      </c>
      <c r="G15" s="3252">
        <v>196</v>
      </c>
      <c r="H15" s="3252">
        <v>196</v>
      </c>
      <c r="I15" s="3253">
        <v>196</v>
      </c>
      <c r="J15" s="2764">
        <v>196</v>
      </c>
      <c r="K15" s="2764">
        <v>81.070000000000007</v>
      </c>
      <c r="L15" s="3651">
        <f>(K15/11*12)*0.8</f>
        <v>70.75200000000001</v>
      </c>
      <c r="M15" s="2278">
        <f t="shared" si="2"/>
        <v>5.8960000000000008</v>
      </c>
      <c r="N15" s="3483">
        <v>26.77</v>
      </c>
      <c r="O15" s="1590">
        <v>0</v>
      </c>
      <c r="P15" s="1590">
        <v>0</v>
      </c>
      <c r="Q15" s="1059">
        <v>8.3800000000000008</v>
      </c>
      <c r="R15" s="1059">
        <v>0</v>
      </c>
      <c r="S15" s="1059">
        <v>0</v>
      </c>
      <c r="T15" s="1059">
        <v>0</v>
      </c>
      <c r="U15" s="1059">
        <v>0</v>
      </c>
      <c r="V15" s="3484">
        <f>'#1CCL'!V15</f>
        <v>0</v>
      </c>
      <c r="W15" s="3484">
        <f>'#1CCL'!W15</f>
        <v>0</v>
      </c>
      <c r="X15" s="5470">
        <f>'#1CCL'!X15</f>
        <v>0</v>
      </c>
      <c r="Y15" s="5313">
        <f>'#1CCL'!Y15</f>
        <v>8.5510000000000002</v>
      </c>
      <c r="Z15" s="5398">
        <f t="shared" si="3"/>
        <v>43.701000000000001</v>
      </c>
      <c r="AA15" s="5733"/>
      <c r="AB15" s="825"/>
      <c r="AC15" s="825"/>
      <c r="AD15" s="825"/>
      <c r="AE15" s="825"/>
      <c r="AF15" s="825"/>
      <c r="AG15" s="825"/>
      <c r="AH15" s="825"/>
      <c r="AI15" s="825"/>
      <c r="AJ15" s="825"/>
      <c r="AK15" s="825"/>
      <c r="AL15" s="825"/>
      <c r="AM15" s="2095"/>
      <c r="AN15" s="2343"/>
      <c r="AO15" s="1596"/>
      <c r="AP15" s="3254" t="s">
        <v>1466</v>
      </c>
    </row>
    <row r="16" spans="1:43">
      <c r="A16" s="7184"/>
      <c r="B16" s="1616" t="s">
        <v>1135</v>
      </c>
      <c r="C16" s="1617" t="s">
        <v>440</v>
      </c>
      <c r="D16" s="3698"/>
      <c r="E16" s="3699"/>
      <c r="F16" s="3700"/>
      <c r="G16" s="3701"/>
      <c r="H16" s="3701"/>
      <c r="I16" s="3702"/>
      <c r="J16" s="3703"/>
      <c r="K16" s="3703">
        <v>201.822</v>
      </c>
      <c r="L16" s="3704">
        <f>(K16/P49)*P50*0.85</f>
        <v>187.93409119863321</v>
      </c>
      <c r="M16" s="3705">
        <f>L16/12</f>
        <v>15.661174266552768</v>
      </c>
      <c r="N16" s="4153">
        <v>0</v>
      </c>
      <c r="O16" s="1592">
        <v>0</v>
      </c>
      <c r="P16" s="1592">
        <v>31.02</v>
      </c>
      <c r="Q16" s="4154">
        <v>13.83</v>
      </c>
      <c r="R16" s="4154">
        <v>0</v>
      </c>
      <c r="S16" s="4154">
        <v>8.74</v>
      </c>
      <c r="T16" s="4154">
        <v>6.46</v>
      </c>
      <c r="U16" s="4154">
        <v>26.853999999999999</v>
      </c>
      <c r="V16" s="3484">
        <f>'#1CCL'!V16</f>
        <v>46.933000000000007</v>
      </c>
      <c r="W16" s="3484">
        <f>'#1CCL'!W16</f>
        <v>10.412000000000001</v>
      </c>
      <c r="X16" s="5470">
        <f>'#1CCL'!X16</f>
        <v>60.631999999999998</v>
      </c>
      <c r="Y16" s="5313">
        <f>'#1CCL'!Y16</f>
        <v>17.620000000000005</v>
      </c>
      <c r="Z16" s="6682">
        <f t="shared" si="3"/>
        <v>222.501</v>
      </c>
      <c r="AA16" s="5727"/>
      <c r="AB16" s="3250"/>
      <c r="AC16" s="3250"/>
      <c r="AD16" s="3250"/>
      <c r="AE16" s="3250"/>
      <c r="AF16" s="3250"/>
      <c r="AG16" s="3250"/>
      <c r="AH16" s="3250"/>
      <c r="AI16" s="3250"/>
      <c r="AJ16" s="3250"/>
      <c r="AK16" s="3250"/>
      <c r="AL16" s="3250"/>
      <c r="AM16" s="3255"/>
      <c r="AN16" s="3251"/>
      <c r="AO16" s="1596"/>
      <c r="AP16" s="3254" t="s">
        <v>1467</v>
      </c>
    </row>
    <row r="17" spans="1:43">
      <c r="A17" s="7184"/>
      <c r="B17" s="3472" t="s">
        <v>895</v>
      </c>
      <c r="C17" s="1617" t="s">
        <v>440</v>
      </c>
      <c r="D17" s="4145"/>
      <c r="E17" s="3699"/>
      <c r="F17" s="4146"/>
      <c r="G17" s="3701"/>
      <c r="H17" s="3701"/>
      <c r="I17" s="4147"/>
      <c r="J17" s="4148"/>
      <c r="K17" s="4148"/>
      <c r="L17" s="3704"/>
      <c r="M17" s="3705"/>
      <c r="N17" s="4153">
        <v>9.0300000000000011</v>
      </c>
      <c r="O17" s="4155">
        <v>0</v>
      </c>
      <c r="P17" s="4155">
        <v>0</v>
      </c>
      <c r="Q17" s="4154">
        <v>0.41</v>
      </c>
      <c r="R17" s="4154">
        <v>0</v>
      </c>
      <c r="S17" s="4154">
        <v>0</v>
      </c>
      <c r="T17" s="4154">
        <v>0</v>
      </c>
      <c r="U17" s="4154">
        <v>0</v>
      </c>
      <c r="V17" s="3484">
        <f>'#1CCL'!V17</f>
        <v>0</v>
      </c>
      <c r="W17" s="3484">
        <f>'#1CCL'!W17</f>
        <v>0</v>
      </c>
      <c r="X17" s="5470">
        <f>'#1CCL'!X17</f>
        <v>0</v>
      </c>
      <c r="Y17" s="5313">
        <f>'#1CCL'!Y17</f>
        <v>0</v>
      </c>
      <c r="Z17" s="6682">
        <f t="shared" si="3"/>
        <v>9.4400000000000013</v>
      </c>
      <c r="AA17" s="5727"/>
      <c r="AB17" s="4149"/>
      <c r="AC17" s="4149"/>
      <c r="AD17" s="4149"/>
      <c r="AE17" s="4149"/>
      <c r="AF17" s="4149"/>
      <c r="AG17" s="4149"/>
      <c r="AH17" s="4149"/>
      <c r="AI17" s="4149"/>
      <c r="AJ17" s="4149"/>
      <c r="AK17" s="4149"/>
      <c r="AL17" s="4149"/>
      <c r="AM17" s="4150"/>
      <c r="AN17" s="4151"/>
      <c r="AO17" s="3479"/>
      <c r="AP17" s="4152" t="s">
        <v>1631</v>
      </c>
    </row>
    <row r="18" spans="1:43">
      <c r="A18" s="7184"/>
      <c r="B18" s="1616" t="s">
        <v>1041</v>
      </c>
      <c r="C18" s="1617" t="s">
        <v>440</v>
      </c>
      <c r="D18" s="3240"/>
      <c r="E18" s="3241"/>
      <c r="F18" s="3242"/>
      <c r="G18" s="3252"/>
      <c r="H18" s="3252"/>
      <c r="I18" s="3253"/>
      <c r="J18" s="2764">
        <v>193.06</v>
      </c>
      <c r="K18" s="2764">
        <v>171.13900000000001</v>
      </c>
      <c r="L18" s="3651">
        <f>(K18/P51)*R51*0.7</f>
        <v>233.56853187755897</v>
      </c>
      <c r="M18" s="3652">
        <f t="shared" si="2"/>
        <v>19.464044323129915</v>
      </c>
      <c r="N18" s="3483">
        <v>3.48</v>
      </c>
      <c r="O18" s="1590">
        <v>18.39</v>
      </c>
      <c r="P18" s="1590">
        <v>6.56</v>
      </c>
      <c r="Q18" s="1059">
        <v>7.55</v>
      </c>
      <c r="R18" s="1059">
        <v>15.354999999999999</v>
      </c>
      <c r="S18" s="1059">
        <v>6.742</v>
      </c>
      <c r="T18" s="1059">
        <v>8.2270000000000003</v>
      </c>
      <c r="U18" s="1059">
        <v>11.039</v>
      </c>
      <c r="V18" s="3484">
        <f>'#1CCL'!V18</f>
        <v>25.794</v>
      </c>
      <c r="W18" s="3484">
        <f>'#1CCL'!W18</f>
        <v>3.13</v>
      </c>
      <c r="X18" s="5470">
        <f>'#1CCL'!X18</f>
        <v>6.66</v>
      </c>
      <c r="Y18" s="5313">
        <f>'#1CCL'!Y18</f>
        <v>21.088999999999999</v>
      </c>
      <c r="Z18" s="5398">
        <f t="shared" si="3"/>
        <v>134.01599999999996</v>
      </c>
      <c r="AA18" s="5727"/>
      <c r="AB18" s="3250"/>
      <c r="AC18" s="3250"/>
      <c r="AD18" s="3250"/>
      <c r="AE18" s="3250"/>
      <c r="AF18" s="3250"/>
      <c r="AG18" s="3250"/>
      <c r="AH18" s="3250"/>
      <c r="AI18" s="3250"/>
      <c r="AJ18" s="3250"/>
      <c r="AK18" s="3250"/>
      <c r="AL18" s="3250"/>
      <c r="AM18" s="3255"/>
      <c r="AN18" s="3251"/>
      <c r="AO18" s="1596"/>
      <c r="AP18" s="3249" t="s">
        <v>1468</v>
      </c>
    </row>
    <row r="19" spans="1:43">
      <c r="A19" s="7184"/>
      <c r="B19" s="1616" t="s">
        <v>1042</v>
      </c>
      <c r="C19" s="1617" t="s">
        <v>440</v>
      </c>
      <c r="D19" s="3698"/>
      <c r="E19" s="3699"/>
      <c r="F19" s="3700"/>
      <c r="G19" s="3701"/>
      <c r="H19" s="3701"/>
      <c r="I19" s="3702"/>
      <c r="J19" s="3703">
        <v>91.61999999999999</v>
      </c>
      <c r="K19" s="3703">
        <v>32.479999999999997</v>
      </c>
      <c r="L19" s="3704">
        <f>(K19/11*12)*0.8</f>
        <v>28.346181818181819</v>
      </c>
      <c r="M19" s="3706">
        <f>L19/12</f>
        <v>2.3621818181818184</v>
      </c>
      <c r="N19" s="4153">
        <v>19.309999999999999</v>
      </c>
      <c r="O19" s="1592">
        <v>0</v>
      </c>
      <c r="P19" s="1592">
        <v>12.89</v>
      </c>
      <c r="Q19" s="4154">
        <v>2.69</v>
      </c>
      <c r="R19" s="4154">
        <v>2.19</v>
      </c>
      <c r="S19" s="4154">
        <v>6.76</v>
      </c>
      <c r="T19" s="4154">
        <v>0.61</v>
      </c>
      <c r="U19" s="4154">
        <v>4.04</v>
      </c>
      <c r="V19" s="3484">
        <f>'#1CCL'!V19</f>
        <v>3.33</v>
      </c>
      <c r="W19" s="3484">
        <f>'#1CCL'!W19</f>
        <v>1.06</v>
      </c>
      <c r="X19" s="5506">
        <f>'#1CCL'!X19</f>
        <v>0</v>
      </c>
      <c r="Y19" s="5351">
        <f>'#1CCL'!Y19</f>
        <v>0.51</v>
      </c>
      <c r="Z19" s="6682">
        <f t="shared" si="3"/>
        <v>53.389999999999993</v>
      </c>
      <c r="AA19" s="5727"/>
      <c r="AB19" s="3250"/>
      <c r="AC19" s="3250"/>
      <c r="AD19" s="3250"/>
      <c r="AE19" s="3250"/>
      <c r="AF19" s="3250"/>
      <c r="AG19" s="3250"/>
      <c r="AH19" s="3250"/>
      <c r="AI19" s="3250"/>
      <c r="AJ19" s="3250"/>
      <c r="AK19" s="3250"/>
      <c r="AL19" s="3250"/>
      <c r="AM19" s="3255"/>
      <c r="AN19" s="3251"/>
      <c r="AO19" s="1596"/>
      <c r="AP19" s="3249" t="s">
        <v>1469</v>
      </c>
      <c r="AQ19" s="1536" t="s">
        <v>1445</v>
      </c>
    </row>
    <row r="20" spans="1:43">
      <c r="A20" s="7184"/>
      <c r="B20" s="1616" t="s">
        <v>583</v>
      </c>
      <c r="C20" s="1617" t="s">
        <v>440</v>
      </c>
      <c r="D20" s="3698"/>
      <c r="E20" s="3699"/>
      <c r="F20" s="3700"/>
      <c r="G20" s="3701">
        <v>487.3</v>
      </c>
      <c r="H20" s="3701">
        <v>163.19999999999999</v>
      </c>
      <c r="I20" s="3702">
        <v>608.5</v>
      </c>
      <c r="J20" s="3703">
        <v>595.41999999999996</v>
      </c>
      <c r="K20" s="3703">
        <v>568.35</v>
      </c>
      <c r="L20" s="3707">
        <f>(K20/P49)*P50</f>
        <v>622.63567565795131</v>
      </c>
      <c r="M20" s="3708">
        <f t="shared" si="2"/>
        <v>51.886306304829276</v>
      </c>
      <c r="N20" s="4156">
        <f>스크!P18</f>
        <v>47.81</v>
      </c>
      <c r="O20" s="4157">
        <f>스크!P19</f>
        <v>47.12</v>
      </c>
      <c r="P20" s="4157">
        <f>스크!P20</f>
        <v>26.68</v>
      </c>
      <c r="Q20" s="4154">
        <f>스크!P22</f>
        <v>23.16</v>
      </c>
      <c r="R20" s="4154">
        <f>스크!P23</f>
        <v>28.99</v>
      </c>
      <c r="S20" s="4154">
        <f>스크!P24</f>
        <v>20.52</v>
      </c>
      <c r="T20" s="4154">
        <f>스크!P27</f>
        <v>30.56</v>
      </c>
      <c r="U20" s="4154">
        <f>스크!P28</f>
        <v>22.74</v>
      </c>
      <c r="V20" s="3620">
        <f>스크!P29</f>
        <v>22.23</v>
      </c>
      <c r="W20" s="3620">
        <f>스크!P31</f>
        <v>32.619999999999997</v>
      </c>
      <c r="X20" s="5532">
        <f>스크!P32</f>
        <v>8.48</v>
      </c>
      <c r="Y20" s="5383">
        <f>스크!P33</f>
        <v>25.89</v>
      </c>
      <c r="Z20" s="6682">
        <f t="shared" si="3"/>
        <v>336.80000000000007</v>
      </c>
      <c r="AA20" s="5733"/>
      <c r="AB20" s="825"/>
      <c r="AC20" s="825"/>
      <c r="AD20" s="825"/>
      <c r="AE20" s="825"/>
      <c r="AF20" s="825"/>
      <c r="AG20" s="825"/>
      <c r="AH20" s="825"/>
      <c r="AI20" s="825"/>
      <c r="AJ20" s="825"/>
      <c r="AK20" s="825"/>
      <c r="AL20" s="825"/>
      <c r="AM20" s="2095"/>
      <c r="AN20" s="2343"/>
      <c r="AO20" s="1596"/>
      <c r="AP20" s="3254" t="s">
        <v>1470</v>
      </c>
      <c r="AQ20" s="1318" t="s">
        <v>1635</v>
      </c>
    </row>
    <row r="21" spans="1:43" ht="18" thickBot="1">
      <c r="A21" s="7184"/>
      <c r="B21" s="1616" t="s">
        <v>57</v>
      </c>
      <c r="C21" s="1617" t="s">
        <v>309</v>
      </c>
      <c r="D21" s="3256"/>
      <c r="E21" s="3257"/>
      <c r="F21" s="3258"/>
      <c r="G21" s="3215">
        <f>SUM(G12:G20)</f>
        <v>1656.3</v>
      </c>
      <c r="H21" s="3215">
        <f>SUM(H12:H20)</f>
        <v>1778.2</v>
      </c>
      <c r="I21" s="3215">
        <f>SUM(I12:I20)</f>
        <v>1430.1399999999999</v>
      </c>
      <c r="J21" s="3215">
        <f>SUM(J12:J20)</f>
        <v>1626.75</v>
      </c>
      <c r="K21" s="3215">
        <f>SUM(K12:K20)</f>
        <v>1632.5430000000001</v>
      </c>
      <c r="L21" s="3654">
        <f>SUM(L12:L19)</f>
        <v>1082.7678594398287</v>
      </c>
      <c r="M21" s="3655">
        <f>L21/12</f>
        <v>90.23065495331906</v>
      </c>
      <c r="N21" s="3692">
        <f>SUM(N12:N20)</f>
        <v>160.92000000000002</v>
      </c>
      <c r="O21" s="3688">
        <f>SUM(O12:O20)</f>
        <v>100.33</v>
      </c>
      <c r="P21" s="3688">
        <f>SUM(P12:P20)</f>
        <v>121.33000000000001</v>
      </c>
      <c r="Q21" s="5122">
        <f t="shared" ref="Q21:Y21" si="4">SUM(Q12:Q20)</f>
        <v>102.21</v>
      </c>
      <c r="R21" s="5122">
        <f t="shared" si="4"/>
        <v>91.734999999999985</v>
      </c>
      <c r="S21" s="5122">
        <f t="shared" si="4"/>
        <v>85.781999999999996</v>
      </c>
      <c r="T21" s="5122">
        <f t="shared" si="4"/>
        <v>96.01700000000001</v>
      </c>
      <c r="U21" s="5122">
        <f t="shared" si="4"/>
        <v>101.733</v>
      </c>
      <c r="V21" s="5122">
        <f t="shared" si="4"/>
        <v>149.86699999999999</v>
      </c>
      <c r="W21" s="5122">
        <f t="shared" si="4"/>
        <v>106.21199999999999</v>
      </c>
      <c r="X21" s="5533">
        <f t="shared" si="4"/>
        <v>115.35199999999999</v>
      </c>
      <c r="Y21" s="5384">
        <f t="shared" si="4"/>
        <v>119.44400000000002</v>
      </c>
      <c r="Z21" s="5398">
        <f t="shared" si="3"/>
        <v>1350.932</v>
      </c>
      <c r="AA21" s="5727"/>
      <c r="AB21" s="1593"/>
      <c r="AC21" s="1593"/>
      <c r="AD21" s="1593"/>
      <c r="AE21" s="1593"/>
      <c r="AF21" s="1593"/>
      <c r="AG21" s="1593"/>
      <c r="AH21" s="1593"/>
      <c r="AI21" s="1593"/>
      <c r="AJ21" s="1593"/>
      <c r="AK21" s="1593"/>
      <c r="AL21" s="1593"/>
      <c r="AM21" s="1622"/>
      <c r="AN21" s="3259"/>
      <c r="AO21" s="3260"/>
      <c r="AP21" s="3249" t="s">
        <v>1471</v>
      </c>
    </row>
    <row r="22" spans="1:43" ht="18" thickBot="1">
      <c r="A22" s="7184"/>
      <c r="B22" s="5923" t="s">
        <v>886</v>
      </c>
      <c r="C22" s="1617" t="s">
        <v>270</v>
      </c>
      <c r="D22" s="3240">
        <v>11.385725986556967</v>
      </c>
      <c r="E22" s="3689">
        <f>(E12+E13+E14+E15+E18)/E5*1000</f>
        <v>6.050036691648403</v>
      </c>
      <c r="F22" s="3689">
        <f>(F12+F13+F14+F15+F18)/F5*1000</f>
        <v>8.6072139047248584</v>
      </c>
      <c r="G22" s="3689">
        <f>(G12+G13+G14+G15+G18)/G5*1000</f>
        <v>11.44862598517067</v>
      </c>
      <c r="H22" s="3689">
        <f>(H12+H13+H14+H15+H18)/H5*1000</f>
        <v>13.488092561554977</v>
      </c>
      <c r="I22" s="3875">
        <f>(I12+I13+I14+I15+I18)/I5*1000</f>
        <v>6.5235410877332276</v>
      </c>
      <c r="J22" s="3877">
        <f>(J12+J13+J14+J15+J17+J18)/J5*1000</f>
        <v>6.5398333866946601</v>
      </c>
      <c r="K22" s="3876">
        <f>(K12+K13+K14+K15+K17+K18)/K5*1000</f>
        <v>5.4775131817827143</v>
      </c>
      <c r="L22" s="3656">
        <f>(L12+L13+L14+L15+L17+L18)/L5*1000</f>
        <v>5.1767689474430254</v>
      </c>
      <c r="M22" s="3653">
        <f>L22</f>
        <v>5.1767689474430254</v>
      </c>
      <c r="N22" s="3683">
        <f>(N12+N13+N14+N15+N17+N18)/N5*1000</f>
        <v>6.839571221592629</v>
      </c>
      <c r="O22" s="3689">
        <f t="shared" ref="O22:Z22" si="5">(O12+O13+O14+O15+O17+O18)/O5*1000</f>
        <v>4.6638904787740829</v>
      </c>
      <c r="P22" s="3689">
        <f>(P12+P13+P14+P15+P17+P18)/P5*1000</f>
        <v>3.8153015095781062</v>
      </c>
      <c r="Q22" s="3875">
        <f t="shared" si="5"/>
        <v>4.8452886096586525</v>
      </c>
      <c r="R22" s="3875">
        <f t="shared" si="5"/>
        <v>4.7911386365869708</v>
      </c>
      <c r="S22" s="3875">
        <f>(S12+S13+S14+S15+S17+S18)/S5*1000</f>
        <v>3.6610837873331299</v>
      </c>
      <c r="T22" s="3875">
        <f t="shared" si="5"/>
        <v>3.8773475959408943</v>
      </c>
      <c r="U22" s="3875">
        <f t="shared" si="5"/>
        <v>3.8742743639332198</v>
      </c>
      <c r="V22" s="3875">
        <f t="shared" si="5"/>
        <v>5.9445937494717978</v>
      </c>
      <c r="W22" s="3875">
        <f t="shared" si="5"/>
        <v>4.5540952767756533</v>
      </c>
      <c r="X22" s="5534">
        <f t="shared" si="5"/>
        <v>3.4816524295895275</v>
      </c>
      <c r="Y22" s="5385">
        <f t="shared" si="5"/>
        <v>5.9567679416201358</v>
      </c>
      <c r="Z22" s="5376">
        <f t="shared" si="5"/>
        <v>4.683334588581693</v>
      </c>
      <c r="AA22" s="3448">
        <f>($K$22-N22)*726.715967251073*N5/1000</f>
        <v>-13574.826221833058</v>
      </c>
      <c r="AB22" s="2054">
        <f t="shared" ref="AB22:AL22" si="6">($K$22-O22)*726.715967251073*O5/1000</f>
        <v>6745.7878137792695</v>
      </c>
      <c r="AC22" s="2054">
        <f t="shared" si="6"/>
        <v>16064.700330489106</v>
      </c>
      <c r="AD22" s="2054">
        <f t="shared" si="6"/>
        <v>5929.3194814368499</v>
      </c>
      <c r="AE22" s="2054">
        <f t="shared" si="6"/>
        <v>6304.3039277528314</v>
      </c>
      <c r="AF22" s="2054">
        <f t="shared" si="6"/>
        <v>17942.021901179669</v>
      </c>
      <c r="AG22" s="2054">
        <f t="shared" si="6"/>
        <v>17511.004247561359</v>
      </c>
      <c r="AH22" s="2054">
        <f t="shared" si="6"/>
        <v>14464.672214021004</v>
      </c>
      <c r="AI22" s="2054">
        <f t="shared" si="6"/>
        <v>-4418.0372225381861</v>
      </c>
      <c r="AJ22" s="2054">
        <f t="shared" si="6"/>
        <v>9153.6083906251497</v>
      </c>
      <c r="AK22" s="2054">
        <f t="shared" si="6"/>
        <v>19263.152032009704</v>
      </c>
      <c r="AL22" s="2054">
        <f t="shared" si="6"/>
        <v>-4409.9129492175198</v>
      </c>
      <c r="AM22" s="2094">
        <f>(K22-L22)*L5*년간!C216/1000000</f>
        <v>35396.986726798976</v>
      </c>
      <c r="AN22" s="2342">
        <f>AA22+AB22+AC22+AD22+AE22+AF22+AG22+AH22+AI22+AJ22+AK22+AL22</f>
        <v>90975.793945266167</v>
      </c>
      <c r="AO22" s="1637">
        <f>AN22/AM22</f>
        <v>2.570156455616845</v>
      </c>
      <c r="AP22" s="934" t="s">
        <v>1472</v>
      </c>
      <c r="AQ22" s="1536">
        <v>6.38</v>
      </c>
    </row>
    <row r="23" spans="1:43" ht="18" thickBot="1">
      <c r="A23" s="7212"/>
      <c r="B23" s="3261" t="s">
        <v>884</v>
      </c>
      <c r="C23" s="3235" t="s">
        <v>270</v>
      </c>
      <c r="D23" s="2096">
        <f>스크!U9</f>
        <v>11.385725986556967</v>
      </c>
      <c r="E23" s="3666">
        <f>스크!U10</f>
        <v>13.3530832979393</v>
      </c>
      <c r="F23" s="3667">
        <f>스크!U11</f>
        <v>15.469047818621421</v>
      </c>
      <c r="G23" s="2097">
        <f>스크!U12</f>
        <v>15.753150207654006</v>
      </c>
      <c r="H23" s="1643">
        <f>스크!U13</f>
        <v>10.999915883094561</v>
      </c>
      <c r="I23" s="5442">
        <f>스크!U14</f>
        <v>10.125404504155878</v>
      </c>
      <c r="J23" s="5442">
        <f>스크!U15</f>
        <v>7.4771619816489139</v>
      </c>
      <c r="K23" s="5443">
        <f>스크!U16</f>
        <v>6.9260370878459945</v>
      </c>
      <c r="L23" s="5444">
        <f>(L11+L12+L13+L15+L16+L18)/L5*1000</f>
        <v>5.6863157615432032</v>
      </c>
      <c r="M23" s="5445">
        <f>(M11+M12+M13+M15+M16+M18)/M5*1000</f>
        <v>5.6863157615432032</v>
      </c>
      <c r="N23" s="5446">
        <f>스크!U18</f>
        <v>9.3289418133322055</v>
      </c>
      <c r="O23" s="5447">
        <f>스크!U19</f>
        <v>7.6142109733340471</v>
      </c>
      <c r="P23" s="5447">
        <f>스크!U20</f>
        <v>6.6553475879534512</v>
      </c>
      <c r="Q23" s="5448">
        <f>스크!U22</f>
        <v>7.8680730117501945</v>
      </c>
      <c r="R23" s="5448">
        <f>스크!U23</f>
        <v>5.4648492383628451</v>
      </c>
      <c r="S23" s="5448">
        <f>스크!U24</f>
        <v>4.5386491467501466</v>
      </c>
      <c r="T23" s="5448">
        <f>스크!U27</f>
        <v>6.1247840918976602</v>
      </c>
      <c r="U23" s="5448">
        <f>스크!U28</f>
        <v>4.6484204150312083</v>
      </c>
      <c r="V23" s="5448">
        <f>스크!U29</f>
        <v>6.9730313632752647</v>
      </c>
      <c r="W23" s="5448">
        <f>스크!U31</f>
        <v>5.0372164595501472</v>
      </c>
      <c r="X23" s="5535">
        <f>스크!U32</f>
        <v>3.6751612259572846</v>
      </c>
      <c r="Y23" s="5449">
        <f>스크!U33</f>
        <v>7.1000402783152605</v>
      </c>
      <c r="Z23" s="5450">
        <f>스크!U36</f>
        <v>6.2407581916628239</v>
      </c>
      <c r="AA23" s="5730"/>
      <c r="AB23" s="3068"/>
      <c r="AC23" s="3068"/>
      <c r="AD23" s="3068"/>
      <c r="AE23" s="3068"/>
      <c r="AF23" s="3068"/>
      <c r="AG23" s="3068"/>
      <c r="AH23" s="3068"/>
      <c r="AI23" s="3068"/>
      <c r="AJ23" s="3068"/>
      <c r="AK23" s="3068"/>
      <c r="AL23" s="3068"/>
      <c r="AM23" s="3237"/>
      <c r="AN23" s="3238"/>
      <c r="AO23" s="3239"/>
      <c r="AP23" s="934" t="s">
        <v>1543</v>
      </c>
    </row>
    <row r="24" spans="1:43">
      <c r="A24" s="7184" t="s">
        <v>701</v>
      </c>
      <c r="B24" s="7213" t="s">
        <v>784</v>
      </c>
      <c r="C24" s="913" t="s">
        <v>740</v>
      </c>
      <c r="D24" s="1185"/>
      <c r="E24" s="1186"/>
      <c r="F24" s="1186"/>
      <c r="G24" s="1188">
        <v>185</v>
      </c>
      <c r="H24" s="1188">
        <v>139</v>
      </c>
      <c r="I24" s="1553">
        <v>112</v>
      </c>
      <c r="J24" s="1553">
        <v>46</v>
      </c>
      <c r="K24" s="1553">
        <v>49</v>
      </c>
      <c r="L24" s="1420">
        <v>32</v>
      </c>
      <c r="M24" s="2279">
        <f t="shared" ref="M24:M29" si="7">L24/12</f>
        <v>2.6666666666666665</v>
      </c>
      <c r="N24" s="1738">
        <v>5</v>
      </c>
      <c r="O24" s="1068">
        <v>4</v>
      </c>
      <c r="P24" s="1068">
        <v>4</v>
      </c>
      <c r="Q24" s="1068">
        <v>1</v>
      </c>
      <c r="R24" s="1068">
        <v>1</v>
      </c>
      <c r="S24" s="1068">
        <v>3</v>
      </c>
      <c r="T24" s="1068">
        <v>1</v>
      </c>
      <c r="U24" s="1068">
        <v>5</v>
      </c>
      <c r="V24" s="1068">
        <f>'#1CCL'!V24</f>
        <v>2</v>
      </c>
      <c r="W24" s="1068">
        <f>'#1CCL'!W24</f>
        <v>3</v>
      </c>
      <c r="X24" s="5494">
        <f>'#1CCL'!X24</f>
        <v>4</v>
      </c>
      <c r="Y24" s="5338">
        <f>'#1CCL'!Y24</f>
        <v>8</v>
      </c>
      <c r="Z24" s="6929">
        <f t="shared" ref="Z24:Z29" si="8">SUM(N24:Y24)</f>
        <v>41</v>
      </c>
      <c r="AA24" s="5733"/>
      <c r="AB24" s="825"/>
      <c r="AC24" s="825"/>
      <c r="AD24" s="825"/>
      <c r="AE24" s="825"/>
      <c r="AF24" s="825"/>
      <c r="AG24" s="825"/>
      <c r="AH24" s="825"/>
      <c r="AI24" s="825"/>
      <c r="AJ24" s="825"/>
      <c r="AK24" s="825"/>
      <c r="AL24" s="825"/>
      <c r="AM24" s="2095"/>
      <c r="AN24" s="2343"/>
      <c r="AO24" s="944"/>
      <c r="AP24" s="1273"/>
    </row>
    <row r="25" spans="1:43">
      <c r="A25" s="7184"/>
      <c r="B25" s="7209"/>
      <c r="C25" s="1617" t="s">
        <v>791</v>
      </c>
      <c r="D25" s="1565"/>
      <c r="E25" s="1566"/>
      <c r="F25" s="1566"/>
      <c r="G25" s="1566">
        <v>105.25</v>
      </c>
      <c r="H25" s="1566">
        <v>83.816666666666663</v>
      </c>
      <c r="I25" s="1523">
        <v>69.069999999999993</v>
      </c>
      <c r="J25" s="1523">
        <v>21.93</v>
      </c>
      <c r="K25" s="1523">
        <v>23.533333333333335</v>
      </c>
      <c r="L25" s="3648">
        <v>19</v>
      </c>
      <c r="M25" s="3657">
        <f t="shared" si="7"/>
        <v>1.5833333333333333</v>
      </c>
      <c r="N25" s="1659">
        <f>43/60</f>
        <v>0.71666666666666667</v>
      </c>
      <c r="O25" s="1592">
        <f>78/60</f>
        <v>1.3</v>
      </c>
      <c r="P25" s="1592">
        <f>201/60</f>
        <v>3.35</v>
      </c>
      <c r="Q25" s="4155">
        <f>109/60</f>
        <v>1.8166666666666667</v>
      </c>
      <c r="R25" s="4155">
        <f>18/60</f>
        <v>0.3</v>
      </c>
      <c r="S25" s="4155">
        <f>325/60</f>
        <v>5.416666666666667</v>
      </c>
      <c r="T25" s="4155">
        <f>14/60</f>
        <v>0.23333333333333334</v>
      </c>
      <c r="U25" s="4155">
        <f>202/60</f>
        <v>3.3666666666666667</v>
      </c>
      <c r="V25" s="4155">
        <f>'#1CCL'!V25</f>
        <v>0.7</v>
      </c>
      <c r="W25" s="4155">
        <f>'#1CCL'!W25</f>
        <v>2.4500000000000002</v>
      </c>
      <c r="X25" s="5495">
        <f>'#1CCL'!X25</f>
        <v>6.15</v>
      </c>
      <c r="Y25" s="5339">
        <f>'#1CCL'!Y25</f>
        <v>4.0166666666666666</v>
      </c>
      <c r="Z25" s="5398">
        <f t="shared" si="8"/>
        <v>29.816666666666663</v>
      </c>
      <c r="AA25" s="5763">
        <f>($K$25/12-N25)*년간!$E$216/1000</f>
        <v>1307.6135899324461</v>
      </c>
      <c r="AB25" s="1680">
        <f>($K$25/12-O25)*년간!$E$216/1000</f>
        <v>694.66971965161213</v>
      </c>
      <c r="AC25" s="1680">
        <f>($K$25/12-P25)*년간!$E$216/1000</f>
        <v>-1459.3901673353193</v>
      </c>
      <c r="AD25" s="1680">
        <f>($K$25/12-Q25)*년간!$E$216/1000</f>
        <v>151.77657740287339</v>
      </c>
      <c r="AE25" s="1680">
        <f>($K$25/12-R25)*년간!$E$216/1000</f>
        <v>1745.4306401330418</v>
      </c>
      <c r="AF25" s="1680">
        <f>($K$25/12-S25)*년간!$E$216/1000</f>
        <v>-3630.9627363302743</v>
      </c>
      <c r="AG25" s="1680">
        <f>($K$25/12-T25)*년간!$E$216/1000</f>
        <v>1815.4813681651372</v>
      </c>
      <c r="AH25" s="1680">
        <f>($K$25/12-U25)*년간!$E$216/1000</f>
        <v>-1476.902849343343</v>
      </c>
      <c r="AI25" s="1680">
        <f>($K$25/12-V25)*년간!$E$216/1000</f>
        <v>1325.1262719404701</v>
      </c>
      <c r="AJ25" s="1680">
        <f>($K$25/12-W25)*년간!$E$216/1000</f>
        <v>-513.70533890203239</v>
      </c>
      <c r="AK25" s="1680">
        <f>($K$25/12-X25)*년간!$E$216/1000</f>
        <v>-4401.5207446833238</v>
      </c>
      <c r="AL25" s="1680">
        <f>($K$25/12-Y25)*년간!$E$216/1000</f>
        <v>-2159.8974476562726</v>
      </c>
      <c r="AM25" s="2223">
        <f>(K25-L25)*년간!E216/1000</f>
        <v>4763.4495061824846</v>
      </c>
      <c r="AN25" s="3229">
        <f>AA25+AB25+AC25+AD25+AE25+AF25+AG25+AH25+AI25+AJ25+AK25+AL25</f>
        <v>-6602.2811170249843</v>
      </c>
      <c r="AO25" s="3230">
        <f>AN25/AM25</f>
        <v>-1.3860294117647052</v>
      </c>
      <c r="AP25" s="1597"/>
      <c r="AQ25" s="1537">
        <f>SUM(N25:X25)</f>
        <v>25.799999999999997</v>
      </c>
    </row>
    <row r="26" spans="1:43">
      <c r="A26" s="7184"/>
      <c r="B26" s="7210" t="s">
        <v>24</v>
      </c>
      <c r="C26" s="1617" t="s">
        <v>740</v>
      </c>
      <c r="D26" s="1565"/>
      <c r="E26" s="1566"/>
      <c r="F26" s="1566"/>
      <c r="G26" s="1567">
        <v>19</v>
      </c>
      <c r="H26" s="1567">
        <v>30</v>
      </c>
      <c r="I26" s="1522">
        <v>15</v>
      </c>
      <c r="J26" s="1522">
        <v>4</v>
      </c>
      <c r="K26" s="1522">
        <v>6</v>
      </c>
      <c r="L26" s="3658">
        <f>년간!D43</f>
        <v>6</v>
      </c>
      <c r="M26" s="3659">
        <v>0.5</v>
      </c>
      <c r="N26" s="1673">
        <f>년간!F43</f>
        <v>0</v>
      </c>
      <c r="O26" s="1669">
        <f>년간!G43</f>
        <v>1</v>
      </c>
      <c r="P26" s="1669">
        <f>년간!H43</f>
        <v>0</v>
      </c>
      <c r="Q26" s="5374">
        <f>년간!I43</f>
        <v>3</v>
      </c>
      <c r="R26" s="5374">
        <f>년간!J43</f>
        <v>1</v>
      </c>
      <c r="S26" s="5374">
        <f>년간!K43</f>
        <v>0</v>
      </c>
      <c r="T26" s="5374">
        <f>년간!L43</f>
        <v>0</v>
      </c>
      <c r="U26" s="5374">
        <f>년간!M43</f>
        <v>0</v>
      </c>
      <c r="V26" s="5374">
        <f>년간!N43</f>
        <v>0</v>
      </c>
      <c r="W26" s="5374">
        <f>년간!O43</f>
        <v>0</v>
      </c>
      <c r="X26" s="5536">
        <f>년간!P43</f>
        <v>1</v>
      </c>
      <c r="Y26" s="5386">
        <f>년간!Q43</f>
        <v>3</v>
      </c>
      <c r="Z26" s="6671">
        <f t="shared" si="8"/>
        <v>9</v>
      </c>
      <c r="AA26" s="5742"/>
      <c r="AB26" s="1593"/>
      <c r="AC26" s="1593"/>
      <c r="AD26" s="1593"/>
      <c r="AE26" s="1593"/>
      <c r="AF26" s="1593"/>
      <c r="AG26" s="1593"/>
      <c r="AH26" s="1593"/>
      <c r="AI26" s="1593"/>
      <c r="AJ26" s="1593"/>
      <c r="AK26" s="1593"/>
      <c r="AL26" s="1593"/>
      <c r="AM26" s="2440"/>
      <c r="AN26" s="2441"/>
      <c r="AO26" s="1596"/>
      <c r="AP26" s="1597"/>
    </row>
    <row r="27" spans="1:43">
      <c r="A27" s="7184"/>
      <c r="B27" s="7209"/>
      <c r="C27" s="1617" t="s">
        <v>791</v>
      </c>
      <c r="D27" s="1565"/>
      <c r="E27" s="1566"/>
      <c r="F27" s="1566"/>
      <c r="G27" s="1566">
        <v>22.1</v>
      </c>
      <c r="H27" s="1566">
        <v>50</v>
      </c>
      <c r="I27" s="1523">
        <v>32</v>
      </c>
      <c r="J27" s="1523">
        <v>3.93</v>
      </c>
      <c r="K27" s="1523">
        <v>15.983333333333334</v>
      </c>
      <c r="L27" s="3648">
        <f>년간!D53/60</f>
        <v>13.949090909090909</v>
      </c>
      <c r="M27" s="3657">
        <f t="shared" si="7"/>
        <v>1.1624242424242424</v>
      </c>
      <c r="N27" s="1659">
        <f>년간!F53/60</f>
        <v>0</v>
      </c>
      <c r="O27" s="1592">
        <f>년간!G53/60</f>
        <v>1</v>
      </c>
      <c r="P27" s="1592">
        <f>년간!H53/60</f>
        <v>0</v>
      </c>
      <c r="Q27" s="4155">
        <f>년간!I53/60</f>
        <v>2.4333333333333331</v>
      </c>
      <c r="R27" s="4155">
        <f>년간!J53/60</f>
        <v>2.8333333333333335</v>
      </c>
      <c r="S27" s="4155">
        <f>년간!K53/60</f>
        <v>0</v>
      </c>
      <c r="T27" s="4155">
        <f>년간!L53/60</f>
        <v>0</v>
      </c>
      <c r="U27" s="4155">
        <f>년간!M53/60</f>
        <v>0</v>
      </c>
      <c r="V27" s="4155">
        <f>년간!N53/60</f>
        <v>0</v>
      </c>
      <c r="W27" s="4155">
        <f>년간!O53/60</f>
        <v>0</v>
      </c>
      <c r="X27" s="5495">
        <f>년간!P53/60</f>
        <v>3.15</v>
      </c>
      <c r="Y27" s="5339">
        <f>년간!Q53/60</f>
        <v>4.916666666666667</v>
      </c>
      <c r="Z27" s="5398">
        <f t="shared" si="8"/>
        <v>14.333333333333332</v>
      </c>
      <c r="AA27" s="5929">
        <f>년간!F179/1000</f>
        <v>1304.1698993321559</v>
      </c>
      <c r="AB27" s="1598">
        <f>년간!G179/1000</f>
        <v>216.51557336350555</v>
      </c>
      <c r="AC27" s="1598">
        <f>년간!H179/1000</f>
        <v>1206.3488949730922</v>
      </c>
      <c r="AD27" s="1598">
        <f>년간!I179/1000</f>
        <v>-1002.430315745377</v>
      </c>
      <c r="AE27" s="1598">
        <f>년간!J179/1000</f>
        <v>-1328.7344081926656</v>
      </c>
      <c r="AF27" s="1598">
        <f>년간!K179/1000</f>
        <v>1345.993519439128</v>
      </c>
      <c r="AG27" s="1598">
        <f>년간!L179/1000</f>
        <v>1427.8047798415278</v>
      </c>
      <c r="AH27" s="1598">
        <f>년간!M179/1000</f>
        <v>1190.8532253636608</v>
      </c>
      <c r="AI27" s="1598">
        <f>년간!N179/1000</f>
        <v>1250.1553732765319</v>
      </c>
      <c r="AJ27" s="1598">
        <f>년간!O179/1000</f>
        <v>1361.0485538937887</v>
      </c>
      <c r="AK27" s="1598">
        <f>년간!P179/1000</f>
        <v>-1518.3501217254939</v>
      </c>
      <c r="AL27" s="1598">
        <f>년간!Q179/1000</f>
        <v>-3007.0101167596017</v>
      </c>
      <c r="AM27" s="2195">
        <f>년간!E179/1000</f>
        <v>2001.469605158866</v>
      </c>
      <c r="AN27" s="2344">
        <f>AA27+AB27+AC27+AD27+AE27+AF27+AG27+AH27+AI27+AJ27+AK27+AL27</f>
        <v>2446.3648570602513</v>
      </c>
      <c r="AO27" s="3230">
        <f>AN27/AM27</f>
        <v>1.2222842908803864</v>
      </c>
      <c r="AP27" s="1610"/>
    </row>
    <row r="28" spans="1:43">
      <c r="A28" s="7184"/>
      <c r="B28" s="7210" t="s">
        <v>790</v>
      </c>
      <c r="C28" s="1617" t="s">
        <v>740</v>
      </c>
      <c r="D28" s="1565"/>
      <c r="E28" s="1566"/>
      <c r="F28" s="1566"/>
      <c r="G28" s="1567">
        <v>13</v>
      </c>
      <c r="H28" s="1567">
        <v>14</v>
      </c>
      <c r="I28" s="1522">
        <v>18</v>
      </c>
      <c r="J28" s="1522">
        <v>6</v>
      </c>
      <c r="K28" s="1522">
        <v>6</v>
      </c>
      <c r="L28" s="3658">
        <f>년간!D48</f>
        <v>6</v>
      </c>
      <c r="M28" s="3659">
        <f t="shared" si="7"/>
        <v>0.5</v>
      </c>
      <c r="N28" s="1673">
        <f>년간!F48</f>
        <v>0</v>
      </c>
      <c r="O28" s="1669">
        <f>년간!G48</f>
        <v>0</v>
      </c>
      <c r="P28" s="1669">
        <f>년간!H48</f>
        <v>0</v>
      </c>
      <c r="Q28" s="5374">
        <f>년간!I48</f>
        <v>0</v>
      </c>
      <c r="R28" s="5374">
        <f>년간!J48</f>
        <v>1</v>
      </c>
      <c r="S28" s="5374">
        <f>년간!K48</f>
        <v>0</v>
      </c>
      <c r="T28" s="5374">
        <f>년간!L48</f>
        <v>0</v>
      </c>
      <c r="U28" s="5374">
        <f>년간!M48</f>
        <v>0</v>
      </c>
      <c r="V28" s="5374">
        <f>년간!N48</f>
        <v>0</v>
      </c>
      <c r="W28" s="5374">
        <f>년간!O48</f>
        <v>0</v>
      </c>
      <c r="X28" s="5536">
        <f>년간!P48</f>
        <v>0</v>
      </c>
      <c r="Y28" s="5386">
        <f>년간!Q48</f>
        <v>1</v>
      </c>
      <c r="Z28" s="6671">
        <f t="shared" si="8"/>
        <v>2</v>
      </c>
      <c r="AA28" s="5727"/>
      <c r="AB28" s="1593"/>
      <c r="AC28" s="1593"/>
      <c r="AD28" s="1593"/>
      <c r="AE28" s="1593"/>
      <c r="AF28" s="1593"/>
      <c r="AG28" s="1593"/>
      <c r="AH28" s="1593"/>
      <c r="AI28" s="1593"/>
      <c r="AJ28" s="1593"/>
      <c r="AK28" s="1593"/>
      <c r="AL28" s="1593"/>
      <c r="AM28" s="2440"/>
      <c r="AN28" s="2441"/>
      <c r="AO28" s="1596"/>
      <c r="AP28" s="1597"/>
      <c r="AQ28" s="1705"/>
    </row>
    <row r="29" spans="1:43" ht="18" thickBot="1">
      <c r="A29" s="7212"/>
      <c r="B29" s="7211"/>
      <c r="C29" s="3235" t="s">
        <v>791</v>
      </c>
      <c r="D29" s="2104"/>
      <c r="E29" s="2105"/>
      <c r="F29" s="2105"/>
      <c r="G29" s="2105">
        <v>16.516666666666666</v>
      </c>
      <c r="H29" s="2105">
        <v>16</v>
      </c>
      <c r="I29" s="1519">
        <v>37</v>
      </c>
      <c r="J29" s="1519">
        <v>4.93</v>
      </c>
      <c r="K29" s="1519">
        <v>7.7833333333333341</v>
      </c>
      <c r="L29" s="3651">
        <f>년간!D58/60</f>
        <v>6.7927272727272729</v>
      </c>
      <c r="M29" s="3660">
        <f t="shared" si="7"/>
        <v>0.56606060606060604</v>
      </c>
      <c r="N29" s="1659">
        <f>년간!F58/60</f>
        <v>0</v>
      </c>
      <c r="O29" s="1592">
        <f>년간!G58/60</f>
        <v>0</v>
      </c>
      <c r="P29" s="1592">
        <f>년간!H58/60</f>
        <v>0</v>
      </c>
      <c r="Q29" s="4155">
        <f>년간!I58/60</f>
        <v>0</v>
      </c>
      <c r="R29" s="4155">
        <f>년간!J58/60</f>
        <v>2.3333333333333335</v>
      </c>
      <c r="S29" s="4155">
        <f>년간!K58/60</f>
        <v>0</v>
      </c>
      <c r="T29" s="4155">
        <f>년간!L58/60</f>
        <v>0</v>
      </c>
      <c r="U29" s="4155">
        <f>년간!M58/60</f>
        <v>0</v>
      </c>
      <c r="V29" s="4155">
        <f>년간!N58/60</f>
        <v>0</v>
      </c>
      <c r="W29" s="4155">
        <f>년간!O58/60</f>
        <v>0</v>
      </c>
      <c r="X29" s="5495">
        <f>년간!P58/60</f>
        <v>0</v>
      </c>
      <c r="Y29" s="5339">
        <f>년간!Q58/60</f>
        <v>6.916666666666667</v>
      </c>
      <c r="Z29" s="6672">
        <f t="shared" si="8"/>
        <v>9.25</v>
      </c>
      <c r="AA29" s="5929">
        <f>년간!F185/1000</f>
        <v>635.08586338698319</v>
      </c>
      <c r="AB29" s="1598">
        <f>년간!G185/1000</f>
        <v>546.71707275549761</v>
      </c>
      <c r="AC29" s="1598">
        <f>년간!H185/1000</f>
        <v>587.45040036750163</v>
      </c>
      <c r="AD29" s="1598">
        <f>년간!I185/1000</f>
        <v>603.50769983878331</v>
      </c>
      <c r="AE29" s="1598">
        <f>년간!J185/1000</f>
        <v>-1536.6486487698917</v>
      </c>
      <c r="AF29" s="1598">
        <f>년간!K185/1000</f>
        <v>655.45252719298514</v>
      </c>
      <c r="AG29" s="1598">
        <f>년간!L185/1000</f>
        <v>695.29179581438348</v>
      </c>
      <c r="AH29" s="1598">
        <f>년간!M185/1000</f>
        <v>579.90454248678816</v>
      </c>
      <c r="AI29" s="1598">
        <f>년간!N185/1000</f>
        <v>608.78264788335821</v>
      </c>
      <c r="AJ29" s="1598">
        <f>년간!O185/1000</f>
        <v>662.7838109159535</v>
      </c>
      <c r="AK29" s="1598">
        <f>년간!P185/1000</f>
        <v>658.84995135728764</v>
      </c>
      <c r="AL29" s="1598">
        <f>년간!Q185/1000</f>
        <v>-5425.3023964572358</v>
      </c>
      <c r="AM29" s="2195">
        <f>년간!E185/1000</f>
        <v>974.64682545275377</v>
      </c>
      <c r="AN29" s="2344">
        <f>AA29+AB29+AC29+AD29+AE29+AF29+AG29+AH29+AI29+AJ29+AK29+AL29</f>
        <v>-728.12473322760616</v>
      </c>
      <c r="AO29" s="1637">
        <f>AN29/AM29</f>
        <v>-0.74706520784015229</v>
      </c>
      <c r="AP29" s="1610"/>
      <c r="AQ29" s="1705"/>
    </row>
    <row r="30" spans="1:43">
      <c r="A30" s="7183" t="s">
        <v>313</v>
      </c>
      <c r="B30" s="7208" t="s">
        <v>358</v>
      </c>
      <c r="C30" s="965" t="s">
        <v>359</v>
      </c>
      <c r="D30" s="3742">
        <v>24.72544279546339</v>
      </c>
      <c r="E30" s="2201">
        <v>26.141686980240948</v>
      </c>
      <c r="F30" s="2201">
        <v>29.95</v>
      </c>
      <c r="G30" s="2201">
        <v>27.847944510753116</v>
      </c>
      <c r="H30" s="2119">
        <v>26.925635918047181</v>
      </c>
      <c r="I30" s="2120">
        <v>24.51</v>
      </c>
      <c r="J30" s="2120">
        <v>25.5164081871166</v>
      </c>
      <c r="K30" s="2120">
        <v>24.863893783777399</v>
      </c>
      <c r="L30" s="2196">
        <f>24.8638937837774-0.5</f>
        <v>24.363893783777399</v>
      </c>
      <c r="M30" s="2281">
        <v>24.35</v>
      </c>
      <c r="N30" s="2198">
        <v>23.86</v>
      </c>
      <c r="O30" s="2197">
        <v>25.8</v>
      </c>
      <c r="P30" s="2197">
        <v>24.39</v>
      </c>
      <c r="Q30" s="2197">
        <v>23.94</v>
      </c>
      <c r="R30" s="2197">
        <v>25.22</v>
      </c>
      <c r="S30" s="2197">
        <v>24.06</v>
      </c>
      <c r="T30" s="2197">
        <v>23.66</v>
      </c>
      <c r="U30" s="2197">
        <v>24.03</v>
      </c>
      <c r="V30" s="2197">
        <v>23.96</v>
      </c>
      <c r="W30" s="2197">
        <v>24.45</v>
      </c>
      <c r="X30" s="5537">
        <v>25.211862013922094</v>
      </c>
      <c r="Y30" s="5387">
        <v>25.48</v>
      </c>
      <c r="Z30" s="6673">
        <f t="shared" ref="Z30:Z41" si="9">AVERAGE(N30:Y30)</f>
        <v>24.505155167826842</v>
      </c>
      <c r="AA30" s="7470">
        <f>($K$30-N30)*N5*3.785</f>
        <v>52110.784461258751</v>
      </c>
      <c r="AB30" s="7470">
        <f t="shared" ref="AB30:AL30" si="10">($K$30-O30)*O5*3.785</f>
        <v>-40423.68756070266</v>
      </c>
      <c r="AC30" s="7470">
        <f t="shared" si="10"/>
        <v>23854.399829312279</v>
      </c>
      <c r="AD30" s="7470">
        <f t="shared" si="10"/>
        <v>45129.103543616031</v>
      </c>
      <c r="AE30" s="7470">
        <f t="shared" si="10"/>
        <v>-17035.571566774495</v>
      </c>
      <c r="AF30" s="7470">
        <f t="shared" si="10"/>
        <v>41357.350920648445</v>
      </c>
      <c r="AG30" s="7470">
        <f t="shared" si="10"/>
        <v>68617.593177920586</v>
      </c>
      <c r="AH30" s="7470">
        <f t="shared" si="10"/>
        <v>39185.220478743227</v>
      </c>
      <c r="AI30" s="7470">
        <f t="shared" si="10"/>
        <v>44530.354464996439</v>
      </c>
      <c r="AJ30" s="7470">
        <f t="shared" si="10"/>
        <v>21368.996228936001</v>
      </c>
      <c r="AK30" s="7470">
        <f t="shared" si="10"/>
        <v>-17491.936407315679</v>
      </c>
      <c r="AL30" s="7470">
        <f t="shared" si="10"/>
        <v>-29527.070007430186</v>
      </c>
      <c r="AM30" s="7481">
        <f>(K30-L30)*3785*L5/1000</f>
        <v>316766.65000000002</v>
      </c>
      <c r="AN30" s="7479">
        <f>SUM(AA30:AL31)</f>
        <v>231675.53756320872</v>
      </c>
      <c r="AO30" s="7467">
        <f>AN30/AM30</f>
        <v>0.73137603836517739</v>
      </c>
      <c r="AP30" s="972" t="s">
        <v>360</v>
      </c>
      <c r="AQ30" s="1705"/>
    </row>
    <row r="31" spans="1:43">
      <c r="A31" s="7124"/>
      <c r="B31" s="7209"/>
      <c r="C31" s="914" t="s">
        <v>277</v>
      </c>
      <c r="D31" s="3743">
        <v>105283.06681791833</v>
      </c>
      <c r="E31" s="2202">
        <v>114065.66260715712</v>
      </c>
      <c r="F31" s="2202">
        <v>134458</v>
      </c>
      <c r="G31" s="2202">
        <v>117950.72450326069</v>
      </c>
      <c r="H31" s="2202">
        <v>106044</v>
      </c>
      <c r="I31" s="3641">
        <v>91380</v>
      </c>
      <c r="J31" s="3641">
        <v>94521.411917584599</v>
      </c>
      <c r="K31" s="3744">
        <v>94499.699186638114</v>
      </c>
      <c r="L31" s="3601">
        <v>92596</v>
      </c>
      <c r="M31" s="3661">
        <v>925896</v>
      </c>
      <c r="N31" s="2127">
        <v>89731</v>
      </c>
      <c r="O31" s="2126">
        <v>97870.11</v>
      </c>
      <c r="P31" s="2126">
        <v>91823.76</v>
      </c>
      <c r="Q31" s="3592">
        <v>90068.34</v>
      </c>
      <c r="R31" s="3592">
        <v>96146</v>
      </c>
      <c r="S31" s="3592">
        <v>95512</v>
      </c>
      <c r="T31" s="3592">
        <v>92235</v>
      </c>
      <c r="U31" s="3592">
        <v>96456</v>
      </c>
      <c r="V31" s="3592">
        <v>94652</v>
      </c>
      <c r="W31" s="3592">
        <v>98445</v>
      </c>
      <c r="X31" s="5476">
        <v>98245.733582811605</v>
      </c>
      <c r="Y31" s="5319">
        <v>104595</v>
      </c>
      <c r="Z31" s="6671">
        <f t="shared" si="9"/>
        <v>95481.661965234307</v>
      </c>
      <c r="AA31" s="7471"/>
      <c r="AB31" s="7471"/>
      <c r="AC31" s="7471"/>
      <c r="AD31" s="7471"/>
      <c r="AE31" s="7471"/>
      <c r="AF31" s="7471"/>
      <c r="AG31" s="7471"/>
      <c r="AH31" s="7471"/>
      <c r="AI31" s="7471"/>
      <c r="AJ31" s="7471"/>
      <c r="AK31" s="7471"/>
      <c r="AL31" s="7471"/>
      <c r="AM31" s="7482"/>
      <c r="AN31" s="7480"/>
      <c r="AO31" s="7478"/>
      <c r="AP31" s="1117" t="s">
        <v>1536</v>
      </c>
      <c r="AQ31" s="1708"/>
    </row>
    <row r="32" spans="1:43" ht="34.799999999999997" hidden="1">
      <c r="A32" s="7180" t="s">
        <v>1020</v>
      </c>
      <c r="B32" s="5922" t="s">
        <v>1026</v>
      </c>
      <c r="C32" s="917" t="s">
        <v>1027</v>
      </c>
      <c r="D32" s="834"/>
      <c r="E32" s="804"/>
      <c r="F32" s="804"/>
      <c r="G32" s="2121"/>
      <c r="H32" s="2121"/>
      <c r="I32" s="2122"/>
      <c r="J32" s="2122">
        <v>18660</v>
      </c>
      <c r="K32" s="1541" t="e">
        <v>#DIV/0!</v>
      </c>
      <c r="L32" s="1829"/>
      <c r="M32" s="2283"/>
      <c r="N32" s="2276"/>
      <c r="O32" s="1282"/>
      <c r="P32" s="1282"/>
      <c r="Q32" s="1282"/>
      <c r="R32" s="1282"/>
      <c r="S32" s="1282"/>
      <c r="T32" s="1282"/>
      <c r="U32" s="1282"/>
      <c r="V32" s="1282"/>
      <c r="W32" s="1282"/>
      <c r="X32" s="5538"/>
      <c r="Y32" s="5388"/>
      <c r="Z32" s="6671" t="e">
        <f t="shared" si="9"/>
        <v>#DIV/0!</v>
      </c>
      <c r="AA32" s="5765"/>
      <c r="AB32" s="1123"/>
      <c r="AC32" s="1123"/>
      <c r="AD32" s="1123"/>
      <c r="AE32" s="1123"/>
      <c r="AF32" s="1123"/>
      <c r="AG32" s="1123"/>
      <c r="AH32" s="1123"/>
      <c r="AI32" s="1123"/>
      <c r="AJ32" s="1123"/>
      <c r="AK32" s="1123"/>
      <c r="AL32" s="1123"/>
      <c r="AM32" s="1124"/>
      <c r="AN32" s="5664"/>
      <c r="AO32" s="1125"/>
      <c r="AP32" s="3249" t="s">
        <v>1028</v>
      </c>
      <c r="AQ32" s="1705"/>
    </row>
    <row r="33" spans="1:43" hidden="1">
      <c r="A33" s="7184"/>
      <c r="B33" s="3219" t="s">
        <v>1021</v>
      </c>
      <c r="C33" s="3262" t="s">
        <v>801</v>
      </c>
      <c r="D33" s="3263"/>
      <c r="E33" s="3264"/>
      <c r="F33" s="3264"/>
      <c r="G33" s="3264"/>
      <c r="H33" s="3264"/>
      <c r="I33" s="3265"/>
      <c r="J33" s="3265">
        <v>390300</v>
      </c>
      <c r="K33" s="3642" t="e">
        <v>#DIV/0!</v>
      </c>
      <c r="L33" s="3662"/>
      <c r="M33" s="3663"/>
      <c r="N33" s="2194"/>
      <c r="O33" s="2190"/>
      <c r="P33" s="2190"/>
      <c r="Q33" s="3595"/>
      <c r="R33" s="3595"/>
      <c r="S33" s="3595"/>
      <c r="T33" s="3595"/>
      <c r="U33" s="3595"/>
      <c r="V33" s="3595"/>
      <c r="W33" s="3595"/>
      <c r="X33" s="5481"/>
      <c r="Y33" s="5323"/>
      <c r="Z33" s="6671" t="e">
        <f t="shared" si="9"/>
        <v>#DIV/0!</v>
      </c>
      <c r="AA33" s="5727"/>
      <c r="AB33" s="3250"/>
      <c r="AC33" s="3250"/>
      <c r="AD33" s="3250"/>
      <c r="AE33" s="3250"/>
      <c r="AF33" s="3250"/>
      <c r="AG33" s="3250"/>
      <c r="AH33" s="3250"/>
      <c r="AI33" s="3250"/>
      <c r="AJ33" s="3250"/>
      <c r="AK33" s="3250"/>
      <c r="AL33" s="3250"/>
      <c r="AM33" s="3266"/>
      <c r="AN33" s="3251"/>
      <c r="AO33" s="3267"/>
      <c r="AP33" s="3268" t="s">
        <v>1029</v>
      </c>
      <c r="AQ33" s="1705"/>
    </row>
    <row r="34" spans="1:43" hidden="1">
      <c r="A34" s="7184"/>
      <c r="B34" s="5924" t="s">
        <v>1022</v>
      </c>
      <c r="C34" s="913" t="s">
        <v>1024</v>
      </c>
      <c r="D34" s="1145"/>
      <c r="E34" s="941"/>
      <c r="F34" s="941"/>
      <c r="G34" s="941"/>
      <c r="H34" s="941"/>
      <c r="I34" s="942"/>
      <c r="J34" s="942">
        <v>360</v>
      </c>
      <c r="K34" s="942" t="e">
        <v>#DIV/0!</v>
      </c>
      <c r="L34" s="3662"/>
      <c r="M34" s="3663"/>
      <c r="N34" s="1505"/>
      <c r="O34" s="1281"/>
      <c r="P34" s="1281"/>
      <c r="Q34" s="1281"/>
      <c r="R34" s="1281"/>
      <c r="S34" s="1281"/>
      <c r="T34" s="1281"/>
      <c r="U34" s="1281"/>
      <c r="V34" s="1281"/>
      <c r="W34" s="1281"/>
      <c r="X34" s="5539"/>
      <c r="Y34" s="5389"/>
      <c r="Z34" s="6671" t="e">
        <f t="shared" si="9"/>
        <v>#DIV/0!</v>
      </c>
      <c r="AA34" s="5733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6"/>
      <c r="AN34" s="2345"/>
      <c r="AO34" s="828"/>
      <c r="AP34" s="5926" t="s">
        <v>1030</v>
      </c>
      <c r="AQ34" s="1705"/>
    </row>
    <row r="35" spans="1:43" ht="18" hidden="1" thickBot="1">
      <c r="A35" s="7212"/>
      <c r="B35" s="2456" t="s">
        <v>1023</v>
      </c>
      <c r="C35" s="3235" t="s">
        <v>1024</v>
      </c>
      <c r="D35" s="3269"/>
      <c r="E35" s="2165"/>
      <c r="F35" s="2165"/>
      <c r="G35" s="2165"/>
      <c r="H35" s="2165"/>
      <c r="I35" s="1689"/>
      <c r="J35" s="1689">
        <v>170</v>
      </c>
      <c r="K35" s="1689" t="e">
        <v>#DIV/0!</v>
      </c>
      <c r="L35" s="2055"/>
      <c r="M35" s="3664"/>
      <c r="N35" s="2225"/>
      <c r="O35" s="2339"/>
      <c r="P35" s="2339"/>
      <c r="Q35" s="2339"/>
      <c r="R35" s="2339"/>
      <c r="S35" s="2339"/>
      <c r="T35" s="2339"/>
      <c r="U35" s="2339"/>
      <c r="V35" s="2339"/>
      <c r="W35" s="2339"/>
      <c r="X35" s="5504"/>
      <c r="Y35" s="5348"/>
      <c r="Z35" s="6671" t="e">
        <f t="shared" si="9"/>
        <v>#DIV/0!</v>
      </c>
      <c r="AA35" s="5742"/>
      <c r="AB35" s="3476"/>
      <c r="AC35" s="3476"/>
      <c r="AD35" s="3476"/>
      <c r="AE35" s="3476"/>
      <c r="AF35" s="3476"/>
      <c r="AG35" s="3476"/>
      <c r="AH35" s="3476"/>
      <c r="AI35" s="3476"/>
      <c r="AJ35" s="3476"/>
      <c r="AK35" s="3476"/>
      <c r="AL35" s="3476"/>
      <c r="AM35" s="5092"/>
      <c r="AN35" s="5093"/>
      <c r="AO35" s="5094"/>
      <c r="AP35" s="3268" t="s">
        <v>1031</v>
      </c>
      <c r="AQ35" s="1705"/>
    </row>
    <row r="36" spans="1:43">
      <c r="A36" s="7184" t="s">
        <v>758</v>
      </c>
      <c r="B36" s="5922" t="s">
        <v>782</v>
      </c>
      <c r="C36" s="917" t="s">
        <v>277</v>
      </c>
      <c r="D36" s="834"/>
      <c r="E36" s="804"/>
      <c r="F36" s="804"/>
      <c r="G36" s="1190"/>
      <c r="H36" s="804">
        <v>2912.3666731466255</v>
      </c>
      <c r="I36" s="1541">
        <v>2115</v>
      </c>
      <c r="J36" s="1541">
        <v>1397.29</v>
      </c>
      <c r="K36" s="1541">
        <v>1533.0851703840688</v>
      </c>
      <c r="L36" s="1787">
        <v>1456.4309118648653</v>
      </c>
      <c r="M36" s="2283">
        <f t="shared" ref="M36:M41" si="11">L36</f>
        <v>1456.4309118648653</v>
      </c>
      <c r="N36" s="1674">
        <v>1580.3857430669134</v>
      </c>
      <c r="O36" s="1282">
        <v>1636.8844405215914</v>
      </c>
      <c r="P36" s="1282">
        <v>2149.6900537480788</v>
      </c>
      <c r="Q36" s="1282">
        <v>993.72971766682269</v>
      </c>
      <c r="R36" s="1282">
        <v>362.87801573515787</v>
      </c>
      <c r="S36" s="1282">
        <v>1842.4752522595763</v>
      </c>
      <c r="T36" s="1282">
        <v>1816.1316307279151</v>
      </c>
      <c r="U36" s="1282">
        <v>1895.9288665216268</v>
      </c>
      <c r="V36" s="1282">
        <v>2366.3284638894393</v>
      </c>
      <c r="W36" s="1282">
        <v>1102.2567404202348</v>
      </c>
      <c r="X36" s="5538">
        <v>1658.9501583082663</v>
      </c>
      <c r="Y36" s="5388">
        <v>2096.7232405879054</v>
      </c>
      <c r="Z36" s="6671">
        <f t="shared" si="9"/>
        <v>1625.1968602877939</v>
      </c>
      <c r="AA36" s="5727"/>
      <c r="AB36" s="4149"/>
      <c r="AC36" s="4149"/>
      <c r="AD36" s="4149"/>
      <c r="AE36" s="4149"/>
      <c r="AF36" s="4149"/>
      <c r="AG36" s="4149"/>
      <c r="AH36" s="4149"/>
      <c r="AI36" s="4149"/>
      <c r="AJ36" s="4149"/>
      <c r="AK36" s="4149"/>
      <c r="AL36" s="4149"/>
      <c r="AM36" s="5095"/>
      <c r="AN36" s="4151"/>
      <c r="AO36" s="4163"/>
      <c r="AP36" s="5927" t="s">
        <v>814</v>
      </c>
      <c r="AQ36" s="1705"/>
    </row>
    <row r="37" spans="1:43" ht="18" thickBot="1">
      <c r="A37" s="7184"/>
      <c r="B37" s="5923" t="s">
        <v>774</v>
      </c>
      <c r="C37" s="1617" t="s">
        <v>277</v>
      </c>
      <c r="D37" s="3272"/>
      <c r="E37" s="1847"/>
      <c r="F37" s="1847"/>
      <c r="G37" s="3273"/>
      <c r="H37" s="1847">
        <v>7519.3209617538841</v>
      </c>
      <c r="I37" s="1518">
        <v>5677</v>
      </c>
      <c r="J37" s="1518">
        <v>4118</v>
      </c>
      <c r="K37" s="1518">
        <v>4571.6205676967529</v>
      </c>
      <c r="L37" s="2200">
        <v>4343.0395393119152</v>
      </c>
      <c r="M37" s="3664">
        <f t="shared" si="11"/>
        <v>4343.0395393119152</v>
      </c>
      <c r="N37" s="2225">
        <v>2137.9207557653285</v>
      </c>
      <c r="O37" s="2339">
        <v>4358.3918912641238</v>
      </c>
      <c r="P37" s="2339">
        <v>4618.2844226818697</v>
      </c>
      <c r="Q37" s="2339">
        <v>3741.03679722781</v>
      </c>
      <c r="R37" s="2339">
        <v>3096.9971575188397</v>
      </c>
      <c r="S37" s="2339">
        <v>4223.3597333755142</v>
      </c>
      <c r="T37" s="2339">
        <v>5002.3673688397712</v>
      </c>
      <c r="U37" s="2339">
        <v>5230.2993080128272</v>
      </c>
      <c r="V37" s="2339">
        <v>5136.2944899530266</v>
      </c>
      <c r="W37" s="2339">
        <v>4290.8784667976979</v>
      </c>
      <c r="X37" s="5504">
        <v>4977.7525120378286</v>
      </c>
      <c r="Y37" s="5348">
        <v>5247.7553921607332</v>
      </c>
      <c r="Z37" s="6679">
        <f t="shared" si="9"/>
        <v>4338.4448579696145</v>
      </c>
      <c r="AA37" s="3274">
        <f>($K$37-N37)*N5/1000</f>
        <v>33376.51366776925</v>
      </c>
      <c r="AB37" s="3274">
        <f t="shared" ref="AB37:AL37" si="12">($K$37-O37)*O5/1000</f>
        <v>2432.7110434125148</v>
      </c>
      <c r="AC37" s="3274">
        <f t="shared" si="12"/>
        <v>-620.58634055546725</v>
      </c>
      <c r="AD37" s="3274">
        <f t="shared" si="12"/>
        <v>10718.949344708259</v>
      </c>
      <c r="AE37" s="3274">
        <f t="shared" si="12"/>
        <v>18637.70334705542</v>
      </c>
      <c r="AF37" s="3274">
        <f t="shared" si="12"/>
        <v>4733.6134992194238</v>
      </c>
      <c r="AG37" s="3274">
        <f t="shared" si="12"/>
        <v>-6486.3963975441284</v>
      </c>
      <c r="AH37" s="3274">
        <f t="shared" si="12"/>
        <v>-8177.4768006618515</v>
      </c>
      <c r="AI37" s="3274">
        <f t="shared" si="12"/>
        <v>-7349.7167177385436</v>
      </c>
      <c r="AJ37" s="3274">
        <f t="shared" si="12"/>
        <v>3829.4542050505333</v>
      </c>
      <c r="AK37" s="3274">
        <f t="shared" si="12"/>
        <v>-5393.8586593910441</v>
      </c>
      <c r="AL37" s="3274">
        <f t="shared" si="12"/>
        <v>-8561.1515338804729</v>
      </c>
      <c r="AM37" s="3275">
        <f>(K37-L37)*L5/1000</f>
        <v>38259.892531054138</v>
      </c>
      <c r="AN37" s="3276">
        <f>SUM(AA37:AL37)</f>
        <v>37139.758657443883</v>
      </c>
      <c r="AO37" s="3277">
        <f>AN37/AM37</f>
        <v>0.97072302613759087</v>
      </c>
      <c r="AP37" s="3278" t="s">
        <v>800</v>
      </c>
      <c r="AQ37" s="1705"/>
    </row>
    <row r="38" spans="1:43">
      <c r="A38" s="7183" t="s">
        <v>272</v>
      </c>
      <c r="B38" s="7208" t="s">
        <v>273</v>
      </c>
      <c r="C38" s="965" t="s">
        <v>274</v>
      </c>
      <c r="D38" s="1126">
        <v>25.992770160000781</v>
      </c>
      <c r="E38" s="1127">
        <v>27.501883360030146</v>
      </c>
      <c r="F38" s="1127">
        <v>30.594565248919942</v>
      </c>
      <c r="G38" s="1127">
        <v>34.94</v>
      </c>
      <c r="H38" s="1127">
        <v>36.084247210762676</v>
      </c>
      <c r="I38" s="1521">
        <v>27.81</v>
      </c>
      <c r="J38" s="1521">
        <v>24.83</v>
      </c>
      <c r="K38" s="1521">
        <v>23.751775128874105</v>
      </c>
      <c r="L38" s="4995">
        <v>22.220362270190495</v>
      </c>
      <c r="M38" s="4996">
        <f t="shared" si="11"/>
        <v>22.220362270190495</v>
      </c>
      <c r="N38" s="1676">
        <v>24.794174843648715</v>
      </c>
      <c r="O38" s="1283">
        <v>23.919946918773277</v>
      </c>
      <c r="P38" s="1283">
        <v>25.361378381060945</v>
      </c>
      <c r="Q38" s="1283">
        <v>24.434419293748626</v>
      </c>
      <c r="R38" s="1283">
        <v>24.606458855231576</v>
      </c>
      <c r="S38" s="1283">
        <v>27.007353509194648</v>
      </c>
      <c r="T38" s="1283">
        <v>24.345402493875547</v>
      </c>
      <c r="U38" s="1283">
        <v>24.659262164950864</v>
      </c>
      <c r="V38" s="1283">
        <v>25.014482331555502</v>
      </c>
      <c r="W38" s="1283">
        <v>25.385195671410152</v>
      </c>
      <c r="X38" s="5540">
        <v>27.327959762217596</v>
      </c>
      <c r="Y38" s="5390">
        <f>'#1CCL'!Y38</f>
        <v>29.321112945134619</v>
      </c>
      <c r="Z38" s="6930">
        <f t="shared" si="9"/>
        <v>25.514762264233507</v>
      </c>
      <c r="AA38" s="7458">
        <f>($K$38-N38)*604.35*N5/1000</f>
        <v>-8639.662398218994</v>
      </c>
      <c r="AB38" s="7458">
        <f t="shared" ref="AB38:AL38" si="13">($K$38-O38)*604.35*O5/1000</f>
        <v>-1159.5422791389863</v>
      </c>
      <c r="AC38" s="7458">
        <f t="shared" si="13"/>
        <v>-12936.862605978833</v>
      </c>
      <c r="AD38" s="7458">
        <f t="shared" si="13"/>
        <v>-5324.1672113662689</v>
      </c>
      <c r="AE38" s="7458">
        <f t="shared" si="13"/>
        <v>-6528.3770884144587</v>
      </c>
      <c r="AF38" s="7458">
        <f t="shared" si="13"/>
        <v>-26742.674656361341</v>
      </c>
      <c r="AG38" s="7458">
        <f t="shared" si="13"/>
        <v>-5402.3642668276016</v>
      </c>
      <c r="AH38" s="7458">
        <f t="shared" si="13"/>
        <v>-6808.8635427971558</v>
      </c>
      <c r="AI38" s="7458">
        <f t="shared" si="13"/>
        <v>-9932.6253103998733</v>
      </c>
      <c r="AJ38" s="7458">
        <f t="shared" si="13"/>
        <v>-13465.295058707143</v>
      </c>
      <c r="AK38" s="7458">
        <f t="shared" si="13"/>
        <v>-28703.897522922241</v>
      </c>
      <c r="AL38" s="7458">
        <f t="shared" si="13"/>
        <v>-42617.794130881746</v>
      </c>
      <c r="AM38" s="7465">
        <f>(K38-L38)*604.35*L5/1000</f>
        <v>154911.75686852363</v>
      </c>
      <c r="AN38" s="7479">
        <f>SUM(AA38:AL39)</f>
        <v>-168262.12607201465</v>
      </c>
      <c r="AO38" s="7467">
        <f>AN38/AM38</f>
        <v>-1.086180477669114</v>
      </c>
      <c r="AP38" s="1128" t="s">
        <v>1330</v>
      </c>
      <c r="AQ38" s="1705"/>
    </row>
    <row r="39" spans="1:43">
      <c r="A39" s="7184"/>
      <c r="B39" s="7209"/>
      <c r="C39" s="914" t="s">
        <v>277</v>
      </c>
      <c r="D39" s="837">
        <v>21528.90769784338</v>
      </c>
      <c r="E39" s="373">
        <v>24001.896460471191</v>
      </c>
      <c r="F39" s="373">
        <v>28328.75021096041</v>
      </c>
      <c r="G39" s="373">
        <v>25512</v>
      </c>
      <c r="H39" s="373">
        <v>20189.319102139714</v>
      </c>
      <c r="I39" s="2765">
        <v>16368</v>
      </c>
      <c r="J39" s="2765">
        <v>14200</v>
      </c>
      <c r="K39" s="2765">
        <v>14375.865880614154</v>
      </c>
      <c r="L39" s="1058">
        <v>13353.880502475075</v>
      </c>
      <c r="M39" s="2283">
        <f t="shared" si="11"/>
        <v>13353.880502475075</v>
      </c>
      <c r="N39" s="1677">
        <v>15753.564637651134</v>
      </c>
      <c r="O39" s="1284">
        <v>15328.280047037308</v>
      </c>
      <c r="P39" s="1284">
        <v>16115.907188253128</v>
      </c>
      <c r="Q39" s="1284">
        <v>15044.550730117746</v>
      </c>
      <c r="R39" s="1284">
        <v>15246.502336366548</v>
      </c>
      <c r="S39" s="1284">
        <v>16428.791830688278</v>
      </c>
      <c r="T39" s="1284">
        <v>12471.944290890073</v>
      </c>
      <c r="U39" s="1284">
        <v>13023.009899460896</v>
      </c>
      <c r="V39" s="1284">
        <v>12037.006536772687</v>
      </c>
      <c r="W39" s="1284">
        <v>11253.314445172866</v>
      </c>
      <c r="X39" s="5541">
        <v>12023.704860217282</v>
      </c>
      <c r="Y39" s="5391">
        <f>'#1CCL'!Y39</f>
        <v>14786.963084946368</v>
      </c>
      <c r="Z39" s="6676">
        <f t="shared" si="9"/>
        <v>14126.128323964527</v>
      </c>
      <c r="AA39" s="7459"/>
      <c r="AB39" s="7459"/>
      <c r="AC39" s="7459"/>
      <c r="AD39" s="7459"/>
      <c r="AE39" s="7459"/>
      <c r="AF39" s="7459"/>
      <c r="AG39" s="7459"/>
      <c r="AH39" s="7459"/>
      <c r="AI39" s="7459"/>
      <c r="AJ39" s="7459"/>
      <c r="AK39" s="7459"/>
      <c r="AL39" s="7459"/>
      <c r="AM39" s="7466"/>
      <c r="AN39" s="7480"/>
      <c r="AO39" s="7468"/>
      <c r="AP39" s="374" t="s">
        <v>362</v>
      </c>
      <c r="AQ39" s="1705"/>
    </row>
    <row r="40" spans="1:43">
      <c r="A40" s="7184"/>
      <c r="B40" s="7210" t="s">
        <v>275</v>
      </c>
      <c r="C40" s="912" t="s">
        <v>276</v>
      </c>
      <c r="D40" s="3279">
        <v>69.810011659497277</v>
      </c>
      <c r="E40" s="3280">
        <v>67.782646736571039</v>
      </c>
      <c r="F40" s="3280">
        <v>77.702166010315011</v>
      </c>
      <c r="G40" s="3280">
        <v>84.58</v>
      </c>
      <c r="H40" s="3280">
        <v>79.070682134390594</v>
      </c>
      <c r="I40" s="3281">
        <v>72.349999999999994</v>
      </c>
      <c r="J40" s="3281">
        <v>65.83</v>
      </c>
      <c r="K40" s="5172">
        <v>67.750527960591967</v>
      </c>
      <c r="L40" s="3647">
        <v>63.356954989929271</v>
      </c>
      <c r="M40" s="3663">
        <f t="shared" si="11"/>
        <v>63.356954989929271</v>
      </c>
      <c r="N40" s="1678">
        <v>63.412496115856392</v>
      </c>
      <c r="O40" s="1497">
        <v>72.355967566665313</v>
      </c>
      <c r="P40" s="1497">
        <v>58.194672112657422</v>
      </c>
      <c r="Q40" s="1497">
        <v>59.030926780583513</v>
      </c>
      <c r="R40" s="1497">
        <v>56.592481753638232</v>
      </c>
      <c r="S40" s="1497">
        <v>63.324271730373781</v>
      </c>
      <c r="T40" s="1497">
        <v>53.561811310430194</v>
      </c>
      <c r="U40" s="1497">
        <v>60.199259442431199</v>
      </c>
      <c r="V40" s="1497">
        <v>57.911399054691742</v>
      </c>
      <c r="W40" s="1497">
        <v>56.2657646693971</v>
      </c>
      <c r="X40" s="5542">
        <v>52.788360107069849</v>
      </c>
      <c r="Y40" s="5392">
        <f>'#1CCL'!Y40</f>
        <v>60.293634841534761</v>
      </c>
      <c r="Z40" s="6672">
        <f t="shared" si="9"/>
        <v>59.494253790444112</v>
      </c>
      <c r="AA40" s="7462">
        <f>($K$40-N40)*101.42*N5/1000</f>
        <v>6033.7915720397314</v>
      </c>
      <c r="AB40" s="7464">
        <f t="shared" ref="AB40:AK40" si="14">($K$40-O40)*105*O5/1000</f>
        <v>-5517.0294989164304</v>
      </c>
      <c r="AC40" s="7464">
        <f t="shared" si="14"/>
        <v>13343.829595965681</v>
      </c>
      <c r="AD40" s="7464">
        <f t="shared" si="14"/>
        <v>11815.570567540602</v>
      </c>
      <c r="AE40" s="7464">
        <f t="shared" si="14"/>
        <v>14807.738124033496</v>
      </c>
      <c r="AF40" s="7464">
        <f t="shared" si="14"/>
        <v>6317.0455550538127</v>
      </c>
      <c r="AG40" s="7464">
        <f t="shared" si="14"/>
        <v>22434.368017875928</v>
      </c>
      <c r="AH40" s="7464">
        <f t="shared" si="14"/>
        <v>9843.6210720655909</v>
      </c>
      <c r="AI40" s="7464">
        <f t="shared" si="14"/>
        <v>13446.796057920803</v>
      </c>
      <c r="AJ40" s="7464">
        <f t="shared" si="14"/>
        <v>16449.044758717711</v>
      </c>
      <c r="AK40" s="7464">
        <f t="shared" si="14"/>
        <v>20864.896433957088</v>
      </c>
      <c r="AL40" s="7464">
        <f>($K$40-Y40)*101.42*Y5/1000</f>
        <v>9575.9176760965966</v>
      </c>
      <c r="AM40" s="7460">
        <f>(K40-L40)*L5*101.42/1000</f>
        <v>74583.887049190133</v>
      </c>
      <c r="AN40" s="7476">
        <f>SUM(AA40:AL41)</f>
        <v>139415.58993235062</v>
      </c>
      <c r="AO40" s="7456">
        <f>AN40/AM40</f>
        <v>1.8692454288471474</v>
      </c>
      <c r="AP40" s="791" t="s">
        <v>1331</v>
      </c>
      <c r="AQ40" s="1705"/>
    </row>
    <row r="41" spans="1:43" ht="18" thickBot="1">
      <c r="A41" s="7212"/>
      <c r="B41" s="7211"/>
      <c r="C41" s="974" t="s">
        <v>277</v>
      </c>
      <c r="D41" s="1129">
        <v>6502.9342017768859</v>
      </c>
      <c r="E41" s="1130">
        <v>6730.4308803025597</v>
      </c>
      <c r="F41" s="1130">
        <v>8256.6841510507002</v>
      </c>
      <c r="G41" s="1130">
        <v>8941</v>
      </c>
      <c r="H41" s="1130">
        <v>8137.251136154071</v>
      </c>
      <c r="I41" s="1520">
        <v>7587</v>
      </c>
      <c r="J41" s="1520">
        <v>6738</v>
      </c>
      <c r="K41" s="5173">
        <v>6737.730074162424</v>
      </c>
      <c r="L41" s="3665">
        <v>6181.8613481481434</v>
      </c>
      <c r="M41" s="3664">
        <f t="shared" si="11"/>
        <v>6181.8613481481434</v>
      </c>
      <c r="N41" s="1679">
        <v>7750.8700043897716</v>
      </c>
      <c r="O41" s="1285">
        <v>8110.3110191627402</v>
      </c>
      <c r="P41" s="1285">
        <v>5185.5519964905789</v>
      </c>
      <c r="Q41" s="1285">
        <v>5254.813053834434</v>
      </c>
      <c r="R41" s="1285">
        <v>5031.862988625714</v>
      </c>
      <c r="S41" s="1285">
        <v>7382.2271473485143</v>
      </c>
      <c r="T41" s="1285">
        <v>6312.655916621793</v>
      </c>
      <c r="U41" s="1285">
        <v>6990.8871657052568</v>
      </c>
      <c r="V41" s="1285">
        <v>5388.3986057550655</v>
      </c>
      <c r="W41" s="1285">
        <v>5005.6617644024545</v>
      </c>
      <c r="X41" s="5543">
        <v>7612.714524378338</v>
      </c>
      <c r="Y41" s="5393">
        <f>'#1CCL'!Y41</f>
        <v>9028.5834025576878</v>
      </c>
      <c r="Z41" s="6677">
        <f t="shared" si="9"/>
        <v>6587.8781324393631</v>
      </c>
      <c r="AA41" s="7463"/>
      <c r="AB41" s="7463"/>
      <c r="AC41" s="7463"/>
      <c r="AD41" s="7463"/>
      <c r="AE41" s="7463"/>
      <c r="AF41" s="7463"/>
      <c r="AG41" s="7463"/>
      <c r="AH41" s="7463"/>
      <c r="AI41" s="7463"/>
      <c r="AJ41" s="7463"/>
      <c r="AK41" s="7463"/>
      <c r="AL41" s="7463"/>
      <c r="AM41" s="7461"/>
      <c r="AN41" s="7477"/>
      <c r="AO41" s="7457"/>
      <c r="AP41" s="1131" t="s">
        <v>362</v>
      </c>
      <c r="AQ41" s="1705"/>
    </row>
    <row r="42" spans="1:43">
      <c r="A42" s="7184" t="s">
        <v>762</v>
      </c>
      <c r="B42" s="5924" t="s">
        <v>764</v>
      </c>
      <c r="C42" s="913" t="s">
        <v>766</v>
      </c>
      <c r="D42" s="835"/>
      <c r="E42" s="787"/>
      <c r="F42" s="787"/>
      <c r="G42" s="787">
        <v>3</v>
      </c>
      <c r="H42" s="787">
        <v>14</v>
      </c>
      <c r="I42" s="1542">
        <v>21</v>
      </c>
      <c r="J42" s="1542">
        <v>16</v>
      </c>
      <c r="K42" s="1542">
        <v>16</v>
      </c>
      <c r="L42" s="1058">
        <f>'성과개선 실적'!C8</f>
        <v>15</v>
      </c>
      <c r="M42" s="3072">
        <f>L42/12</f>
        <v>1.25</v>
      </c>
      <c r="N42" s="5424">
        <v>1</v>
      </c>
      <c r="O42" s="2493">
        <v>1</v>
      </c>
      <c r="P42" s="2493">
        <v>1</v>
      </c>
      <c r="Q42" s="2493">
        <v>1</v>
      </c>
      <c r="R42" s="2493">
        <v>1</v>
      </c>
      <c r="S42" s="2493">
        <v>1</v>
      </c>
      <c r="T42" s="1286">
        <v>1</v>
      </c>
      <c r="U42" s="1286">
        <v>1</v>
      </c>
      <c r="V42" s="1286">
        <v>1</v>
      </c>
      <c r="W42" s="1286">
        <v>0</v>
      </c>
      <c r="X42" s="5881">
        <v>3</v>
      </c>
      <c r="Y42" s="5711">
        <v>0</v>
      </c>
      <c r="Z42" s="6678">
        <f>SUM(N42:Y42)</f>
        <v>12</v>
      </c>
      <c r="AA42" s="5733"/>
      <c r="AB42" s="825"/>
      <c r="AC42" s="825"/>
      <c r="AD42" s="825"/>
      <c r="AE42" s="825"/>
      <c r="AF42" s="825"/>
      <c r="AG42" s="825"/>
      <c r="AH42" s="825"/>
      <c r="AI42" s="825"/>
      <c r="AJ42" s="825"/>
      <c r="AK42" s="825"/>
      <c r="AL42" s="825"/>
      <c r="AM42" s="825"/>
      <c r="AN42" s="2345"/>
      <c r="AO42" s="828"/>
      <c r="AP42" s="1273"/>
      <c r="AQ42" s="1705"/>
    </row>
    <row r="43" spans="1:43" ht="18" thickBot="1">
      <c r="A43" s="7212"/>
      <c r="B43" s="2456" t="s">
        <v>763</v>
      </c>
      <c r="C43" s="3235" t="s">
        <v>765</v>
      </c>
      <c r="D43" s="1857"/>
      <c r="E43" s="1858"/>
      <c r="F43" s="1858"/>
      <c r="G43" s="1858">
        <v>329993.13338290306</v>
      </c>
      <c r="H43" s="1858">
        <v>558492.33285125135</v>
      </c>
      <c r="I43" s="3067">
        <v>3702640</v>
      </c>
      <c r="J43" s="1530">
        <v>1662468.3140091116</v>
      </c>
      <c r="K43" s="1530">
        <v>257254.93852279164</v>
      </c>
      <c r="L43" s="3665">
        <f>'성과개선 실적'!I8</f>
        <v>1359952.6981217477</v>
      </c>
      <c r="M43" s="1527">
        <f>L43/12</f>
        <v>113329.39151014564</v>
      </c>
      <c r="N43" s="2227"/>
      <c r="O43" s="2340"/>
      <c r="P43" s="2340"/>
      <c r="Q43" s="2340"/>
      <c r="R43" s="2340"/>
      <c r="S43" s="2340"/>
      <c r="T43" s="2340"/>
      <c r="U43" s="2340"/>
      <c r="V43" s="2340"/>
      <c r="W43" s="2340"/>
      <c r="X43" s="5544"/>
      <c r="Y43" s="5394"/>
      <c r="Z43" s="6679"/>
      <c r="AA43" s="5730"/>
      <c r="AB43" s="3068"/>
      <c r="AC43" s="3068"/>
      <c r="AD43" s="3068"/>
      <c r="AE43" s="3068"/>
      <c r="AF43" s="3068"/>
      <c r="AG43" s="3068"/>
      <c r="AH43" s="3068"/>
      <c r="AI43" s="3068"/>
      <c r="AJ43" s="3068"/>
      <c r="AK43" s="3068"/>
      <c r="AL43" s="3068"/>
      <c r="AM43" s="3068"/>
      <c r="AN43" s="3270"/>
      <c r="AO43" s="3271"/>
      <c r="AP43" s="3282"/>
      <c r="AQ43" s="1705"/>
    </row>
    <row r="44" spans="1:43" ht="18" thickBot="1">
      <c r="A44" s="7393" t="s">
        <v>308</v>
      </c>
      <c r="B44" s="7394"/>
      <c r="C44" s="945" t="s">
        <v>418</v>
      </c>
      <c r="D44" s="1191">
        <f>D31+D32+D37+D39+D41+D43</f>
        <v>133314.90871753861</v>
      </c>
      <c r="E44" s="1192">
        <f>E31+E32+E37+E39+E41+E43</f>
        <v>144797.98994793088</v>
      </c>
      <c r="F44" s="1551">
        <f>F31+F32+F37+F39+F41+F43</f>
        <v>171043.43436201109</v>
      </c>
      <c r="G44" s="1191">
        <f>G31+G32+G37+G39+G41+G43</f>
        <v>482396.85788616375</v>
      </c>
      <c r="H44" s="1192">
        <f>H31+H32+H37+H39+H41+H43</f>
        <v>700382.22405129904</v>
      </c>
      <c r="I44" s="1551">
        <v>3783077</v>
      </c>
      <c r="J44" s="1551"/>
      <c r="K44" s="1551"/>
      <c r="L44" s="1756"/>
      <c r="M44" s="2284">
        <f>AM44/12</f>
        <v>113329.39151014564</v>
      </c>
      <c r="N44" s="2727">
        <f>AA44</f>
        <v>104507.12045400287</v>
      </c>
      <c r="O44" s="2728">
        <f>AB44</f>
        <v>-8467.3086631081351</v>
      </c>
      <c r="P44" s="954">
        <f>AC44</f>
        <v>103942.96154698817</v>
      </c>
      <c r="Q44" s="954">
        <f t="shared" ref="Q44:Y44" si="15">AD44</f>
        <v>132525.659650032</v>
      </c>
      <c r="R44" s="954">
        <f t="shared" si="15"/>
        <v>65923.01284026941</v>
      </c>
      <c r="S44" s="954">
        <f t="shared" si="15"/>
        <v>111791.1080501948</v>
      </c>
      <c r="T44" s="954">
        <f t="shared" si="15"/>
        <v>148398.39316673591</v>
      </c>
      <c r="U44" s="954">
        <f t="shared" si="15"/>
        <v>62976.006230415427</v>
      </c>
      <c r="V44" s="954">
        <f t="shared" si="15"/>
        <v>74057.523813717446</v>
      </c>
      <c r="W44" s="375">
        <f t="shared" si="15"/>
        <v>77451.425884978613</v>
      </c>
      <c r="X44" s="5545">
        <f t="shared" si="15"/>
        <v>20923.07610516491</v>
      </c>
      <c r="Y44" s="5395">
        <f t="shared" si="15"/>
        <v>-101778.15208407633</v>
      </c>
      <c r="Z44" s="1496">
        <f>N44</f>
        <v>104507.12045400287</v>
      </c>
      <c r="AA44" s="1496">
        <f>SUM(AA6:AA9)+AA30+SUM(AA37:AA41)</f>
        <v>104507.12045400287</v>
      </c>
      <c r="AB44" s="1496">
        <f t="shared" ref="AB44:AM44" si="16">SUM(AB6:AB9)+AB30+SUM(AB37:AB41)</f>
        <v>-8467.3086631081351</v>
      </c>
      <c r="AC44" s="1496">
        <f t="shared" si="16"/>
        <v>103942.96154698817</v>
      </c>
      <c r="AD44" s="1496">
        <f t="shared" si="16"/>
        <v>132525.659650032</v>
      </c>
      <c r="AE44" s="1496">
        <f t="shared" si="16"/>
        <v>65923.01284026941</v>
      </c>
      <c r="AF44" s="1496">
        <f t="shared" si="16"/>
        <v>111791.1080501948</v>
      </c>
      <c r="AG44" s="1496">
        <f t="shared" si="16"/>
        <v>148398.39316673591</v>
      </c>
      <c r="AH44" s="1496">
        <f t="shared" si="16"/>
        <v>62976.006230415427</v>
      </c>
      <c r="AI44" s="1496">
        <f t="shared" si="16"/>
        <v>74057.523813717446</v>
      </c>
      <c r="AJ44" s="1496">
        <f t="shared" si="16"/>
        <v>77451.425884978613</v>
      </c>
      <c r="AK44" s="1496">
        <f t="shared" si="16"/>
        <v>20923.07610516491</v>
      </c>
      <c r="AL44" s="1496">
        <f t="shared" si="16"/>
        <v>-101778.15208407633</v>
      </c>
      <c r="AM44" s="1496">
        <f t="shared" si="16"/>
        <v>1359952.6981217477</v>
      </c>
      <c r="AN44" s="1496">
        <f>SUM(AN6:AN9)+AN30+SUM(AN37:AN41)</f>
        <v>792250.82699531503</v>
      </c>
      <c r="AO44" s="376">
        <f>AN44/AM44</f>
        <v>0.5825576346070751</v>
      </c>
      <c r="AP44" s="377"/>
      <c r="AQ44" s="1705"/>
    </row>
    <row r="45" spans="1:43">
      <c r="D45" s="1536"/>
      <c r="E45" s="1536"/>
      <c r="F45" s="1536"/>
      <c r="G45" s="1536"/>
      <c r="H45" s="1536"/>
      <c r="I45" s="1536"/>
      <c r="J45" s="1536"/>
      <c r="K45" s="1536"/>
      <c r="L45" s="1536"/>
      <c r="M45" s="1536"/>
      <c r="N45" s="378"/>
      <c r="O45" s="7472" t="s">
        <v>925</v>
      </c>
      <c r="P45" s="7472"/>
      <c r="Q45" s="7472"/>
      <c r="R45" s="7472"/>
      <c r="S45" s="7472"/>
      <c r="T45" s="7472"/>
      <c r="U45" s="7472"/>
      <c r="V45" s="7472"/>
      <c r="W45" s="7472"/>
      <c r="X45" s="7472"/>
      <c r="Y45" s="7472"/>
      <c r="Z45" s="7472"/>
      <c r="AA45" s="7472"/>
      <c r="AB45" s="7472"/>
      <c r="AC45" s="7472"/>
      <c r="AD45" s="1536"/>
      <c r="AE45" s="1536"/>
      <c r="AF45" s="727">
        <f>SUM(AA44:AF44)</f>
        <v>510222.55387837911</v>
      </c>
      <c r="AG45" s="1536"/>
      <c r="AH45" s="1536"/>
      <c r="AI45" s="1536"/>
      <c r="AJ45" s="1536"/>
      <c r="AK45" s="1536"/>
      <c r="AL45" s="1536"/>
      <c r="AM45" s="1536"/>
      <c r="AN45" s="1536">
        <v>120520.10286970725</v>
      </c>
    </row>
    <row r="46" spans="1:43">
      <c r="D46" s="1536"/>
      <c r="E46" s="1536"/>
      <c r="F46" s="1536"/>
      <c r="G46" s="1536"/>
      <c r="H46" s="1536"/>
      <c r="I46" s="1536"/>
      <c r="J46" s="1536"/>
      <c r="K46" s="1536"/>
      <c r="L46" s="1536"/>
      <c r="M46" s="1536"/>
      <c r="N46" s="1536"/>
      <c r="O46" s="1536"/>
      <c r="P46" s="1536"/>
      <c r="Q46" s="1536"/>
      <c r="R46" s="1536"/>
      <c r="S46" s="1536"/>
      <c r="T46" s="1536"/>
      <c r="U46" s="1536"/>
      <c r="V46" s="1536"/>
      <c r="W46" s="1536"/>
      <c r="X46" s="1536"/>
      <c r="Y46" s="1536"/>
      <c r="Z46" s="1536"/>
      <c r="AA46" s="1536"/>
      <c r="AB46" s="1536"/>
      <c r="AC46" s="1536"/>
      <c r="AD46" s="1536"/>
      <c r="AE46" s="1536"/>
      <c r="AF46" s="1536">
        <f>AF45/AM44</f>
        <v>0.37517669150041438</v>
      </c>
      <c r="AG46" s="1536"/>
      <c r="AH46" s="1536"/>
      <c r="AI46" s="1536"/>
      <c r="AJ46" s="1536"/>
      <c r="AK46" s="1536"/>
      <c r="AL46" s="1536"/>
      <c r="AM46" s="1536"/>
      <c r="AN46" s="727">
        <f>AN44-AN45</f>
        <v>671730.72412560775</v>
      </c>
      <c r="AP46" s="1705"/>
      <c r="AQ46" s="1705"/>
    </row>
    <row r="47" spans="1:43" hidden="1">
      <c r="I47" s="379"/>
      <c r="J47" s="379"/>
      <c r="K47" s="379"/>
      <c r="L47" s="513"/>
      <c r="M47" s="2426">
        <f>K11/12</f>
        <v>36.456250000000004</v>
      </c>
      <c r="N47" s="1710"/>
      <c r="O47" s="5925"/>
      <c r="P47" s="1711"/>
      <c r="Q47" s="5925"/>
      <c r="R47" s="1711"/>
      <c r="S47" s="5925"/>
      <c r="T47" s="5925"/>
      <c r="U47" s="5925"/>
      <c r="V47" s="5925"/>
      <c r="W47" s="5925"/>
      <c r="X47" s="5925"/>
      <c r="Y47" s="5925"/>
      <c r="Z47" s="5925"/>
      <c r="AA47" s="1711"/>
      <c r="AB47" s="1711"/>
      <c r="AC47" s="1711"/>
      <c r="AD47" s="5925"/>
      <c r="AE47" s="5925"/>
      <c r="AF47" s="5925"/>
      <c r="AG47" s="5925"/>
      <c r="AH47" s="5925"/>
      <c r="AI47" s="5925"/>
      <c r="AJ47" s="5925"/>
      <c r="AK47" s="5925"/>
      <c r="AL47" s="5925"/>
      <c r="AM47" s="1711"/>
      <c r="AN47" s="1711"/>
      <c r="AO47" s="1711"/>
      <c r="AP47" s="1711"/>
      <c r="AQ47" s="1711"/>
    </row>
    <row r="48" spans="1:43" hidden="1">
      <c r="D48" s="1539"/>
      <c r="E48" s="1539"/>
      <c r="F48" s="1539"/>
      <c r="H48" s="379"/>
      <c r="I48" s="1539"/>
      <c r="J48" s="1539"/>
      <c r="K48" s="1539"/>
      <c r="L48" s="1539"/>
      <c r="M48" s="1539"/>
      <c r="N48" s="1712"/>
      <c r="O48" s="1711"/>
      <c r="P48" s="1711"/>
      <c r="Q48" s="1713"/>
      <c r="R48" s="1711"/>
      <c r="S48" s="1711"/>
      <c r="T48" s="1711" t="s">
        <v>1353</v>
      </c>
      <c r="U48" s="1711"/>
      <c r="V48" s="1711"/>
      <c r="W48" s="5925"/>
      <c r="X48" s="1711"/>
      <c r="Y48" s="1711"/>
      <c r="Z48" s="1711"/>
      <c r="AA48" s="1711"/>
      <c r="AB48" s="1711"/>
      <c r="AC48" s="1711"/>
      <c r="AD48" s="1711"/>
      <c r="AE48" s="1711"/>
      <c r="AF48" s="1711"/>
      <c r="AG48" s="1711"/>
      <c r="AH48" s="1711"/>
      <c r="AI48" s="1711"/>
      <c r="AJ48" s="1711"/>
      <c r="AK48" s="1711"/>
      <c r="AL48" s="1712"/>
      <c r="AM48" s="5925"/>
      <c r="AN48" s="1714"/>
      <c r="AO48" s="1714"/>
      <c r="AP48" s="1711"/>
      <c r="AQ48" s="1711"/>
    </row>
    <row r="49" spans="4:43" hidden="1">
      <c r="D49" s="1539"/>
      <c r="E49" s="1539"/>
      <c r="F49" s="1539"/>
      <c r="G49" s="1539"/>
      <c r="H49" s="1539"/>
      <c r="I49" s="1537"/>
      <c r="J49" s="1537"/>
      <c r="K49" s="1537"/>
      <c r="L49" s="1539"/>
      <c r="M49" s="1539"/>
      <c r="N49" s="1712"/>
      <c r="O49" s="1711" t="s">
        <v>1428</v>
      </c>
      <c r="P49" s="1711">
        <v>151508.71799999999</v>
      </c>
      <c r="Q49" s="5925"/>
      <c r="R49" s="1711"/>
      <c r="S49" s="5925"/>
      <c r="T49" s="5925"/>
      <c r="U49" s="5925"/>
      <c r="V49" s="5925"/>
      <c r="W49" s="5925"/>
      <c r="X49" s="5925"/>
      <c r="Y49" s="5925"/>
      <c r="Z49" s="5925"/>
      <c r="AA49" s="5925"/>
      <c r="AB49" s="5925"/>
      <c r="AC49" s="5925"/>
      <c r="AD49" s="5925"/>
      <c r="AE49" s="5925"/>
      <c r="AF49" s="5925"/>
      <c r="AG49" s="5925"/>
      <c r="AH49" s="5925"/>
      <c r="AI49" s="5925"/>
      <c r="AJ49" s="5925"/>
      <c r="AK49" s="5925"/>
      <c r="AL49" s="5925"/>
      <c r="AM49" s="5925"/>
      <c r="AN49" s="1715"/>
      <c r="AO49" s="1715"/>
      <c r="AP49" s="1711"/>
      <c r="AQ49" s="1711"/>
    </row>
    <row r="50" spans="4:43" hidden="1">
      <c r="D50" s="1539"/>
      <c r="E50" s="1539"/>
      <c r="F50" s="1539"/>
      <c r="G50" s="1539"/>
      <c r="H50" s="1537"/>
      <c r="I50" s="1539"/>
      <c r="J50" s="1539"/>
      <c r="K50" s="1539"/>
      <c r="L50" s="1539"/>
      <c r="M50" s="1539"/>
      <c r="N50" s="1712"/>
      <c r="O50" s="1711" t="s">
        <v>1355</v>
      </c>
      <c r="P50" s="1711">
        <v>165980</v>
      </c>
      <c r="Q50" s="5925"/>
      <c r="R50" s="1711" t="s">
        <v>1356</v>
      </c>
      <c r="S50" s="5925"/>
      <c r="T50" s="5925"/>
      <c r="U50" s="5925"/>
      <c r="V50" s="5925"/>
      <c r="W50" s="5925"/>
      <c r="X50" s="5925"/>
      <c r="Y50" s="5925"/>
      <c r="Z50" s="5925"/>
      <c r="AA50" s="5925"/>
      <c r="AB50" s="5925"/>
      <c r="AC50" s="5925"/>
      <c r="AD50" s="5925"/>
      <c r="AE50" s="5925"/>
      <c r="AF50" s="5925"/>
      <c r="AG50" s="5925"/>
      <c r="AH50" s="5925"/>
      <c r="AI50" s="5925"/>
      <c r="AJ50" s="5925"/>
      <c r="AK50" s="5925"/>
      <c r="AL50" s="5925"/>
      <c r="AM50" s="5925"/>
      <c r="AN50" s="1714"/>
      <c r="AO50" s="1714"/>
      <c r="AP50" s="2256"/>
      <c r="AQ50" s="2256"/>
    </row>
    <row r="51" spans="4:43" hidden="1">
      <c r="D51" s="1539"/>
      <c r="E51" s="1539"/>
      <c r="F51" s="1539"/>
      <c r="G51" s="1539"/>
      <c r="H51" s="1539"/>
      <c r="I51" s="1539"/>
      <c r="J51" s="1539"/>
      <c r="K51" s="1539"/>
      <c r="L51" s="1539"/>
      <c r="M51" s="1539"/>
      <c r="N51" s="1712" t="s">
        <v>1357</v>
      </c>
      <c r="O51" s="1711" t="s">
        <v>1354</v>
      </c>
      <c r="P51" s="1711">
        <v>30774</v>
      </c>
      <c r="Q51" s="5925">
        <v>73905</v>
      </c>
      <c r="R51" s="1716">
        <v>60000</v>
      </c>
      <c r="S51" s="5925"/>
      <c r="T51" s="2993">
        <f>P50-R51</f>
        <v>105980</v>
      </c>
      <c r="U51" s="5925"/>
      <c r="V51" s="5925"/>
      <c r="W51" s="5925"/>
      <c r="X51" s="5925"/>
      <c r="Y51" s="5925"/>
      <c r="Z51" s="5925"/>
      <c r="AA51" s="5925"/>
      <c r="AB51" s="5925"/>
      <c r="AC51" s="5925"/>
      <c r="AD51" s="5925"/>
      <c r="AE51" s="5925"/>
      <c r="AF51" s="5925"/>
      <c r="AG51" s="5925"/>
      <c r="AH51" s="5925"/>
      <c r="AI51" s="5925"/>
      <c r="AJ51" s="5925"/>
      <c r="AK51" s="5925"/>
      <c r="AL51" s="5925"/>
      <c r="AM51" s="5925"/>
      <c r="AN51" s="1717"/>
      <c r="AO51" s="1717"/>
      <c r="AP51" s="2256"/>
      <c r="AQ51" s="2256"/>
    </row>
    <row r="52" spans="4:43">
      <c r="G52" s="1539"/>
      <c r="H52" s="1539"/>
      <c r="I52" s="379"/>
      <c r="J52" s="379"/>
      <c r="K52" s="379"/>
      <c r="L52" s="1536"/>
      <c r="M52" s="1536"/>
      <c r="N52" s="1712"/>
      <c r="O52" s="1711"/>
      <c r="P52" s="1711"/>
      <c r="Q52" s="5925"/>
      <c r="R52" s="1716"/>
      <c r="S52" s="5925"/>
      <c r="T52" s="5925"/>
      <c r="U52" s="5925"/>
      <c r="V52" s="5925"/>
      <c r="W52" s="5925"/>
      <c r="X52" s="5925"/>
      <c r="Y52" s="5925"/>
      <c r="Z52" s="5925"/>
      <c r="AA52" s="5925"/>
      <c r="AB52" s="5925"/>
      <c r="AC52" s="5925"/>
      <c r="AD52" s="5925"/>
      <c r="AE52" s="5925"/>
      <c r="AF52" s="5925"/>
      <c r="AG52" s="5925"/>
      <c r="AH52" s="5925"/>
      <c r="AI52" s="5925"/>
      <c r="AJ52" s="5925"/>
      <c r="AK52" s="5925"/>
      <c r="AL52" s="5925"/>
      <c r="AM52" s="5925"/>
      <c r="AN52" s="1711"/>
      <c r="AO52" s="1711"/>
      <c r="AP52" s="1711"/>
      <c r="AQ52" s="1711"/>
    </row>
    <row r="53" spans="4:43">
      <c r="H53" s="379"/>
      <c r="N53" s="1712"/>
      <c r="O53" s="1711"/>
      <c r="P53" s="1711"/>
      <c r="Q53" s="5925"/>
      <c r="R53" s="1718"/>
      <c r="S53" s="5925"/>
      <c r="T53" s="5925"/>
      <c r="U53" s="5925"/>
      <c r="V53" s="5925"/>
      <c r="W53" s="5925"/>
      <c r="X53" s="5925"/>
      <c r="Y53" s="5925"/>
      <c r="Z53" s="5925"/>
      <c r="AA53" s="5925"/>
      <c r="AB53" s="5925"/>
      <c r="AC53" s="5925"/>
      <c r="AD53" s="5925"/>
      <c r="AE53" s="5925"/>
      <c r="AF53" s="5925"/>
      <c r="AG53" s="5925"/>
      <c r="AH53" s="5925"/>
      <c r="AI53" s="5925"/>
      <c r="AJ53" s="5925"/>
      <c r="AK53" s="5925"/>
      <c r="AL53" s="5925"/>
      <c r="AM53" s="1711"/>
      <c r="AN53" s="1711"/>
      <c r="AO53" s="1711"/>
      <c r="AP53" s="1711"/>
      <c r="AQ53" s="1711"/>
    </row>
    <row r="54" spans="4:43">
      <c r="H54" s="379"/>
      <c r="I54" s="379"/>
      <c r="J54" s="379"/>
      <c r="K54" s="379"/>
      <c r="L54" s="1536"/>
      <c r="M54" s="1536"/>
      <c r="N54" s="1712"/>
      <c r="O54" s="1711"/>
      <c r="P54" s="1711"/>
      <c r="Q54" s="5925"/>
      <c r="R54" s="1711"/>
      <c r="S54" s="5925"/>
      <c r="T54" s="5925"/>
      <c r="U54" s="5925"/>
      <c r="V54" s="5925"/>
      <c r="W54" s="5925"/>
      <c r="X54" s="5925"/>
      <c r="Y54" s="5925"/>
      <c r="Z54" s="5925"/>
      <c r="AA54" s="5925"/>
      <c r="AB54" s="5925"/>
      <c r="AC54" s="5925"/>
      <c r="AD54" s="5925"/>
      <c r="AE54" s="5925"/>
      <c r="AF54" s="5925"/>
      <c r="AG54" s="5925"/>
      <c r="AH54" s="5925"/>
      <c r="AI54" s="5925"/>
      <c r="AJ54" s="5925"/>
      <c r="AK54" s="5925"/>
      <c r="AL54" s="5925"/>
      <c r="AM54" s="1711"/>
      <c r="AN54" s="1711"/>
      <c r="AO54" s="1711"/>
      <c r="AP54" s="1711"/>
      <c r="AQ54" s="1711"/>
    </row>
    <row r="55" spans="4:43">
      <c r="N55" s="1712"/>
      <c r="O55" s="1711"/>
      <c r="P55" s="1711"/>
      <c r="Q55" s="5925"/>
      <c r="R55" s="1719"/>
      <c r="S55" s="5925"/>
      <c r="T55" s="5925"/>
      <c r="U55" s="5925"/>
      <c r="V55" s="5925"/>
      <c r="W55" s="5925"/>
      <c r="X55" s="5925"/>
      <c r="Y55" s="5925"/>
      <c r="Z55" s="5925"/>
      <c r="AA55" s="5925"/>
      <c r="AB55" s="5925"/>
      <c r="AC55" s="5925"/>
      <c r="AD55" s="5925"/>
      <c r="AE55" s="5925"/>
      <c r="AF55" s="5925"/>
      <c r="AG55" s="5925"/>
      <c r="AH55" s="5925"/>
      <c r="AI55" s="5925"/>
      <c r="AJ55" s="5925"/>
      <c r="AK55" s="5925"/>
      <c r="AL55" s="5925"/>
      <c r="AM55" s="1711"/>
      <c r="AN55" s="1711"/>
      <c r="AO55" s="1711"/>
      <c r="AP55" s="1711"/>
      <c r="AQ55" s="1711"/>
    </row>
    <row r="56" spans="4:43">
      <c r="H56" s="1230"/>
      <c r="I56" s="1230"/>
      <c r="J56" s="1230"/>
      <c r="K56" s="1230"/>
      <c r="L56" s="7484" t="s">
        <v>1829</v>
      </c>
      <c r="M56" s="7484" t="s">
        <v>1830</v>
      </c>
      <c r="N56" s="7484" t="s">
        <v>1831</v>
      </c>
      <c r="O56" s="7484"/>
      <c r="P56" s="7484"/>
      <c r="Q56" s="7484"/>
      <c r="R56" s="7484"/>
      <c r="S56" s="7484"/>
      <c r="T56" s="7484"/>
      <c r="U56" s="7484"/>
      <c r="V56" s="7484"/>
      <c r="W56" s="7484"/>
      <c r="X56" s="7484"/>
      <c r="Y56" s="7484"/>
      <c r="Z56" s="7484"/>
      <c r="AA56" s="5925"/>
      <c r="AB56" s="5925"/>
      <c r="AC56" s="5925"/>
      <c r="AD56" s="5925"/>
      <c r="AE56" s="5925"/>
      <c r="AF56" s="5925"/>
      <c r="AG56" s="5925"/>
      <c r="AH56" s="5925"/>
      <c r="AI56" s="5925"/>
      <c r="AJ56" s="5925"/>
      <c r="AK56" s="5925"/>
      <c r="AL56" s="5925"/>
      <c r="AM56" s="5925"/>
      <c r="AN56" s="1711"/>
      <c r="AO56" s="1711"/>
      <c r="AP56" s="1711"/>
      <c r="AQ56" s="1711"/>
    </row>
    <row r="57" spans="4:43">
      <c r="L57" s="7484"/>
      <c r="M57" s="7484"/>
      <c r="N57" s="6023" t="s">
        <v>1832</v>
      </c>
      <c r="O57" s="6023" t="s">
        <v>5</v>
      </c>
      <c r="P57" s="6023" t="s">
        <v>6</v>
      </c>
      <c r="Q57" s="6023" t="s">
        <v>7</v>
      </c>
      <c r="R57" s="6023" t="s">
        <v>8</v>
      </c>
      <c r="S57" s="6023" t="s">
        <v>9</v>
      </c>
      <c r="T57" s="6023" t="s">
        <v>10</v>
      </c>
      <c r="U57" s="6023" t="s">
        <v>11</v>
      </c>
      <c r="V57" s="6023" t="s">
        <v>12</v>
      </c>
      <c r="W57" s="6023" t="s">
        <v>13</v>
      </c>
      <c r="X57" s="6023" t="s">
        <v>14</v>
      </c>
      <c r="Y57" s="6023" t="s">
        <v>15</v>
      </c>
      <c r="Z57" s="6023" t="s">
        <v>1833</v>
      </c>
      <c r="AA57" s="5925"/>
      <c r="AB57" s="5925"/>
      <c r="AC57" s="5925"/>
      <c r="AD57" s="5925"/>
      <c r="AE57" s="5925"/>
      <c r="AF57" s="5925"/>
      <c r="AG57" s="5925"/>
      <c r="AH57" s="5925"/>
      <c r="AI57" s="5925"/>
      <c r="AJ57" s="5925"/>
      <c r="AK57" s="5925"/>
      <c r="AL57" s="5925"/>
      <c r="AM57" s="5925"/>
      <c r="AN57" s="1711"/>
      <c r="AO57" s="1711"/>
      <c r="AP57" s="1711"/>
      <c r="AQ57" s="1711"/>
    </row>
    <row r="58" spans="4:43">
      <c r="H58" s="379"/>
      <c r="I58" s="379"/>
      <c r="J58" s="379"/>
      <c r="K58" s="379"/>
      <c r="L58" s="3886" t="s">
        <v>1834</v>
      </c>
      <c r="M58" s="3886">
        <v>23.13</v>
      </c>
      <c r="N58" s="5941">
        <f>년간!F121</f>
        <v>23.168020947715178</v>
      </c>
      <c r="O58" s="5941">
        <f>년간!G121</f>
        <v>22.388742436631237</v>
      </c>
      <c r="P58" s="5941">
        <f>년간!H121</f>
        <v>24.288338964478129</v>
      </c>
      <c r="Q58" s="5941">
        <f>년간!I121</f>
        <v>22.942111344849042</v>
      </c>
      <c r="R58" s="5941">
        <f>년간!J121</f>
        <v>21.184386401095065</v>
      </c>
      <c r="S58" s="5941">
        <f>년간!K121</f>
        <v>22.248172195547795</v>
      </c>
      <c r="T58" s="5941">
        <f>년간!L121</f>
        <v>23.236019956794568</v>
      </c>
      <c r="U58" s="5941">
        <f>년간!M121</f>
        <v>22.968708951312014</v>
      </c>
      <c r="V58" s="5941">
        <f>년간!N121</f>
        <v>22.938130764260119</v>
      </c>
      <c r="W58" s="5941">
        <f>년간!O121</f>
        <v>22.080294609615283</v>
      </c>
      <c r="X58" s="5941">
        <f>년간!P121</f>
        <v>21.626852304184986</v>
      </c>
      <c r="Y58" s="5941">
        <f>년간!Q121</f>
        <v>21.470551661768035</v>
      </c>
      <c r="Z58" s="6021">
        <f>년간!V121</f>
        <v>22.529190340300048</v>
      </c>
      <c r="AA58" s="5925"/>
      <c r="AB58" s="5925"/>
      <c r="AC58" s="5925"/>
      <c r="AD58" s="5925"/>
      <c r="AE58" s="5925"/>
      <c r="AF58" s="5925"/>
      <c r="AG58" s="5925"/>
      <c r="AH58" s="5925"/>
      <c r="AI58" s="5925"/>
      <c r="AJ58" s="5925"/>
      <c r="AK58" s="5925"/>
      <c r="AL58" s="5925"/>
      <c r="AM58" s="5925"/>
      <c r="AN58" s="1711"/>
      <c r="AO58" s="1711"/>
      <c r="AP58" s="1711"/>
      <c r="AQ58" s="1711"/>
    </row>
    <row r="59" spans="4:43">
      <c r="L59" s="3886" t="s">
        <v>1835</v>
      </c>
      <c r="M59" s="3886">
        <v>0.51500000000000001</v>
      </c>
      <c r="N59" s="3886">
        <v>0.51900000000000002</v>
      </c>
      <c r="O59" s="3886">
        <v>0.49399999999999999</v>
      </c>
      <c r="P59" s="3886">
        <v>0.48799999999999999</v>
      </c>
      <c r="Q59" s="3886">
        <v>0.48299999999999998</v>
      </c>
      <c r="R59" s="3886">
        <v>0.46600000000000003</v>
      </c>
      <c r="S59" s="3886">
        <v>0.46100000000000002</v>
      </c>
      <c r="T59" s="3886">
        <v>0.47099999999999997</v>
      </c>
      <c r="U59" s="3886">
        <v>0.502</v>
      </c>
      <c r="V59" s="3886">
        <v>0.51100000000000001</v>
      </c>
      <c r="W59" s="3886">
        <v>0.49199999999999999</v>
      </c>
      <c r="X59" s="3886">
        <v>0.46600000000000003</v>
      </c>
      <c r="Y59" s="3886">
        <v>0.48699999999999999</v>
      </c>
      <c r="Z59" s="5950">
        <f>AVERAGE(N59:Y59)</f>
        <v>0.48666666666666675</v>
      </c>
      <c r="AA59" s="5925" t="s">
        <v>2012</v>
      </c>
      <c r="AB59" s="5925"/>
      <c r="AC59" s="5925"/>
      <c r="AD59" s="5925"/>
      <c r="AE59" s="5925"/>
      <c r="AF59" s="5925"/>
      <c r="AG59" s="5925"/>
      <c r="AH59" s="5925"/>
      <c r="AI59" s="5925"/>
      <c r="AJ59" s="5925"/>
      <c r="AK59" s="5925"/>
      <c r="AL59" s="5925"/>
      <c r="AM59" s="5925"/>
      <c r="AN59" s="1711"/>
      <c r="AO59" s="1711"/>
      <c r="AP59" s="1711"/>
      <c r="AQ59" s="1711"/>
    </row>
    <row r="60" spans="4:43">
      <c r="H60" s="379"/>
      <c r="I60" s="379"/>
      <c r="J60" s="379"/>
      <c r="K60" s="379"/>
      <c r="L60" s="3886" t="s">
        <v>1836</v>
      </c>
      <c r="M60" s="5942">
        <v>1136</v>
      </c>
      <c r="N60" s="5942">
        <v>1127.6469999999999</v>
      </c>
      <c r="O60" s="5942">
        <v>1116.777</v>
      </c>
      <c r="P60" s="5942">
        <v>1151.8510000000001</v>
      </c>
      <c r="Q60" s="5942">
        <v>1112.5540000000001</v>
      </c>
      <c r="R60" s="5942">
        <v>1103.4169999999999</v>
      </c>
      <c r="S60" s="5942">
        <v>1113.184</v>
      </c>
      <c r="T60" s="5942">
        <v>1133.0820000000001</v>
      </c>
      <c r="U60" s="5942">
        <v>1133.8019999999999</v>
      </c>
      <c r="V60" s="5942">
        <v>1100.9079999999999</v>
      </c>
      <c r="W60" s="5942">
        <v>1098.8610000000001</v>
      </c>
      <c r="X60" s="5942">
        <v>1117.816</v>
      </c>
      <c r="Y60" s="5942">
        <v>1123.9469999999999</v>
      </c>
      <c r="Z60" s="3886">
        <f>AVERAGE(N60:Y60)</f>
        <v>1119.4871666666668</v>
      </c>
      <c r="AA60" s="5925" t="s">
        <v>2013</v>
      </c>
      <c r="AB60" s="5925"/>
      <c r="AC60" s="5925"/>
      <c r="AD60" s="5925"/>
      <c r="AE60" s="5925"/>
      <c r="AF60" s="5925"/>
      <c r="AG60" s="5925"/>
      <c r="AH60" s="5925"/>
      <c r="AI60" s="5925"/>
      <c r="AJ60" s="5925"/>
      <c r="AK60" s="5925"/>
      <c r="AL60" s="5925"/>
      <c r="AM60" s="5925"/>
      <c r="AN60" s="1711"/>
      <c r="AO60" s="1711"/>
      <c r="AP60" s="1711"/>
      <c r="AQ60" s="1711"/>
    </row>
    <row r="61" spans="4:43">
      <c r="L61" s="3886" t="s">
        <v>1837</v>
      </c>
      <c r="M61" s="5943">
        <f>M60*M59</f>
        <v>585.04</v>
      </c>
      <c r="N61" s="5943">
        <f t="shared" ref="N61:Y61" si="17">N60*N59</f>
        <v>585.24879299999998</v>
      </c>
      <c r="O61" s="5943">
        <f t="shared" si="17"/>
        <v>551.68783800000006</v>
      </c>
      <c r="P61" s="5943">
        <f t="shared" si="17"/>
        <v>562.10328800000002</v>
      </c>
      <c r="Q61" s="5943">
        <f t="shared" si="17"/>
        <v>537.36358200000006</v>
      </c>
      <c r="R61" s="5943">
        <f t="shared" si="17"/>
        <v>514.19232199999999</v>
      </c>
      <c r="S61" s="5943">
        <f t="shared" si="17"/>
        <v>513.17782399999999</v>
      </c>
      <c r="T61" s="5943">
        <f t="shared" si="17"/>
        <v>533.68162200000006</v>
      </c>
      <c r="U61" s="5943">
        <f t="shared" si="17"/>
        <v>569.16860399999996</v>
      </c>
      <c r="V61" s="5943">
        <f t="shared" si="17"/>
        <v>562.56398799999999</v>
      </c>
      <c r="W61" s="5943">
        <f t="shared" si="17"/>
        <v>540.63961200000006</v>
      </c>
      <c r="X61" s="5943">
        <f t="shared" si="17"/>
        <v>520.90225600000008</v>
      </c>
      <c r="Y61" s="5943">
        <f t="shared" si="17"/>
        <v>547.36218899999994</v>
      </c>
      <c r="Z61" s="5943">
        <f>Z60*Z59</f>
        <v>544.81708777777794</v>
      </c>
      <c r="AN61" s="1536"/>
      <c r="AP61" s="1705"/>
      <c r="AQ61" s="1705"/>
    </row>
    <row r="62" spans="4:43">
      <c r="H62" s="379"/>
      <c r="I62" s="379"/>
      <c r="J62" s="379"/>
      <c r="K62" s="379"/>
      <c r="L62" s="3886" t="s">
        <v>1838</v>
      </c>
      <c r="M62" s="3886">
        <v>1</v>
      </c>
      <c r="N62" s="5944">
        <f t="shared" ref="N62:Y62" si="18">$M$61/N61</f>
        <v>0.99964324061408183</v>
      </c>
      <c r="O62" s="5944">
        <f t="shared" si="18"/>
        <v>1.0604547711635433</v>
      </c>
      <c r="P62" s="5944">
        <f t="shared" si="18"/>
        <v>1.0408051553685271</v>
      </c>
      <c r="Q62" s="5944">
        <f t="shared" si="18"/>
        <v>1.0887228304950518</v>
      </c>
      <c r="R62" s="5944">
        <f t="shared" si="18"/>
        <v>1.1377843949991926</v>
      </c>
      <c r="S62" s="5944">
        <f t="shared" si="18"/>
        <v>1.140033673785561</v>
      </c>
      <c r="T62" s="5944">
        <f t="shared" si="18"/>
        <v>1.0962341139039633</v>
      </c>
      <c r="U62" s="5944">
        <f t="shared" si="18"/>
        <v>1.0278852274852461</v>
      </c>
      <c r="V62" s="5944">
        <f t="shared" si="18"/>
        <v>1.0399528097770807</v>
      </c>
      <c r="W62" s="5944">
        <f t="shared" si="18"/>
        <v>1.0821256656273273</v>
      </c>
      <c r="X62" s="5944">
        <f t="shared" si="18"/>
        <v>1.1231281747414814</v>
      </c>
      <c r="Y62" s="5944">
        <f t="shared" si="18"/>
        <v>1.0688352461262172</v>
      </c>
      <c r="Z62" s="5944">
        <f>$M$61/Z61</f>
        <v>1.0738282868224358</v>
      </c>
      <c r="AA62" s="1535" t="s">
        <v>1865</v>
      </c>
      <c r="AB62" s="1535" t="s">
        <v>1866</v>
      </c>
      <c r="AC62" s="1535" t="s">
        <v>1867</v>
      </c>
      <c r="AN62" s="1536"/>
      <c r="AP62" s="1705"/>
      <c r="AQ62" s="1705"/>
    </row>
    <row r="63" spans="4:43">
      <c r="L63" s="3886" t="s">
        <v>1839</v>
      </c>
      <c r="M63" s="5941">
        <f>M62*M58</f>
        <v>23.13</v>
      </c>
      <c r="N63" s="5941">
        <f>N62*N58</f>
        <v>23.159755538788932</v>
      </c>
      <c r="O63" s="5941">
        <f t="shared" ref="O63:Y63" si="19">O62*O58</f>
        <v>23.742248737277286</v>
      </c>
      <c r="P63" s="5941">
        <f t="shared" si="19"/>
        <v>25.27942840956711</v>
      </c>
      <c r="Q63" s="5941">
        <f t="shared" si="19"/>
        <v>24.977600400896691</v>
      </c>
      <c r="R63" s="5941">
        <f t="shared" si="19"/>
        <v>24.103264264799073</v>
      </c>
      <c r="S63" s="5941">
        <f t="shared" si="19"/>
        <v>25.363665483104121</v>
      </c>
      <c r="T63" s="5941">
        <f t="shared" si="19"/>
        <v>25.472117747991501</v>
      </c>
      <c r="U63" s="5941">
        <f t="shared" si="19"/>
        <v>23.60919662546176</v>
      </c>
      <c r="V63" s="5941">
        <f t="shared" si="19"/>
        <v>23.854573539326406</v>
      </c>
      <c r="W63" s="5941">
        <f t="shared" si="19"/>
        <v>23.893653501677424</v>
      </c>
      <c r="X63" s="5941">
        <f t="shared" si="19"/>
        <v>24.289727153802886</v>
      </c>
      <c r="Y63" s="5941">
        <f t="shared" si="19"/>
        <v>22.948482369871499</v>
      </c>
      <c r="Z63" s="5941">
        <f>Z62*Z58</f>
        <v>24.19248186662097</v>
      </c>
      <c r="AA63" s="6026">
        <f>Z63-Z58</f>
        <v>1.663291526320922</v>
      </c>
      <c r="AB63" s="1535">
        <f>100.49-99.22</f>
        <v>1.269999999999996</v>
      </c>
      <c r="AC63" s="1535">
        <f>(년간!V17-'1CCL보정'!Z16)/년간!V5</f>
        <v>1.0034227967959126</v>
      </c>
      <c r="AN63" s="1536"/>
      <c r="AP63" s="1705"/>
      <c r="AQ63" s="1705"/>
    </row>
    <row r="64" spans="4:43">
      <c r="H64" s="379"/>
      <c r="I64" s="379"/>
      <c r="J64" s="379"/>
      <c r="K64" s="379"/>
      <c r="L64" s="5945" t="s">
        <v>1840</v>
      </c>
      <c r="M64" s="3886"/>
      <c r="N64" s="5949">
        <f>N5</f>
        <v>13714.31</v>
      </c>
      <c r="O64" s="5949">
        <f t="shared" ref="O64:Y64" si="20">O5</f>
        <v>11408.93</v>
      </c>
      <c r="P64" s="5949">
        <f t="shared" si="20"/>
        <v>13299.08</v>
      </c>
      <c r="Q64" s="5949">
        <f t="shared" si="20"/>
        <v>12905.32</v>
      </c>
      <c r="R64" s="5949">
        <f t="shared" si="20"/>
        <v>12638.958000000001</v>
      </c>
      <c r="S64" s="5949">
        <f t="shared" si="20"/>
        <v>13592.15</v>
      </c>
      <c r="T64" s="5949">
        <f t="shared" si="20"/>
        <v>15058.49</v>
      </c>
      <c r="U64" s="5949">
        <f t="shared" si="20"/>
        <v>12414.97</v>
      </c>
      <c r="V64" s="5949">
        <f t="shared" si="20"/>
        <v>13015.86</v>
      </c>
      <c r="W64" s="5949">
        <f t="shared" si="20"/>
        <v>13640.470000000001</v>
      </c>
      <c r="X64" s="5949">
        <f t="shared" si="20"/>
        <v>13281.05</v>
      </c>
      <c r="Y64" s="5949">
        <f t="shared" si="20"/>
        <v>12661.900000000001</v>
      </c>
      <c r="Z64" s="5949">
        <f>SUM(N64:Y64)</f>
        <v>157631.48799999998</v>
      </c>
      <c r="AA64" s="1535">
        <f>AA63*년간!V34/60</f>
        <v>11637.662708311349</v>
      </c>
      <c r="AB64" s="1535">
        <f>Z64*0.0127</f>
        <v>2001.9198975999998</v>
      </c>
      <c r="AC64" s="6026">
        <f>AC63*100</f>
        <v>100.34227967959126</v>
      </c>
      <c r="AN64" s="1536"/>
      <c r="AP64" s="1705"/>
      <c r="AQ64" s="1705"/>
    </row>
    <row r="65" spans="8:43">
      <c r="L65" s="5946" t="s">
        <v>1841</v>
      </c>
      <c r="M65" s="5946"/>
      <c r="N65" s="5947">
        <f>(N64/$M$63-N64/N63)*1050761/1000</f>
        <v>800.45352609650024</v>
      </c>
      <c r="O65" s="5947">
        <f t="shared" ref="O65:Y65" si="21">(O64/$M$63-O64/O63)*1050761/1000</f>
        <v>13365.317355178389</v>
      </c>
      <c r="P65" s="5947">
        <f t="shared" si="21"/>
        <v>51369.536329273535</v>
      </c>
      <c r="Q65" s="5947">
        <f t="shared" si="21"/>
        <v>43366.505177712257</v>
      </c>
      <c r="R65" s="5947">
        <f t="shared" si="21"/>
        <v>23184.327258565929</v>
      </c>
      <c r="S65" s="5947">
        <f t="shared" si="21"/>
        <v>54377.919496595234</v>
      </c>
      <c r="T65" s="5947">
        <f t="shared" si="21"/>
        <v>62900.400210908374</v>
      </c>
      <c r="U65" s="5947">
        <f t="shared" si="21"/>
        <v>11447.391311119098</v>
      </c>
      <c r="V65" s="5947">
        <f t="shared" si="21"/>
        <v>17960.234143716112</v>
      </c>
      <c r="W65" s="5947">
        <f t="shared" si="21"/>
        <v>19804.844336995451</v>
      </c>
      <c r="X65" s="5947">
        <f t="shared" si="21"/>
        <v>28806.72677975543</v>
      </c>
      <c r="Y65" s="5947">
        <f t="shared" si="21"/>
        <v>-4549.7971511225887</v>
      </c>
      <c r="Z65" s="5948">
        <f>SUM(N65:V65)</f>
        <v>278772.08480916545</v>
      </c>
      <c r="AN65" s="1536"/>
      <c r="AP65" s="1705"/>
      <c r="AQ65" s="1705"/>
    </row>
    <row r="66" spans="8:43">
      <c r="H66" s="379"/>
      <c r="I66" s="379"/>
      <c r="J66" s="379"/>
      <c r="K66" s="379"/>
      <c r="L66" s="1536"/>
      <c r="M66" s="1536"/>
      <c r="N66" s="380"/>
      <c r="O66" s="1536"/>
      <c r="P66" s="1536"/>
      <c r="AN66" s="1536"/>
      <c r="AP66" s="1705"/>
      <c r="AQ66" s="1705"/>
    </row>
    <row r="67" spans="8:43">
      <c r="N67" s="380"/>
      <c r="O67" s="1536"/>
      <c r="P67" s="1536"/>
      <c r="AN67" s="1536"/>
      <c r="AP67" s="1705"/>
      <c r="AQ67" s="1705"/>
    </row>
    <row r="68" spans="8:43">
      <c r="H68" s="379"/>
      <c r="I68" s="379"/>
      <c r="J68" s="379"/>
      <c r="K68" s="379"/>
      <c r="L68" s="1536"/>
      <c r="M68" s="1536"/>
      <c r="N68" s="380"/>
      <c r="O68" s="1536"/>
      <c r="P68" s="1536"/>
      <c r="AN68" s="1536"/>
      <c r="AP68" s="1705"/>
      <c r="AQ68" s="1705"/>
    </row>
    <row r="69" spans="8:43">
      <c r="N69" s="380"/>
      <c r="O69" s="1536"/>
      <c r="P69" s="1536"/>
      <c r="AN69" s="1536"/>
      <c r="AP69" s="1705"/>
      <c r="AQ69" s="1705"/>
    </row>
    <row r="70" spans="8:43">
      <c r="N70" s="380"/>
      <c r="O70" s="1536"/>
      <c r="P70" s="1536"/>
    </row>
    <row r="71" spans="8:43">
      <c r="N71" s="380"/>
      <c r="O71" s="1536"/>
      <c r="P71" s="1536"/>
    </row>
    <row r="72" spans="8:43">
      <c r="N72" s="380"/>
      <c r="O72" s="1536"/>
      <c r="P72" s="1536"/>
    </row>
  </sheetData>
  <mergeCells count="77">
    <mergeCell ref="L56:L57"/>
    <mergeCell ref="M56:M57"/>
    <mergeCell ref="N56:Z56"/>
    <mergeCell ref="A42:A43"/>
    <mergeCell ref="A44:B44"/>
    <mergeCell ref="O45:AC45"/>
    <mergeCell ref="AO40:AO41"/>
    <mergeCell ref="AD40:AD41"/>
    <mergeCell ref="AE40:AE41"/>
    <mergeCell ref="AF40:AF41"/>
    <mergeCell ref="AG40:AG41"/>
    <mergeCell ref="AH40:AH41"/>
    <mergeCell ref="AI40:AI41"/>
    <mergeCell ref="AJ40:AJ41"/>
    <mergeCell ref="AK40:AK41"/>
    <mergeCell ref="AL40:AL41"/>
    <mergeCell ref="AM40:AM41"/>
    <mergeCell ref="AN40:AN41"/>
    <mergeCell ref="AO38:AO39"/>
    <mergeCell ref="AD38:AD39"/>
    <mergeCell ref="AE38:AE39"/>
    <mergeCell ref="AF38:AF39"/>
    <mergeCell ref="AG38:AG39"/>
    <mergeCell ref="AH38:AH39"/>
    <mergeCell ref="AI38:AI39"/>
    <mergeCell ref="AJ38:AJ39"/>
    <mergeCell ref="AK38:AK39"/>
    <mergeCell ref="AL38:AL39"/>
    <mergeCell ref="AM38:AM39"/>
    <mergeCell ref="AN38:AN39"/>
    <mergeCell ref="A36:A37"/>
    <mergeCell ref="A38:A41"/>
    <mergeCell ref="B38:B39"/>
    <mergeCell ref="AA38:AA39"/>
    <mergeCell ref="AB38:AB39"/>
    <mergeCell ref="AC38:AC39"/>
    <mergeCell ref="B40:B41"/>
    <mergeCell ref="AA40:AA41"/>
    <mergeCell ref="AB40:AB41"/>
    <mergeCell ref="AC40:AC41"/>
    <mergeCell ref="AK30:AK31"/>
    <mergeCell ref="AL30:AL31"/>
    <mergeCell ref="AM30:AM31"/>
    <mergeCell ref="AN30:AN31"/>
    <mergeCell ref="AO30:AO31"/>
    <mergeCell ref="A32:A35"/>
    <mergeCell ref="AE30:AE31"/>
    <mergeCell ref="AF30:AF31"/>
    <mergeCell ref="AG30:AG31"/>
    <mergeCell ref="AH30:AH31"/>
    <mergeCell ref="A5:A8"/>
    <mergeCell ref="A9:A10"/>
    <mergeCell ref="A11:A23"/>
    <mergeCell ref="AI30:AI31"/>
    <mergeCell ref="AJ30:AJ31"/>
    <mergeCell ref="A30:A31"/>
    <mergeCell ref="B30:B31"/>
    <mergeCell ref="AA30:AA31"/>
    <mergeCell ref="AB30:AB31"/>
    <mergeCell ref="AC30:AC31"/>
    <mergeCell ref="AD30:AD31"/>
    <mergeCell ref="A24:A29"/>
    <mergeCell ref="B24:B25"/>
    <mergeCell ref="B26:B27"/>
    <mergeCell ref="B28:B29"/>
    <mergeCell ref="A1:AP1"/>
    <mergeCell ref="L2:AP2"/>
    <mergeCell ref="A3:A4"/>
    <mergeCell ref="B3:B4"/>
    <mergeCell ref="C3:C4"/>
    <mergeCell ref="D3:K3"/>
    <mergeCell ref="L3:M3"/>
    <mergeCell ref="N3:AL3"/>
    <mergeCell ref="AM3:AM4"/>
    <mergeCell ref="AN3:AN4"/>
    <mergeCell ref="AO3:AO4"/>
    <mergeCell ref="AP3:AP4"/>
  </mergeCells>
  <phoneticPr fontId="22" type="noConversion"/>
  <pageMargins left="0.7" right="0.7" top="0.75" bottom="0.75" header="0.3" footer="0.3"/>
  <pageSetup paperSize="9" scale="6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6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V28" sqref="V28"/>
    </sheetView>
  </sheetViews>
  <sheetFormatPr defaultColWidth="8.8984375" defaultRowHeight="24.9" customHeight="1"/>
  <cols>
    <col min="1" max="1" width="8.8984375" style="354"/>
    <col min="2" max="2" width="15.69921875" style="354" customWidth="1"/>
    <col min="3" max="3" width="8.69921875" style="354" bestFit="1" customWidth="1"/>
    <col min="4" max="6" width="8.296875" style="354" hidden="1" customWidth="1"/>
    <col min="7" max="8" width="8.69921875" style="354" hidden="1" customWidth="1"/>
    <col min="9" max="10" width="8.69921875" style="1536" customWidth="1"/>
    <col min="11" max="25" width="8.69921875" style="354" customWidth="1"/>
    <col min="26" max="26" width="9.69921875" style="1536" customWidth="1"/>
    <col min="27" max="39" width="8.69921875" style="354" customWidth="1"/>
    <col min="40" max="40" width="9.59765625" style="354" customWidth="1"/>
    <col min="41" max="41" width="7.796875" style="354" bestFit="1" customWidth="1"/>
    <col min="42" max="42" width="19.69921875" style="354" bestFit="1" customWidth="1"/>
    <col min="43" max="43" width="11.19921875" style="354" bestFit="1" customWidth="1"/>
    <col min="44" max="44" width="8.8984375" style="354"/>
    <col min="45" max="45" width="5.69921875" style="354" bestFit="1" customWidth="1"/>
    <col min="46" max="46" width="10.3984375" style="354" bestFit="1" customWidth="1"/>
    <col min="47" max="16384" width="8.8984375" style="354"/>
  </cols>
  <sheetData>
    <row r="1" spans="1:49" ht="24.9" customHeight="1">
      <c r="A1" s="7401" t="s">
        <v>1341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9" ht="18" thickBot="1">
      <c r="L2" s="7403" t="s">
        <v>402</v>
      </c>
      <c r="M2" s="7403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</row>
    <row r="3" spans="1:49" ht="21" customHeight="1" thickBot="1">
      <c r="A3" s="7132" t="s">
        <v>339</v>
      </c>
      <c r="B3" s="7223" t="s">
        <v>340</v>
      </c>
      <c r="C3" s="7400" t="s">
        <v>341</v>
      </c>
      <c r="D3" s="7400" t="s">
        <v>342</v>
      </c>
      <c r="E3" s="7377"/>
      <c r="F3" s="7377"/>
      <c r="G3" s="7377"/>
      <c r="H3" s="7377"/>
      <c r="I3" s="7377"/>
      <c r="J3" s="7377"/>
      <c r="K3" s="7377"/>
      <c r="L3" s="7132" t="s">
        <v>825</v>
      </c>
      <c r="M3" s="7223"/>
      <c r="N3" s="7342" t="s">
        <v>1338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1335</v>
      </c>
      <c r="AN3" s="7229" t="s">
        <v>439</v>
      </c>
      <c r="AO3" s="7332" t="s">
        <v>365</v>
      </c>
      <c r="AP3" s="7349" t="s">
        <v>344</v>
      </c>
    </row>
    <row r="4" spans="1:49" ht="21" customHeight="1" thickBot="1">
      <c r="A4" s="7222"/>
      <c r="B4" s="7224"/>
      <c r="C4" s="7226"/>
      <c r="D4" s="1804" t="s">
        <v>256</v>
      </c>
      <c r="E4" s="1805" t="s">
        <v>257</v>
      </c>
      <c r="F4" s="1805" t="s">
        <v>194</v>
      </c>
      <c r="G4" s="1805" t="s">
        <v>258</v>
      </c>
      <c r="H4" s="1805" t="s">
        <v>259</v>
      </c>
      <c r="I4" s="1806" t="s">
        <v>1007</v>
      </c>
      <c r="J4" s="1806" t="s">
        <v>720</v>
      </c>
      <c r="K4" s="2787" t="s">
        <v>999</v>
      </c>
      <c r="L4" s="2785" t="s">
        <v>1272</v>
      </c>
      <c r="M4" s="2786" t="s">
        <v>824</v>
      </c>
      <c r="N4" s="2070" t="s">
        <v>370</v>
      </c>
      <c r="O4" s="1692" t="s">
        <v>372</v>
      </c>
      <c r="P4" s="1692" t="s">
        <v>373</v>
      </c>
      <c r="Q4" s="5153" t="s">
        <v>374</v>
      </c>
      <c r="R4" s="5153" t="s">
        <v>375</v>
      </c>
      <c r="S4" s="5153" t="s">
        <v>376</v>
      </c>
      <c r="T4" s="5153" t="s">
        <v>377</v>
      </c>
      <c r="U4" s="5153" t="s">
        <v>378</v>
      </c>
      <c r="V4" s="5153" t="s">
        <v>379</v>
      </c>
      <c r="W4" s="5153" t="s">
        <v>380</v>
      </c>
      <c r="X4" s="5082" t="s">
        <v>381</v>
      </c>
      <c r="Y4" s="4587" t="s">
        <v>382</v>
      </c>
      <c r="Z4" s="4350" t="s">
        <v>1005</v>
      </c>
      <c r="AA4" s="3797" t="s">
        <v>371</v>
      </c>
      <c r="AB4" s="1217" t="s">
        <v>383</v>
      </c>
      <c r="AC4" s="1217" t="s">
        <v>384</v>
      </c>
      <c r="AD4" s="1217" t="s">
        <v>385</v>
      </c>
      <c r="AE4" s="1217" t="s">
        <v>386</v>
      </c>
      <c r="AF4" s="1217" t="s">
        <v>387</v>
      </c>
      <c r="AG4" s="1217" t="s">
        <v>388</v>
      </c>
      <c r="AH4" s="1217" t="s">
        <v>389</v>
      </c>
      <c r="AI4" s="1217" t="s">
        <v>390</v>
      </c>
      <c r="AJ4" s="1217" t="s">
        <v>391</v>
      </c>
      <c r="AK4" s="1217" t="s">
        <v>392</v>
      </c>
      <c r="AL4" s="1217" t="s">
        <v>393</v>
      </c>
      <c r="AM4" s="7367"/>
      <c r="AN4" s="7367"/>
      <c r="AO4" s="7374"/>
      <c r="AP4" s="7491"/>
    </row>
    <row r="5" spans="1:49" ht="21" customHeight="1">
      <c r="A5" s="7183" t="s">
        <v>345</v>
      </c>
      <c r="B5" s="925" t="s">
        <v>346</v>
      </c>
      <c r="C5" s="1815" t="s">
        <v>347</v>
      </c>
      <c r="D5" s="1816">
        <v>49405.777999999998</v>
      </c>
      <c r="E5" s="1817">
        <v>66093.62000000001</v>
      </c>
      <c r="F5" s="1817">
        <v>52374.959999999992</v>
      </c>
      <c r="G5" s="1817">
        <v>48708.025000000009</v>
      </c>
      <c r="H5" s="1817">
        <v>62835.138999999996</v>
      </c>
      <c r="I5" s="1818">
        <v>45182</v>
      </c>
      <c r="J5" s="1818">
        <v>54648</v>
      </c>
      <c r="K5" s="1818">
        <f>년간!C12</f>
        <v>52737.824999999997</v>
      </c>
      <c r="L5" s="1311">
        <f>년간!D12</f>
        <v>53304</v>
      </c>
      <c r="M5" s="2288">
        <f>L5/12</f>
        <v>4442</v>
      </c>
      <c r="N5" s="1819">
        <f>년간!F12</f>
        <v>5146.8100000000004</v>
      </c>
      <c r="O5" s="932">
        <f>년간!G12</f>
        <v>5270.54</v>
      </c>
      <c r="P5" s="932">
        <f>년간!H12</f>
        <v>4212.8039999999992</v>
      </c>
      <c r="Q5" s="932">
        <f>년간!I12</f>
        <v>4553.6120000000001</v>
      </c>
      <c r="R5" s="932">
        <f>년간!J12</f>
        <v>4030.7400000000002</v>
      </c>
      <c r="S5" s="932">
        <f>년간!K12</f>
        <v>5254.96</v>
      </c>
      <c r="T5" s="932">
        <f>년간!L12</f>
        <v>4973.76</v>
      </c>
      <c r="U5" s="932">
        <f>년간!M12</f>
        <v>4617.4400000000005</v>
      </c>
      <c r="V5" s="932">
        <f>년간!N12</f>
        <v>4099.0349999999999</v>
      </c>
      <c r="W5" s="932">
        <f>년간!O12</f>
        <v>4427.88</v>
      </c>
      <c r="X5" s="5546">
        <f>년간!P12</f>
        <v>4859.99</v>
      </c>
      <c r="Y5" s="5400">
        <f>년간!Q12</f>
        <v>4664.7700000000004</v>
      </c>
      <c r="Z5" s="1819">
        <f>SUM(N5:Y5)</f>
        <v>56112.341</v>
      </c>
      <c r="AA5" s="5152"/>
      <c r="AB5" s="1820"/>
      <c r="AC5" s="1820"/>
      <c r="AD5" s="1820"/>
      <c r="AE5" s="1820"/>
      <c r="AF5" s="1820"/>
      <c r="AG5" s="1820"/>
      <c r="AH5" s="1820"/>
      <c r="AI5" s="1820"/>
      <c r="AJ5" s="1820"/>
      <c r="AK5" s="1820"/>
      <c r="AL5" s="1820"/>
      <c r="AM5" s="1025"/>
      <c r="AN5" s="1025"/>
      <c r="AO5" s="1025"/>
      <c r="AP5" s="1821"/>
      <c r="AW5" s="1532"/>
    </row>
    <row r="6" spans="1:49" ht="21" customHeight="1">
      <c r="A6" s="7184"/>
      <c r="B6" s="4272" t="s">
        <v>348</v>
      </c>
      <c r="C6" s="5992" t="s">
        <v>349</v>
      </c>
      <c r="D6" s="5993">
        <v>12.77</v>
      </c>
      <c r="E6" s="3231">
        <v>13.12</v>
      </c>
      <c r="F6" s="3232">
        <v>11.56</v>
      </c>
      <c r="G6" s="3232">
        <v>11.59</v>
      </c>
      <c r="H6" s="3232">
        <v>9.6301471114610937</v>
      </c>
      <c r="I6" s="3639">
        <v>9.7799999999999994</v>
      </c>
      <c r="J6" s="3639">
        <v>9.9899535671630861</v>
      </c>
      <c r="K6" s="3639">
        <f>년간!C123</f>
        <v>9.3511203248380532</v>
      </c>
      <c r="L6" s="3647">
        <v>9.5</v>
      </c>
      <c r="M6" s="5973">
        <f>L6</f>
        <v>9.5</v>
      </c>
      <c r="N6" s="5375">
        <f>년간!F123</f>
        <v>9.7591442025092441</v>
      </c>
      <c r="O6" s="5097">
        <f>년간!G123</f>
        <v>10.472311819054873</v>
      </c>
      <c r="P6" s="5097">
        <f>년간!H123</f>
        <v>9.9624877818067148</v>
      </c>
      <c r="Q6" s="5097">
        <f>년간!I123</f>
        <v>9.7368752672843897</v>
      </c>
      <c r="R6" s="5097">
        <f>년간!J123</f>
        <v>9.1052445314558934</v>
      </c>
      <c r="S6" s="5097">
        <f>년간!K123</f>
        <v>9.7512711078122098</v>
      </c>
      <c r="T6" s="5097">
        <f>년간!L123</f>
        <v>9.6621640872887404</v>
      </c>
      <c r="U6" s="5097">
        <f>년간!M123</f>
        <v>10.378213148529689</v>
      </c>
      <c r="V6" s="5097">
        <f>년간!N123</f>
        <v>8.9028814479638001</v>
      </c>
      <c r="W6" s="5097">
        <f>년간!O123</f>
        <v>8.7014542119743208</v>
      </c>
      <c r="X6" s="5527">
        <f>년간!P123</f>
        <v>9.1654691183404058</v>
      </c>
      <c r="Y6" s="5378">
        <f>년간!Q123</f>
        <v>8.7790909946363058</v>
      </c>
      <c r="Z6" s="5375">
        <f>년간!V123</f>
        <v>9.5212979035692769</v>
      </c>
      <c r="AA6" s="5110">
        <f>년간!F158/1000</f>
        <v>29982.446976952036</v>
      </c>
      <c r="AB6" s="4728">
        <f>년간!G158/1000</f>
        <v>78657.604100983241</v>
      </c>
      <c r="AC6" s="4728">
        <f>년간!H158/1000</f>
        <v>35980.229229228142</v>
      </c>
      <c r="AD6" s="4728">
        <f>년간!I158/1000</f>
        <v>25147.585082905196</v>
      </c>
      <c r="AE6" s="4728">
        <f>년간!J158/1000</f>
        <v>-15154.061377782851</v>
      </c>
      <c r="AF6" s="4728">
        <f>년간!K158/1000</f>
        <v>30059.394307427596</v>
      </c>
      <c r="AG6" s="4728">
        <f>년간!L158/1000</f>
        <v>22310.445129262203</v>
      </c>
      <c r="AH6" s="4728">
        <f>년간!M158/1000</f>
        <v>63583.861438013795</v>
      </c>
      <c r="AI6" s="4728">
        <f>년간!N158/1000</f>
        <v>-28721.139306133409</v>
      </c>
      <c r="AJ6" s="4728">
        <f>년간!O158/1000</f>
        <v>-46059.882891632478</v>
      </c>
      <c r="AK6" s="4728">
        <f>년간!P158/1000</f>
        <v>-13718.174942483636</v>
      </c>
      <c r="AL6" s="4728">
        <f>년간!Q158/1000</f>
        <v>-42345.664194401266</v>
      </c>
      <c r="AM6" s="5994">
        <f>년간!D158/1000</f>
        <v>116304.95693343123</v>
      </c>
      <c r="AN6" s="5994">
        <f>AA6+AB6+AC6+AD6+AE6+AF6+AG6+AH6+AI6+AJ6+AK6</f>
        <v>182068.30774673985</v>
      </c>
      <c r="AO6" s="5995">
        <f>AN6/AM6</f>
        <v>1.5654389335353025</v>
      </c>
      <c r="AP6" s="3753" t="s">
        <v>1521</v>
      </c>
      <c r="AQ6" s="5253"/>
      <c r="AW6" s="3184"/>
    </row>
    <row r="7" spans="1:49" ht="21" customHeight="1">
      <c r="A7" s="7184"/>
      <c r="B7" s="4272" t="s">
        <v>350</v>
      </c>
      <c r="C7" s="5992" t="s">
        <v>351</v>
      </c>
      <c r="D7" s="5993">
        <v>75.510000000000005</v>
      </c>
      <c r="E7" s="3231">
        <v>76.02</v>
      </c>
      <c r="F7" s="3232">
        <v>76.05</v>
      </c>
      <c r="G7" s="3232">
        <v>75.959999999999994</v>
      </c>
      <c r="H7" s="3232">
        <v>74.620228230313629</v>
      </c>
      <c r="I7" s="3639">
        <v>74.44</v>
      </c>
      <c r="J7" s="3639">
        <v>73.695129891999912</v>
      </c>
      <c r="K7" s="3639">
        <f>년간!C115*100</f>
        <v>74.245931529902734</v>
      </c>
      <c r="L7" s="3647">
        <v>74.5</v>
      </c>
      <c r="M7" s="5973">
        <f>L7</f>
        <v>74.5</v>
      </c>
      <c r="N7" s="5375">
        <f>년간!F115*100</f>
        <v>78.05184874571421</v>
      </c>
      <c r="O7" s="5097">
        <f>년간!G115*100</f>
        <v>78.861873547308775</v>
      </c>
      <c r="P7" s="5097">
        <f>년간!H115*100</f>
        <v>74.061533072566988</v>
      </c>
      <c r="Q7" s="5097">
        <f>년간!I115*100</f>
        <v>75.377424380809117</v>
      </c>
      <c r="R7" s="5097">
        <f>년간!J115*100</f>
        <v>75.403832505322924</v>
      </c>
      <c r="S7" s="5097">
        <f>년간!K115*100</f>
        <v>77.793282648445768</v>
      </c>
      <c r="T7" s="5769">
        <f>년간!L115*100</f>
        <v>77.105125196594855</v>
      </c>
      <c r="U7" s="5097">
        <f>년간!M115*100</f>
        <v>75.390437459402975</v>
      </c>
      <c r="V7" s="5097">
        <f>년간!N115*100</f>
        <v>73.684350910885271</v>
      </c>
      <c r="W7" s="5097">
        <f>년간!O115*100</f>
        <v>74.214876033057848</v>
      </c>
      <c r="X7" s="5527">
        <f>년간!P115*100</f>
        <v>76.68112798264643</v>
      </c>
      <c r="Y7" s="5378">
        <f>년간!Q115*100</f>
        <v>76.204704082608274</v>
      </c>
      <c r="Z7" s="5375">
        <f>년간!V115*100</f>
        <v>76.120492198532702</v>
      </c>
      <c r="AA7" s="5110">
        <f>년간!F157/1000</f>
        <v>33520.814301218292</v>
      </c>
      <c r="AB7" s="4728">
        <f>년간!G157/1000</f>
        <v>38398.814720558563</v>
      </c>
      <c r="AC7" s="4728">
        <f>년간!H157/1000</f>
        <v>-1372.3979293956722</v>
      </c>
      <c r="AD7" s="4728">
        <f>년간!I157/1000</f>
        <v>9150.7976708910846</v>
      </c>
      <c r="AE7" s="4728">
        <f>년간!J157/1000</f>
        <v>8861.009194984339</v>
      </c>
      <c r="AF7" s="4728">
        <f>년간!K157/1000</f>
        <v>32031.8689562859</v>
      </c>
      <c r="AG7" s="4728">
        <f>년간!L157/1000</f>
        <v>24881.855250914785</v>
      </c>
      <c r="AH7" s="4728">
        <f>년간!M157/1000</f>
        <v>8804.2521998641005</v>
      </c>
      <c r="AI7" s="4728">
        <f>년간!N157/1000</f>
        <v>-4574.0394021595366</v>
      </c>
      <c r="AJ7" s="4728">
        <f>년간!O157/1000</f>
        <v>-277.56425388299698</v>
      </c>
      <c r="AK7" s="4728">
        <f>년간!P157/1000</f>
        <v>21950.185912453133</v>
      </c>
      <c r="AL7" s="4728">
        <f>년간!Q157/1000</f>
        <v>17803.07124503635</v>
      </c>
      <c r="AM7" s="5994">
        <f>년간!D157/1000</f>
        <v>25412.919068280724</v>
      </c>
      <c r="AN7" s="5994">
        <f>AA7+AB7+AC7+AD7+AE7+AF7+AG7+AH7+AI7+AJ7+AK7</f>
        <v>171375.59662173199</v>
      </c>
      <c r="AO7" s="5995">
        <f>AN7/AM7</f>
        <v>6.7436407506462093</v>
      </c>
      <c r="AP7" s="3753" t="s">
        <v>1521</v>
      </c>
      <c r="AQ7" s="5253"/>
      <c r="AW7" s="3184"/>
    </row>
    <row r="8" spans="1:49" ht="21" customHeight="1" thickBot="1">
      <c r="A8" s="7212"/>
      <c r="B8" s="2456" t="s">
        <v>854</v>
      </c>
      <c r="C8" s="2515" t="s">
        <v>855</v>
      </c>
      <c r="D8" s="1823"/>
      <c r="E8" s="1824"/>
      <c r="F8" s="1825"/>
      <c r="G8" s="1826">
        <v>692.67000000000007</v>
      </c>
      <c r="H8" s="3110">
        <v>401.6500000000002</v>
      </c>
      <c r="I8" s="3111">
        <v>321.48</v>
      </c>
      <c r="J8" s="3111">
        <v>171.09</v>
      </c>
      <c r="K8" s="3111">
        <v>226.51299999999998</v>
      </c>
      <c r="L8" s="4258">
        <v>60</v>
      </c>
      <c r="M8" s="2806">
        <f>L8/12</f>
        <v>5</v>
      </c>
      <c r="N8" s="2226">
        <v>0</v>
      </c>
      <c r="O8" s="2338">
        <v>0</v>
      </c>
      <c r="P8" s="2338">
        <v>8.43</v>
      </c>
      <c r="Q8" s="2338">
        <v>16.82</v>
      </c>
      <c r="R8" s="2338">
        <v>35.299999999999997</v>
      </c>
      <c r="S8" s="2338">
        <v>4.9000000000000004</v>
      </c>
      <c r="T8" s="2338">
        <v>0</v>
      </c>
      <c r="U8" s="2338">
        <v>0</v>
      </c>
      <c r="V8" s="2338">
        <v>2</v>
      </c>
      <c r="W8" s="2338">
        <v>0</v>
      </c>
      <c r="X8" s="5530">
        <v>0</v>
      </c>
      <c r="Y8" s="5381">
        <v>1.25</v>
      </c>
      <c r="Z8" s="2226">
        <f>SUM(N8:Y8)</f>
        <v>68.7</v>
      </c>
      <c r="AA8" s="6912">
        <f>($K$8/12-N8)/10*1303.502</f>
        <v>2460.5012377166663</v>
      </c>
      <c r="AB8" s="3077">
        <f>($K$8/12-O8)/10*1303.502</f>
        <v>2460.5012377166663</v>
      </c>
      <c r="AC8" s="3077">
        <f t="shared" ref="AC8:AL8" si="0">($K$8/12-P8)/10*1303.502</f>
        <v>1361.6490517166665</v>
      </c>
      <c r="AD8" s="3077">
        <f t="shared" si="0"/>
        <v>268.01087371666625</v>
      </c>
      <c r="AE8" s="3077">
        <f t="shared" si="0"/>
        <v>-2140.8608222833332</v>
      </c>
      <c r="AF8" s="3077">
        <f t="shared" si="0"/>
        <v>1821.7852577166661</v>
      </c>
      <c r="AG8" s="3077">
        <f t="shared" si="0"/>
        <v>2460.5012377166663</v>
      </c>
      <c r="AH8" s="3077">
        <f t="shared" si="0"/>
        <v>2460.5012377166663</v>
      </c>
      <c r="AI8" s="3077">
        <f t="shared" si="0"/>
        <v>2199.8008377166661</v>
      </c>
      <c r="AJ8" s="3077">
        <f t="shared" si="0"/>
        <v>2460.5012377166663</v>
      </c>
      <c r="AK8" s="3077">
        <f t="shared" si="0"/>
        <v>2460.5012377166663</v>
      </c>
      <c r="AL8" s="3077">
        <f t="shared" si="0"/>
        <v>2297.5634877166663</v>
      </c>
      <c r="AM8" s="5996">
        <f>(K8/12-L8/12)*1268.988</f>
        <v>17608.583236999995</v>
      </c>
      <c r="AN8" s="5997">
        <f>AA8+AB8+AC8+AD8+AE8+AF8+AG8+AH8+AI8+AJ8+AK8+AL8</f>
        <v>20570.956112599997</v>
      </c>
      <c r="AO8" s="3277">
        <f>AN8/AM8</f>
        <v>1.1682345953520736</v>
      </c>
      <c r="AP8" s="3147" t="s">
        <v>1521</v>
      </c>
      <c r="AQ8" s="5253"/>
      <c r="AW8" s="1532"/>
    </row>
    <row r="9" spans="1:49" ht="21" customHeight="1">
      <c r="A9" s="7184" t="s">
        <v>267</v>
      </c>
      <c r="B9" s="1782" t="s">
        <v>353</v>
      </c>
      <c r="C9" s="1558" t="s">
        <v>351</v>
      </c>
      <c r="D9" s="1807">
        <v>100.36</v>
      </c>
      <c r="E9" s="1808">
        <v>100.34</v>
      </c>
      <c r="F9" s="1808">
        <v>100.06</v>
      </c>
      <c r="G9" s="1808">
        <v>99.993385966617737</v>
      </c>
      <c r="H9" s="1808">
        <v>99.508318971028757</v>
      </c>
      <c r="I9" s="1809">
        <v>99.83</v>
      </c>
      <c r="J9" s="1809">
        <v>100.34514607442676</v>
      </c>
      <c r="K9" s="1809">
        <f>년간!C91*100</f>
        <v>100.38300232567896</v>
      </c>
      <c r="L9" s="1810">
        <v>100.44999999999999</v>
      </c>
      <c r="M9" s="2289">
        <f>L9</f>
        <v>100.44999999999999</v>
      </c>
      <c r="N9" s="1812">
        <f>년간!F91*100</f>
        <v>100.59846516807573</v>
      </c>
      <c r="O9" s="1811">
        <f>년간!G91*100</f>
        <v>100.55620773661629</v>
      </c>
      <c r="P9" s="1811">
        <f>년간!H91*100</f>
        <v>100.35368585805324</v>
      </c>
      <c r="Q9" s="1811">
        <f>년간!I91*100</f>
        <v>100.5912059359612</v>
      </c>
      <c r="R9" s="1811">
        <f>년간!J91*100</f>
        <v>100.52130332322756</v>
      </c>
      <c r="S9" s="1811">
        <f>년간!K91*100</f>
        <v>100.68479594360767</v>
      </c>
      <c r="T9" s="1811">
        <f>년간!L91*100</f>
        <v>100.52350452839909</v>
      </c>
      <c r="U9" s="1811">
        <f>년간!M91*100</f>
        <v>100.36078537940605</v>
      </c>
      <c r="V9" s="1811">
        <f>년간!N91*100</f>
        <v>100.64889629341603</v>
      </c>
      <c r="W9" s="1811">
        <f>년간!O91*100</f>
        <v>100.61824093822207</v>
      </c>
      <c r="X9" s="5547">
        <f>년간!P91*100</f>
        <v>100.61303473835905</v>
      </c>
      <c r="Y9" s="5401">
        <f>년간!Q91*100</f>
        <v>100.75045116319174</v>
      </c>
      <c r="Z9" s="1812">
        <f>년간!V91*100</f>
        <v>100.57092906575997</v>
      </c>
      <c r="AA9" s="5154">
        <f>년간!F155/1000</f>
        <v>9523.8958859179038</v>
      </c>
      <c r="AB9" s="1813">
        <f>년간!G155/1000</f>
        <v>7846.8695285999311</v>
      </c>
      <c r="AC9" s="1813">
        <f>년간!H155/1000</f>
        <v>-1062.0576727150319</v>
      </c>
      <c r="AD9" s="1813">
        <f>년간!I155/1000</f>
        <v>8146.536604809231</v>
      </c>
      <c r="AE9" s="1813">
        <f>년간!J155/1000</f>
        <v>4787.5405068090395</v>
      </c>
      <c r="AF9" s="1813">
        <f>년간!K155/1000</f>
        <v>13614.582279781018</v>
      </c>
      <c r="AG9" s="1813">
        <f>년간!L155/1000</f>
        <v>6006.4385410043169</v>
      </c>
      <c r="AH9" s="1813">
        <f>년간!M155/1000</f>
        <v>-881.90231395132525</v>
      </c>
      <c r="AI9" s="1813">
        <f>년간!N155/1000</f>
        <v>9344.6400813001219</v>
      </c>
      <c r="AJ9" s="1813">
        <f>년간!O155/1000</f>
        <v>8943.2778074132693</v>
      </c>
      <c r="AK9" s="1813">
        <f>년간!P155/1000</f>
        <v>9601.2642736668167</v>
      </c>
      <c r="AL9" s="1813">
        <f>년간!Q155/1000</f>
        <v>14697.059717906917</v>
      </c>
      <c r="AM9" s="821">
        <f>년간!D155/1000</f>
        <v>30692.805141862485</v>
      </c>
      <c r="AN9" s="821">
        <f>AA9+AB9+AC9+AD9+AE9+AF9+AG9+AH9+AI9+AJ9+AK9+AL9</f>
        <v>90568.145240542217</v>
      </c>
      <c r="AO9" s="1814">
        <f>AN9/AM9</f>
        <v>2.9507939995036376</v>
      </c>
      <c r="AP9" s="1060" t="s">
        <v>1522</v>
      </c>
      <c r="AQ9" s="1705"/>
      <c r="AW9" s="3184"/>
    </row>
    <row r="10" spans="1:49" ht="21" customHeight="1" thickBot="1">
      <c r="A10" s="7184"/>
      <c r="B10" s="1624" t="s">
        <v>354</v>
      </c>
      <c r="C10" s="1555" t="s">
        <v>309</v>
      </c>
      <c r="D10" s="1789">
        <v>124</v>
      </c>
      <c r="E10" s="1790">
        <v>131.51</v>
      </c>
      <c r="F10" s="1790">
        <v>90.44</v>
      </c>
      <c r="G10" s="1573">
        <v>68.98</v>
      </c>
      <c r="H10" s="1573">
        <v>53.02000000000001</v>
      </c>
      <c r="I10" s="1528">
        <v>95</v>
      </c>
      <c r="J10" s="1528">
        <v>73.749999999999986</v>
      </c>
      <c r="K10" s="1528">
        <v>73.5</v>
      </c>
      <c r="L10" s="3765">
        <v>48</v>
      </c>
      <c r="M10" s="3766">
        <f t="shared" ref="M10:M17" si="1">L10/12</f>
        <v>4</v>
      </c>
      <c r="N10" s="1791">
        <f>년간!F24</f>
        <v>2.29</v>
      </c>
      <c r="O10" s="1668">
        <f>년간!G24</f>
        <v>0</v>
      </c>
      <c r="P10" s="1668">
        <f>년간!H24</f>
        <v>6.6899999999999995</v>
      </c>
      <c r="Q10" s="5150">
        <f>년간!I24</f>
        <v>0</v>
      </c>
      <c r="R10" s="5150">
        <f>년간!J24</f>
        <v>4.9000000000000004</v>
      </c>
      <c r="S10" s="5150">
        <f>년간!K24</f>
        <v>0</v>
      </c>
      <c r="T10" s="5150">
        <f>년간!L24</f>
        <v>1.97</v>
      </c>
      <c r="U10" s="5150">
        <f>년간!M24</f>
        <v>8.39</v>
      </c>
      <c r="V10" s="5150">
        <f>년간!N24</f>
        <v>6.67</v>
      </c>
      <c r="W10" s="5150">
        <f>년간!O24</f>
        <v>2.2400000000000002</v>
      </c>
      <c r="X10" s="5528">
        <f>년간!P24</f>
        <v>1.46</v>
      </c>
      <c r="Y10" s="5379">
        <f>년간!Q24</f>
        <v>2.56</v>
      </c>
      <c r="Z10" s="6931">
        <f>SUM(N10:Y10)</f>
        <v>37.170000000000009</v>
      </c>
      <c r="AA10" s="5117"/>
      <c r="AB10" s="1595"/>
      <c r="AC10" s="1595"/>
      <c r="AD10" s="1595"/>
      <c r="AE10" s="1595"/>
      <c r="AF10" s="1595"/>
      <c r="AG10" s="1595"/>
      <c r="AH10" s="1595"/>
      <c r="AI10" s="1595"/>
      <c r="AJ10" s="1595"/>
      <c r="AK10" s="1595"/>
      <c r="AL10" s="1595"/>
      <c r="AM10" s="1623"/>
      <c r="AN10" s="1623"/>
      <c r="AO10" s="1596"/>
      <c r="AP10" s="3284"/>
      <c r="AQ10" s="1705"/>
      <c r="AW10" s="1532"/>
    </row>
    <row r="11" spans="1:49" ht="21" customHeight="1">
      <c r="A11" s="7183" t="s">
        <v>879</v>
      </c>
      <c r="B11" s="1783" t="s">
        <v>611</v>
      </c>
      <c r="C11" s="1009" t="s">
        <v>779</v>
      </c>
      <c r="D11" s="3717">
        <f>281.85</f>
        <v>281.85000000000002</v>
      </c>
      <c r="E11" s="3718">
        <f>453.49</f>
        <v>453.49</v>
      </c>
      <c r="F11" s="3718">
        <f>593.92</f>
        <v>593.91999999999996</v>
      </c>
      <c r="G11" s="3718">
        <f>458.705</f>
        <v>458.70499999999998</v>
      </c>
      <c r="H11" s="3718">
        <f>스크!X13</f>
        <v>418.88499999999999</v>
      </c>
      <c r="I11" s="3719">
        <f>스크!X14</f>
        <v>235.17499999999998</v>
      </c>
      <c r="J11" s="3719">
        <v>310.24</v>
      </c>
      <c r="K11" s="3719">
        <v>272.18</v>
      </c>
      <c r="L11" s="3720">
        <v>240</v>
      </c>
      <c r="M11" s="3721">
        <f t="shared" si="1"/>
        <v>20</v>
      </c>
      <c r="N11" s="3722">
        <f>스크!X18</f>
        <v>28.58</v>
      </c>
      <c r="O11" s="3723">
        <f>스크!X19</f>
        <v>17.829999999999998</v>
      </c>
      <c r="P11" s="3723">
        <f>스크!X20</f>
        <v>7.32</v>
      </c>
      <c r="Q11" s="3723">
        <f>스크!X22</f>
        <v>27.1</v>
      </c>
      <c r="R11" s="3723">
        <f>스크!X23</f>
        <v>27.73</v>
      </c>
      <c r="S11" s="3723">
        <f>스크!X24</f>
        <v>22.67</v>
      </c>
      <c r="T11" s="3723">
        <f>스크!X27</f>
        <v>24.31</v>
      </c>
      <c r="U11" s="3723">
        <f>스크!X28</f>
        <v>20.59</v>
      </c>
      <c r="V11" s="3723">
        <f>스크!X29</f>
        <v>10.119999999999999</v>
      </c>
      <c r="W11" s="3723">
        <f>스크!X31</f>
        <v>44.02</v>
      </c>
      <c r="X11" s="5548">
        <f>스크!X32</f>
        <v>38.43</v>
      </c>
      <c r="Y11" s="5402">
        <f>스크!X33</f>
        <v>38.369999999999997</v>
      </c>
      <c r="Z11" s="3722">
        <f t="shared" ref="Z11:Z29" si="2">SUM(N11:Y11)</f>
        <v>307.07000000000005</v>
      </c>
      <c r="AA11" s="5126"/>
      <c r="AB11" s="1014"/>
      <c r="AC11" s="1014"/>
      <c r="AD11" s="1014"/>
      <c r="AE11" s="1014"/>
      <c r="AF11" s="1014"/>
      <c r="AG11" s="1014"/>
      <c r="AH11" s="1014"/>
      <c r="AI11" s="1014"/>
      <c r="AJ11" s="1014"/>
      <c r="AK11" s="1014"/>
      <c r="AL11" s="1014"/>
      <c r="AM11" s="1793" t="s">
        <v>539</v>
      </c>
      <c r="AN11" s="1794"/>
      <c r="AO11" s="1795"/>
      <c r="AP11" s="3214" t="s">
        <v>1523</v>
      </c>
    </row>
    <row r="12" spans="1:49" ht="21" customHeight="1">
      <c r="A12" s="7184"/>
      <c r="B12" s="1624" t="s">
        <v>876</v>
      </c>
      <c r="C12" s="3440" t="s">
        <v>612</v>
      </c>
      <c r="D12" s="1641"/>
      <c r="E12" s="1563"/>
      <c r="F12" s="1563"/>
      <c r="G12" s="1563"/>
      <c r="H12" s="1563">
        <v>62</v>
      </c>
      <c r="I12" s="1564">
        <v>110.32</v>
      </c>
      <c r="J12" s="2766">
        <v>2.89</v>
      </c>
      <c r="K12" s="2766">
        <v>20.137</v>
      </c>
      <c r="L12" s="2793">
        <v>11</v>
      </c>
      <c r="M12" s="2790">
        <f t="shared" si="1"/>
        <v>0.91666666666666663</v>
      </c>
      <c r="N12" s="2184">
        <v>0</v>
      </c>
      <c r="O12" s="1638">
        <v>0</v>
      </c>
      <c r="P12" s="2176">
        <v>0</v>
      </c>
      <c r="Q12" s="3617">
        <v>0</v>
      </c>
      <c r="R12" s="3617">
        <v>0</v>
      </c>
      <c r="S12" s="3617">
        <v>0</v>
      </c>
      <c r="T12" s="3617">
        <v>0</v>
      </c>
      <c r="U12" s="3617">
        <v>0</v>
      </c>
      <c r="V12" s="3617">
        <v>0</v>
      </c>
      <c r="W12" s="3617">
        <v>0</v>
      </c>
      <c r="X12" s="5506">
        <v>2.96</v>
      </c>
      <c r="Y12" s="5351">
        <v>0</v>
      </c>
      <c r="Z12" s="5375">
        <f t="shared" si="2"/>
        <v>2.96</v>
      </c>
      <c r="AA12" s="5111"/>
      <c r="AB12" s="1639"/>
      <c r="AC12" s="1639"/>
      <c r="AD12" s="1639"/>
      <c r="AE12" s="1639"/>
      <c r="AF12" s="1639"/>
      <c r="AG12" s="1639"/>
      <c r="AH12" s="1639"/>
      <c r="AI12" s="1639"/>
      <c r="AJ12" s="1639"/>
      <c r="AK12" s="1639"/>
      <c r="AL12" s="1639"/>
      <c r="AM12" s="1640" t="s">
        <v>878</v>
      </c>
      <c r="AN12" s="1640"/>
      <c r="AO12" s="1637"/>
      <c r="AP12" s="4182" t="s">
        <v>1524</v>
      </c>
    </row>
    <row r="13" spans="1:49" ht="21" customHeight="1">
      <c r="A13" s="7184"/>
      <c r="B13" s="1624" t="s">
        <v>877</v>
      </c>
      <c r="C13" s="3440" t="s">
        <v>612</v>
      </c>
      <c r="D13" s="1641">
        <v>277</v>
      </c>
      <c r="E13" s="1563">
        <v>379.22</v>
      </c>
      <c r="F13" s="1563">
        <v>449.47</v>
      </c>
      <c r="G13" s="1563">
        <f>679.82</f>
        <v>679.82</v>
      </c>
      <c r="H13" s="1563">
        <f>413.647</f>
        <v>413.64699999999999</v>
      </c>
      <c r="I13" s="1564">
        <f>77.4</f>
        <v>77.400000000000006</v>
      </c>
      <c r="J13" s="2766">
        <v>128.14100000000002</v>
      </c>
      <c r="K13" s="2766">
        <v>93.301999999999992</v>
      </c>
      <c r="L13" s="2793">
        <v>72</v>
      </c>
      <c r="M13" s="2790">
        <f t="shared" si="1"/>
        <v>6</v>
      </c>
      <c r="N13" s="2184">
        <v>6.8819999999999997</v>
      </c>
      <c r="O13" s="1638">
        <v>8.3190000000000008</v>
      </c>
      <c r="P13" s="2176">
        <v>13.19</v>
      </c>
      <c r="Q13" s="3617">
        <v>12.698</v>
      </c>
      <c r="R13" s="3617">
        <f>3.12+6.85</f>
        <v>9.9699999999999989</v>
      </c>
      <c r="S13" s="3617">
        <v>10.278</v>
      </c>
      <c r="T13" s="3617">
        <v>11.866</v>
      </c>
      <c r="U13" s="3617">
        <v>6.38</v>
      </c>
      <c r="V13" s="3617">
        <v>12.66</v>
      </c>
      <c r="W13" s="3617">
        <v>11.576000000000001</v>
      </c>
      <c r="X13" s="5506">
        <v>28.02</v>
      </c>
      <c r="Y13" s="5351">
        <v>14.891</v>
      </c>
      <c r="Z13" s="5375">
        <f t="shared" si="2"/>
        <v>146.72999999999999</v>
      </c>
      <c r="AA13" s="5111">
        <f>($K$13/12-N13)*년간!$C$217/1000</f>
        <v>772.00703120767787</v>
      </c>
      <c r="AB13" s="1639">
        <f>($K$13/12-O13)*년간!$C$216/1000</f>
        <v>-382.41176304951</v>
      </c>
      <c r="AC13" s="1639">
        <f>($K$13/12-P13)*년간!$C$216/1000</f>
        <v>-3807.5929419906533</v>
      </c>
      <c r="AD13" s="1639">
        <f>($K$13/12-Q13)*년간!$C$216/1000</f>
        <v>-3461.629250748806</v>
      </c>
      <c r="AE13" s="1639">
        <f>($K$13/12-R13)*년간!$C$216/1000</f>
        <v>-1543.3590277655483</v>
      </c>
      <c r="AF13" s="1639">
        <f>($K$13/12-S13)*년간!$C$216/1000</f>
        <v>-1759.9379239088203</v>
      </c>
      <c r="AG13" s="1639">
        <f>($K$13/12-T13)*년간!$C$216/1000</f>
        <v>-2876.5849598682817</v>
      </c>
      <c r="AH13" s="1639">
        <f>($K$13/12-U13)*년간!$C$216/1000</f>
        <v>981.05083312517331</v>
      </c>
      <c r="AI13" s="1639">
        <f>($K$13/12-V13)*년간!$C$216/1000</f>
        <v>-3434.9084778480124</v>
      </c>
      <c r="AJ13" s="1639">
        <f>($K$13/12-W13)*년간!$C$216/1000</f>
        <v>-2672.6632719411759</v>
      </c>
      <c r="AK13" s="1639">
        <f>($K$13/12-X13)*년간!$C$216/1000</f>
        <v>-14235.7261556423</v>
      </c>
      <c r="AL13" s="1639">
        <f>($K$13/12-Y13)*년간!$C$217/1000</f>
        <v>-6150.5579767515974</v>
      </c>
      <c r="AM13" s="1639">
        <f>($K$13-L13)*년간!$C$217/1000</f>
        <v>18412.346085597255</v>
      </c>
      <c r="AN13" s="1640">
        <f>AA13+AB13+AC13+AD13+AE13+AF13+AG13+AH13+AI13+AJ13+AK13+AL13</f>
        <v>-38572.313885181851</v>
      </c>
      <c r="AO13" s="1796">
        <f>AN13/AM13</f>
        <v>-2.094915754128388</v>
      </c>
      <c r="AP13" s="5156" t="s">
        <v>1525</v>
      </c>
      <c r="AQ13" s="2336" t="s">
        <v>1145</v>
      </c>
      <c r="AR13" s="2336"/>
    </row>
    <row r="14" spans="1:49" ht="21" customHeight="1">
      <c r="A14" s="7184"/>
      <c r="B14" s="1624" t="s">
        <v>875</v>
      </c>
      <c r="C14" s="3440" t="s">
        <v>612</v>
      </c>
      <c r="D14" s="1641"/>
      <c r="E14" s="1563"/>
      <c r="F14" s="1563"/>
      <c r="G14" s="1563"/>
      <c r="H14" s="1563">
        <f>490</f>
        <v>490</v>
      </c>
      <c r="I14" s="1564">
        <v>304</v>
      </c>
      <c r="J14" s="2766">
        <v>305.80000000000007</v>
      </c>
      <c r="K14" s="2766">
        <v>265.07299999999998</v>
      </c>
      <c r="L14" s="2793">
        <v>251</v>
      </c>
      <c r="M14" s="2790">
        <f t="shared" si="1"/>
        <v>20.916666666666668</v>
      </c>
      <c r="N14" s="1663">
        <v>22.11</v>
      </c>
      <c r="O14" s="1638">
        <v>21.89</v>
      </c>
      <c r="P14" s="2176">
        <v>22.2</v>
      </c>
      <c r="Q14" s="3617">
        <v>21.15</v>
      </c>
      <c r="R14" s="3617">
        <v>20.100000000000001</v>
      </c>
      <c r="S14" s="3617">
        <v>24.33</v>
      </c>
      <c r="T14" s="3617">
        <v>24.28</v>
      </c>
      <c r="U14" s="3617">
        <v>22.36</v>
      </c>
      <c r="V14" s="3617">
        <v>19.96</v>
      </c>
      <c r="W14" s="3617">
        <v>19.510000000000002</v>
      </c>
      <c r="X14" s="5506">
        <v>21.31</v>
      </c>
      <c r="Y14" s="5351">
        <v>17.18</v>
      </c>
      <c r="Z14" s="5375">
        <f t="shared" si="2"/>
        <v>256.37999999999994</v>
      </c>
      <c r="AA14" s="5111"/>
      <c r="AB14" s="1639"/>
      <c r="AC14" s="1639"/>
      <c r="AD14" s="1639"/>
      <c r="AE14" s="1639"/>
      <c r="AF14" s="1639"/>
      <c r="AG14" s="1639"/>
      <c r="AH14" s="1639"/>
      <c r="AI14" s="1639"/>
      <c r="AJ14" s="1639"/>
      <c r="AK14" s="1639"/>
      <c r="AL14" s="1639"/>
      <c r="AM14" s="1640" t="s">
        <v>878</v>
      </c>
      <c r="AN14" s="1640"/>
      <c r="AO14" s="1637"/>
      <c r="AP14" s="5156" t="s">
        <v>1526</v>
      </c>
    </row>
    <row r="15" spans="1:49" s="1536" customFormat="1" ht="21" customHeight="1">
      <c r="A15" s="7184"/>
      <c r="B15" s="1616" t="s">
        <v>1100</v>
      </c>
      <c r="C15" s="3440" t="s">
        <v>1017</v>
      </c>
      <c r="D15" s="2767">
        <v>248</v>
      </c>
      <c r="E15" s="2767">
        <v>248</v>
      </c>
      <c r="F15" s="2767">
        <v>248</v>
      </c>
      <c r="G15" s="2767">
        <v>248</v>
      </c>
      <c r="H15" s="2767">
        <v>248</v>
      </c>
      <c r="I15" s="2767"/>
      <c r="J15" s="2767">
        <v>248</v>
      </c>
      <c r="K15" s="2767">
        <v>211.26499999999999</v>
      </c>
      <c r="L15" s="2795">
        <v>144</v>
      </c>
      <c r="M15" s="2790">
        <f t="shared" si="1"/>
        <v>12</v>
      </c>
      <c r="N15" s="1663">
        <v>0</v>
      </c>
      <c r="O15" s="1632">
        <v>12.75</v>
      </c>
      <c r="P15" s="2176">
        <v>0</v>
      </c>
      <c r="Q15" s="3617">
        <v>0</v>
      </c>
      <c r="R15" s="3617">
        <v>0</v>
      </c>
      <c r="S15" s="3617">
        <v>0</v>
      </c>
      <c r="T15" s="3617">
        <v>0</v>
      </c>
      <c r="U15" s="3617">
        <v>0</v>
      </c>
      <c r="V15" s="3617">
        <v>0</v>
      </c>
      <c r="W15" s="3617">
        <v>0</v>
      </c>
      <c r="X15" s="5506">
        <v>0</v>
      </c>
      <c r="Y15" s="5351">
        <v>0.91</v>
      </c>
      <c r="Z15" s="5375">
        <f t="shared" si="2"/>
        <v>13.66</v>
      </c>
      <c r="AA15" s="5111"/>
      <c r="AB15" s="1639"/>
      <c r="AC15" s="1639"/>
      <c r="AD15" s="1639"/>
      <c r="AE15" s="1639"/>
      <c r="AF15" s="1639"/>
      <c r="AG15" s="1639"/>
      <c r="AH15" s="1639"/>
      <c r="AI15" s="1639"/>
      <c r="AJ15" s="1639"/>
      <c r="AK15" s="1639"/>
      <c r="AL15" s="1639"/>
      <c r="AM15" s="1640"/>
      <c r="AN15" s="1640"/>
      <c r="AO15" s="1637"/>
      <c r="AP15" s="4152" t="s">
        <v>1527</v>
      </c>
      <c r="AQ15" s="1536" t="s">
        <v>1445</v>
      </c>
    </row>
    <row r="16" spans="1:49" s="1536" customFormat="1" ht="21" customHeight="1">
      <c r="A16" s="7184"/>
      <c r="B16" s="1616" t="s">
        <v>1137</v>
      </c>
      <c r="C16" s="3440" t="s">
        <v>1017</v>
      </c>
      <c r="D16" s="3724"/>
      <c r="E16" s="3725"/>
      <c r="F16" s="3725"/>
      <c r="G16" s="3725"/>
      <c r="H16" s="3725"/>
      <c r="I16" s="3726"/>
      <c r="J16" s="3727"/>
      <c r="K16" s="3727">
        <v>151.458</v>
      </c>
      <c r="L16" s="3728">
        <v>120</v>
      </c>
      <c r="M16" s="3729">
        <f>L16/12</f>
        <v>10</v>
      </c>
      <c r="N16" s="3730">
        <v>6.8999999999999995</v>
      </c>
      <c r="O16" s="3731">
        <v>18.64</v>
      </c>
      <c r="P16" s="3732">
        <v>22.5</v>
      </c>
      <c r="Q16" s="5396">
        <v>7.17</v>
      </c>
      <c r="R16" s="5396">
        <v>0</v>
      </c>
      <c r="S16" s="5396">
        <v>0</v>
      </c>
      <c r="T16" s="5396">
        <v>1.1399999999999999</v>
      </c>
      <c r="U16" s="5396">
        <v>6.72</v>
      </c>
      <c r="V16" s="5396">
        <v>7.47</v>
      </c>
      <c r="W16" s="5396">
        <v>0</v>
      </c>
      <c r="X16" s="5549">
        <v>3.26</v>
      </c>
      <c r="Y16" s="5403">
        <v>12.9</v>
      </c>
      <c r="Z16" s="6932">
        <f t="shared" si="2"/>
        <v>86.700000000000017</v>
      </c>
      <c r="AA16" s="5111"/>
      <c r="AB16" s="1639"/>
      <c r="AC16" s="1639"/>
      <c r="AD16" s="1639"/>
      <c r="AE16" s="1639"/>
      <c r="AF16" s="1639"/>
      <c r="AG16" s="1639"/>
      <c r="AH16" s="1639"/>
      <c r="AI16" s="1639"/>
      <c r="AJ16" s="1639"/>
      <c r="AK16" s="1639"/>
      <c r="AL16" s="1639"/>
      <c r="AM16" s="1640"/>
      <c r="AN16" s="1640"/>
      <c r="AO16" s="1637"/>
      <c r="AP16" s="4152" t="s">
        <v>1528</v>
      </c>
    </row>
    <row r="17" spans="1:47" s="1536" customFormat="1" ht="21" customHeight="1">
      <c r="A17" s="7184"/>
      <c r="B17" s="1616" t="s">
        <v>1043</v>
      </c>
      <c r="C17" s="3440" t="s">
        <v>1017</v>
      </c>
      <c r="D17" s="1641">
        <v>12.696</v>
      </c>
      <c r="E17" s="1563">
        <v>12.696</v>
      </c>
      <c r="F17" s="1563">
        <v>12.696</v>
      </c>
      <c r="G17" s="1563">
        <v>12.696</v>
      </c>
      <c r="H17" s="1754">
        <v>12.696</v>
      </c>
      <c r="I17" s="1755"/>
      <c r="J17" s="2767">
        <v>12.696</v>
      </c>
      <c r="K17" s="2767">
        <v>12.643999999999998</v>
      </c>
      <c r="L17" s="2795">
        <v>7.43</v>
      </c>
      <c r="M17" s="2790">
        <f t="shared" si="1"/>
        <v>0.61916666666666664</v>
      </c>
      <c r="N17" s="1663">
        <v>0</v>
      </c>
      <c r="O17" s="1638">
        <v>0.95</v>
      </c>
      <c r="P17" s="2176">
        <v>1.38</v>
      </c>
      <c r="Q17" s="3617">
        <v>0</v>
      </c>
      <c r="R17" s="3617">
        <v>0</v>
      </c>
      <c r="S17" s="3617">
        <v>1.4419999999999999</v>
      </c>
      <c r="T17" s="3617">
        <v>0</v>
      </c>
      <c r="U17" s="3617">
        <v>6.14</v>
      </c>
      <c r="V17" s="3617">
        <v>0.88</v>
      </c>
      <c r="W17" s="3617">
        <v>3.18</v>
      </c>
      <c r="X17" s="5506">
        <v>9.3960000000000008</v>
      </c>
      <c r="Y17" s="5351">
        <v>24.4</v>
      </c>
      <c r="Z17" s="5375">
        <f t="shared" si="2"/>
        <v>47.768000000000001</v>
      </c>
      <c r="AA17" s="5111"/>
      <c r="AB17" s="1639"/>
      <c r="AC17" s="1639"/>
      <c r="AD17" s="1639"/>
      <c r="AE17" s="1639"/>
      <c r="AF17" s="1639"/>
      <c r="AG17" s="1639"/>
      <c r="AH17" s="1639"/>
      <c r="AI17" s="1639"/>
      <c r="AJ17" s="1639"/>
      <c r="AK17" s="1639"/>
      <c r="AL17" s="1639"/>
      <c r="AM17" s="1640"/>
      <c r="AN17" s="1640"/>
      <c r="AO17" s="1637"/>
      <c r="AP17" s="5156" t="s">
        <v>1529</v>
      </c>
    </row>
    <row r="18" spans="1:47" s="1536" customFormat="1" ht="21" customHeight="1">
      <c r="A18" s="7184"/>
      <c r="B18" s="1616" t="s">
        <v>1042</v>
      </c>
      <c r="C18" s="3440" t="s">
        <v>1017</v>
      </c>
      <c r="D18" s="3724"/>
      <c r="E18" s="3725"/>
      <c r="F18" s="3725"/>
      <c r="G18" s="3725"/>
      <c r="H18" s="3725"/>
      <c r="I18" s="3726"/>
      <c r="J18" s="3727">
        <v>50.28</v>
      </c>
      <c r="K18" s="3727">
        <v>31.545000000000002</v>
      </c>
      <c r="L18" s="3728">
        <v>24</v>
      </c>
      <c r="M18" s="3729">
        <f>L18/12</f>
        <v>2</v>
      </c>
      <c r="N18" s="3733">
        <v>6.72</v>
      </c>
      <c r="O18" s="3734">
        <v>4.4000000000000004</v>
      </c>
      <c r="P18" s="3732">
        <v>8.26</v>
      </c>
      <c r="Q18" s="5396">
        <v>2.42</v>
      </c>
      <c r="R18" s="5396">
        <v>11.86</v>
      </c>
      <c r="S18" s="5396">
        <v>0.7</v>
      </c>
      <c r="T18" s="5396">
        <v>1.1599999999999999</v>
      </c>
      <c r="U18" s="5396">
        <v>6.27</v>
      </c>
      <c r="V18" s="5396">
        <v>10.42</v>
      </c>
      <c r="W18" s="5396">
        <v>3.9</v>
      </c>
      <c r="X18" s="5549">
        <v>3.18</v>
      </c>
      <c r="Y18" s="5403">
        <v>3.62</v>
      </c>
      <c r="Z18" s="6932">
        <f t="shared" si="2"/>
        <v>62.910000000000004</v>
      </c>
      <c r="AA18" s="5111"/>
      <c r="AB18" s="1639"/>
      <c r="AC18" s="1639"/>
      <c r="AD18" s="1639"/>
      <c r="AE18" s="1639"/>
      <c r="AF18" s="1639"/>
      <c r="AG18" s="1639"/>
      <c r="AH18" s="1639"/>
      <c r="AI18" s="1639"/>
      <c r="AJ18" s="1639"/>
      <c r="AK18" s="1639"/>
      <c r="AL18" s="1639"/>
      <c r="AM18" s="1640"/>
      <c r="AN18" s="1640"/>
      <c r="AO18" s="1637"/>
      <c r="AP18" s="5156" t="s">
        <v>1530</v>
      </c>
      <c r="AQ18" s="5253"/>
      <c r="AR18" s="5253"/>
      <c r="AS18" s="5253"/>
      <c r="AT18" s="5253"/>
      <c r="AU18" s="1705"/>
    </row>
    <row r="19" spans="1:47" s="1536" customFormat="1" ht="21" customHeight="1">
      <c r="A19" s="7184"/>
      <c r="B19" s="1616" t="s">
        <v>1818</v>
      </c>
      <c r="C19" s="3440"/>
      <c r="D19" s="1641">
        <v>6.5420000000000016</v>
      </c>
      <c r="E19" s="1563">
        <v>6.5420000000000016</v>
      </c>
      <c r="F19" s="1563">
        <v>6.5420000000000016</v>
      </c>
      <c r="G19" s="1563">
        <v>6.5420000000000016</v>
      </c>
      <c r="H19" s="1754">
        <v>6.5420000000000016</v>
      </c>
      <c r="I19" s="1755"/>
      <c r="J19" s="2767"/>
      <c r="K19" s="2767">
        <v>6.5420000000000016</v>
      </c>
      <c r="L19" s="2795">
        <v>4</v>
      </c>
      <c r="M19" s="2790">
        <f>L19/12</f>
        <v>0.33333333333333331</v>
      </c>
      <c r="N19" s="1666">
        <v>0</v>
      </c>
      <c r="O19" s="1638">
        <v>0</v>
      </c>
      <c r="P19" s="2176">
        <v>1.3560000000000001</v>
      </c>
      <c r="Q19" s="3617">
        <v>2.23</v>
      </c>
      <c r="R19" s="3617">
        <v>0</v>
      </c>
      <c r="S19" s="3617">
        <v>2.2200000000000002</v>
      </c>
      <c r="T19" s="3617">
        <v>1.2969999999999999</v>
      </c>
      <c r="U19" s="3617">
        <v>1.54</v>
      </c>
      <c r="V19" s="3617">
        <v>1.1399999999999999</v>
      </c>
      <c r="W19" s="3617">
        <v>2.633</v>
      </c>
      <c r="X19" s="5506">
        <v>1.524</v>
      </c>
      <c r="Y19" s="5351">
        <v>4.4180000000000001</v>
      </c>
      <c r="Z19" s="5375">
        <f t="shared" si="2"/>
        <v>18.358000000000001</v>
      </c>
      <c r="AA19" s="5111"/>
      <c r="AB19" s="1639"/>
      <c r="AC19" s="1639"/>
      <c r="AD19" s="1639"/>
      <c r="AE19" s="1639"/>
      <c r="AF19" s="1639"/>
      <c r="AG19" s="1639"/>
      <c r="AH19" s="1639"/>
      <c r="AI19" s="1639"/>
      <c r="AJ19" s="1639"/>
      <c r="AK19" s="1639"/>
      <c r="AL19" s="1639"/>
      <c r="AM19" s="1640"/>
      <c r="AN19" s="1640"/>
      <c r="AO19" s="1637"/>
      <c r="AP19" s="4152" t="s">
        <v>1531</v>
      </c>
    </row>
    <row r="20" spans="1:47" ht="21" customHeight="1">
      <c r="A20" s="7184"/>
      <c r="B20" s="1624" t="s">
        <v>920</v>
      </c>
      <c r="C20" s="3262" t="s">
        <v>921</v>
      </c>
      <c r="D20" s="3724">
        <v>121.2</v>
      </c>
      <c r="E20" s="3725">
        <v>271.89999999999998</v>
      </c>
      <c r="F20" s="3725">
        <v>144.80000000000001</v>
      </c>
      <c r="G20" s="3725">
        <v>389.9</v>
      </c>
      <c r="H20" s="3725">
        <v>892.3</v>
      </c>
      <c r="I20" s="3726">
        <v>479.8</v>
      </c>
      <c r="J20" s="3727">
        <v>550.02</v>
      </c>
      <c r="K20" s="3727">
        <v>404.41999999999996</v>
      </c>
      <c r="L20" s="3728">
        <v>375</v>
      </c>
      <c r="M20" s="3735">
        <f>L20/12</f>
        <v>31.25</v>
      </c>
      <c r="N20" s="3736">
        <f>스크!V18</f>
        <v>36.74</v>
      </c>
      <c r="O20" s="3737">
        <f>스크!V19</f>
        <v>28.27</v>
      </c>
      <c r="P20" s="3738">
        <f>스크!V20</f>
        <v>24.44</v>
      </c>
      <c r="Q20" s="5098">
        <f>스크!V22</f>
        <v>22.97</v>
      </c>
      <c r="R20" s="5098">
        <f>스크!V23</f>
        <v>18.46</v>
      </c>
      <c r="S20" s="5098">
        <f>스크!V24</f>
        <v>9.5399999999999991</v>
      </c>
      <c r="T20" s="5098">
        <f>스크!V27</f>
        <v>31.19</v>
      </c>
      <c r="U20" s="5098">
        <f>스크!V28</f>
        <v>18.45</v>
      </c>
      <c r="V20" s="5098">
        <f>스크!V29</f>
        <v>27.6</v>
      </c>
      <c r="W20" s="5098">
        <f>스크!V31</f>
        <v>23.18</v>
      </c>
      <c r="X20" s="5550">
        <f>스크!V32</f>
        <v>3.84</v>
      </c>
      <c r="Y20" s="5404">
        <f>스크!V33</f>
        <v>42.86</v>
      </c>
      <c r="Z20" s="6932">
        <f t="shared" si="2"/>
        <v>287.53999999999996</v>
      </c>
      <c r="AA20" s="5111"/>
      <c r="AB20" s="1639"/>
      <c r="AC20" s="1639"/>
      <c r="AD20" s="1639"/>
      <c r="AE20" s="1639"/>
      <c r="AF20" s="1639"/>
      <c r="AG20" s="1639"/>
      <c r="AH20" s="1639"/>
      <c r="AI20" s="1639"/>
      <c r="AJ20" s="1639"/>
      <c r="AK20" s="1639"/>
      <c r="AL20" s="1639"/>
      <c r="AM20" s="1640"/>
      <c r="AN20" s="1640"/>
      <c r="AO20" s="1637"/>
      <c r="AP20" s="4152" t="s">
        <v>1532</v>
      </c>
    </row>
    <row r="21" spans="1:47" ht="21" customHeight="1">
      <c r="A21" s="7184"/>
      <c r="B21" s="1616" t="s">
        <v>772</v>
      </c>
      <c r="C21" s="3440" t="s">
        <v>783</v>
      </c>
      <c r="D21" s="3713">
        <f t="shared" ref="D21:L21" si="3">SUM(D12:D20)</f>
        <v>665.4380000000001</v>
      </c>
      <c r="E21" s="1562">
        <f t="shared" si="3"/>
        <v>918.35800000000006</v>
      </c>
      <c r="F21" s="1562">
        <f t="shared" si="3"/>
        <v>861.50800000000004</v>
      </c>
      <c r="G21" s="1562">
        <f t="shared" si="3"/>
        <v>1336.9580000000001</v>
      </c>
      <c r="H21" s="1562">
        <f t="shared" si="3"/>
        <v>2125.1849999999995</v>
      </c>
      <c r="I21" s="1562">
        <f t="shared" si="3"/>
        <v>971.52</v>
      </c>
      <c r="J21" s="1562">
        <f t="shared" si="3"/>
        <v>1297.8270000000002</v>
      </c>
      <c r="K21" s="2137">
        <f t="shared" si="3"/>
        <v>1196.386</v>
      </c>
      <c r="L21" s="2789">
        <f t="shared" si="3"/>
        <v>1008.43</v>
      </c>
      <c r="M21" s="2790">
        <f>L21/12</f>
        <v>84.035833333333329</v>
      </c>
      <c r="N21" s="3647">
        <f>SUM(N12:N20)</f>
        <v>79.352000000000004</v>
      </c>
      <c r="O21" s="3716">
        <f>SUM(O12:O20)</f>
        <v>95.219000000000008</v>
      </c>
      <c r="P21" s="3716">
        <f t="shared" ref="P21:Y21" si="4">SUM(P12:P20)</f>
        <v>93.325999999999993</v>
      </c>
      <c r="Q21" s="5097">
        <f t="shared" si="4"/>
        <v>68.638000000000005</v>
      </c>
      <c r="R21" s="5097">
        <f t="shared" si="4"/>
        <v>60.39</v>
      </c>
      <c r="S21" s="5097">
        <f t="shared" si="4"/>
        <v>48.51</v>
      </c>
      <c r="T21" s="5097">
        <f t="shared" si="4"/>
        <v>70.932999999999993</v>
      </c>
      <c r="U21" s="5097">
        <f t="shared" si="4"/>
        <v>67.86</v>
      </c>
      <c r="V21" s="5097">
        <f t="shared" si="4"/>
        <v>80.13000000000001</v>
      </c>
      <c r="W21" s="5097">
        <f t="shared" si="4"/>
        <v>63.979000000000006</v>
      </c>
      <c r="X21" s="5527">
        <f t="shared" si="4"/>
        <v>73.490000000000009</v>
      </c>
      <c r="Y21" s="5378">
        <f t="shared" si="4"/>
        <v>121.179</v>
      </c>
      <c r="Z21" s="5375">
        <f t="shared" si="2"/>
        <v>923.00600000000009</v>
      </c>
      <c r="AA21" s="5117"/>
      <c r="AB21" s="1595"/>
      <c r="AC21" s="1595"/>
      <c r="AD21" s="1595"/>
      <c r="AE21" s="1595"/>
      <c r="AF21" s="1595"/>
      <c r="AG21" s="1595"/>
      <c r="AH21" s="1595"/>
      <c r="AI21" s="1595"/>
      <c r="AJ21" s="1595"/>
      <c r="AK21" s="1595"/>
      <c r="AL21" s="1595"/>
      <c r="AM21" s="1797"/>
      <c r="AN21" s="1798"/>
      <c r="AO21" s="1799"/>
      <c r="AP21" s="5156" t="s">
        <v>1533</v>
      </c>
    </row>
    <row r="22" spans="1:47" ht="21" customHeight="1">
      <c r="A22" s="7184"/>
      <c r="B22" s="2088" t="s">
        <v>922</v>
      </c>
      <c r="C22" s="3440" t="s">
        <v>540</v>
      </c>
      <c r="D22" s="3714">
        <v>8.2911105922346788</v>
      </c>
      <c r="E22" s="3709">
        <v>11.655086504856463</v>
      </c>
      <c r="F22" s="3740">
        <f t="shared" ref="F22:K22" si="5">(F12+F13+F14+F15+F17+F19)*1000/F5</f>
        <v>13.684172742088972</v>
      </c>
      <c r="G22" s="3740">
        <f t="shared" si="5"/>
        <v>19.443572183433837</v>
      </c>
      <c r="H22" s="3740">
        <f t="shared" si="5"/>
        <v>19.620948081295719</v>
      </c>
      <c r="I22" s="3740">
        <f t="shared" si="5"/>
        <v>10.88309503784693</v>
      </c>
      <c r="J22" s="3740">
        <f t="shared" si="5"/>
        <v>12.763998682476945</v>
      </c>
      <c r="K22" s="3710">
        <f t="shared" si="5"/>
        <v>11.546987385240101</v>
      </c>
      <c r="L22" s="3739">
        <f>(L12+L13+L14+L15+L17+L19)*1000/L5</f>
        <v>9.1818625243884142</v>
      </c>
      <c r="M22" s="3882">
        <f>(M12+M13+M14+M15+M17+M19)*1000/M5</f>
        <v>9.1818625243884142</v>
      </c>
      <c r="N22" s="3739">
        <f>(N12+N13+N14+N15+N17+N19)*1000/N5</f>
        <v>5.6330037440667118</v>
      </c>
      <c r="O22" s="3741">
        <f>(O12+O13+O14+O15+O17+O19)*1000/O5</f>
        <v>8.3310249044689932</v>
      </c>
      <c r="P22" s="3741">
        <f t="shared" ref="P22:Z22" si="6">(P12+P13+P14+P15+P17+P19)*1000/P5</f>
        <v>9.0500293866033203</v>
      </c>
      <c r="Q22" s="3620">
        <f>(Q12+Q13+Q14+Q15+Q17+Q19)*1000/Q5</f>
        <v>7.9229411728535482</v>
      </c>
      <c r="R22" s="3620">
        <f t="shared" si="6"/>
        <v>7.460168604276137</v>
      </c>
      <c r="S22" s="3620">
        <f>(S12+S13+S14+S15+S17+S19)*1000/S5</f>
        <v>7.282643445430601</v>
      </c>
      <c r="T22" s="3620">
        <f t="shared" si="6"/>
        <v>7.5281075082030489</v>
      </c>
      <c r="U22" s="3620">
        <f t="shared" si="6"/>
        <v>7.8874874389271952</v>
      </c>
      <c r="V22" s="3620">
        <f>(V12+V13+V14+V15+V17+V19)*1000/V5</f>
        <v>8.4507695103847631</v>
      </c>
      <c r="W22" s="3620">
        <f t="shared" si="6"/>
        <v>8.3333333333333339</v>
      </c>
      <c r="X22" s="5515">
        <f t="shared" si="6"/>
        <v>13.006199601233748</v>
      </c>
      <c r="Y22" s="5359">
        <f t="shared" si="6"/>
        <v>13.248027233925786</v>
      </c>
      <c r="Z22" s="6933">
        <f t="shared" si="6"/>
        <v>8.6586300150977475</v>
      </c>
      <c r="AA22" s="5111">
        <f>($K$22-N22)*년간!$C$217*N5/1000000</f>
        <v>26309.161330433337</v>
      </c>
      <c r="AB22" s="4728">
        <f>($K$22-O22)*년간!$C$217*O5/1000000</f>
        <v>14650.580604984563</v>
      </c>
      <c r="AC22" s="4728">
        <f>($K$22-P22)*년간!$C$217*P5/1000000</f>
        <v>9092.2473165004758</v>
      </c>
      <c r="AD22" s="4728">
        <f>($K$22-Q22)*년간!$C$217*Q5/1000000</f>
        <v>14263.907013099695</v>
      </c>
      <c r="AE22" s="4752">
        <f>($K$22-R22)*년간!$C$217*R5/1000000</f>
        <v>14238.325427309925</v>
      </c>
      <c r="AF22" s="4752">
        <f>($K$22-S22)*년간!$C$217*S5/1000000</f>
        <v>19369.142266927436</v>
      </c>
      <c r="AG22" s="4752">
        <f>($K$22-T22)*년간!$C$217*T5/1000000</f>
        <v>17277.408430853386</v>
      </c>
      <c r="AH22" s="4752">
        <f>($K$22-U22)*년간!$C$217*U5/1000000</f>
        <v>14605.342812725507</v>
      </c>
      <c r="AI22" s="4752">
        <f>($K$22-V22)*년간!$C$217*V5/1000000</f>
        <v>10969.880313913238</v>
      </c>
      <c r="AJ22" s="4752">
        <f>($K$22-W22)*년간!$C$217*W5/1000000</f>
        <v>12299.394030664127</v>
      </c>
      <c r="AK22" s="4752">
        <f>($K$22-X22)*년간!$C$217*X5/1000000</f>
        <v>-6129.7474483231354</v>
      </c>
      <c r="AL22" s="4752">
        <f>($K$22-Y22)*년간!$C$217*Y5/1000000</f>
        <v>-6858.5683664564694</v>
      </c>
      <c r="AM22" s="5991">
        <f>(K22-L22)*L5*년간!C217/1000000</f>
        <v>108968.9139674918</v>
      </c>
      <c r="AN22" s="1640">
        <f>AA22+AB22+AC22+AD22+AE22+AF22+AG22+AH22+AI22+AJ22+AK22+AL22</f>
        <v>140087.07373263207</v>
      </c>
      <c r="AO22" s="1637">
        <f>AN22/AM22</f>
        <v>1.2855691465771937</v>
      </c>
      <c r="AP22" s="1060" t="s">
        <v>1534</v>
      </c>
      <c r="AQ22" s="354" t="s">
        <v>1134</v>
      </c>
    </row>
    <row r="23" spans="1:47" s="1536" customFormat="1" ht="18" thickBot="1">
      <c r="A23" s="7069"/>
      <c r="B23" s="1616" t="s">
        <v>1516</v>
      </c>
      <c r="C23" s="3235" t="s">
        <v>270</v>
      </c>
      <c r="D23" s="3715">
        <f>스크!AA9</f>
        <v>8.2911105922346788</v>
      </c>
      <c r="E23" s="3711">
        <f>스크!AA10</f>
        <v>11.655086504856463</v>
      </c>
      <c r="F23" s="3711">
        <f>스크!AA11</f>
        <v>15.074693663590669</v>
      </c>
      <c r="G23" s="3711">
        <f>스크!AA12</f>
        <v>19.343927791956471</v>
      </c>
      <c r="H23" s="3711">
        <f>스크!AA13</f>
        <v>20.895347900877322</v>
      </c>
      <c r="I23" s="3711">
        <f>스크!AA14</f>
        <v>15.856893496308224</v>
      </c>
      <c r="J23" s="3712">
        <f>스크!AA15</f>
        <v>15.807687922740499</v>
      </c>
      <c r="K23" s="3185">
        <f>스크!AA16</f>
        <v>12.840538296772625</v>
      </c>
      <c r="L23" s="3069">
        <f>(L11+L12+L13+L15+L16+L17+L18)/L5*1000</f>
        <v>11.601943568962929</v>
      </c>
      <c r="M23" s="2796">
        <f>(M11+M12+M13+M15+M16+M17+M18)/M5*1000</f>
        <v>11.60194356896293</v>
      </c>
      <c r="N23" s="3070">
        <f>스크!AA18</f>
        <v>12.691356393571938</v>
      </c>
      <c r="O23" s="2888">
        <f>스크!AA19</f>
        <v>8.7467318339297293</v>
      </c>
      <c r="P23" s="2888">
        <f>스크!AA20</f>
        <v>13.933712558191649</v>
      </c>
      <c r="Q23" s="2434">
        <f>스크!AA22</f>
        <v>15.078140166531535</v>
      </c>
      <c r="R23" s="2434">
        <f>스크!AA23</f>
        <v>12.054858413095362</v>
      </c>
      <c r="S23" s="2434">
        <f>스크!AA24</f>
        <v>6.1294472270007763</v>
      </c>
      <c r="T23" s="2434">
        <f>스크!AA27</f>
        <v>12.670494756482016</v>
      </c>
      <c r="U23" s="2434">
        <f>스크!AA28</f>
        <v>10.722391628261548</v>
      </c>
      <c r="V23" s="2434">
        <f>스크!AA29</f>
        <v>14.686383502458504</v>
      </c>
      <c r="W23" s="2434">
        <f>스크!AA31</f>
        <v>17.970225028681895</v>
      </c>
      <c r="X23" s="5551">
        <f>스크!AA32</f>
        <v>8.6975487603883952</v>
      </c>
      <c r="Y23" s="5405">
        <f>스크!AA33</f>
        <v>17.413505917762286</v>
      </c>
      <c r="Z23" s="2228">
        <f>스크!AA36</f>
        <v>12.392639259160473</v>
      </c>
      <c r="AA23" s="5111"/>
      <c r="AB23" s="1639"/>
      <c r="AC23" s="1639"/>
      <c r="AD23" s="1639"/>
      <c r="AE23" s="1639"/>
      <c r="AF23" s="1639"/>
      <c r="AG23" s="1639"/>
      <c r="AH23" s="1639"/>
      <c r="AI23" s="1639"/>
      <c r="AJ23" s="1639"/>
      <c r="AK23" s="1639"/>
      <c r="AL23" s="1639"/>
      <c r="AM23" s="1640"/>
      <c r="AN23" s="1640"/>
      <c r="AO23" s="1637"/>
      <c r="AP23" s="4182"/>
    </row>
    <row r="24" spans="1:47" ht="21" customHeight="1">
      <c r="A24" s="7183" t="s">
        <v>793</v>
      </c>
      <c r="B24" s="7208" t="s">
        <v>784</v>
      </c>
      <c r="C24" s="1792" t="s">
        <v>740</v>
      </c>
      <c r="D24" s="2099"/>
      <c r="E24" s="2100"/>
      <c r="F24" s="2100"/>
      <c r="G24" s="2101">
        <v>239</v>
      </c>
      <c r="H24" s="2101">
        <v>259</v>
      </c>
      <c r="I24" s="1011">
        <v>183</v>
      </c>
      <c r="J24" s="1011">
        <v>199</v>
      </c>
      <c r="K24" s="1011">
        <v>116</v>
      </c>
      <c r="L24" s="1420">
        <v>90</v>
      </c>
      <c r="M24" s="2797">
        <f t="shared" ref="M24:M29" si="7">L24/12</f>
        <v>7.5</v>
      </c>
      <c r="N24" s="2285">
        <v>9</v>
      </c>
      <c r="O24" s="2102">
        <v>3</v>
      </c>
      <c r="P24" s="2102">
        <v>4</v>
      </c>
      <c r="Q24" s="2102">
        <v>6</v>
      </c>
      <c r="R24" s="2102">
        <v>2</v>
      </c>
      <c r="S24" s="2102">
        <v>4</v>
      </c>
      <c r="T24" s="2102">
        <v>8</v>
      </c>
      <c r="U24" s="2102">
        <v>9</v>
      </c>
      <c r="V24" s="2102">
        <v>4</v>
      </c>
      <c r="W24" s="2102">
        <v>3</v>
      </c>
      <c r="X24" s="5552">
        <v>3</v>
      </c>
      <c r="Y24" s="5406">
        <v>6</v>
      </c>
      <c r="Z24" s="1819">
        <f t="shared" si="2"/>
        <v>61</v>
      </c>
      <c r="AA24" s="5126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2103"/>
      <c r="AN24" s="2103"/>
      <c r="AO24" s="1015"/>
      <c r="AP24" s="1016"/>
    </row>
    <row r="25" spans="1:47" ht="21" customHeight="1">
      <c r="A25" s="7184"/>
      <c r="B25" s="7209"/>
      <c r="C25" s="1555" t="s">
        <v>791</v>
      </c>
      <c r="D25" s="1565"/>
      <c r="E25" s="1566"/>
      <c r="F25" s="1566"/>
      <c r="G25" s="1566">
        <v>113.46666666666667</v>
      </c>
      <c r="H25" s="1566">
        <v>120.05</v>
      </c>
      <c r="I25" s="1523">
        <v>107.2</v>
      </c>
      <c r="J25" s="1523">
        <v>78.86333333333333</v>
      </c>
      <c r="K25" s="1523">
        <v>64</v>
      </c>
      <c r="L25" s="2277">
        <v>48</v>
      </c>
      <c r="M25" s="2111">
        <f t="shared" si="7"/>
        <v>4</v>
      </c>
      <c r="N25" s="2185">
        <f>264/60</f>
        <v>4.4000000000000004</v>
      </c>
      <c r="O25" s="1660">
        <f>66/60</f>
        <v>1.1000000000000001</v>
      </c>
      <c r="P25" s="2178">
        <f>106/60</f>
        <v>1.7666666666666666</v>
      </c>
      <c r="Q25" s="3620">
        <f>148/60</f>
        <v>2.4666666666666668</v>
      </c>
      <c r="R25" s="3620">
        <f>55/60</f>
        <v>0.91666666666666663</v>
      </c>
      <c r="S25" s="3620">
        <f>107/60</f>
        <v>1.7833333333333334</v>
      </c>
      <c r="T25" s="3620">
        <f>300/60</f>
        <v>5</v>
      </c>
      <c r="U25" s="3620">
        <f>401/60</f>
        <v>6.6833333333333336</v>
      </c>
      <c r="V25" s="3620">
        <f>476/60</f>
        <v>7.9333333333333336</v>
      </c>
      <c r="W25" s="3620">
        <f>58/60</f>
        <v>0.96666666666666667</v>
      </c>
      <c r="X25" s="5515">
        <f>90/60</f>
        <v>1.5</v>
      </c>
      <c r="Y25" s="5359">
        <f>191/60</f>
        <v>3.1833333333333331</v>
      </c>
      <c r="Z25" s="5375">
        <f t="shared" si="2"/>
        <v>37.699999999999996</v>
      </c>
      <c r="AA25" s="5151">
        <f>($K$25/12-N25)*년간!$E$217/1000</f>
        <v>1216.6027468033592</v>
      </c>
      <c r="AB25" s="3078">
        <f>($K$25/12-O25)*년간!$E$217/1000</f>
        <v>5518.1624587152382</v>
      </c>
      <c r="AC25" s="3078">
        <f>($K$25/12-P25)*년간!$E$217/1000</f>
        <v>4649.1604967128396</v>
      </c>
      <c r="AD25" s="3078">
        <f>($K$25/12-Q25)*년간!$E$217/1000</f>
        <v>3736.7084366103195</v>
      </c>
      <c r="AE25" s="3078">
        <f>($K$25/12-R25)*년간!$E$217/1000</f>
        <v>5757.1379982658991</v>
      </c>
      <c r="AF25" s="3078">
        <f>($K$25/12-S25)*년간!$E$217/1000</f>
        <v>4627.4354476627805</v>
      </c>
      <c r="AG25" s="3078">
        <f>($K$25/12-T25)*년간!$E$217/1000</f>
        <v>434.50098100119965</v>
      </c>
      <c r="AH25" s="3078">
        <f>($K$25/12-U25)*년간!$E$217/1000</f>
        <v>-1759.7289730548607</v>
      </c>
      <c r="AI25" s="3078">
        <f>($K$25/12-V25)*년간!$E$217/1000</f>
        <v>-3389.107651809361</v>
      </c>
      <c r="AJ25" s="3078">
        <f>($K$25/12-W25)*년간!$E$217/1000</f>
        <v>5691.9628511157198</v>
      </c>
      <c r="AK25" s="3078">
        <f>($K$25/12-X25)*년간!$E$217/1000</f>
        <v>4996.7612815138</v>
      </c>
      <c r="AL25" s="3078">
        <f>($K$25/12-Y25)*년간!$E$217/1000</f>
        <v>2802.5313274577402</v>
      </c>
      <c r="AM25" s="3078">
        <f>($K$25/12-M25)*년간!$E$217/1000</f>
        <v>1738.0039240047997</v>
      </c>
      <c r="AN25" s="1685">
        <f>AA25+AB25+AC25+AD25+AE25+AF25+AG25+AH25+AI25+AJ25+AK25+AL25</f>
        <v>34282.127400994672</v>
      </c>
      <c r="AO25" s="1796">
        <f>AN25/AM25</f>
        <v>19.724999999999998</v>
      </c>
      <c r="AP25" s="3284"/>
      <c r="AQ25" s="511"/>
    </row>
    <row r="26" spans="1:47" ht="21" customHeight="1">
      <c r="A26" s="7184"/>
      <c r="B26" s="7210" t="s">
        <v>789</v>
      </c>
      <c r="C26" s="1555" t="s">
        <v>740</v>
      </c>
      <c r="D26" s="1565"/>
      <c r="E26" s="1566"/>
      <c r="F26" s="1566"/>
      <c r="G26" s="1567">
        <v>13</v>
      </c>
      <c r="H26" s="1567">
        <v>5</v>
      </c>
      <c r="I26" s="1522">
        <v>15</v>
      </c>
      <c r="J26" s="1522">
        <v>3</v>
      </c>
      <c r="K26" s="1522">
        <v>6</v>
      </c>
      <c r="L26" s="2280">
        <f>년간!D44</f>
        <v>3</v>
      </c>
      <c r="M26" s="6025">
        <f t="shared" si="7"/>
        <v>0.25</v>
      </c>
      <c r="N26" s="2286">
        <f>년간!F44</f>
        <v>0</v>
      </c>
      <c r="O26" s="4750">
        <f>년간!G44</f>
        <v>1</v>
      </c>
      <c r="P26" s="2273">
        <f>년간!H44</f>
        <v>0</v>
      </c>
      <c r="Q26" s="5397">
        <f>년간!I44</f>
        <v>0</v>
      </c>
      <c r="R26" s="5397">
        <f>년간!J44</f>
        <v>0</v>
      </c>
      <c r="S26" s="5397">
        <f>년간!K44</f>
        <v>0</v>
      </c>
      <c r="T26" s="5397">
        <f>년간!L44</f>
        <v>0</v>
      </c>
      <c r="U26" s="5397">
        <f>년간!M44</f>
        <v>1</v>
      </c>
      <c r="V26" s="5397">
        <f>년간!N44</f>
        <v>2</v>
      </c>
      <c r="W26" s="5397">
        <f>년간!O44</f>
        <v>0</v>
      </c>
      <c r="X26" s="5553">
        <f>년간!P44</f>
        <v>0</v>
      </c>
      <c r="Y26" s="5407">
        <f>년간!Q44</f>
        <v>0</v>
      </c>
      <c r="Z26" s="6934">
        <f t="shared" si="2"/>
        <v>4</v>
      </c>
      <c r="AA26" s="5117"/>
      <c r="AB26" s="1595"/>
      <c r="AC26" s="1595"/>
      <c r="AD26" s="1595"/>
      <c r="AE26" s="1595"/>
      <c r="AF26" s="1595"/>
      <c r="AG26" s="1595"/>
      <c r="AH26" s="1595"/>
      <c r="AI26" s="1595"/>
      <c r="AJ26" s="1595"/>
      <c r="AK26" s="1595"/>
      <c r="AL26" s="1595"/>
      <c r="AM26" s="1623"/>
      <c r="AN26" s="1623"/>
      <c r="AO26" s="1596"/>
      <c r="AP26" s="3284"/>
      <c r="AQ26" s="372"/>
    </row>
    <row r="27" spans="1:47" ht="21" customHeight="1">
      <c r="A27" s="7184"/>
      <c r="B27" s="7209"/>
      <c r="C27" s="1555" t="s">
        <v>791</v>
      </c>
      <c r="D27" s="1565"/>
      <c r="E27" s="1566"/>
      <c r="F27" s="1566"/>
      <c r="G27" s="1566">
        <v>12</v>
      </c>
      <c r="H27" s="1566">
        <v>3.75</v>
      </c>
      <c r="I27" s="1523">
        <v>14</v>
      </c>
      <c r="J27" s="1523">
        <v>4.4833333333333343</v>
      </c>
      <c r="K27" s="1523">
        <v>9.5666666666666664</v>
      </c>
      <c r="L27" s="2277">
        <f>년간!D54/60</f>
        <v>7.7672727272727267</v>
      </c>
      <c r="M27" s="2111">
        <f t="shared" si="7"/>
        <v>0.64727272727272722</v>
      </c>
      <c r="N27" s="2185">
        <f>년간!F54/60</f>
        <v>0</v>
      </c>
      <c r="O27" s="1660">
        <f>년간!G54/60</f>
        <v>1.0833333333333333</v>
      </c>
      <c r="P27" s="2178">
        <f>년간!H54/60</f>
        <v>0</v>
      </c>
      <c r="Q27" s="3620">
        <f>년간!I54/60</f>
        <v>0</v>
      </c>
      <c r="R27" s="3620">
        <f>년간!J54/60</f>
        <v>0</v>
      </c>
      <c r="S27" s="3620">
        <f>년간!K54/60</f>
        <v>0</v>
      </c>
      <c r="T27" s="3620">
        <f>년간!L54/60</f>
        <v>0</v>
      </c>
      <c r="U27" s="3620">
        <f>년간!M54/60</f>
        <v>0.83333333333333337</v>
      </c>
      <c r="V27" s="3620">
        <f>년간!N54/60</f>
        <v>2.1666666666666665</v>
      </c>
      <c r="W27" s="3620">
        <f>년간!O54/60</f>
        <v>0</v>
      </c>
      <c r="X27" s="5515">
        <f>년간!P54/60</f>
        <v>0</v>
      </c>
      <c r="Y27" s="5359">
        <f>년간!Q54/60</f>
        <v>0</v>
      </c>
      <c r="Z27" s="5375">
        <f t="shared" si="2"/>
        <v>4.083333333333333</v>
      </c>
      <c r="AA27" s="5115">
        <f>년간!F180/1000</f>
        <v>865.79116543596729</v>
      </c>
      <c r="AB27" s="1644">
        <f>년간!G180/1000</f>
        <v>-287.40390853110955</v>
      </c>
      <c r="AC27" s="1644">
        <f>년간!H180/1000</f>
        <v>694.20893876817513</v>
      </c>
      <c r="AD27" s="1644">
        <f>년간!I180/1000</f>
        <v>767.75590500689702</v>
      </c>
      <c r="AE27" s="1644">
        <f>년간!J180/1000</f>
        <v>726.74143239088357</v>
      </c>
      <c r="AF27" s="1644">
        <f>년간!K180/1000</f>
        <v>884.69777022426968</v>
      </c>
      <c r="AG27" s="1644">
        <f>년간!L180/1000</f>
        <v>845.07871995876781</v>
      </c>
      <c r="AH27" s="1644">
        <f>년간!M180/1000</f>
        <v>-88.522639641709233</v>
      </c>
      <c r="AI27" s="1644">
        <f>년간!N180/1000</f>
        <v>-1325.1812058953494</v>
      </c>
      <c r="AJ27" s="1644">
        <f>년간!O180/1000</f>
        <v>835.39284717286466</v>
      </c>
      <c r="AK27" s="1644">
        <f>년간!P180/1000</f>
        <v>870.49729571612363</v>
      </c>
      <c r="AL27" s="1644">
        <f>년간!Q180/1000</f>
        <v>872.30313640502095</v>
      </c>
      <c r="AM27" s="1685">
        <f>년간!E180/1000</f>
        <v>2019.7475528672908</v>
      </c>
      <c r="AN27" s="1685">
        <f>AA27+AB27+AC27+AD27+AE27+AF27+AG27+AH27+AI27+AJ27+AK27+AL27</f>
        <v>5661.3594570108025</v>
      </c>
      <c r="AO27" s="1796">
        <f>AN27/AM27</f>
        <v>2.8030034986173278</v>
      </c>
      <c r="AP27" s="3494"/>
    </row>
    <row r="28" spans="1:47" ht="21" customHeight="1">
      <c r="A28" s="7184"/>
      <c r="B28" s="7210" t="s">
        <v>790</v>
      </c>
      <c r="C28" s="1555" t="s">
        <v>740</v>
      </c>
      <c r="D28" s="1565"/>
      <c r="E28" s="1566"/>
      <c r="F28" s="1566"/>
      <c r="G28" s="1567">
        <v>11</v>
      </c>
      <c r="H28" s="1567">
        <v>11</v>
      </c>
      <c r="I28" s="1522">
        <v>15</v>
      </c>
      <c r="J28" s="1522">
        <v>2</v>
      </c>
      <c r="K28" s="1522">
        <v>2</v>
      </c>
      <c r="L28" s="2280">
        <f>년간!D49</f>
        <v>3</v>
      </c>
      <c r="M28" s="6025">
        <f t="shared" si="7"/>
        <v>0.25</v>
      </c>
      <c r="N28" s="2286">
        <f>년간!F49</f>
        <v>1</v>
      </c>
      <c r="O28" s="1681">
        <v>0</v>
      </c>
      <c r="P28" s="2273">
        <f>년간!H49</f>
        <v>1</v>
      </c>
      <c r="Q28" s="5397">
        <f>년간!I49</f>
        <v>0</v>
      </c>
      <c r="R28" s="5397">
        <f>년간!J49</f>
        <v>1</v>
      </c>
      <c r="S28" s="5397">
        <f>년간!K49</f>
        <v>0</v>
      </c>
      <c r="T28" s="5397">
        <f>년간!L49</f>
        <v>0</v>
      </c>
      <c r="U28" s="5397">
        <f>년간!M49</f>
        <v>0</v>
      </c>
      <c r="V28" s="5397">
        <f>년간!N49</f>
        <v>2</v>
      </c>
      <c r="W28" s="5397">
        <f>년간!O49</f>
        <v>0</v>
      </c>
      <c r="X28" s="5553">
        <f>년간!P49</f>
        <v>0</v>
      </c>
      <c r="Y28" s="5407">
        <f>년간!Q49</f>
        <v>0</v>
      </c>
      <c r="Z28" s="6934">
        <f t="shared" si="2"/>
        <v>5</v>
      </c>
      <c r="AA28" s="5117"/>
      <c r="AB28" s="1595"/>
      <c r="AC28" s="1595"/>
      <c r="AD28" s="1595"/>
      <c r="AE28" s="1595"/>
      <c r="AF28" s="1595"/>
      <c r="AG28" s="1595"/>
      <c r="AH28" s="1595"/>
      <c r="AI28" s="1595"/>
      <c r="AJ28" s="1595"/>
      <c r="AK28" s="1595"/>
      <c r="AL28" s="1595"/>
      <c r="AM28" s="1623"/>
      <c r="AN28" s="1623"/>
      <c r="AO28" s="1596"/>
      <c r="AP28" s="3284"/>
    </row>
    <row r="29" spans="1:47" ht="21" customHeight="1" thickBot="1">
      <c r="A29" s="7184"/>
      <c r="B29" s="7213"/>
      <c r="C29" s="5998" t="s">
        <v>791</v>
      </c>
      <c r="D29" s="5999"/>
      <c r="E29" s="6000"/>
      <c r="F29" s="6000"/>
      <c r="G29" s="6000">
        <v>14.6</v>
      </c>
      <c r="H29" s="6000">
        <v>12.583333333333334</v>
      </c>
      <c r="I29" s="6001">
        <v>16</v>
      </c>
      <c r="J29" s="6001">
        <v>0.6333333333333333</v>
      </c>
      <c r="K29" s="6001">
        <v>1.1833333333333333</v>
      </c>
      <c r="L29" s="3651">
        <f>년간!D59/60</f>
        <v>1.1224242424242499</v>
      </c>
      <c r="M29" s="3660">
        <f t="shared" si="7"/>
        <v>9.3535353535354152E-2</v>
      </c>
      <c r="N29" s="4153">
        <f>년간!F59/60</f>
        <v>0.16666666666666666</v>
      </c>
      <c r="O29" s="4155">
        <f>년간!G59/60</f>
        <v>0</v>
      </c>
      <c r="P29" s="4155">
        <f>년간!H59/60</f>
        <v>8.3333333333333329E-2</v>
      </c>
      <c r="Q29" s="4155">
        <f>년간!I59/60</f>
        <v>0</v>
      </c>
      <c r="R29" s="4155">
        <f>년간!J59/60</f>
        <v>2.2166666666666668</v>
      </c>
      <c r="S29" s="4155">
        <f>년간!K59/60</f>
        <v>0</v>
      </c>
      <c r="T29" s="4155">
        <f>년간!L59/60</f>
        <v>0</v>
      </c>
      <c r="U29" s="4155">
        <f>년간!M59/60</f>
        <v>0</v>
      </c>
      <c r="V29" s="4155">
        <f>년간!N59/60</f>
        <v>6.833333333333333</v>
      </c>
      <c r="W29" s="4155">
        <f>년간!O59/60</f>
        <v>0</v>
      </c>
      <c r="X29" s="5495">
        <f>년간!P59/60</f>
        <v>0</v>
      </c>
      <c r="Y29" s="5339">
        <f>년간!Q59/60</f>
        <v>0</v>
      </c>
      <c r="Z29" s="6931">
        <f t="shared" si="2"/>
        <v>9.3000000000000007</v>
      </c>
      <c r="AA29" s="5115">
        <f>년간!F186/1000</f>
        <v>-62.475388798938205</v>
      </c>
      <c r="AB29" s="4756">
        <f>년간!G186/1000</f>
        <v>102.19879001865229</v>
      </c>
      <c r="AC29" s="4756">
        <f>년간!H186/1000</f>
        <v>5.4195279811098693</v>
      </c>
      <c r="AD29" s="4756">
        <f>년간!I186/1000</f>
        <v>94.966322744755544</v>
      </c>
      <c r="AE29" s="4756">
        <f>년간!J186/1000</f>
        <v>-2088.849002448525</v>
      </c>
      <c r="AF29" s="4756">
        <f>년간!K186/1000</f>
        <v>109.43125729254903</v>
      </c>
      <c r="AG29" s="4756">
        <f>년간!L186/1000</f>
        <v>104.53064306110191</v>
      </c>
      <c r="AH29" s="4756">
        <f>년간!M186/1000</f>
        <v>90.346613887072323</v>
      </c>
      <c r="AI29" s="4756">
        <f>년간!N186/1000</f>
        <v>-6469.7700569852805</v>
      </c>
      <c r="AJ29" s="4756">
        <f>년간!O186/1000</f>
        <v>103.33256471998847</v>
      </c>
      <c r="AK29" s="4756">
        <f>년간!P186/1000</f>
        <v>107.67475260600133</v>
      </c>
      <c r="AL29" s="4756">
        <f>년간!Q186/1000</f>
        <v>107.89812314417505</v>
      </c>
      <c r="AM29" s="3507">
        <f>년간!E186/1000</f>
        <v>58.514405749291079</v>
      </c>
      <c r="AN29" s="3507">
        <f>AA29+AB29+AC29+AD29+AE29+AF29+AG29+AH29+AI29+AJ29+AK29</f>
        <v>-7903.1939759215129</v>
      </c>
      <c r="AO29" s="3452">
        <f>AN29/AM29</f>
        <v>-135.06407310677102</v>
      </c>
      <c r="AP29" s="3494"/>
    </row>
    <row r="30" spans="1:47" ht="21" customHeight="1">
      <c r="A30" s="7183" t="s">
        <v>357</v>
      </c>
      <c r="B30" s="7208" t="s">
        <v>358</v>
      </c>
      <c r="C30" s="1832" t="s">
        <v>359</v>
      </c>
      <c r="D30" s="1833">
        <v>31.24</v>
      </c>
      <c r="E30" s="1834">
        <v>30.9</v>
      </c>
      <c r="F30" s="1834">
        <v>30.99</v>
      </c>
      <c r="G30" s="1834">
        <v>30.161592677579389</v>
      </c>
      <c r="H30" s="1834">
        <v>32.450000000000003</v>
      </c>
      <c r="I30" s="1835">
        <v>33.229999999999997</v>
      </c>
      <c r="J30" s="1835">
        <v>38.068566825581534</v>
      </c>
      <c r="K30" s="1835">
        <v>36.189847966144271</v>
      </c>
      <c r="L30" s="1836">
        <f>36.1898479661443-0.698584420491059</f>
        <v>35.49126354565324</v>
      </c>
      <c r="M30" s="2292">
        <f>L30</f>
        <v>35.49126354565324</v>
      </c>
      <c r="N30" s="4247">
        <v>35.114729636954607</v>
      </c>
      <c r="O30" s="1837">
        <v>34.141379863289046</v>
      </c>
      <c r="P30" s="1837">
        <v>31.489715638325446</v>
      </c>
      <c r="Q30" s="1837">
        <v>35.601408288628896</v>
      </c>
      <c r="R30" s="1837">
        <v>35.390523824409414</v>
      </c>
      <c r="S30" s="1837">
        <v>36.704370727845692</v>
      </c>
      <c r="T30" s="1837">
        <v>34.693069227304896</v>
      </c>
      <c r="U30" s="5905">
        <v>30.280848262240546</v>
      </c>
      <c r="V30" s="5905">
        <f>180800/V5</f>
        <v>44.107942479144484</v>
      </c>
      <c r="W30" s="1837">
        <v>41.098674760833624</v>
      </c>
      <c r="X30" s="6683">
        <v>35.97</v>
      </c>
      <c r="Y30" s="5408">
        <v>40.82</v>
      </c>
      <c r="Z30" s="1672">
        <f>AVERAGE(N30:Y30)</f>
        <v>36.284388559081385</v>
      </c>
      <c r="AA30" s="7431">
        <f>($K$30-N30)*N5/1000*5079</f>
        <v>28104.289790943945</v>
      </c>
      <c r="AB30" s="7498">
        <f t="shared" ref="AB30:AL30" si="8">($K$30-O30)*O5/1000*5079</f>
        <v>54835.591487023856</v>
      </c>
      <c r="AC30" s="7498">
        <f t="shared" si="8"/>
        <v>100567.93952124426</v>
      </c>
      <c r="AD30" s="7498">
        <f t="shared" si="8"/>
        <v>13609.312436218701</v>
      </c>
      <c r="AE30" s="7487">
        <f t="shared" si="8"/>
        <v>16363.866510775244</v>
      </c>
      <c r="AF30" s="7487">
        <f t="shared" si="8"/>
        <v>-13732.582585167118</v>
      </c>
      <c r="AG30" s="7487">
        <f t="shared" si="8"/>
        <v>37811.215939835725</v>
      </c>
      <c r="AH30" s="7487">
        <f t="shared" si="8"/>
        <v>138577.72963979674</v>
      </c>
      <c r="AI30" s="7487">
        <f t="shared" si="8"/>
        <v>-164846.79988730472</v>
      </c>
      <c r="AJ30" s="7487">
        <f t="shared" si="8"/>
        <v>-110395.59992137134</v>
      </c>
      <c r="AK30" s="7487">
        <f t="shared" si="8"/>
        <v>5426.7028393490373</v>
      </c>
      <c r="AL30" s="7487">
        <f t="shared" si="8"/>
        <v>-109699.26046478056</v>
      </c>
      <c r="AM30" s="7489">
        <f>(K30-L30)*5298*L5/1000</f>
        <v>197283.44824632601</v>
      </c>
      <c r="AN30" s="7487">
        <f>AA30+AB30+AC30+AD30+AE30+AF30+AG30+AH30+AI30+AJ30+AK30</f>
        <v>106321.66577134436</v>
      </c>
      <c r="AO30" s="7435">
        <f>AN30/AM30</f>
        <v>0.53892846417907425</v>
      </c>
      <c r="AP30" s="1839" t="s">
        <v>1535</v>
      </c>
      <c r="AR30" s="355"/>
    </row>
    <row r="31" spans="1:47" ht="21" customHeight="1" thickBot="1">
      <c r="A31" s="7212"/>
      <c r="B31" s="7211"/>
      <c r="C31" s="1840" t="s">
        <v>361</v>
      </c>
      <c r="D31" s="1841">
        <v>185112.01969583478</v>
      </c>
      <c r="E31" s="1842">
        <v>177449.52651247222</v>
      </c>
      <c r="F31" s="1842">
        <v>194368.63878239974</v>
      </c>
      <c r="G31" s="1842">
        <v>173621.66434030529</v>
      </c>
      <c r="H31" s="1842">
        <v>154868.23472527691</v>
      </c>
      <c r="I31" s="1843">
        <v>165622</v>
      </c>
      <c r="J31" s="1843">
        <v>183257.3725413197</v>
      </c>
      <c r="K31" s="1843">
        <v>186461.59201844776</v>
      </c>
      <c r="L31" s="6004">
        <v>180577</v>
      </c>
      <c r="M31" s="6005">
        <f>L31</f>
        <v>180577</v>
      </c>
      <c r="N31" s="2225">
        <v>183114.63102881776</v>
      </c>
      <c r="O31" s="2428">
        <v>165204.60961302521</v>
      </c>
      <c r="P31" s="2428">
        <v>169535.9195443225</v>
      </c>
      <c r="Q31" s="2428">
        <v>190636.05990145844</v>
      </c>
      <c r="R31" s="2428">
        <v>183037.73004460719</v>
      </c>
      <c r="S31" s="2428">
        <v>186828.25368794435</v>
      </c>
      <c r="T31" s="2428">
        <v>202361.46295760147</v>
      </c>
      <c r="U31" s="2339">
        <v>168891.0630132714</v>
      </c>
      <c r="V31" s="2339">
        <f>981115500/V5</f>
        <v>239352.79889047056</v>
      </c>
      <c r="W31" s="2428">
        <v>225216.60478603755</v>
      </c>
      <c r="X31" s="5478">
        <v>174820</v>
      </c>
      <c r="Y31" s="5320">
        <v>223585</v>
      </c>
      <c r="Z31" s="2227">
        <f>AVERAGE(N31:Y31)</f>
        <v>192715.3444556297</v>
      </c>
      <c r="AA31" s="7497"/>
      <c r="AB31" s="7499"/>
      <c r="AC31" s="7499"/>
      <c r="AD31" s="7499"/>
      <c r="AE31" s="7488"/>
      <c r="AF31" s="7488"/>
      <c r="AG31" s="7488"/>
      <c r="AH31" s="7488"/>
      <c r="AI31" s="7488"/>
      <c r="AJ31" s="7488"/>
      <c r="AK31" s="7488"/>
      <c r="AL31" s="7488"/>
      <c r="AM31" s="7490"/>
      <c r="AN31" s="7488">
        <f>AA31+AB31+AC31+AD31+AE31+AF31+AG31+AH31</f>
        <v>0</v>
      </c>
      <c r="AO31" s="7501"/>
      <c r="AP31" s="1846" t="s">
        <v>366</v>
      </c>
      <c r="AQ31" s="784"/>
    </row>
    <row r="32" spans="1:47" ht="21" hidden="1" customHeight="1">
      <c r="A32" s="7180" t="s">
        <v>1020</v>
      </c>
      <c r="B32" s="1782" t="s">
        <v>1026</v>
      </c>
      <c r="C32" s="6002" t="s">
        <v>1027</v>
      </c>
      <c r="D32" s="1867"/>
      <c r="E32" s="804"/>
      <c r="F32" s="1541"/>
      <c r="G32" s="6003">
        <v>320.82721894441102</v>
      </c>
      <c r="H32" s="804"/>
      <c r="I32" s="1541"/>
      <c r="J32" s="1541">
        <v>34140</v>
      </c>
      <c r="K32" s="1541"/>
      <c r="L32" s="1829"/>
      <c r="M32" s="2283">
        <f>L32/12</f>
        <v>0</v>
      </c>
      <c r="N32" s="1674"/>
      <c r="O32" s="1282"/>
      <c r="P32" s="1282"/>
      <c r="Q32" s="1282"/>
      <c r="R32" s="1282"/>
      <c r="S32" s="1282"/>
      <c r="T32" s="1282"/>
      <c r="U32" s="1282"/>
      <c r="V32" s="1282"/>
      <c r="W32" s="1282"/>
      <c r="X32" s="5538"/>
      <c r="Y32" s="5388"/>
      <c r="Z32" s="1674"/>
      <c r="AA32" s="5113"/>
      <c r="AB32" s="922"/>
      <c r="AC32" s="922"/>
      <c r="AD32" s="922"/>
      <c r="AE32" s="922"/>
      <c r="AF32" s="922"/>
      <c r="AG32" s="922"/>
      <c r="AH32" s="922"/>
      <c r="AI32" s="922"/>
      <c r="AJ32" s="922"/>
      <c r="AK32" s="922"/>
      <c r="AL32" s="922"/>
      <c r="AM32" s="1118"/>
      <c r="AN32" s="829"/>
      <c r="AO32" s="1830"/>
      <c r="AP32" s="1831" t="s">
        <v>1028</v>
      </c>
      <c r="AR32" s="1722"/>
    </row>
    <row r="33" spans="1:46" ht="21" hidden="1" customHeight="1">
      <c r="A33" s="7184"/>
      <c r="B33" s="1822" t="s">
        <v>1021</v>
      </c>
      <c r="C33" s="1872" t="s">
        <v>801</v>
      </c>
      <c r="D33" s="1868"/>
      <c r="E33" s="1571"/>
      <c r="F33" s="1529"/>
      <c r="G33" s="1862">
        <v>6228750</v>
      </c>
      <c r="H33" s="1571"/>
      <c r="I33" s="1529"/>
      <c r="J33" s="2748">
        <v>390300</v>
      </c>
      <c r="K33" s="1529"/>
      <c r="L33" s="2199"/>
      <c r="M33" s="1524">
        <v>290000</v>
      </c>
      <c r="N33" s="2194"/>
      <c r="O33" s="1652"/>
      <c r="P33" s="2190"/>
      <c r="Q33" s="3595"/>
      <c r="R33" s="3595"/>
      <c r="S33" s="3595"/>
      <c r="T33" s="3595"/>
      <c r="U33" s="3595"/>
      <c r="V33" s="3595"/>
      <c r="W33" s="3595"/>
      <c r="X33" s="5481"/>
      <c r="Y33" s="5323"/>
      <c r="Z33" s="6935"/>
      <c r="AA33" s="5109"/>
      <c r="AB33" s="1702"/>
      <c r="AC33" s="1702"/>
      <c r="AD33" s="1702"/>
      <c r="AE33" s="1702"/>
      <c r="AF33" s="1702"/>
      <c r="AG33" s="1702"/>
      <c r="AH33" s="1702"/>
      <c r="AI33" s="1702"/>
      <c r="AJ33" s="1702"/>
      <c r="AK33" s="1702"/>
      <c r="AL33" s="1702"/>
      <c r="AM33" s="1865"/>
      <c r="AN33" s="1866"/>
      <c r="AO33" s="1633"/>
      <c r="AP33" s="3756" t="s">
        <v>1029</v>
      </c>
      <c r="AR33" s="1722"/>
    </row>
    <row r="34" spans="1:46" ht="21" hidden="1" customHeight="1">
      <c r="A34" s="7184"/>
      <c r="B34" s="1784" t="s">
        <v>1022</v>
      </c>
      <c r="C34" s="1873" t="s">
        <v>1024</v>
      </c>
      <c r="D34" s="1869"/>
      <c r="E34" s="941"/>
      <c r="F34" s="942"/>
      <c r="G34" s="1863"/>
      <c r="H34" s="941"/>
      <c r="I34" s="942"/>
      <c r="J34" s="942">
        <v>360</v>
      </c>
      <c r="K34" s="942"/>
      <c r="L34" s="2199"/>
      <c r="M34" s="1524">
        <v>160</v>
      </c>
      <c r="N34" s="1505"/>
      <c r="O34" s="1281"/>
      <c r="P34" s="1281"/>
      <c r="Q34" s="1281"/>
      <c r="R34" s="1281"/>
      <c r="S34" s="1281"/>
      <c r="T34" s="1281"/>
      <c r="U34" s="1281"/>
      <c r="V34" s="1281"/>
      <c r="W34" s="1281"/>
      <c r="X34" s="5539"/>
      <c r="Y34" s="5389"/>
      <c r="Z34" s="1505"/>
      <c r="AA34" s="5114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6"/>
      <c r="AN34" s="827"/>
      <c r="AO34" s="828"/>
      <c r="AP34" s="5101" t="s">
        <v>1030</v>
      </c>
      <c r="AR34" s="1722"/>
    </row>
    <row r="35" spans="1:46" ht="21" hidden="1" customHeight="1" thickBot="1">
      <c r="A35" s="7184"/>
      <c r="B35" s="1624" t="s">
        <v>1023</v>
      </c>
      <c r="C35" s="1874" t="s">
        <v>1025</v>
      </c>
      <c r="D35" s="1870"/>
      <c r="E35" s="1847"/>
      <c r="F35" s="1518"/>
      <c r="G35" s="1864"/>
      <c r="H35" s="1847"/>
      <c r="I35" s="1518"/>
      <c r="J35" s="1518">
        <v>170</v>
      </c>
      <c r="K35" s="1518"/>
      <c r="L35" s="1684"/>
      <c r="M35" s="1549">
        <v>120</v>
      </c>
      <c r="N35" s="1675"/>
      <c r="O35" s="1670"/>
      <c r="P35" s="1670"/>
      <c r="Q35" s="3492"/>
      <c r="R35" s="3492"/>
      <c r="S35" s="3492"/>
      <c r="T35" s="3492"/>
      <c r="U35" s="3492"/>
      <c r="V35" s="3492"/>
      <c r="W35" s="3492"/>
      <c r="X35" s="5554"/>
      <c r="Y35" s="5409"/>
      <c r="Z35" s="6936"/>
      <c r="AA35" s="5117"/>
      <c r="AB35" s="1593"/>
      <c r="AC35" s="1593"/>
      <c r="AD35" s="1593"/>
      <c r="AE35" s="1593"/>
      <c r="AF35" s="1593"/>
      <c r="AG35" s="1593"/>
      <c r="AH35" s="1593"/>
      <c r="AI35" s="1593"/>
      <c r="AJ35" s="1593"/>
      <c r="AK35" s="1593"/>
      <c r="AL35" s="1593"/>
      <c r="AM35" s="1848"/>
      <c r="AN35" s="1849"/>
      <c r="AO35" s="1850"/>
      <c r="AP35" s="3494" t="s">
        <v>1031</v>
      </c>
      <c r="AR35" s="1722"/>
    </row>
    <row r="36" spans="1:46" ht="21" customHeight="1">
      <c r="A36" s="7183" t="s">
        <v>367</v>
      </c>
      <c r="B36" s="7208" t="s">
        <v>316</v>
      </c>
      <c r="C36" s="1556" t="s">
        <v>369</v>
      </c>
      <c r="D36" s="1833">
        <v>51.694598180945746</v>
      </c>
      <c r="E36" s="1834">
        <v>46.817755609800976</v>
      </c>
      <c r="F36" s="1834">
        <v>48.587586323475612</v>
      </c>
      <c r="G36" s="1834">
        <v>42.61</v>
      </c>
      <c r="H36" s="1834">
        <v>42.62</v>
      </c>
      <c r="I36" s="1835">
        <v>48.67</v>
      </c>
      <c r="J36" s="1835">
        <v>52.269771847106512</v>
      </c>
      <c r="K36" s="1835">
        <v>61.248628266089717</v>
      </c>
      <c r="L36" s="1836">
        <v>60.71</v>
      </c>
      <c r="M36" s="2292">
        <f t="shared" ref="M36:M41" si="9">L36</f>
        <v>60.71</v>
      </c>
      <c r="N36" s="1838">
        <v>58.191442854894575</v>
      </c>
      <c r="O36" s="1837">
        <v>56.771319352476212</v>
      </c>
      <c r="P36" s="1837">
        <v>67.732361201707945</v>
      </c>
      <c r="Q36" s="1837">
        <v>62.560980855335757</v>
      </c>
      <c r="R36" s="1837">
        <v>58.778670298930237</v>
      </c>
      <c r="S36" s="1837">
        <v>57.711249392034134</v>
      </c>
      <c r="T36" s="1837">
        <v>56.51194483893088</v>
      </c>
      <c r="U36" s="5905">
        <v>49.374302845774942</v>
      </c>
      <c r="V36" s="5905">
        <v>64.418829532739196</v>
      </c>
      <c r="W36" s="1837">
        <v>66.926858525424876</v>
      </c>
      <c r="X36" s="6683">
        <v>67.253001284554259</v>
      </c>
      <c r="Y36" s="5408">
        <v>75.824576639013472</v>
      </c>
      <c r="Z36" s="1672">
        <f t="shared" ref="Z36:Z41" si="10">AVERAGE(N36:Y36)</f>
        <v>61.837961468484707</v>
      </c>
      <c r="AA36" s="7431">
        <f>($K$36-N36)*604.35*N5/1000</f>
        <v>9509.2976408569048</v>
      </c>
      <c r="AB36" s="7409">
        <f t="shared" ref="AB36:AK36" si="11">($K$36-O36)*588*O5/1000</f>
        <v>13875.527404275237</v>
      </c>
      <c r="AC36" s="7409">
        <f>($K$36-P36)*588*P5/1000</f>
        <v>-16061.041275109274</v>
      </c>
      <c r="AD36" s="7409">
        <f t="shared" si="11"/>
        <v>-3513.8553651896391</v>
      </c>
      <c r="AE36" s="7409">
        <f t="shared" si="11"/>
        <v>5853.9859254104613</v>
      </c>
      <c r="AF36" s="7409">
        <f t="shared" si="11"/>
        <v>10930.205278948193</v>
      </c>
      <c r="AG36" s="7409">
        <f t="shared" si="11"/>
        <v>13852.766418847337</v>
      </c>
      <c r="AH36" s="7409">
        <f t="shared" si="11"/>
        <v>32239.443279241623</v>
      </c>
      <c r="AI36" s="7409">
        <f t="shared" si="11"/>
        <v>-7640.9223780358398</v>
      </c>
      <c r="AJ36" s="7409">
        <f t="shared" si="11"/>
        <v>-14783.803054014519</v>
      </c>
      <c r="AK36" s="7409">
        <f t="shared" si="11"/>
        <v>-17158.541381692401</v>
      </c>
      <c r="AL36" s="7409">
        <f>($K$36-Y36)*604.35*Y5/1000</f>
        <v>-41091.839508046432</v>
      </c>
      <c r="AM36" s="7495">
        <f>(K36-L36)*604.35*L5/1000</f>
        <v>17351.517686153813</v>
      </c>
      <c r="AN36" s="7409">
        <f>SUM(AA36:AL37)</f>
        <v>-13988.777014508345</v>
      </c>
      <c r="AO36" s="7435">
        <f>AN36/AM36</f>
        <v>-0.80619904653476671</v>
      </c>
      <c r="AP36" s="1839" t="s">
        <v>1330</v>
      </c>
      <c r="AR36" s="1721"/>
    </row>
    <row r="37" spans="1:46" ht="21" customHeight="1">
      <c r="A37" s="7184"/>
      <c r="B37" s="7209"/>
      <c r="C37" s="1557" t="s">
        <v>361</v>
      </c>
      <c r="D37" s="817">
        <v>42863.387717400583</v>
      </c>
      <c r="E37" s="356">
        <v>40798.139328406724</v>
      </c>
      <c r="F37" s="356">
        <v>44975.29600802598</v>
      </c>
      <c r="G37" s="356">
        <v>31016</v>
      </c>
      <c r="H37" s="356">
        <v>24041.939334962179</v>
      </c>
      <c r="I37" s="512">
        <v>28585</v>
      </c>
      <c r="J37" s="512">
        <v>29923.237649555773</v>
      </c>
      <c r="K37" s="512">
        <v>36834.458899727215</v>
      </c>
      <c r="L37" s="2125">
        <v>37866.499173770106</v>
      </c>
      <c r="M37" s="2282">
        <f t="shared" si="9"/>
        <v>37866.499173770106</v>
      </c>
      <c r="N37" s="2127">
        <v>36973.307728673695</v>
      </c>
      <c r="O37" s="1656">
        <v>36379.958727733341</v>
      </c>
      <c r="P37" s="2126">
        <v>43040.58045926677</v>
      </c>
      <c r="Q37" s="3592">
        <v>38519.509667447826</v>
      </c>
      <c r="R37" s="3592">
        <v>36420.077318464879</v>
      </c>
      <c r="S37" s="3592">
        <v>35106.220319879729</v>
      </c>
      <c r="T37" s="3592">
        <v>28950.592539117202</v>
      </c>
      <c r="U37" s="3595">
        <v>26075.477459071357</v>
      </c>
      <c r="V37" s="3595">
        <v>30998.437700973558</v>
      </c>
      <c r="W37" s="3592">
        <v>29668.827200037373</v>
      </c>
      <c r="X37" s="5476">
        <v>29589.85030149488</v>
      </c>
      <c r="Y37" s="5319">
        <v>38239.176588923692</v>
      </c>
      <c r="Z37" s="6934">
        <f t="shared" si="10"/>
        <v>34163.501334257024</v>
      </c>
      <c r="AA37" s="7432"/>
      <c r="AB37" s="7410"/>
      <c r="AC37" s="7410"/>
      <c r="AD37" s="7410"/>
      <c r="AE37" s="7410"/>
      <c r="AF37" s="7410"/>
      <c r="AG37" s="7410"/>
      <c r="AH37" s="7410"/>
      <c r="AI37" s="7410"/>
      <c r="AJ37" s="7410"/>
      <c r="AK37" s="7410"/>
      <c r="AL37" s="7410"/>
      <c r="AM37" s="7496"/>
      <c r="AN37" s="7410"/>
      <c r="AO37" s="7436"/>
      <c r="AP37" s="349" t="s">
        <v>368</v>
      </c>
    </row>
    <row r="38" spans="1:46" ht="21" customHeight="1">
      <c r="A38" s="7184"/>
      <c r="B38" s="7210" t="s">
        <v>318</v>
      </c>
      <c r="C38" s="1556" t="s">
        <v>1132</v>
      </c>
      <c r="D38" s="1568">
        <v>102.68338550484059</v>
      </c>
      <c r="E38" s="1569">
        <v>100.61778904973957</v>
      </c>
      <c r="F38" s="1569">
        <v>127.9226131142583</v>
      </c>
      <c r="G38" s="1569">
        <v>127.69</v>
      </c>
      <c r="H38" s="1569">
        <v>114.7</v>
      </c>
      <c r="I38" s="1570">
        <v>144.24</v>
      </c>
      <c r="J38" s="1570">
        <v>126.50420240387075</v>
      </c>
      <c r="K38" s="1570">
        <v>130.19365474477331</v>
      </c>
      <c r="L38" s="2293">
        <v>130</v>
      </c>
      <c r="M38" s="2294">
        <f t="shared" si="9"/>
        <v>130</v>
      </c>
      <c r="N38" s="2229">
        <v>113.92732245798852</v>
      </c>
      <c r="O38" s="1642">
        <v>106.17750742808138</v>
      </c>
      <c r="P38" s="2189">
        <v>132.57977347154056</v>
      </c>
      <c r="Q38" s="5122">
        <v>126.94010820421239</v>
      </c>
      <c r="R38" s="5122">
        <v>137.60971930712475</v>
      </c>
      <c r="S38" s="5122">
        <v>113.0160838522082</v>
      </c>
      <c r="T38" s="5122">
        <v>122.16150357073923</v>
      </c>
      <c r="U38" s="5906">
        <v>116.3436882774871</v>
      </c>
      <c r="V38" s="5906">
        <v>141.42895218021533</v>
      </c>
      <c r="W38" s="5122">
        <v>134.54320408412491</v>
      </c>
      <c r="X38" s="5533">
        <v>112.54000265432336</v>
      </c>
      <c r="Y38" s="5384">
        <v>121.62397074239458</v>
      </c>
      <c r="Z38" s="5375">
        <f t="shared" si="10"/>
        <v>123.24098635253669</v>
      </c>
      <c r="AA38" s="7429">
        <f>($K$38-N38)*101.42*N5/1000</f>
        <v>8490.8541724759471</v>
      </c>
      <c r="AB38" s="7411">
        <f t="shared" ref="AB38:AK38" si="12">($K$38-O38)*105*O5/1000</f>
        <v>13290.696833244336</v>
      </c>
      <c r="AC38" s="7411">
        <f>($K$38-P38)*105*P5/1000</f>
        <v>-1055.4863042429977</v>
      </c>
      <c r="AD38" s="7411">
        <f t="shared" si="12"/>
        <v>1555.615799813952</v>
      </c>
      <c r="AE38" s="7411">
        <f t="shared" si="12"/>
        <v>-3138.6839477755057</v>
      </c>
      <c r="AF38" s="7411">
        <f t="shared" si="12"/>
        <v>9478.0820334473683</v>
      </c>
      <c r="AG38" s="7411">
        <f t="shared" si="12"/>
        <v>4194.7491834531957</v>
      </c>
      <c r="AH38" s="7411">
        <f t="shared" si="12"/>
        <v>6714.8958622941345</v>
      </c>
      <c r="AI38" s="7411">
        <f t="shared" si="12"/>
        <v>-4835.6571294451442</v>
      </c>
      <c r="AJ38" s="7411">
        <f t="shared" si="12"/>
        <v>-2022.2246655164558</v>
      </c>
      <c r="AK38" s="7411">
        <f t="shared" si="12"/>
        <v>9008.6401254219145</v>
      </c>
      <c r="AL38" s="7411">
        <f>($K$38-Y38)*101.42*Y5/1000</f>
        <v>4054.3258432557882</v>
      </c>
      <c r="AM38" s="7492">
        <f>(K38-L38)*101.42*L5/1000</f>
        <v>1046.9153045115249</v>
      </c>
      <c r="AN38" s="7411">
        <f>SUM(AA38:AL39)</f>
        <v>45735.807806426536</v>
      </c>
      <c r="AO38" s="7500">
        <f>AN38/AM38</f>
        <v>43.686253901662255</v>
      </c>
      <c r="AP38" s="3754" t="s">
        <v>1332</v>
      </c>
      <c r="AQ38" s="1536"/>
    </row>
    <row r="39" spans="1:46" ht="21" customHeight="1" thickBot="1">
      <c r="A39" s="7212"/>
      <c r="B39" s="7211"/>
      <c r="C39" s="1840" t="s">
        <v>361</v>
      </c>
      <c r="D39" s="1841">
        <v>9544.6979968486376</v>
      </c>
      <c r="E39" s="1842">
        <v>10018.896778078888</v>
      </c>
      <c r="F39" s="1842">
        <v>13521.012391757335</v>
      </c>
      <c r="G39" s="1842">
        <v>13492</v>
      </c>
      <c r="H39" s="1842">
        <v>11769.210472813063</v>
      </c>
      <c r="I39" s="1843">
        <v>14902</v>
      </c>
      <c r="J39" s="1843">
        <v>12908.216260061105</v>
      </c>
      <c r="K39" s="1843">
        <v>12693.555344146525</v>
      </c>
      <c r="L39" s="1844">
        <v>12707</v>
      </c>
      <c r="M39" s="2295">
        <f t="shared" si="9"/>
        <v>12707</v>
      </c>
      <c r="N39" s="2221">
        <v>13848.079306467687</v>
      </c>
      <c r="O39" s="1845">
        <v>11901.332200263952</v>
      </c>
      <c r="P39" s="1845">
        <v>11813.784390583134</v>
      </c>
      <c r="Q39" s="2428">
        <v>11299.950280740914</v>
      </c>
      <c r="R39" s="2428">
        <v>12235.428311326517</v>
      </c>
      <c r="S39" s="2428">
        <v>13175.207223119258</v>
      </c>
      <c r="T39" s="2428">
        <v>14397.637410538266</v>
      </c>
      <c r="U39" s="2339">
        <v>13510.890411662016</v>
      </c>
      <c r="V39" s="2339">
        <v>13159.336178729945</v>
      </c>
      <c r="W39" s="2428">
        <v>11969.583570067505</v>
      </c>
      <c r="X39" s="5478">
        <v>16229.61787489593</v>
      </c>
      <c r="Y39" s="5320">
        <v>18212.406110263189</v>
      </c>
      <c r="Z39" s="2227">
        <f t="shared" si="10"/>
        <v>13479.437772388193</v>
      </c>
      <c r="AA39" s="7497"/>
      <c r="AB39" s="7494"/>
      <c r="AC39" s="7494"/>
      <c r="AD39" s="7494"/>
      <c r="AE39" s="7494"/>
      <c r="AF39" s="7494"/>
      <c r="AG39" s="7494"/>
      <c r="AH39" s="7494"/>
      <c r="AI39" s="7494"/>
      <c r="AJ39" s="7494"/>
      <c r="AK39" s="7494"/>
      <c r="AL39" s="7494"/>
      <c r="AM39" s="7493"/>
      <c r="AN39" s="7494"/>
      <c r="AO39" s="7501"/>
      <c r="AP39" s="1846" t="s">
        <v>368</v>
      </c>
    </row>
    <row r="40" spans="1:46" ht="21" customHeight="1">
      <c r="A40" s="7183" t="s">
        <v>758</v>
      </c>
      <c r="B40" s="5988" t="s">
        <v>1008</v>
      </c>
      <c r="C40" s="6009" t="s">
        <v>277</v>
      </c>
      <c r="D40" s="6010"/>
      <c r="E40" s="6011"/>
      <c r="F40" s="6011">
        <v>8192</v>
      </c>
      <c r="G40" s="6011">
        <v>7346</v>
      </c>
      <c r="H40" s="6011">
        <v>6657</v>
      </c>
      <c r="I40" s="6012">
        <v>7480</v>
      </c>
      <c r="J40" s="6012">
        <v>8363.5777780167318</v>
      </c>
      <c r="K40" s="6012">
        <v>5824.2439762880649</v>
      </c>
      <c r="L40" s="6013">
        <v>5812.5954883354889</v>
      </c>
      <c r="M40" s="6014">
        <f t="shared" si="9"/>
        <v>5812.5954883354889</v>
      </c>
      <c r="N40" s="5904">
        <v>5176.0216522467308</v>
      </c>
      <c r="O40" s="2768">
        <f>15105000/O5</f>
        <v>2865.9302462366286</v>
      </c>
      <c r="P40" s="2768">
        <v>2371.3422224247797</v>
      </c>
      <c r="Q40" s="2768">
        <v>5171.7186268834494</v>
      </c>
      <c r="R40" s="2768">
        <v>4956.9061760371542</v>
      </c>
      <c r="S40" s="2768">
        <v>4118.9657009758403</v>
      </c>
      <c r="T40" s="2768">
        <f>18675000/T5</f>
        <v>3754.7046902142442</v>
      </c>
      <c r="U40" s="2768">
        <v>3657.8710281021513</v>
      </c>
      <c r="V40" s="2768">
        <f>16650000/V5</f>
        <v>4061.9316497663476</v>
      </c>
      <c r="W40" s="2768">
        <v>3384.2380552318491</v>
      </c>
      <c r="X40" s="6104">
        <v>7194.4592478585346</v>
      </c>
      <c r="Y40" s="6093">
        <v>2422.4131093280052</v>
      </c>
      <c r="Z40" s="1819">
        <f t="shared" si="10"/>
        <v>4094.7085337754766</v>
      </c>
      <c r="AA40" s="5126"/>
      <c r="AB40" s="1012"/>
      <c r="AC40" s="1012"/>
      <c r="AD40" s="1012"/>
      <c r="AE40" s="1012"/>
      <c r="AF40" s="1012"/>
      <c r="AG40" s="1012"/>
      <c r="AH40" s="1012"/>
      <c r="AI40" s="1012"/>
      <c r="AJ40" s="1012"/>
      <c r="AK40" s="1012"/>
      <c r="AL40" s="1012"/>
      <c r="AM40" s="6015"/>
      <c r="AN40" s="1012"/>
      <c r="AO40" s="1114"/>
      <c r="AP40" s="3214" t="s">
        <v>759</v>
      </c>
    </row>
    <row r="41" spans="1:46" ht="21" customHeight="1" thickBot="1">
      <c r="A41" s="7212"/>
      <c r="B41" s="2456" t="s">
        <v>781</v>
      </c>
      <c r="C41" s="2515" t="s">
        <v>280</v>
      </c>
      <c r="D41" s="1857">
        <v>2057</v>
      </c>
      <c r="E41" s="1858">
        <v>3249</v>
      </c>
      <c r="F41" s="1858">
        <v>4436</v>
      </c>
      <c r="G41" s="1858"/>
      <c r="H41" s="1858">
        <v>15121.883998696972</v>
      </c>
      <c r="I41" s="1530">
        <v>22325</v>
      </c>
      <c r="J41" s="1530">
        <v>16135.219800729554</v>
      </c>
      <c r="K41" s="1530">
        <v>18457.150704298372</v>
      </c>
      <c r="L41" s="6016">
        <v>18401.779252185475</v>
      </c>
      <c r="M41" s="6017">
        <f t="shared" si="9"/>
        <v>18401.779252185475</v>
      </c>
      <c r="N41" s="2225">
        <v>19091.827170616361</v>
      </c>
      <c r="O41" s="2339">
        <f>62625508/O5</f>
        <v>11882.18057352757</v>
      </c>
      <c r="P41" s="2340">
        <v>14366.13215331167</v>
      </c>
      <c r="Q41" s="2340">
        <v>18990.798293750104</v>
      </c>
      <c r="R41" s="2340">
        <v>14986.369748482908</v>
      </c>
      <c r="S41" s="2340">
        <v>14967.443900619604</v>
      </c>
      <c r="T41" s="2340">
        <f>(123599323-46200000)/T5</f>
        <v>15561.531517403331</v>
      </c>
      <c r="U41" s="2339">
        <v>18261.720563775598</v>
      </c>
      <c r="V41" s="2339">
        <f>109913812/V5</f>
        <v>26814.558060616706</v>
      </c>
      <c r="W41" s="2340">
        <v>21224.51331111051</v>
      </c>
      <c r="X41" s="5544">
        <v>29191.047718205184</v>
      </c>
      <c r="Y41" s="5394">
        <v>15668.240663526818</v>
      </c>
      <c r="Z41" s="2227">
        <f t="shared" si="10"/>
        <v>18417.196972912196</v>
      </c>
      <c r="AA41" s="6018">
        <f t="shared" ref="AA41:AL41" si="13">($K$41-N41)*N5/1000</f>
        <v>-3266.5591836100907</v>
      </c>
      <c r="AB41" s="5091">
        <f t="shared" si="13"/>
        <v>34653.643073032741</v>
      </c>
      <c r="AC41" s="5091">
        <f t="shared" si="13"/>
        <v>17234.659315670982</v>
      </c>
      <c r="AD41" s="5091">
        <f t="shared" si="13"/>
        <v>-2430.024067098479</v>
      </c>
      <c r="AE41" s="3286">
        <f t="shared" si="13"/>
        <v>13989.815629843624</v>
      </c>
      <c r="AF41" s="3286">
        <f t="shared" si="13"/>
        <v>18338.269665059779</v>
      </c>
      <c r="AG41" s="3286">
        <f t="shared" si="13"/>
        <v>14402.114887011079</v>
      </c>
      <c r="AH41" s="3286">
        <f t="shared" si="13"/>
        <v>902.38694805547914</v>
      </c>
      <c r="AI41" s="3286">
        <f t="shared" si="13"/>
        <v>-34257.305262806316</v>
      </c>
      <c r="AJ41" s="3286">
        <f t="shared" si="13"/>
        <v>-12253.549539451327</v>
      </c>
      <c r="AK41" s="3286">
        <f t="shared" si="13"/>
        <v>-52166.632148616962</v>
      </c>
      <c r="AL41" s="3286">
        <f t="shared" si="13"/>
        <v>13009.623890889923</v>
      </c>
      <c r="AM41" s="2887">
        <f>(K41-L41)*L5/1000</f>
        <v>2951.5198834258513</v>
      </c>
      <c r="AN41" s="2340">
        <f>SUM(AA41:AL41)</f>
        <v>8156.4432079804374</v>
      </c>
      <c r="AO41" s="3277">
        <f>AN41/AM41</f>
        <v>2.7634722211368579</v>
      </c>
      <c r="AP41" s="3147" t="s">
        <v>799</v>
      </c>
      <c r="AQ41" s="1536"/>
    </row>
    <row r="42" spans="1:46" ht="21" customHeight="1">
      <c r="A42" s="7184" t="s">
        <v>762</v>
      </c>
      <c r="B42" s="5989" t="s">
        <v>764</v>
      </c>
      <c r="C42" s="2516" t="s">
        <v>766</v>
      </c>
      <c r="D42" s="835"/>
      <c r="E42" s="787"/>
      <c r="F42" s="787"/>
      <c r="G42" s="787">
        <v>3</v>
      </c>
      <c r="H42" s="787">
        <v>18</v>
      </c>
      <c r="I42" s="1542">
        <v>14</v>
      </c>
      <c r="J42" s="1542">
        <v>10</v>
      </c>
      <c r="K42" s="1542">
        <v>14</v>
      </c>
      <c r="L42" s="1058">
        <f>'성과개선 실적'!C10</f>
        <v>12</v>
      </c>
      <c r="M42" s="6007">
        <f>L42/12</f>
        <v>1</v>
      </c>
      <c r="N42" s="5424">
        <v>1</v>
      </c>
      <c r="O42" s="6008">
        <v>1</v>
      </c>
      <c r="P42" s="6008">
        <v>1</v>
      </c>
      <c r="Q42" s="6008">
        <v>2</v>
      </c>
      <c r="R42" s="6008">
        <v>1</v>
      </c>
      <c r="S42" s="5099">
        <v>0</v>
      </c>
      <c r="T42" s="1286">
        <v>2</v>
      </c>
      <c r="U42" s="1281">
        <v>1</v>
      </c>
      <c r="V42" s="1286">
        <v>1</v>
      </c>
      <c r="W42" s="1286">
        <v>1</v>
      </c>
      <c r="X42" s="5881">
        <v>1</v>
      </c>
      <c r="Y42" s="5711">
        <v>0</v>
      </c>
      <c r="Z42" s="1532">
        <f>SUM(N42:Y42)</f>
        <v>12</v>
      </c>
      <c r="AA42" s="5113"/>
      <c r="AB42" s="922"/>
      <c r="AC42" s="922"/>
      <c r="AD42" s="922"/>
      <c r="AE42" s="922"/>
      <c r="AF42" s="922"/>
      <c r="AG42" s="922"/>
      <c r="AH42" s="922"/>
      <c r="AI42" s="922"/>
      <c r="AJ42" s="922"/>
      <c r="AK42" s="922"/>
      <c r="AL42" s="922"/>
      <c r="AM42" s="6006"/>
      <c r="AN42" s="6006"/>
      <c r="AO42" s="1830"/>
      <c r="AP42" s="2117"/>
    </row>
    <row r="43" spans="1:46" ht="21" customHeight="1" thickBot="1">
      <c r="A43" s="7212"/>
      <c r="B43" s="1800" t="s">
        <v>763</v>
      </c>
      <c r="C43" s="1801" t="s">
        <v>765</v>
      </c>
      <c r="D43" s="1857"/>
      <c r="E43" s="1858"/>
      <c r="F43" s="1858"/>
      <c r="G43" s="1858">
        <v>175289.47202950891</v>
      </c>
      <c r="H43" s="1858">
        <v>800077.21181289305</v>
      </c>
      <c r="I43" s="1530">
        <v>460819</v>
      </c>
      <c r="J43" s="3067">
        <v>459054</v>
      </c>
      <c r="K43" s="3109">
        <v>-690358.77657165157</v>
      </c>
      <c r="L43" s="2055">
        <f>'성과개선 실적'!I10</f>
        <v>408652.66550099157</v>
      </c>
      <c r="M43" s="1527"/>
      <c r="N43" s="2227"/>
      <c r="O43" s="1859"/>
      <c r="P43" s="1859"/>
      <c r="Q43" s="2340"/>
      <c r="R43" s="3450"/>
      <c r="S43" s="3450"/>
      <c r="T43" s="3450"/>
      <c r="U43" s="3450"/>
      <c r="V43" s="3450"/>
      <c r="W43" s="3450"/>
      <c r="X43" s="5555"/>
      <c r="Y43" s="6019"/>
      <c r="Z43" s="6937"/>
      <c r="AA43" s="5117"/>
      <c r="AB43" s="3476"/>
      <c r="AC43" s="3476"/>
      <c r="AD43" s="3476"/>
      <c r="AE43" s="3476"/>
      <c r="AF43" s="3476"/>
      <c r="AG43" s="3476"/>
      <c r="AH43" s="3476"/>
      <c r="AI43" s="3476"/>
      <c r="AJ43" s="3476"/>
      <c r="AK43" s="3476"/>
      <c r="AL43" s="3476"/>
      <c r="AM43" s="6020"/>
      <c r="AN43" s="6020"/>
      <c r="AO43" s="5094"/>
      <c r="AP43" s="4182"/>
    </row>
    <row r="44" spans="1:46" ht="21" customHeight="1" thickBot="1">
      <c r="A44" s="7485" t="s">
        <v>364</v>
      </c>
      <c r="B44" s="7486"/>
      <c r="C44" s="1559"/>
      <c r="D44" s="836"/>
      <c r="E44" s="381"/>
      <c r="F44" s="381"/>
      <c r="G44" s="381"/>
      <c r="H44" s="381"/>
      <c r="I44" s="1183"/>
      <c r="J44" s="1183"/>
      <c r="K44" s="1183"/>
      <c r="L44" s="1333"/>
      <c r="M44" s="2297">
        <f>AM44/12</f>
        <v>34054.388791749298</v>
      </c>
      <c r="N44" s="2087">
        <f t="shared" ref="N44:T44" si="14">AA44</f>
        <v>118325.54082247159</v>
      </c>
      <c r="O44" s="1413">
        <f t="shared" si="14"/>
        <v>244019.24838543456</v>
      </c>
      <c r="P44" s="2087">
        <f t="shared" si="14"/>
        <v>135593.49393639708</v>
      </c>
      <c r="Q44" s="1287">
        <f t="shared" si="14"/>
        <v>51933.97903606671</v>
      </c>
      <c r="R44" s="1333">
        <f t="shared" si="14"/>
        <v>29422.611619981017</v>
      </c>
      <c r="S44" s="1287">
        <f t="shared" si="14"/>
        <v>102541.60519349939</v>
      </c>
      <c r="T44" s="1287">
        <f t="shared" si="14"/>
        <v>125920.08658804532</v>
      </c>
      <c r="U44" s="1287">
        <f>AH44</f>
        <v>252401.16829103121</v>
      </c>
      <c r="V44" s="1287">
        <f>AI44</f>
        <v>-233331.42244686821</v>
      </c>
      <c r="W44" s="1413">
        <f>AJ44</f>
        <v>-174388.84528073919</v>
      </c>
      <c r="X44" s="5556">
        <f>AK44</f>
        <v>-34596.054084185438</v>
      </c>
      <c r="Y44" s="5410">
        <f>AL44</f>
        <v>-141275.11998242262</v>
      </c>
      <c r="Z44" s="1146">
        <f>AN44</f>
        <v>610808.14549285697</v>
      </c>
      <c r="AA44" s="1413">
        <f>SUM(AA5:AA9)+AA30+SUM(AA36:AA41)</f>
        <v>118325.54082247159</v>
      </c>
      <c r="AB44" s="1413">
        <f t="shared" ref="AB44:AN44" si="15">SUM(AB5:AB9)+AB30+SUM(AB36:AB41)</f>
        <v>244019.24838543456</v>
      </c>
      <c r="AC44" s="1413">
        <f t="shared" si="15"/>
        <v>135593.49393639708</v>
      </c>
      <c r="AD44" s="1413">
        <f>SUM(AD5:AD9)+AD30+SUM(AD36:AD41)</f>
        <v>51933.97903606671</v>
      </c>
      <c r="AE44" s="1413">
        <f t="shared" si="15"/>
        <v>29422.611619981017</v>
      </c>
      <c r="AF44" s="1146">
        <f t="shared" si="15"/>
        <v>102541.60519349939</v>
      </c>
      <c r="AG44" s="1146">
        <f t="shared" si="15"/>
        <v>125920.08658804532</v>
      </c>
      <c r="AH44" s="1146">
        <f t="shared" si="15"/>
        <v>252401.16829103121</v>
      </c>
      <c r="AI44" s="1146">
        <f t="shared" si="15"/>
        <v>-233331.42244686821</v>
      </c>
      <c r="AJ44" s="1146">
        <f t="shared" si="15"/>
        <v>-174388.84528073919</v>
      </c>
      <c r="AK44" s="1146">
        <f t="shared" si="15"/>
        <v>-34596.054084185438</v>
      </c>
      <c r="AL44" s="1146">
        <f t="shared" si="15"/>
        <v>-141275.11998242262</v>
      </c>
      <c r="AM44" s="1146">
        <f t="shared" si="15"/>
        <v>408652.66550099157</v>
      </c>
      <c r="AN44" s="1146">
        <f t="shared" si="15"/>
        <v>610808.14549285697</v>
      </c>
      <c r="AO44" s="376">
        <f>AN44/AM44</f>
        <v>1.4946877802547329</v>
      </c>
      <c r="AP44" s="515"/>
    </row>
    <row r="45" spans="1:46" ht="17.399999999999999"/>
    <row r="46" spans="1:46" ht="24.9" customHeight="1">
      <c r="AP46" s="65"/>
    </row>
    <row r="47" spans="1:46" ht="24.9" customHeight="1">
      <c r="A47" s="1705"/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5"/>
      <c r="R47" s="1705"/>
      <c r="S47" s="1705"/>
      <c r="T47" s="1705"/>
      <c r="U47" s="1705"/>
      <c r="V47" s="1705"/>
      <c r="W47" s="1705"/>
      <c r="X47" s="1705"/>
      <c r="Y47" s="1705"/>
      <c r="Z47" s="1705"/>
      <c r="AA47" s="1705"/>
      <c r="AB47" s="1705"/>
      <c r="AC47" s="1705"/>
      <c r="AD47" s="1705"/>
      <c r="AE47" s="1705"/>
      <c r="AF47" s="1705"/>
      <c r="AG47" s="1705"/>
      <c r="AH47" s="1705"/>
      <c r="AI47" s="1705"/>
      <c r="AJ47" s="1705"/>
      <c r="AK47" s="1705"/>
      <c r="AL47" s="1705"/>
      <c r="AM47" s="1705"/>
      <c r="AN47" s="1705"/>
      <c r="AO47" s="1705"/>
      <c r="AP47" s="1705"/>
      <c r="AQ47" s="1705"/>
      <c r="AR47" s="1705"/>
      <c r="AS47" s="1705"/>
      <c r="AT47" s="1705"/>
    </row>
    <row r="48" spans="1:46" ht="24.9" customHeight="1" thickBot="1">
      <c r="A48" s="1705"/>
      <c r="B48" s="1705"/>
      <c r="C48" s="1705"/>
      <c r="D48" s="1705"/>
      <c r="E48" s="1705"/>
      <c r="F48" s="1705"/>
      <c r="G48" s="1705"/>
      <c r="H48" s="1705"/>
      <c r="I48" s="1705"/>
      <c r="J48" s="1705"/>
      <c r="K48" s="1705"/>
      <c r="L48" s="1705"/>
      <c r="M48" s="1705"/>
      <c r="N48" s="1705"/>
      <c r="O48" s="1705"/>
      <c r="P48" s="1705"/>
      <c r="Q48" s="1705"/>
      <c r="R48" s="1705"/>
      <c r="S48" s="1705"/>
      <c r="T48" s="1705"/>
      <c r="U48" s="1705"/>
      <c r="V48" s="1705"/>
      <c r="W48" s="1705"/>
      <c r="X48" s="1705"/>
      <c r="Y48" s="1705"/>
      <c r="Z48" s="1705"/>
      <c r="AA48" s="1705"/>
      <c r="AB48" s="1705"/>
      <c r="AC48" s="1705"/>
      <c r="AD48" s="1705"/>
      <c r="AE48" s="1705"/>
      <c r="AF48" s="1705"/>
      <c r="AG48" s="1705"/>
      <c r="AH48" s="1705"/>
      <c r="AI48" s="1705"/>
      <c r="AJ48" s="1705"/>
      <c r="AK48" s="1705"/>
      <c r="AL48" s="1705"/>
      <c r="AM48" s="1705"/>
      <c r="AN48" s="1705"/>
      <c r="AO48" s="1705"/>
      <c r="AP48" s="1705"/>
      <c r="AQ48" s="1705"/>
      <c r="AR48" s="1705"/>
      <c r="AS48" s="1705"/>
      <c r="AT48" s="1705"/>
    </row>
    <row r="49" spans="1:46" ht="24.9" customHeight="1">
      <c r="A49" s="1705"/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5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23"/>
      <c r="AF49" s="1724"/>
      <c r="AG49" s="1705"/>
      <c r="AH49" s="1705"/>
      <c r="AI49" s="1705"/>
      <c r="AJ49" s="1705"/>
      <c r="AK49" s="1705"/>
      <c r="AL49" s="1705"/>
      <c r="AM49" s="1705"/>
      <c r="AN49" s="1705"/>
      <c r="AO49" s="1705"/>
      <c r="AP49" s="1705"/>
      <c r="AQ49" s="1705"/>
      <c r="AR49" s="1705"/>
      <c r="AS49" s="1705"/>
      <c r="AT49" s="1705"/>
    </row>
    <row r="50" spans="1:46" ht="24.9" customHeight="1">
      <c r="A50" s="1705"/>
      <c r="B50" s="1705"/>
      <c r="C50" s="1705"/>
      <c r="D50" s="1705"/>
      <c r="E50" s="1705"/>
      <c r="F50" s="1705"/>
      <c r="G50" s="1705"/>
      <c r="H50" s="1705"/>
      <c r="I50" s="1705"/>
      <c r="J50" s="1705"/>
      <c r="K50" s="1705"/>
      <c r="L50" s="1705"/>
      <c r="M50" s="1705"/>
      <c r="N50" s="1705"/>
      <c r="O50" s="1705"/>
      <c r="P50" s="1705"/>
      <c r="Q50" s="1705"/>
      <c r="R50" s="1705"/>
      <c r="S50" s="1705"/>
      <c r="T50" s="1705"/>
      <c r="U50" s="1705"/>
      <c r="V50" s="1705"/>
      <c r="W50" s="1705"/>
      <c r="X50" s="1705"/>
      <c r="Y50" s="1705"/>
      <c r="Z50" s="1705"/>
      <c r="AA50" s="1705"/>
      <c r="AB50" s="1705"/>
      <c r="AC50" s="1705"/>
      <c r="AD50" s="1705"/>
      <c r="AE50" s="1723"/>
      <c r="AF50" s="1725"/>
      <c r="AG50" s="1705"/>
      <c r="AH50" s="1705"/>
      <c r="AI50" s="1705"/>
      <c r="AJ50" s="1705"/>
      <c r="AK50" s="1705"/>
      <c r="AL50" s="1705"/>
      <c r="AM50" s="1705"/>
      <c r="AN50" s="1705"/>
      <c r="AO50" s="1705"/>
      <c r="AP50" s="1705"/>
      <c r="AQ50" s="1705"/>
      <c r="AR50" s="1705"/>
      <c r="AS50" s="1705"/>
      <c r="AT50" s="1705"/>
    </row>
    <row r="51" spans="1:46" ht="24.9" customHeight="1">
      <c r="A51" s="1705"/>
      <c r="B51" s="1705"/>
      <c r="C51" s="1705"/>
      <c r="D51" s="1705"/>
      <c r="E51" s="1705"/>
      <c r="F51" s="1705"/>
      <c r="G51" s="1705"/>
      <c r="H51" s="1705"/>
      <c r="I51" s="1705"/>
      <c r="J51" s="1705"/>
      <c r="K51" s="1705"/>
      <c r="L51" s="1705"/>
      <c r="M51" s="1705"/>
      <c r="N51" s="1705"/>
      <c r="O51" s="1705"/>
      <c r="P51" s="1705"/>
      <c r="Q51" s="1705"/>
      <c r="R51" s="1705"/>
      <c r="S51" s="1705"/>
      <c r="T51" s="1705"/>
      <c r="U51" s="1705"/>
      <c r="V51" s="1705"/>
      <c r="W51" s="1705"/>
      <c r="X51" s="1705"/>
      <c r="Y51" s="1705"/>
      <c r="Z51" s="1705"/>
      <c r="AA51" s="1705"/>
      <c r="AB51" s="1705"/>
      <c r="AC51" s="1705"/>
      <c r="AD51" s="1705"/>
      <c r="AE51" s="1705"/>
      <c r="AF51" s="1705"/>
      <c r="AG51" s="1705"/>
      <c r="AH51" s="1705"/>
      <c r="AI51" s="1705"/>
      <c r="AJ51" s="1705"/>
      <c r="AK51" s="1705"/>
      <c r="AL51" s="1705"/>
      <c r="AM51" s="1705"/>
      <c r="AN51" s="1705"/>
      <c r="AO51" s="1705"/>
      <c r="AP51" s="1706"/>
      <c r="AQ51" s="1705"/>
      <c r="AR51" s="1707"/>
      <c r="AS51" s="1705"/>
      <c r="AT51" s="1705"/>
    </row>
    <row r="52" spans="1:46" ht="24.9" customHeight="1">
      <c r="A52" s="1705"/>
      <c r="B52" s="1705"/>
      <c r="C52" s="1705"/>
      <c r="D52" s="1705"/>
      <c r="E52" s="1705"/>
      <c r="F52" s="1705"/>
      <c r="G52" s="1705"/>
      <c r="H52" s="1705"/>
      <c r="I52" s="1705"/>
      <c r="J52" s="1705"/>
      <c r="K52" s="1705"/>
      <c r="L52" s="1705"/>
      <c r="M52" s="1705"/>
      <c r="N52" s="1705"/>
      <c r="O52" s="1705"/>
      <c r="P52" s="1705"/>
      <c r="Q52" s="1705"/>
      <c r="R52" s="1705"/>
      <c r="S52" s="1705"/>
      <c r="T52" s="1705"/>
      <c r="U52" s="1705"/>
      <c r="V52" s="1705"/>
      <c r="W52" s="1705"/>
      <c r="X52" s="1705"/>
      <c r="Y52" s="1705"/>
      <c r="Z52" s="1705"/>
      <c r="AA52" s="1705"/>
      <c r="AB52" s="1705"/>
      <c r="AC52" s="1705"/>
      <c r="AD52" s="1705"/>
      <c r="AE52" s="1705"/>
      <c r="AF52" s="1705"/>
      <c r="AG52" s="1705"/>
      <c r="AH52" s="1705"/>
      <c r="AI52" s="1705"/>
      <c r="AJ52" s="1705"/>
      <c r="AK52" s="1705"/>
      <c r="AL52" s="1705"/>
      <c r="AM52" s="1705"/>
      <c r="AN52" s="1705"/>
      <c r="AO52" s="1705"/>
      <c r="AP52" s="1705"/>
      <c r="AQ52" s="1705"/>
      <c r="AR52" s="1709"/>
      <c r="AS52" s="1705"/>
      <c r="AT52" s="1705"/>
    </row>
    <row r="53" spans="1:46" ht="24.9" customHeight="1">
      <c r="A53" s="1705"/>
      <c r="B53" s="1705"/>
      <c r="C53" s="1705"/>
      <c r="D53" s="1705"/>
      <c r="E53" s="1705"/>
      <c r="F53" s="1705"/>
      <c r="G53" s="1705"/>
      <c r="H53" s="1705"/>
      <c r="I53" s="1705"/>
      <c r="J53" s="1705"/>
      <c r="K53" s="1705"/>
      <c r="L53" s="1705"/>
      <c r="M53" s="1705"/>
      <c r="N53" s="1705"/>
      <c r="O53" s="1705"/>
      <c r="P53" s="1705"/>
      <c r="Q53" s="1705"/>
      <c r="R53" s="1705"/>
      <c r="S53" s="1705"/>
      <c r="T53" s="1705"/>
      <c r="U53" s="1705"/>
      <c r="V53" s="1705"/>
      <c r="W53" s="1705"/>
      <c r="X53" s="1705"/>
      <c r="Y53" s="1705"/>
      <c r="Z53" s="1705"/>
      <c r="AA53" s="1705"/>
      <c r="AB53" s="1705"/>
      <c r="AC53" s="1705"/>
      <c r="AD53" s="1705"/>
      <c r="AE53" s="1705"/>
      <c r="AF53" s="1705"/>
      <c r="AG53" s="1705"/>
      <c r="AH53" s="1705"/>
      <c r="AI53" s="1705"/>
      <c r="AJ53" s="1705"/>
      <c r="AK53" s="1705"/>
      <c r="AL53" s="1705"/>
      <c r="AM53" s="1705"/>
      <c r="AN53" s="1705"/>
      <c r="AO53" s="1705"/>
      <c r="AP53" s="1705"/>
      <c r="AQ53" s="1705"/>
      <c r="AR53" s="1705"/>
      <c r="AS53" s="1705"/>
      <c r="AT53" s="1705"/>
    </row>
    <row r="54" spans="1:46" ht="24.9" customHeight="1">
      <c r="A54" s="1705"/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5"/>
      <c r="R54" s="1705"/>
      <c r="S54" s="1705"/>
      <c r="T54" s="1705"/>
      <c r="U54" s="1705"/>
      <c r="V54" s="1705"/>
      <c r="W54" s="1705"/>
      <c r="X54" s="1705"/>
      <c r="Y54" s="1705"/>
      <c r="Z54" s="1705"/>
      <c r="AA54" s="1705"/>
      <c r="AB54" s="1705"/>
      <c r="AC54" s="1705"/>
      <c r="AD54" s="1705"/>
      <c r="AE54" s="1705"/>
      <c r="AF54" s="1705"/>
      <c r="AG54" s="1705"/>
      <c r="AH54" s="1705"/>
      <c r="AI54" s="1705"/>
      <c r="AJ54" s="1705"/>
      <c r="AK54" s="1705"/>
      <c r="AL54" s="1705"/>
      <c r="AM54" s="1705"/>
      <c r="AN54" s="1705"/>
      <c r="AO54" s="1705"/>
      <c r="AP54" s="1706"/>
      <c r="AQ54" s="1705"/>
      <c r="AR54" s="1707"/>
      <c r="AS54" s="1705"/>
      <c r="AT54" s="1705"/>
    </row>
    <row r="55" spans="1:46" ht="24.9" customHeight="1">
      <c r="A55" s="1705"/>
      <c r="B55" s="1705"/>
      <c r="C55" s="1705"/>
      <c r="D55" s="1705"/>
      <c r="E55" s="1705"/>
      <c r="F55" s="1705"/>
      <c r="G55" s="1705"/>
      <c r="H55" s="1705"/>
      <c r="I55" s="1705"/>
      <c r="J55" s="1705"/>
      <c r="K55" s="1705"/>
      <c r="L55" s="1705"/>
      <c r="M55" s="1705"/>
      <c r="N55" s="1705"/>
      <c r="O55" s="1705"/>
      <c r="P55" s="1705"/>
      <c r="Q55" s="1705"/>
      <c r="R55" s="1705"/>
      <c r="S55" s="1705"/>
      <c r="T55" s="1705"/>
      <c r="U55" s="1705"/>
      <c r="V55" s="1705"/>
      <c r="W55" s="1705"/>
      <c r="X55" s="1705"/>
      <c r="Y55" s="1705"/>
      <c r="Z55" s="1705"/>
      <c r="AA55" s="1705"/>
      <c r="AB55" s="1705"/>
      <c r="AC55" s="1705"/>
      <c r="AD55" s="1705"/>
      <c r="AE55" s="1705"/>
      <c r="AF55" s="1705"/>
      <c r="AG55" s="1705"/>
      <c r="AH55" s="1705"/>
      <c r="AI55" s="1705"/>
      <c r="AJ55" s="1705"/>
      <c r="AK55" s="1705"/>
      <c r="AL55" s="1705"/>
      <c r="AM55" s="1705"/>
      <c r="AN55" s="1705"/>
      <c r="AO55" s="1705"/>
      <c r="AP55" s="1705"/>
      <c r="AQ55" s="1705"/>
      <c r="AR55" s="1709"/>
      <c r="AS55" s="1705"/>
      <c r="AT55" s="1705"/>
    </row>
    <row r="56" spans="1:46" ht="24.9" customHeight="1">
      <c r="A56" s="1705"/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5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5"/>
      <c r="AL56" s="1705"/>
      <c r="AM56" s="1705"/>
      <c r="AN56" s="1705"/>
      <c r="AO56" s="1705"/>
      <c r="AP56" s="1705"/>
      <c r="AQ56" s="1705"/>
      <c r="AR56" s="1705"/>
      <c r="AS56" s="1705"/>
      <c r="AT56" s="1705"/>
    </row>
    <row r="57" spans="1:46" ht="24.9" customHeight="1">
      <c r="A57" s="1705"/>
      <c r="B57" s="1705"/>
      <c r="C57" s="1705"/>
      <c r="D57" s="1705"/>
      <c r="E57" s="1705"/>
      <c r="F57" s="1705"/>
      <c r="G57" s="1705"/>
      <c r="H57" s="1705"/>
      <c r="I57" s="1705"/>
      <c r="J57" s="1705"/>
      <c r="K57" s="1705"/>
      <c r="L57" s="1705"/>
      <c r="M57" s="1705"/>
      <c r="N57" s="1705"/>
      <c r="O57" s="1705"/>
      <c r="P57" s="1705"/>
      <c r="Q57" s="1705"/>
      <c r="R57" s="1705"/>
      <c r="S57" s="1705"/>
      <c r="T57" s="1705"/>
      <c r="U57" s="1705"/>
      <c r="V57" s="1705"/>
      <c r="W57" s="1705"/>
      <c r="X57" s="1705"/>
      <c r="Y57" s="1705"/>
      <c r="Z57" s="1705"/>
      <c r="AA57" s="1705"/>
      <c r="AB57" s="1705"/>
      <c r="AC57" s="1705"/>
      <c r="AD57" s="1705"/>
      <c r="AE57" s="1705"/>
      <c r="AF57" s="1705"/>
      <c r="AG57" s="1705"/>
      <c r="AH57" s="1705"/>
      <c r="AI57" s="1705"/>
      <c r="AJ57" s="1705"/>
      <c r="AK57" s="1705"/>
      <c r="AL57" s="1705"/>
      <c r="AM57" s="1705"/>
      <c r="AN57" s="1705"/>
      <c r="AO57" s="1705"/>
      <c r="AP57" s="1706"/>
      <c r="AQ57" s="1705"/>
      <c r="AR57" s="1707"/>
      <c r="AS57" s="1705"/>
      <c r="AT57" s="1705"/>
    </row>
    <row r="58" spans="1:46" ht="24.9" customHeight="1">
      <c r="A58" s="1705"/>
      <c r="B58" s="1705"/>
      <c r="C58" s="1705"/>
      <c r="D58" s="1705"/>
      <c r="E58" s="1705"/>
      <c r="F58" s="1705"/>
      <c r="G58" s="1705"/>
      <c r="H58" s="1705"/>
      <c r="I58" s="1705"/>
      <c r="J58" s="1705"/>
      <c r="K58" s="1705"/>
      <c r="L58" s="1705"/>
      <c r="M58" s="1705"/>
      <c r="N58" s="1705"/>
      <c r="O58" s="1705"/>
      <c r="P58" s="1705"/>
      <c r="Q58" s="1705"/>
      <c r="R58" s="1705"/>
      <c r="S58" s="1705"/>
      <c r="T58" s="1705"/>
      <c r="U58" s="1705"/>
      <c r="V58" s="1705"/>
      <c r="W58" s="1705"/>
      <c r="X58" s="1705"/>
      <c r="Y58" s="1705"/>
      <c r="Z58" s="1705"/>
      <c r="AA58" s="1705"/>
      <c r="AB58" s="1705"/>
      <c r="AC58" s="1705"/>
      <c r="AD58" s="1705"/>
      <c r="AE58" s="1705"/>
      <c r="AF58" s="1705"/>
      <c r="AG58" s="1705"/>
      <c r="AH58" s="1705"/>
      <c r="AI58" s="1705"/>
      <c r="AJ58" s="1705"/>
      <c r="AK58" s="1705"/>
      <c r="AL58" s="1705"/>
      <c r="AM58" s="1705"/>
      <c r="AN58" s="1705"/>
      <c r="AO58" s="1705"/>
      <c r="AP58" s="1705"/>
      <c r="AQ58" s="1705"/>
      <c r="AR58" s="1709"/>
      <c r="AS58" s="1705"/>
      <c r="AT58" s="1705"/>
    </row>
    <row r="59" spans="1:46" ht="24.9" customHeight="1">
      <c r="A59" s="1705"/>
      <c r="B59" s="1705"/>
      <c r="C59" s="1705"/>
      <c r="D59" s="1705"/>
      <c r="E59" s="1705"/>
      <c r="F59" s="1705"/>
      <c r="G59" s="1705"/>
      <c r="H59" s="1705"/>
      <c r="I59" s="1705"/>
      <c r="J59" s="1705"/>
      <c r="K59" s="1705"/>
      <c r="L59" s="1705"/>
      <c r="M59" s="1705"/>
      <c r="N59" s="1705"/>
      <c r="O59" s="1705"/>
      <c r="P59" s="1705"/>
      <c r="Q59" s="1705"/>
      <c r="R59" s="1705"/>
      <c r="S59" s="1705"/>
      <c r="T59" s="1705"/>
      <c r="U59" s="1705"/>
      <c r="V59" s="1705"/>
      <c r="W59" s="1705"/>
      <c r="X59" s="1705"/>
      <c r="Y59" s="1705"/>
      <c r="Z59" s="1705"/>
      <c r="AA59" s="1705"/>
      <c r="AB59" s="1705"/>
      <c r="AC59" s="1705"/>
      <c r="AD59" s="1705"/>
      <c r="AE59" s="1705"/>
      <c r="AF59" s="1705"/>
      <c r="AG59" s="1705"/>
      <c r="AH59" s="1705"/>
      <c r="AI59" s="1705"/>
      <c r="AJ59" s="1705"/>
      <c r="AK59" s="1705"/>
      <c r="AL59" s="1705"/>
      <c r="AM59" s="1705"/>
      <c r="AN59" s="1705"/>
      <c r="AO59" s="1705"/>
      <c r="AP59" s="1705"/>
      <c r="AQ59" s="1705"/>
      <c r="AR59" s="1705"/>
      <c r="AS59" s="1705"/>
      <c r="AT59" s="1705"/>
    </row>
    <row r="60" spans="1:46" ht="24.9" customHeight="1">
      <c r="A60" s="1705"/>
      <c r="B60" s="1705"/>
      <c r="C60" s="1705"/>
      <c r="D60" s="1705"/>
      <c r="E60" s="1705"/>
      <c r="F60" s="1705"/>
      <c r="G60" s="1705"/>
      <c r="H60" s="1705"/>
      <c r="I60" s="1705"/>
      <c r="J60" s="1705"/>
      <c r="K60" s="1705"/>
      <c r="L60" s="1705"/>
      <c r="M60" s="1705"/>
      <c r="N60" s="1705"/>
      <c r="O60" s="1705"/>
      <c r="P60" s="1705"/>
      <c r="Q60" s="1705"/>
      <c r="R60" s="1705"/>
      <c r="S60" s="1705"/>
      <c r="T60" s="1705"/>
      <c r="U60" s="1705"/>
      <c r="V60" s="1705"/>
      <c r="W60" s="1705"/>
      <c r="X60" s="1705"/>
      <c r="Y60" s="1705"/>
      <c r="Z60" s="1705"/>
      <c r="AA60" s="1705"/>
      <c r="AB60" s="1705"/>
      <c r="AC60" s="1705"/>
      <c r="AD60" s="1705"/>
      <c r="AE60" s="1705"/>
      <c r="AF60" s="1705"/>
      <c r="AG60" s="1705"/>
      <c r="AH60" s="1705"/>
      <c r="AI60" s="1705"/>
      <c r="AJ60" s="1705"/>
      <c r="AK60" s="1705"/>
      <c r="AL60" s="1705"/>
      <c r="AM60" s="1705"/>
      <c r="AN60" s="1705"/>
      <c r="AO60" s="1705"/>
      <c r="AP60" s="1705"/>
      <c r="AQ60" s="1705"/>
      <c r="AR60" s="1705"/>
      <c r="AS60" s="1705"/>
      <c r="AT60" s="1705"/>
    </row>
    <row r="61" spans="1:46" ht="24.9" customHeight="1">
      <c r="A61" s="1705"/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5"/>
      <c r="R61" s="1705"/>
      <c r="S61" s="1705"/>
      <c r="T61" s="1705"/>
      <c r="U61" s="1705"/>
      <c r="V61" s="1705"/>
      <c r="W61" s="1705"/>
      <c r="X61" s="1705"/>
      <c r="Y61" s="1705"/>
      <c r="Z61" s="1705"/>
      <c r="AA61" s="1705"/>
      <c r="AB61" s="1705"/>
      <c r="AC61" s="1705"/>
      <c r="AD61" s="1705"/>
      <c r="AE61" s="1705"/>
      <c r="AF61" s="1705"/>
      <c r="AG61" s="1705"/>
      <c r="AH61" s="1705"/>
      <c r="AI61" s="1705"/>
      <c r="AJ61" s="1705"/>
      <c r="AK61" s="1705"/>
      <c r="AL61" s="1705"/>
      <c r="AM61" s="1705"/>
      <c r="AN61" s="1705"/>
      <c r="AO61" s="1705"/>
      <c r="AP61" s="1706"/>
      <c r="AQ61" s="1706"/>
      <c r="AR61" s="1706"/>
      <c r="AS61" s="1705"/>
      <c r="AT61" s="1705"/>
    </row>
    <row r="62" spans="1:46" ht="24.9" customHeight="1">
      <c r="A62" s="1705"/>
      <c r="B62" s="1705"/>
      <c r="C62" s="1705"/>
      <c r="D62" s="1705"/>
      <c r="E62" s="1705"/>
      <c r="F62" s="1705"/>
      <c r="G62" s="1705"/>
      <c r="H62" s="1705"/>
      <c r="I62" s="1705"/>
      <c r="J62" s="1705"/>
      <c r="K62" s="1705"/>
      <c r="L62" s="1705"/>
      <c r="M62" s="1705"/>
      <c r="N62" s="1705"/>
      <c r="O62" s="1705"/>
      <c r="P62" s="1705"/>
      <c r="Q62" s="1705"/>
      <c r="R62" s="1705"/>
      <c r="S62" s="1705"/>
      <c r="T62" s="1705"/>
      <c r="U62" s="1705"/>
      <c r="V62" s="1705"/>
      <c r="W62" s="1705"/>
      <c r="X62" s="1705"/>
      <c r="Y62" s="1705"/>
      <c r="Z62" s="1705"/>
      <c r="AA62" s="1705"/>
      <c r="AB62" s="1705"/>
      <c r="AC62" s="1705"/>
      <c r="AD62" s="1705"/>
      <c r="AE62" s="1705"/>
      <c r="AF62" s="1705"/>
      <c r="AG62" s="1705"/>
      <c r="AH62" s="1705"/>
      <c r="AI62" s="1705"/>
      <c r="AJ62" s="1705"/>
      <c r="AK62" s="1705"/>
      <c r="AL62" s="1705"/>
      <c r="AM62" s="1705"/>
      <c r="AN62" s="1705"/>
      <c r="AO62" s="1705"/>
      <c r="AP62" s="1705"/>
      <c r="AQ62" s="1705"/>
      <c r="AR62" s="1709"/>
      <c r="AS62" s="1705"/>
      <c r="AT62" s="1705"/>
    </row>
    <row r="63" spans="1:46" ht="24.9" customHeight="1">
      <c r="A63" s="1705"/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5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5"/>
      <c r="AL63" s="1705"/>
      <c r="AM63" s="1705"/>
      <c r="AN63" s="1705"/>
      <c r="AO63" s="1705"/>
      <c r="AP63" s="1705"/>
      <c r="AQ63" s="1705"/>
      <c r="AR63" s="1705"/>
      <c r="AS63" s="1705"/>
      <c r="AT63" s="1705"/>
    </row>
    <row r="64" spans="1:46" ht="24.9" customHeight="1">
      <c r="A64" s="1705"/>
      <c r="B64" s="1705"/>
      <c r="C64" s="1705"/>
      <c r="D64" s="1705"/>
      <c r="E64" s="1705"/>
      <c r="F64" s="1705"/>
      <c r="G64" s="1705"/>
      <c r="H64" s="1705"/>
      <c r="I64" s="1705"/>
      <c r="J64" s="1705"/>
      <c r="K64" s="1705"/>
      <c r="L64" s="1705"/>
      <c r="M64" s="1705"/>
      <c r="N64" s="1705"/>
      <c r="O64" s="1705"/>
      <c r="P64" s="1705"/>
      <c r="Q64" s="1705"/>
      <c r="R64" s="1705"/>
      <c r="S64" s="1705"/>
      <c r="T64" s="1705"/>
      <c r="U64" s="1705"/>
      <c r="V64" s="1705"/>
      <c r="W64" s="1705"/>
      <c r="X64" s="1705"/>
      <c r="Y64" s="1705"/>
      <c r="Z64" s="1705"/>
      <c r="AA64" s="1705"/>
      <c r="AB64" s="1705"/>
      <c r="AC64" s="1705"/>
      <c r="AD64" s="1705"/>
      <c r="AE64" s="1705"/>
      <c r="AF64" s="1705"/>
      <c r="AG64" s="1705"/>
      <c r="AH64" s="1705"/>
      <c r="AI64" s="1705"/>
      <c r="AJ64" s="1705"/>
      <c r="AK64" s="1705"/>
      <c r="AL64" s="1705"/>
      <c r="AM64" s="1705"/>
      <c r="AN64" s="1705"/>
      <c r="AO64" s="1705"/>
      <c r="AP64" s="1705"/>
      <c r="AQ64" s="1705"/>
      <c r="AR64" s="1705"/>
      <c r="AS64" s="1705"/>
      <c r="AT64" s="1705"/>
    </row>
    <row r="65" spans="1:46" ht="24.9" customHeight="1">
      <c r="A65" s="1705"/>
      <c r="B65" s="1705"/>
      <c r="C65" s="1705"/>
      <c r="D65" s="1705"/>
      <c r="E65" s="1705"/>
      <c r="F65" s="1705"/>
      <c r="G65" s="1705"/>
      <c r="H65" s="1705"/>
      <c r="I65" s="1705"/>
      <c r="J65" s="1705"/>
      <c r="K65" s="1705"/>
      <c r="L65" s="1705"/>
      <c r="M65" s="1705"/>
      <c r="N65" s="1705"/>
      <c r="O65" s="1705"/>
      <c r="P65" s="1705"/>
      <c r="Q65" s="1705"/>
      <c r="R65" s="1705"/>
      <c r="S65" s="1705"/>
      <c r="T65" s="1705"/>
      <c r="U65" s="1705"/>
      <c r="V65" s="1705"/>
      <c r="W65" s="1705"/>
      <c r="X65" s="1705"/>
      <c r="Y65" s="1705"/>
      <c r="Z65" s="1705"/>
      <c r="AA65" s="1705"/>
      <c r="AB65" s="1705"/>
      <c r="AC65" s="1705"/>
      <c r="AD65" s="1705"/>
      <c r="AE65" s="1705"/>
      <c r="AF65" s="1705"/>
      <c r="AG65" s="1705"/>
      <c r="AH65" s="1705"/>
      <c r="AI65" s="1705"/>
      <c r="AJ65" s="1705"/>
      <c r="AK65" s="1705"/>
      <c r="AL65" s="1705"/>
      <c r="AM65" s="1705"/>
      <c r="AN65" s="1705"/>
      <c r="AO65" s="1705"/>
      <c r="AP65" s="1705"/>
      <c r="AQ65" s="1705"/>
      <c r="AR65" s="1705"/>
      <c r="AS65" s="1705"/>
      <c r="AT65" s="1705"/>
    </row>
    <row r="66" spans="1:46" ht="24.9" customHeight="1">
      <c r="A66" s="1705"/>
      <c r="B66" s="1705"/>
      <c r="C66" s="1705"/>
      <c r="D66" s="1705"/>
      <c r="E66" s="1705"/>
      <c r="F66" s="1705"/>
      <c r="G66" s="1705"/>
      <c r="H66" s="1705"/>
      <c r="I66" s="1705"/>
      <c r="J66" s="1705"/>
      <c r="K66" s="1705"/>
      <c r="L66" s="1705"/>
      <c r="M66" s="1705"/>
      <c r="N66" s="1705"/>
      <c r="O66" s="1705"/>
      <c r="P66" s="1705"/>
      <c r="Q66" s="1705"/>
      <c r="R66" s="1705"/>
      <c r="S66" s="1705"/>
      <c r="T66" s="1705"/>
      <c r="U66" s="1705"/>
      <c r="V66" s="1705"/>
      <c r="W66" s="1705"/>
      <c r="X66" s="1705"/>
      <c r="Y66" s="1705"/>
      <c r="Z66" s="1705"/>
      <c r="AA66" s="1705"/>
      <c r="AB66" s="1705"/>
      <c r="AC66" s="1705"/>
      <c r="AD66" s="1705"/>
      <c r="AE66" s="1705"/>
      <c r="AF66" s="1705"/>
      <c r="AG66" s="1705"/>
      <c r="AH66" s="1705"/>
      <c r="AI66" s="1705"/>
      <c r="AJ66" s="1705"/>
      <c r="AK66" s="1705"/>
      <c r="AL66" s="1705"/>
      <c r="AM66" s="1705"/>
      <c r="AN66" s="1705"/>
      <c r="AO66" s="1705"/>
      <c r="AP66" s="1705"/>
      <c r="AQ66" s="1705"/>
      <c r="AR66" s="1705"/>
      <c r="AS66" s="1705"/>
      <c r="AT66" s="1705"/>
    </row>
  </sheetData>
  <mergeCells count="73">
    <mergeCell ref="A1:AP1"/>
    <mergeCell ref="A9:A10"/>
    <mergeCell ref="AO38:AO39"/>
    <mergeCell ref="AO36:AO37"/>
    <mergeCell ref="AL38:AL39"/>
    <mergeCell ref="AG38:AG39"/>
    <mergeCell ref="AH38:AH39"/>
    <mergeCell ref="AI38:AI39"/>
    <mergeCell ref="AJ38:AJ39"/>
    <mergeCell ref="AK38:AK39"/>
    <mergeCell ref="AN38:AN39"/>
    <mergeCell ref="AB38:AB39"/>
    <mergeCell ref="AO30:AO31"/>
    <mergeCell ref="AN30:AN31"/>
    <mergeCell ref="AN36:AN37"/>
    <mergeCell ref="AL30:AL31"/>
    <mergeCell ref="AC38:AC39"/>
    <mergeCell ref="AH30:AH31"/>
    <mergeCell ref="AD38:AD39"/>
    <mergeCell ref="AA30:AA31"/>
    <mergeCell ref="AB30:AB31"/>
    <mergeCell ref="AC30:AC31"/>
    <mergeCell ref="AD30:AD31"/>
    <mergeCell ref="AE30:AE31"/>
    <mergeCell ref="AA36:AA37"/>
    <mergeCell ref="AA38:AA39"/>
    <mergeCell ref="AB36:AB37"/>
    <mergeCell ref="AC36:AC37"/>
    <mergeCell ref="AD36:AD37"/>
    <mergeCell ref="AE36:AE37"/>
    <mergeCell ref="AF30:AF31"/>
    <mergeCell ref="AG36:AG37"/>
    <mergeCell ref="AM38:AM39"/>
    <mergeCell ref="AE38:AE39"/>
    <mergeCell ref="AF38:AF39"/>
    <mergeCell ref="AI30:AI31"/>
    <mergeCell ref="AJ30:AJ31"/>
    <mergeCell ref="AG30:AG31"/>
    <mergeCell ref="AL36:AL37"/>
    <mergeCell ref="AM36:AM37"/>
    <mergeCell ref="AH36:AH37"/>
    <mergeCell ref="AI36:AI37"/>
    <mergeCell ref="AJ36:AJ37"/>
    <mergeCell ref="AK36:AK37"/>
    <mergeCell ref="AF36:AF37"/>
    <mergeCell ref="L2:AP2"/>
    <mergeCell ref="A3:A4"/>
    <mergeCell ref="B3:B4"/>
    <mergeCell ref="C3:C4"/>
    <mergeCell ref="AM3:AM4"/>
    <mergeCell ref="AN3:AN4"/>
    <mergeCell ref="AO3:AO4"/>
    <mergeCell ref="AP3:AP4"/>
    <mergeCell ref="N3:AL3"/>
    <mergeCell ref="D3:K3"/>
    <mergeCell ref="L3:M3"/>
    <mergeCell ref="A24:A29"/>
    <mergeCell ref="B24:B25"/>
    <mergeCell ref="AK30:AK31"/>
    <mergeCell ref="A5:A8"/>
    <mergeCell ref="AM30:AM31"/>
    <mergeCell ref="B26:B27"/>
    <mergeCell ref="B28:B29"/>
    <mergeCell ref="A11:A23"/>
    <mergeCell ref="A44:B44"/>
    <mergeCell ref="B30:B31"/>
    <mergeCell ref="A36:A39"/>
    <mergeCell ref="B36:B37"/>
    <mergeCell ref="B38:B39"/>
    <mergeCell ref="A30:A31"/>
    <mergeCell ref="A42:A43"/>
    <mergeCell ref="A32:A35"/>
    <mergeCell ref="A40:A41"/>
  </mergeCells>
  <phoneticPr fontId="22" type="noConversion"/>
  <pageMargins left="0" right="0" top="0.74803149606299213" bottom="0" header="0.31496062992125984" footer="0.31496062992125984"/>
  <pageSetup paperSize="9" scale="65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AU66"/>
  <sheetViews>
    <sheetView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P46" sqref="AP46"/>
    </sheetView>
  </sheetViews>
  <sheetFormatPr defaultRowHeight="17.399999999999999"/>
  <cols>
    <col min="1" max="1" width="7.796875" style="1536" customWidth="1"/>
    <col min="2" max="2" width="13" style="1536" customWidth="1"/>
    <col min="3" max="3" width="8.69921875" style="1536" bestFit="1" customWidth="1"/>
    <col min="4" max="6" width="8.296875" style="1536" hidden="1" customWidth="1"/>
    <col min="7" max="8" width="8.69921875" style="1536" hidden="1" customWidth="1"/>
    <col min="9" max="10" width="8.296875" style="1536" customWidth="1"/>
    <col min="11" max="11" width="8.8984375" style="1536" customWidth="1"/>
    <col min="12" max="13" width="8.296875" style="1536" customWidth="1"/>
    <col min="14" max="18" width="8.296875" style="1536" hidden="1" customWidth="1"/>
    <col min="19" max="22" width="8.69921875" style="1536" hidden="1" customWidth="1"/>
    <col min="23" max="26" width="8.69921875" style="1536" customWidth="1"/>
    <col min="27" max="31" width="8.296875" style="1536" hidden="1" customWidth="1"/>
    <col min="32" max="35" width="8.69921875" style="1536" hidden="1" customWidth="1"/>
    <col min="36" max="38" width="8.69921875" style="1536" customWidth="1"/>
    <col min="39" max="39" width="8.296875" style="1536" customWidth="1"/>
    <col min="40" max="40" width="9.69921875" style="1536" customWidth="1"/>
    <col min="41" max="41" width="7.796875" style="1536" bestFit="1" customWidth="1"/>
    <col min="42" max="42" width="19.69921875" style="1536" bestFit="1" customWidth="1"/>
    <col min="43" max="43" width="11.19921875" style="1536" bestFit="1" customWidth="1"/>
    <col min="44" max="44" width="8.8984375" style="1536"/>
    <col min="45" max="45" width="5.69921875" style="1536" bestFit="1" customWidth="1"/>
    <col min="46" max="46" width="10.3984375" style="1536" bestFit="1" customWidth="1"/>
  </cols>
  <sheetData>
    <row r="1" spans="1:44" ht="30">
      <c r="A1" s="7401" t="s">
        <v>1341</v>
      </c>
      <c r="B1" s="7401"/>
      <c r="C1" s="7401"/>
      <c r="D1" s="7401"/>
      <c r="E1" s="7401"/>
      <c r="F1" s="7401"/>
      <c r="G1" s="7401"/>
      <c r="H1" s="7401"/>
      <c r="I1" s="7401"/>
      <c r="J1" s="7401"/>
      <c r="K1" s="7401"/>
      <c r="L1" s="7401"/>
      <c r="M1" s="7401"/>
      <c r="N1" s="7401"/>
      <c r="O1" s="7401"/>
      <c r="P1" s="7401"/>
      <c r="Q1" s="7401"/>
      <c r="R1" s="7401"/>
      <c r="S1" s="7401"/>
      <c r="T1" s="7401"/>
      <c r="U1" s="7401"/>
      <c r="V1" s="7401"/>
      <c r="W1" s="7401"/>
      <c r="X1" s="7401"/>
      <c r="Y1" s="7401"/>
      <c r="Z1" s="7401"/>
      <c r="AA1" s="7401"/>
      <c r="AB1" s="7401"/>
      <c r="AC1" s="7401"/>
      <c r="AD1" s="7401"/>
      <c r="AE1" s="7401"/>
      <c r="AF1" s="7401"/>
      <c r="AG1" s="7401"/>
      <c r="AH1" s="7401"/>
      <c r="AI1" s="7401"/>
      <c r="AJ1" s="7401"/>
      <c r="AK1" s="7401"/>
      <c r="AL1" s="7401"/>
      <c r="AM1" s="7401"/>
      <c r="AN1" s="7401"/>
      <c r="AO1" s="7401"/>
      <c r="AP1" s="7401"/>
    </row>
    <row r="2" spans="1:44" ht="18" thickBot="1">
      <c r="L2" s="7403" t="s">
        <v>402</v>
      </c>
      <c r="M2" s="7403"/>
      <c r="N2" s="7404"/>
      <c r="O2" s="7404"/>
      <c r="P2" s="7404"/>
      <c r="Q2" s="7404"/>
      <c r="R2" s="7404"/>
      <c r="S2" s="7404"/>
      <c r="T2" s="7404"/>
      <c r="U2" s="7404"/>
      <c r="V2" s="7404"/>
      <c r="W2" s="7404"/>
      <c r="X2" s="7404"/>
      <c r="Y2" s="7404"/>
      <c r="Z2" s="7404"/>
      <c r="AA2" s="7404"/>
      <c r="AB2" s="7404"/>
      <c r="AC2" s="7404"/>
      <c r="AD2" s="7404"/>
      <c r="AE2" s="7404"/>
      <c r="AF2" s="7404"/>
      <c r="AG2" s="7404"/>
      <c r="AH2" s="7404"/>
      <c r="AI2" s="7404"/>
      <c r="AJ2" s="7404"/>
      <c r="AK2" s="7404"/>
      <c r="AL2" s="7404"/>
      <c r="AM2" s="7404"/>
      <c r="AN2" s="7404"/>
      <c r="AO2" s="7404"/>
      <c r="AP2" s="7405"/>
    </row>
    <row r="3" spans="1:44" ht="18" thickBot="1">
      <c r="A3" s="7132" t="s">
        <v>252</v>
      </c>
      <c r="B3" s="7223" t="s">
        <v>253</v>
      </c>
      <c r="C3" s="7400" t="s">
        <v>234</v>
      </c>
      <c r="D3" s="7400" t="s">
        <v>255</v>
      </c>
      <c r="E3" s="7377"/>
      <c r="F3" s="7377"/>
      <c r="G3" s="7377"/>
      <c r="H3" s="7377"/>
      <c r="I3" s="7377"/>
      <c r="J3" s="7377"/>
      <c r="K3" s="7377"/>
      <c r="L3" s="7132" t="s">
        <v>286</v>
      </c>
      <c r="M3" s="7223"/>
      <c r="N3" s="7342" t="s">
        <v>1338</v>
      </c>
      <c r="O3" s="7342"/>
      <c r="P3" s="7342"/>
      <c r="Q3" s="7342"/>
      <c r="R3" s="7342"/>
      <c r="S3" s="7342"/>
      <c r="T3" s="7342"/>
      <c r="U3" s="7342"/>
      <c r="V3" s="7342"/>
      <c r="W3" s="7342"/>
      <c r="X3" s="7342"/>
      <c r="Y3" s="7342"/>
      <c r="Z3" s="7342"/>
      <c r="AA3" s="7377"/>
      <c r="AB3" s="7377"/>
      <c r="AC3" s="7377"/>
      <c r="AD3" s="7377"/>
      <c r="AE3" s="7377"/>
      <c r="AF3" s="7377"/>
      <c r="AG3" s="7377"/>
      <c r="AH3" s="7377"/>
      <c r="AI3" s="7377"/>
      <c r="AJ3" s="7377"/>
      <c r="AK3" s="7377"/>
      <c r="AL3" s="7378"/>
      <c r="AM3" s="7229" t="s">
        <v>1335</v>
      </c>
      <c r="AN3" s="7229" t="s">
        <v>439</v>
      </c>
      <c r="AO3" s="7332" t="s">
        <v>365</v>
      </c>
      <c r="AP3" s="7349" t="s">
        <v>287</v>
      </c>
    </row>
    <row r="4" spans="1:44" ht="18" thickBot="1">
      <c r="A4" s="7222"/>
      <c r="B4" s="7224"/>
      <c r="C4" s="7226"/>
      <c r="D4" s="1804" t="s">
        <v>256</v>
      </c>
      <c r="E4" s="1805" t="s">
        <v>257</v>
      </c>
      <c r="F4" s="1805" t="s">
        <v>194</v>
      </c>
      <c r="G4" s="1805" t="s">
        <v>258</v>
      </c>
      <c r="H4" s="1805" t="s">
        <v>259</v>
      </c>
      <c r="I4" s="1806" t="s">
        <v>533</v>
      </c>
      <c r="J4" s="1806" t="s">
        <v>720</v>
      </c>
      <c r="K4" s="4234" t="s">
        <v>999</v>
      </c>
      <c r="L4" s="4232" t="s">
        <v>1272</v>
      </c>
      <c r="M4" s="4233" t="s">
        <v>823</v>
      </c>
      <c r="N4" s="2070" t="s">
        <v>370</v>
      </c>
      <c r="O4" s="1692" t="s">
        <v>372</v>
      </c>
      <c r="P4" s="1692" t="s">
        <v>373</v>
      </c>
      <c r="Q4" s="5153" t="s">
        <v>374</v>
      </c>
      <c r="R4" s="5153" t="s">
        <v>375</v>
      </c>
      <c r="S4" s="5153" t="s">
        <v>376</v>
      </c>
      <c r="T4" s="5153" t="s">
        <v>377</v>
      </c>
      <c r="U4" s="5153" t="s">
        <v>378</v>
      </c>
      <c r="V4" s="5153" t="s">
        <v>379</v>
      </c>
      <c r="W4" s="5153" t="s">
        <v>380</v>
      </c>
      <c r="X4" s="5082" t="s">
        <v>381</v>
      </c>
      <c r="Y4" s="4587" t="s">
        <v>382</v>
      </c>
      <c r="Z4" s="4350" t="s">
        <v>894</v>
      </c>
      <c r="AA4" s="3797" t="s">
        <v>371</v>
      </c>
      <c r="AB4" s="2984" t="s">
        <v>383</v>
      </c>
      <c r="AC4" s="2984" t="s">
        <v>384</v>
      </c>
      <c r="AD4" s="2984" t="s">
        <v>385</v>
      </c>
      <c r="AE4" s="2984" t="s">
        <v>386</v>
      </c>
      <c r="AF4" s="2984" t="s">
        <v>387</v>
      </c>
      <c r="AG4" s="2984" t="s">
        <v>388</v>
      </c>
      <c r="AH4" s="2984" t="s">
        <v>389</v>
      </c>
      <c r="AI4" s="2984" t="s">
        <v>390</v>
      </c>
      <c r="AJ4" s="2984" t="s">
        <v>391</v>
      </c>
      <c r="AK4" s="2984" t="s">
        <v>392</v>
      </c>
      <c r="AL4" s="2984" t="s">
        <v>393</v>
      </c>
      <c r="AM4" s="7367"/>
      <c r="AN4" s="7367"/>
      <c r="AO4" s="7374"/>
      <c r="AP4" s="7491"/>
    </row>
    <row r="5" spans="1:44">
      <c r="A5" s="7183" t="s">
        <v>260</v>
      </c>
      <c r="B5" s="925" t="s">
        <v>261</v>
      </c>
      <c r="C5" s="1815" t="s">
        <v>262</v>
      </c>
      <c r="D5" s="1816">
        <v>49405.777999999998</v>
      </c>
      <c r="E5" s="1817">
        <v>66093.62000000001</v>
      </c>
      <c r="F5" s="1817">
        <v>52374.959999999992</v>
      </c>
      <c r="G5" s="1817">
        <v>48708.025000000009</v>
      </c>
      <c r="H5" s="1817">
        <v>62835.138999999996</v>
      </c>
      <c r="I5" s="1818">
        <v>45182</v>
      </c>
      <c r="J5" s="1818">
        <v>54648</v>
      </c>
      <c r="K5" s="1818">
        <f>년간!C12</f>
        <v>52737.824999999997</v>
      </c>
      <c r="L5" s="1311">
        <f>년간!D12</f>
        <v>53304</v>
      </c>
      <c r="M5" s="2288">
        <f>L5/12</f>
        <v>4442</v>
      </c>
      <c r="N5" s="4249">
        <f>'#2CCL'!N5+228</f>
        <v>5374.81</v>
      </c>
      <c r="O5" s="5423">
        <f>년간!G12+92.6</f>
        <v>5363.14</v>
      </c>
      <c r="P5" s="932">
        <f>년간!H12</f>
        <v>4212.8039999999992</v>
      </c>
      <c r="Q5" s="5423">
        <f>년간!I12+25.83</f>
        <v>4579.442</v>
      </c>
      <c r="R5" s="5423">
        <f>년간!J12+69.85</f>
        <v>4100.59</v>
      </c>
      <c r="S5" s="5423">
        <f>년간!K12+485.06</f>
        <v>5740.02</v>
      </c>
      <c r="T5" s="932">
        <f>년간!L12</f>
        <v>4973.76</v>
      </c>
      <c r="U5" s="932">
        <f>년간!M12</f>
        <v>4617.4400000000005</v>
      </c>
      <c r="V5" s="932">
        <f>년간!N12+475.275</f>
        <v>4574.3099999999995</v>
      </c>
      <c r="W5" s="5423">
        <f>년간!O12+96.13</f>
        <v>4524.01</v>
      </c>
      <c r="X5" s="5546">
        <f>년간!P12</f>
        <v>4859.99</v>
      </c>
      <c r="Y5" s="5400">
        <f>년간!Q12</f>
        <v>4664.7700000000004</v>
      </c>
      <c r="Z5" s="1819">
        <f>SUM(N5:Y5)</f>
        <v>57585.085999999996</v>
      </c>
      <c r="AA5" s="5152"/>
      <c r="AB5" s="1123"/>
      <c r="AC5" s="1123"/>
      <c r="AD5" s="1123"/>
      <c r="AE5" s="1123"/>
      <c r="AF5" s="1123"/>
      <c r="AG5" s="1123"/>
      <c r="AH5" s="1123"/>
      <c r="AI5" s="1123"/>
      <c r="AJ5" s="1123"/>
      <c r="AK5" s="1820"/>
      <c r="AL5" s="1820"/>
      <c r="AM5" s="1025"/>
      <c r="AN5" s="1025"/>
      <c r="AO5" s="1025"/>
      <c r="AP5" s="1821"/>
      <c r="AQ5" s="5572">
        <v>485.0600000000004</v>
      </c>
      <c r="AR5" s="355"/>
    </row>
    <row r="6" spans="1:44">
      <c r="A6" s="7184"/>
      <c r="B6" s="1822" t="s">
        <v>263</v>
      </c>
      <c r="C6" s="1554" t="s">
        <v>264</v>
      </c>
      <c r="D6" s="1560">
        <v>12.77</v>
      </c>
      <c r="E6" s="1561">
        <v>13.12</v>
      </c>
      <c r="F6" s="1562">
        <v>11.56</v>
      </c>
      <c r="G6" s="1562">
        <v>11.59</v>
      </c>
      <c r="H6" s="1562">
        <v>9.6301471114610937</v>
      </c>
      <c r="I6" s="1526">
        <v>9.7799999999999994</v>
      </c>
      <c r="J6" s="2137">
        <v>9.9899535671630861</v>
      </c>
      <c r="K6" s="2137">
        <f>년간!C123</f>
        <v>9.3511203248380532</v>
      </c>
      <c r="L6" s="2789">
        <v>9.5</v>
      </c>
      <c r="M6" s="2790">
        <f>L6</f>
        <v>9.5</v>
      </c>
      <c r="N6" s="4250">
        <f>(년간!F18+년간!F24+228)/년간!F35*60</f>
        <v>10.191467307145341</v>
      </c>
      <c r="O6" s="4757">
        <f>(년간!G18+년간!G24+92.6)/년간!G35*60</f>
        <v>10.656303606318509</v>
      </c>
      <c r="P6" s="2188">
        <f>년간!H123</f>
        <v>9.9624877818067148</v>
      </c>
      <c r="Q6" s="5411">
        <f>(년간!I18+년간!I24+25.83)/년간!I35*60</f>
        <v>9.7921069137562373</v>
      </c>
      <c r="R6" s="5411">
        <f>(년간!J18+년간!J24+69.85)/년간!J35*60</f>
        <v>9.2630322653514554</v>
      </c>
      <c r="S6" s="5411">
        <f>(년간!K18+년간!K24+485.06)/년간!K35*60</f>
        <v>10.651363889404344</v>
      </c>
      <c r="T6" s="5097">
        <f>년간!L123</f>
        <v>9.6621640872887404</v>
      </c>
      <c r="U6" s="5097">
        <f>년간!M123</f>
        <v>10.378213148529689</v>
      </c>
      <c r="V6" s="5097">
        <f>년간!N123</f>
        <v>8.9028814479638001</v>
      </c>
      <c r="W6" s="5097">
        <f>년간!O123</f>
        <v>8.7014542119743208</v>
      </c>
      <c r="X6" s="5527">
        <f>년간!P123</f>
        <v>9.1654691183404058</v>
      </c>
      <c r="Y6" s="5378">
        <f>년간!Q123</f>
        <v>8.7790909946363058</v>
      </c>
      <c r="Z6" s="5375">
        <f>년간!V123</f>
        <v>9.5212979035692769</v>
      </c>
      <c r="AA6" s="5110">
        <f>((년간!F18/년간!$C$123-(년간!F18/N6))*년간!$E$217)/1000</f>
        <v>59130.991315561165</v>
      </c>
      <c r="AB6" s="4752">
        <f>((년간!G18/년간!$C$123-(년간!G18/O6))*년간!$E$217)/1000</f>
        <v>89984.643661921044</v>
      </c>
      <c r="AC6" s="4752">
        <f>((년간!H18/년간!$C$123-(년간!H18/P6))*년간!$E$217)/1000</f>
        <v>35980.229229228142</v>
      </c>
      <c r="AD6" s="4752">
        <f>((년간!I18/년간!$C$123-(년간!I18/Q6))*년간!$E$217)/1000</f>
        <v>28586.01578166362</v>
      </c>
      <c r="AE6" s="4752">
        <f>((년간!J18/년간!$C$123-(년간!J18/R6))*년간!$E$217)/1000</f>
        <v>-5336.6503269379191</v>
      </c>
      <c r="AF6" s="4752">
        <f>((년간!K18/년간!$C$123-(년간!K18/S6))*년간!$E$217)/1000</f>
        <v>89420.53754677347</v>
      </c>
      <c r="AG6" s="4752">
        <f>((년간!L18/년간!$C$123-(년간!L18/T6))*년간!$E$217)/1000</f>
        <v>22310.445129262203</v>
      </c>
      <c r="AH6" s="4752">
        <f>((년간!M18/년간!$C$123-(년간!M18/U6))*년간!$E$217)/1000</f>
        <v>63583.861438013795</v>
      </c>
      <c r="AI6" s="4752">
        <f>((년간!N18/년간!$C$123-(년간!N18/V6))*년간!$E$217)/1000</f>
        <v>-28721.139306133409</v>
      </c>
      <c r="AJ6" s="4752">
        <f>((년간!O18/년간!$C$123-(년간!O18/W6))*년간!$E$217)/1000</f>
        <v>-46059.882891632478</v>
      </c>
      <c r="AK6" s="4752">
        <f>((년간!P18/년간!$C$123-(년간!P18/X6))*년간!$E$217)/1000</f>
        <v>-13718.174942483636</v>
      </c>
      <c r="AL6" s="4752">
        <f>((년간!Q18/년간!$C$123-(년간!Q18/Y6))*년간!$E$217)/1000</f>
        <v>-42345.664194401266</v>
      </c>
      <c r="AM6" s="1686">
        <f>년간!D158/1000</f>
        <v>116304.95693343123</v>
      </c>
      <c r="AN6" s="1686">
        <f>AA6+AB6+AC6+AD6+AE6+AF6+AG6+AH6+AI6+AJ6+AK6+AL6</f>
        <v>252815.2124408347</v>
      </c>
      <c r="AO6" s="1796">
        <f>AN6/AM6</f>
        <v>2.1737268909831338</v>
      </c>
      <c r="AP6" s="3753" t="s">
        <v>1521</v>
      </c>
      <c r="AQ6" s="6704"/>
    </row>
    <row r="7" spans="1:44">
      <c r="A7" s="7184"/>
      <c r="B7" s="1822" t="s">
        <v>265</v>
      </c>
      <c r="C7" s="1554" t="s">
        <v>235</v>
      </c>
      <c r="D7" s="1560">
        <v>75.510000000000005</v>
      </c>
      <c r="E7" s="1561">
        <v>76.02</v>
      </c>
      <c r="F7" s="1562">
        <v>76.05</v>
      </c>
      <c r="G7" s="1562">
        <v>75.959999999999994</v>
      </c>
      <c r="H7" s="1562">
        <v>74.620228230313629</v>
      </c>
      <c r="I7" s="1526">
        <v>74.44</v>
      </c>
      <c r="J7" s="2137">
        <v>73.695129891999912</v>
      </c>
      <c r="K7" s="2137">
        <f>년간!C115*100</f>
        <v>74.245931529902734</v>
      </c>
      <c r="L7" s="2789">
        <v>74.5</v>
      </c>
      <c r="M7" s="2790">
        <f>L7</f>
        <v>74.5</v>
      </c>
      <c r="N7" s="2193">
        <f>년간!F115*100</f>
        <v>78.05184874571421</v>
      </c>
      <c r="O7" s="1665">
        <f>년간!G115*100</f>
        <v>78.861873547308775</v>
      </c>
      <c r="P7" s="2188">
        <f>년간!H115*100</f>
        <v>74.061533072566988</v>
      </c>
      <c r="Q7" s="5097">
        <f>년간!I115*100</f>
        <v>75.377424380809117</v>
      </c>
      <c r="R7" s="5097">
        <f>년간!J115*100</f>
        <v>75.403832505322924</v>
      </c>
      <c r="S7" s="5097">
        <f>년간!K115*100</f>
        <v>77.793282648445768</v>
      </c>
      <c r="T7" s="5769">
        <f>년간!L115*100</f>
        <v>77.105125196594855</v>
      </c>
      <c r="U7" s="5097">
        <f>년간!M115*100</f>
        <v>75.390437459402975</v>
      </c>
      <c r="V7" s="5097">
        <f>년간!N115*100</f>
        <v>73.684350910885271</v>
      </c>
      <c r="W7" s="5097">
        <f>년간!O115*100</f>
        <v>74.214876033057848</v>
      </c>
      <c r="X7" s="5527">
        <f>년간!P115*100</f>
        <v>76.68112798264643</v>
      </c>
      <c r="Y7" s="5378">
        <f>년간!Q115*100</f>
        <v>76.204704082608274</v>
      </c>
      <c r="Z7" s="5375">
        <f>년간!V115*100</f>
        <v>76.120492198532702</v>
      </c>
      <c r="AA7" s="5110">
        <f>년간!F157/1000</f>
        <v>33520.814301218292</v>
      </c>
      <c r="AB7" s="4752">
        <f>년간!G157/1000</f>
        <v>38398.814720558563</v>
      </c>
      <c r="AC7" s="4752">
        <f>년간!H157/1000</f>
        <v>-1372.3979293956722</v>
      </c>
      <c r="AD7" s="4752">
        <f>년간!I157/1000</f>
        <v>9150.7976708910846</v>
      </c>
      <c r="AE7" s="4752">
        <f>년간!J157/1000</f>
        <v>8861.009194984339</v>
      </c>
      <c r="AF7" s="4752">
        <f>년간!K157/1000</f>
        <v>32031.8689562859</v>
      </c>
      <c r="AG7" s="4752">
        <f>년간!L157/1000</f>
        <v>24881.855250914785</v>
      </c>
      <c r="AH7" s="4752">
        <f>년간!M157/1000</f>
        <v>8804.2521998641005</v>
      </c>
      <c r="AI7" s="4752">
        <f>년간!N157/1000</f>
        <v>-4574.0394021595366</v>
      </c>
      <c r="AJ7" s="4752">
        <f>년간!O157/1000</f>
        <v>-277.56425388299698</v>
      </c>
      <c r="AK7" s="4728">
        <f>년간!P157/1000</f>
        <v>21950.185912453133</v>
      </c>
      <c r="AL7" s="1701">
        <f>년간!Q157/1000</f>
        <v>17803.07124503635</v>
      </c>
      <c r="AM7" s="1686">
        <f>년간!D157/1000</f>
        <v>25412.919068280724</v>
      </c>
      <c r="AN7" s="1686">
        <f>AA7+AB7+AC7+AD7+AE7+AF7+AG7+AH7+AI7+AJ7+AK7+AL7</f>
        <v>189178.66786676834</v>
      </c>
      <c r="AO7" s="1796">
        <f>AN7/AM7</f>
        <v>7.4441927493049294</v>
      </c>
      <c r="AP7" s="3753" t="s">
        <v>1521</v>
      </c>
      <c r="AQ7" s="5253"/>
    </row>
    <row r="8" spans="1:44" ht="18" thickBot="1">
      <c r="A8" s="7212"/>
      <c r="B8" s="1800" t="s">
        <v>852</v>
      </c>
      <c r="C8" s="1801" t="s">
        <v>761</v>
      </c>
      <c r="D8" s="1823"/>
      <c r="E8" s="1824"/>
      <c r="F8" s="1825"/>
      <c r="G8" s="1826">
        <v>692.67000000000007</v>
      </c>
      <c r="H8" s="3110">
        <v>401.6500000000002</v>
      </c>
      <c r="I8" s="3111">
        <v>321.48</v>
      </c>
      <c r="J8" s="3111">
        <v>171.09</v>
      </c>
      <c r="K8" s="3111">
        <v>226.51299999999998</v>
      </c>
      <c r="L8" s="2791">
        <v>60</v>
      </c>
      <c r="M8" s="2792">
        <f>L8/12</f>
        <v>5</v>
      </c>
      <c r="N8" s="2226">
        <v>0</v>
      </c>
      <c r="O8" s="1827">
        <v>0</v>
      </c>
      <c r="P8" s="1827">
        <v>8.43</v>
      </c>
      <c r="Q8" s="2338">
        <f>'#2CCL'!Q8</f>
        <v>16.82</v>
      </c>
      <c r="R8" s="2338">
        <f>'#2CCL'!R8</f>
        <v>35.299999999999997</v>
      </c>
      <c r="S8" s="2338">
        <f>'#2CCL'!S8</f>
        <v>4.9000000000000004</v>
      </c>
      <c r="T8" s="2338">
        <v>0</v>
      </c>
      <c r="U8" s="2338">
        <v>0</v>
      </c>
      <c r="V8" s="2338">
        <f>'#2CCL'!V8</f>
        <v>2</v>
      </c>
      <c r="W8" s="2338">
        <v>0</v>
      </c>
      <c r="X8" s="5530">
        <v>0</v>
      </c>
      <c r="Y8" s="5381">
        <f>'#2CCL'!Y8</f>
        <v>1.25</v>
      </c>
      <c r="Z8" s="2226">
        <f>SUM(N8:Y8)</f>
        <v>68.7</v>
      </c>
      <c r="AA8" s="5128">
        <f>($K$8/12-N8)/10*1268.988</f>
        <v>2395.3523236999999</v>
      </c>
      <c r="AB8" s="3077">
        <f t="shared" ref="AB8:AL8" si="0">($K$8/12-O8)/10*1268.988</f>
        <v>2395.3523236999999</v>
      </c>
      <c r="AC8" s="3077">
        <f t="shared" si="0"/>
        <v>1325.5954396999998</v>
      </c>
      <c r="AD8" s="3077">
        <f t="shared" si="0"/>
        <v>260.9145076999996</v>
      </c>
      <c r="AE8" s="3077">
        <f t="shared" si="0"/>
        <v>-2084.1753163000003</v>
      </c>
      <c r="AF8" s="3077">
        <f t="shared" si="0"/>
        <v>1773.5482036999995</v>
      </c>
      <c r="AG8" s="3077">
        <f t="shared" si="0"/>
        <v>2395.3523236999999</v>
      </c>
      <c r="AH8" s="3077">
        <f t="shared" si="0"/>
        <v>2395.3523236999999</v>
      </c>
      <c r="AI8" s="3077">
        <f t="shared" si="0"/>
        <v>2141.5547236999996</v>
      </c>
      <c r="AJ8" s="3077">
        <f t="shared" si="0"/>
        <v>2395.3523236999999</v>
      </c>
      <c r="AK8" s="4729">
        <f t="shared" si="0"/>
        <v>2395.3523236999999</v>
      </c>
      <c r="AL8" s="3077">
        <f t="shared" si="0"/>
        <v>2236.7288236999998</v>
      </c>
      <c r="AM8" s="1802">
        <f>(K8/12-L8/12)*1268.988</f>
        <v>17608.583236999995</v>
      </c>
      <c r="AN8" s="1802">
        <f>AA8+AB8+AC8+AD8+AE8+AF8+AG8+AH8+AI8+AJ8+AK8+AL8</f>
        <v>20026.280324399999</v>
      </c>
      <c r="AO8" s="1803">
        <f>AN8/AM8</f>
        <v>1.1373021926215974</v>
      </c>
      <c r="AP8" s="3753" t="s">
        <v>1521</v>
      </c>
      <c r="AQ8" s="5253"/>
    </row>
    <row r="9" spans="1:44">
      <c r="A9" s="7184" t="s">
        <v>267</v>
      </c>
      <c r="B9" s="4229" t="s">
        <v>268</v>
      </c>
      <c r="C9" s="1558" t="s">
        <v>235</v>
      </c>
      <c r="D9" s="1807">
        <v>100.36</v>
      </c>
      <c r="E9" s="1808">
        <v>100.34</v>
      </c>
      <c r="F9" s="1808">
        <v>100.06</v>
      </c>
      <c r="G9" s="1808">
        <v>99.993385966617737</v>
      </c>
      <c r="H9" s="1808">
        <v>99.508318971028757</v>
      </c>
      <c r="I9" s="1809">
        <v>99.83</v>
      </c>
      <c r="J9" s="1809">
        <v>100.34514607442676</v>
      </c>
      <c r="K9" s="1809">
        <f>년간!C91*100</f>
        <v>100.38300232567896</v>
      </c>
      <c r="L9" s="1810">
        <v>100.44999999999999</v>
      </c>
      <c r="M9" s="2289">
        <f>L9</f>
        <v>100.44999999999999</v>
      </c>
      <c r="N9" s="1812">
        <f>년간!F91*100</f>
        <v>100.59846516807573</v>
      </c>
      <c r="O9" s="1811">
        <f>년간!G91*100</f>
        <v>100.55620773661629</v>
      </c>
      <c r="P9" s="1811">
        <f>년간!H91*100</f>
        <v>100.35368585805324</v>
      </c>
      <c r="Q9" s="1811">
        <f>년간!I91*100</f>
        <v>100.5912059359612</v>
      </c>
      <c r="R9" s="1811">
        <f>년간!J91*100</f>
        <v>100.52130332322756</v>
      </c>
      <c r="S9" s="1811">
        <f>년간!K91*100</f>
        <v>100.68479594360767</v>
      </c>
      <c r="T9" s="1811">
        <f>년간!L91*100</f>
        <v>100.52350452839909</v>
      </c>
      <c r="U9" s="1811">
        <f>년간!M91*100</f>
        <v>100.36078537940605</v>
      </c>
      <c r="V9" s="1811">
        <f>년간!N91*100</f>
        <v>100.64889629341603</v>
      </c>
      <c r="W9" s="1811">
        <f>년간!O91*100</f>
        <v>100.61824093822207</v>
      </c>
      <c r="X9" s="5547">
        <f>년간!P91*100</f>
        <v>100.61303473835905</v>
      </c>
      <c r="Y9" s="5401">
        <f>년간!Q91*100</f>
        <v>100.75045116319174</v>
      </c>
      <c r="Z9" s="1812">
        <f>년간!V91*100</f>
        <v>100.57092906575997</v>
      </c>
      <c r="AA9" s="5154">
        <f>년간!F155/1000</f>
        <v>9523.8958859179038</v>
      </c>
      <c r="AB9" s="4749">
        <f>년간!G155/1000</f>
        <v>7846.8695285999311</v>
      </c>
      <c r="AC9" s="4749">
        <f>년간!H155/1000</f>
        <v>-1062.0576727150319</v>
      </c>
      <c r="AD9" s="4749">
        <f>년간!I155/1000</f>
        <v>8146.536604809231</v>
      </c>
      <c r="AE9" s="4749">
        <f>년간!J155/1000</f>
        <v>4787.5405068090395</v>
      </c>
      <c r="AF9" s="4749">
        <f>년간!K155/1000</f>
        <v>13614.582279781018</v>
      </c>
      <c r="AG9" s="4749">
        <f>년간!L155/1000</f>
        <v>6006.4385410043169</v>
      </c>
      <c r="AH9" s="4749">
        <f>년간!M155/1000</f>
        <v>-881.90231395132525</v>
      </c>
      <c r="AI9" s="4749">
        <f>년간!N155/1000</f>
        <v>9344.6400813001219</v>
      </c>
      <c r="AJ9" s="4749">
        <f>년간!O155/1000</f>
        <v>8943.2778074132693</v>
      </c>
      <c r="AK9" s="1813">
        <f>년간!P155/1000</f>
        <v>9601.2642736668167</v>
      </c>
      <c r="AL9" s="1813">
        <f>년간!Q155/1000</f>
        <v>14697.059717906917</v>
      </c>
      <c r="AM9" s="821">
        <f>년간!D155/1000</f>
        <v>30692.805141862485</v>
      </c>
      <c r="AN9" s="821">
        <f>AA9+AB9+AC9+AD9+AE9+AF9+AG9+AH9+AI9+AJ9+AK9+AL9</f>
        <v>90568.145240542217</v>
      </c>
      <c r="AO9" s="1814">
        <f>AN9/AM9</f>
        <v>2.9507939995036376</v>
      </c>
      <c r="AP9" s="1060" t="s">
        <v>1522</v>
      </c>
    </row>
    <row r="10" spans="1:44" ht="18" thickBot="1">
      <c r="A10" s="7184"/>
      <c r="B10" s="4230" t="s">
        <v>269</v>
      </c>
      <c r="C10" s="1555" t="s">
        <v>309</v>
      </c>
      <c r="D10" s="1789">
        <v>124</v>
      </c>
      <c r="E10" s="1790">
        <v>131.51</v>
      </c>
      <c r="F10" s="1790">
        <v>90.44</v>
      </c>
      <c r="G10" s="1573">
        <v>68.98</v>
      </c>
      <c r="H10" s="1573">
        <v>53.02000000000001</v>
      </c>
      <c r="I10" s="1528">
        <v>95</v>
      </c>
      <c r="J10" s="1528">
        <v>73.749999999999986</v>
      </c>
      <c r="K10" s="1528">
        <v>73.5</v>
      </c>
      <c r="L10" s="3765">
        <v>48</v>
      </c>
      <c r="M10" s="3766">
        <f t="shared" ref="M10:M17" si="1">L10/12</f>
        <v>4</v>
      </c>
      <c r="N10" s="1791">
        <f>년간!F24</f>
        <v>2.29</v>
      </c>
      <c r="O10" s="1668">
        <f>년간!G24</f>
        <v>0</v>
      </c>
      <c r="P10" s="1668">
        <f>년간!H24</f>
        <v>6.6899999999999995</v>
      </c>
      <c r="Q10" s="5150">
        <f>년간!I24</f>
        <v>0</v>
      </c>
      <c r="R10" s="5150">
        <f>년간!J24</f>
        <v>4.9000000000000004</v>
      </c>
      <c r="S10" s="5150">
        <f>년간!K24</f>
        <v>0</v>
      </c>
      <c r="T10" s="5150">
        <f>년간!L24</f>
        <v>1.97</v>
      </c>
      <c r="U10" s="5150">
        <f>년간!M24</f>
        <v>8.39</v>
      </c>
      <c r="V10" s="5150">
        <f>년간!N24</f>
        <v>6.67</v>
      </c>
      <c r="W10" s="5150">
        <f>년간!O24</f>
        <v>2.2400000000000002</v>
      </c>
      <c r="X10" s="5528">
        <f>년간!P24</f>
        <v>1.46</v>
      </c>
      <c r="Y10" s="5379">
        <f>년간!Q24</f>
        <v>2.56</v>
      </c>
      <c r="Z10" s="6931">
        <f>SUM(N10:Y10)</f>
        <v>37.170000000000009</v>
      </c>
      <c r="AA10" s="5117"/>
      <c r="AB10" s="3476"/>
      <c r="AC10" s="3476"/>
      <c r="AD10" s="3476"/>
      <c r="AE10" s="3476"/>
      <c r="AF10" s="3476"/>
      <c r="AG10" s="3476"/>
      <c r="AH10" s="3476"/>
      <c r="AI10" s="3476"/>
      <c r="AJ10" s="3476"/>
      <c r="AK10" s="4266"/>
      <c r="AL10" s="1595"/>
      <c r="AM10" s="1623"/>
      <c r="AN10" s="1623"/>
      <c r="AO10" s="1596"/>
      <c r="AP10" s="3284"/>
    </row>
    <row r="11" spans="1:44">
      <c r="A11" s="7183" t="s">
        <v>549</v>
      </c>
      <c r="B11" s="4228" t="s">
        <v>611</v>
      </c>
      <c r="C11" s="1009" t="s">
        <v>440</v>
      </c>
      <c r="D11" s="3717">
        <f>281.85</f>
        <v>281.85000000000002</v>
      </c>
      <c r="E11" s="3718">
        <f>453.49</f>
        <v>453.49</v>
      </c>
      <c r="F11" s="3718">
        <f>593.92</f>
        <v>593.91999999999996</v>
      </c>
      <c r="G11" s="3718">
        <f>458.705</f>
        <v>458.70499999999998</v>
      </c>
      <c r="H11" s="3718">
        <f>스크!X13</f>
        <v>418.88499999999999</v>
      </c>
      <c r="I11" s="3719">
        <f>스크!X14</f>
        <v>235.17499999999998</v>
      </c>
      <c r="J11" s="3719">
        <v>310.24</v>
      </c>
      <c r="K11" s="3719">
        <v>272.18</v>
      </c>
      <c r="L11" s="3720">
        <v>240</v>
      </c>
      <c r="M11" s="3721">
        <f t="shared" si="1"/>
        <v>20</v>
      </c>
      <c r="N11" s="3722">
        <f>스크!X18</f>
        <v>28.58</v>
      </c>
      <c r="O11" s="3723">
        <f>스크!X19</f>
        <v>17.829999999999998</v>
      </c>
      <c r="P11" s="3723">
        <f>스크!X20</f>
        <v>7.32</v>
      </c>
      <c r="Q11" s="3723">
        <f>스크!X22</f>
        <v>27.1</v>
      </c>
      <c r="R11" s="3723">
        <f>스크!X23</f>
        <v>27.73</v>
      </c>
      <c r="S11" s="3723">
        <f>스크!X24</f>
        <v>22.67</v>
      </c>
      <c r="T11" s="3723">
        <f>스크!X27</f>
        <v>24.31</v>
      </c>
      <c r="U11" s="3723">
        <f>스크!X28</f>
        <v>20.59</v>
      </c>
      <c r="V11" s="3723">
        <f>스크!X29</f>
        <v>10.119999999999999</v>
      </c>
      <c r="W11" s="3723">
        <f>스크!X31</f>
        <v>44.02</v>
      </c>
      <c r="X11" s="5548">
        <f>스크!X32</f>
        <v>38.43</v>
      </c>
      <c r="Y11" s="5402">
        <f>스크!X33</f>
        <v>38.369999999999997</v>
      </c>
      <c r="Z11" s="3722">
        <f t="shared" ref="Z11:Z29" si="2">SUM(N11:Y11)</f>
        <v>307.07000000000005</v>
      </c>
      <c r="AA11" s="5126"/>
      <c r="AB11" s="1012"/>
      <c r="AC11" s="1012"/>
      <c r="AD11" s="1012"/>
      <c r="AE11" s="1012"/>
      <c r="AF11" s="1012"/>
      <c r="AG11" s="1012"/>
      <c r="AH11" s="1012"/>
      <c r="AI11" s="1012"/>
      <c r="AJ11" s="1012"/>
      <c r="AK11" s="1014"/>
      <c r="AL11" s="1014"/>
      <c r="AM11" s="1793" t="s">
        <v>232</v>
      </c>
      <c r="AN11" s="1794"/>
      <c r="AO11" s="1795"/>
      <c r="AP11" s="3214" t="s">
        <v>1523</v>
      </c>
    </row>
    <row r="12" spans="1:44">
      <c r="A12" s="7184"/>
      <c r="B12" s="4230" t="s">
        <v>876</v>
      </c>
      <c r="C12" s="3440" t="s">
        <v>612</v>
      </c>
      <c r="D12" s="1641"/>
      <c r="E12" s="1563"/>
      <c r="F12" s="1563"/>
      <c r="G12" s="1563"/>
      <c r="H12" s="1563">
        <v>62</v>
      </c>
      <c r="I12" s="1564">
        <v>110.32</v>
      </c>
      <c r="J12" s="2766">
        <v>2.89</v>
      </c>
      <c r="K12" s="2766">
        <v>20.137</v>
      </c>
      <c r="L12" s="2793">
        <v>11</v>
      </c>
      <c r="M12" s="2790">
        <f t="shared" si="1"/>
        <v>0.91666666666666663</v>
      </c>
      <c r="N12" s="2184">
        <v>0</v>
      </c>
      <c r="O12" s="1638">
        <v>0</v>
      </c>
      <c r="P12" s="2176">
        <v>0</v>
      </c>
      <c r="Q12" s="3617">
        <f>'#2CCL'!Q12</f>
        <v>0</v>
      </c>
      <c r="R12" s="3617">
        <f>'#2CCL'!R12</f>
        <v>0</v>
      </c>
      <c r="S12" s="3617">
        <f>'#2CCL'!S12</f>
        <v>0</v>
      </c>
      <c r="T12" s="3617">
        <f>'#2CCL'!T12</f>
        <v>0</v>
      </c>
      <c r="U12" s="3617">
        <f>'#2CCL'!U12</f>
        <v>0</v>
      </c>
      <c r="V12" s="3617">
        <f>'#2CCL'!V12</f>
        <v>0</v>
      </c>
      <c r="W12" s="3617">
        <f>'#2CCL'!W12</f>
        <v>0</v>
      </c>
      <c r="X12" s="5506">
        <f>'#2CCL'!X12</f>
        <v>2.96</v>
      </c>
      <c r="Y12" s="5351">
        <f>'#2CCL'!Y12</f>
        <v>0</v>
      </c>
      <c r="Z12" s="5375">
        <f t="shared" si="2"/>
        <v>2.96</v>
      </c>
      <c r="AA12" s="5111"/>
      <c r="AB12" s="3449"/>
      <c r="AC12" s="3449"/>
      <c r="AD12" s="3449"/>
      <c r="AE12" s="3449"/>
      <c r="AF12" s="3449"/>
      <c r="AG12" s="3449"/>
      <c r="AH12" s="3449"/>
      <c r="AI12" s="3449"/>
      <c r="AJ12" s="3449"/>
      <c r="AK12" s="4753"/>
      <c r="AL12" s="1639"/>
      <c r="AM12" s="1640" t="s">
        <v>878</v>
      </c>
      <c r="AN12" s="1640"/>
      <c r="AO12" s="1637"/>
      <c r="AP12" s="4182" t="s">
        <v>1524</v>
      </c>
    </row>
    <row r="13" spans="1:44">
      <c r="A13" s="7184"/>
      <c r="B13" s="4230" t="s">
        <v>877</v>
      </c>
      <c r="C13" s="3440" t="s">
        <v>612</v>
      </c>
      <c r="D13" s="1641">
        <v>277</v>
      </c>
      <c r="E13" s="1563">
        <v>379.22</v>
      </c>
      <c r="F13" s="1563">
        <v>449.47</v>
      </c>
      <c r="G13" s="1563">
        <f>679.82</f>
        <v>679.82</v>
      </c>
      <c r="H13" s="1563">
        <f>413.647</f>
        <v>413.64699999999999</v>
      </c>
      <c r="I13" s="1564">
        <f>77.4</f>
        <v>77.400000000000006</v>
      </c>
      <c r="J13" s="2766">
        <v>128.14100000000002</v>
      </c>
      <c r="K13" s="2766">
        <v>93.301999999999992</v>
      </c>
      <c r="L13" s="2793">
        <v>72</v>
      </c>
      <c r="M13" s="2790">
        <f t="shared" si="1"/>
        <v>6</v>
      </c>
      <c r="N13" s="2184">
        <v>6.8819999999999997</v>
      </c>
      <c r="O13" s="1638">
        <v>8.3190000000000008</v>
      </c>
      <c r="P13" s="2176">
        <v>12.63</v>
      </c>
      <c r="Q13" s="3617">
        <f>'#2CCL'!Q13</f>
        <v>12.698</v>
      </c>
      <c r="R13" s="3617">
        <f>'#2CCL'!R13</f>
        <v>9.9699999999999989</v>
      </c>
      <c r="S13" s="3617">
        <f>'#2CCL'!S13</f>
        <v>10.278</v>
      </c>
      <c r="T13" s="3617">
        <f>'#2CCL'!T13</f>
        <v>11.866</v>
      </c>
      <c r="U13" s="3617">
        <f>'#2CCL'!U13</f>
        <v>6.38</v>
      </c>
      <c r="V13" s="3617">
        <f>'#2CCL'!V13</f>
        <v>12.66</v>
      </c>
      <c r="W13" s="3617">
        <f>'#2CCL'!W13</f>
        <v>11.576000000000001</v>
      </c>
      <c r="X13" s="5506">
        <f>'#2CCL'!X13</f>
        <v>28.02</v>
      </c>
      <c r="Y13" s="5351">
        <f>'#2CCL'!Y13</f>
        <v>14.891</v>
      </c>
      <c r="Z13" s="5375">
        <f t="shared" si="2"/>
        <v>146.16999999999999</v>
      </c>
      <c r="AA13" s="5111">
        <f>($K$13/12-N13)*년간!$C$217/1000</f>
        <v>772.00703120767787</v>
      </c>
      <c r="AB13" s="3449">
        <f>($K$13/12-O13)*년간!$C$216/1000</f>
        <v>-382.41176304951</v>
      </c>
      <c r="AC13" s="3449">
        <f>($K$13/12-P13)*년간!$C$216/1000</f>
        <v>-3413.8131308210709</v>
      </c>
      <c r="AD13" s="3449">
        <f>($K$13/12-Q13)*년간!$C$216/1000</f>
        <v>-3461.629250748806</v>
      </c>
      <c r="AE13" s="3449">
        <f>($K$13/12-R13)*년간!$C$216/1000</f>
        <v>-1543.3590277655483</v>
      </c>
      <c r="AF13" s="3449">
        <f>($K$13/12-S13)*년간!$C$216/1000</f>
        <v>-1759.9379239088203</v>
      </c>
      <c r="AG13" s="3449">
        <f>($K$13/12-T13)*년간!$C$216/1000</f>
        <v>-2876.5849598682817</v>
      </c>
      <c r="AH13" s="3449">
        <f>($K$13/12-U13)*년간!$C$216/1000</f>
        <v>981.05083312517331</v>
      </c>
      <c r="AI13" s="3449">
        <f>($K$13/12-V13)*년간!$C$216/1000</f>
        <v>-3434.9084778480124</v>
      </c>
      <c r="AJ13" s="3449">
        <f>($K$13/12-W13)*년간!$C$216/1000</f>
        <v>-2672.6632719411759</v>
      </c>
      <c r="AK13" s="4753">
        <f>($K$13/12-X13)*년간!$C$216/1000</f>
        <v>-14235.7261556423</v>
      </c>
      <c r="AL13" s="1639">
        <f>($K$13/12-Y13)*년간!$C$217/1000</f>
        <v>-6150.5579767515974</v>
      </c>
      <c r="AM13" s="1639">
        <f>($K$13-L13)*년간!$C$217/1000</f>
        <v>18412.346085597255</v>
      </c>
      <c r="AN13" s="1640">
        <f>AA13+AB13+AC13+AD13+AE13+AF13+AG13+AH13+AI13+AJ13+AK13+AL13</f>
        <v>-38178.53407401227</v>
      </c>
      <c r="AO13" s="1796">
        <f>AN13/AM13</f>
        <v>-2.0735290275624778</v>
      </c>
      <c r="AP13" s="5156" t="s">
        <v>1525</v>
      </c>
      <c r="AQ13" s="2336" t="s">
        <v>1145</v>
      </c>
      <c r="AR13" s="2336"/>
    </row>
    <row r="14" spans="1:44">
      <c r="A14" s="7184"/>
      <c r="B14" s="4230" t="s">
        <v>875</v>
      </c>
      <c r="C14" s="3440" t="s">
        <v>612</v>
      </c>
      <c r="D14" s="1641"/>
      <c r="E14" s="1563"/>
      <c r="F14" s="1563"/>
      <c r="G14" s="1563"/>
      <c r="H14" s="1563">
        <f>490</f>
        <v>490</v>
      </c>
      <c r="I14" s="1564">
        <v>304</v>
      </c>
      <c r="J14" s="2766">
        <v>305.80000000000007</v>
      </c>
      <c r="K14" s="2766">
        <v>265.07299999999998</v>
      </c>
      <c r="L14" s="2793">
        <v>251</v>
      </c>
      <c r="M14" s="2790">
        <f t="shared" si="1"/>
        <v>20.916666666666668</v>
      </c>
      <c r="N14" s="1663">
        <v>22.11</v>
      </c>
      <c r="O14" s="1638">
        <v>21.89</v>
      </c>
      <c r="P14" s="2176">
        <v>22.2</v>
      </c>
      <c r="Q14" s="3617">
        <f>'#2CCL'!Q14</f>
        <v>21.15</v>
      </c>
      <c r="R14" s="3617">
        <f>'#2CCL'!R14</f>
        <v>20.100000000000001</v>
      </c>
      <c r="S14" s="3617">
        <f>'#2CCL'!S14</f>
        <v>24.33</v>
      </c>
      <c r="T14" s="3617">
        <f>'#2CCL'!T14</f>
        <v>24.28</v>
      </c>
      <c r="U14" s="3617">
        <f>'#2CCL'!U14</f>
        <v>22.36</v>
      </c>
      <c r="V14" s="3617">
        <f>'#2CCL'!V14</f>
        <v>19.96</v>
      </c>
      <c r="W14" s="3617">
        <f>'#2CCL'!W14</f>
        <v>19.510000000000002</v>
      </c>
      <c r="X14" s="5506">
        <f>'#2CCL'!X14</f>
        <v>21.31</v>
      </c>
      <c r="Y14" s="5351">
        <f>'#2CCL'!Y14</f>
        <v>17.18</v>
      </c>
      <c r="Z14" s="5375">
        <f t="shared" si="2"/>
        <v>256.37999999999994</v>
      </c>
      <c r="AA14" s="5111"/>
      <c r="AB14" s="3449"/>
      <c r="AC14" s="3449"/>
      <c r="AD14" s="3449"/>
      <c r="AE14" s="3449"/>
      <c r="AF14" s="3449"/>
      <c r="AG14" s="3449"/>
      <c r="AH14" s="3449"/>
      <c r="AI14" s="3449"/>
      <c r="AJ14" s="3449"/>
      <c r="AK14" s="4753"/>
      <c r="AL14" s="1639"/>
      <c r="AM14" s="1640" t="s">
        <v>878</v>
      </c>
      <c r="AN14" s="1640"/>
      <c r="AO14" s="1637"/>
      <c r="AP14" s="5156" t="s">
        <v>1526</v>
      </c>
    </row>
    <row r="15" spans="1:44">
      <c r="A15" s="7184"/>
      <c r="B15" s="1616" t="s">
        <v>1013</v>
      </c>
      <c r="C15" s="3440" t="s">
        <v>440</v>
      </c>
      <c r="D15" s="2767">
        <v>248</v>
      </c>
      <c r="E15" s="2767">
        <v>248</v>
      </c>
      <c r="F15" s="2767">
        <v>248</v>
      </c>
      <c r="G15" s="2767">
        <v>248</v>
      </c>
      <c r="H15" s="2767">
        <v>248</v>
      </c>
      <c r="I15" s="2767">
        <v>248</v>
      </c>
      <c r="J15" s="2767">
        <v>248</v>
      </c>
      <c r="K15" s="2767">
        <v>211.26499999999999</v>
      </c>
      <c r="L15" s="2795">
        <v>144</v>
      </c>
      <c r="M15" s="2790">
        <f t="shared" si="1"/>
        <v>12</v>
      </c>
      <c r="N15" s="1663">
        <v>23.75</v>
      </c>
      <c r="O15" s="1632">
        <v>12.75</v>
      </c>
      <c r="P15" s="2176">
        <v>4.26</v>
      </c>
      <c r="Q15" s="3617">
        <f>'#2CCL'!Q15</f>
        <v>0</v>
      </c>
      <c r="R15" s="3617">
        <f>'#2CCL'!R15</f>
        <v>0</v>
      </c>
      <c r="S15" s="3617">
        <f>'#2CCL'!S15</f>
        <v>0</v>
      </c>
      <c r="T15" s="3617">
        <f>'#2CCL'!T15</f>
        <v>0</v>
      </c>
      <c r="U15" s="3617">
        <f>'#2CCL'!U15</f>
        <v>0</v>
      </c>
      <c r="V15" s="3617">
        <f>'#2CCL'!V15</f>
        <v>0</v>
      </c>
      <c r="W15" s="3617">
        <f>'#2CCL'!W15</f>
        <v>0</v>
      </c>
      <c r="X15" s="5506">
        <f>'#2CCL'!X15</f>
        <v>0</v>
      </c>
      <c r="Y15" s="5351">
        <f>'#2CCL'!Y15</f>
        <v>0.91</v>
      </c>
      <c r="Z15" s="5375">
        <f t="shared" si="2"/>
        <v>41.669999999999995</v>
      </c>
      <c r="AA15" s="5111"/>
      <c r="AB15" s="3449"/>
      <c r="AC15" s="3449"/>
      <c r="AD15" s="3449"/>
      <c r="AE15" s="3449"/>
      <c r="AF15" s="3449"/>
      <c r="AG15" s="3449"/>
      <c r="AH15" s="3449"/>
      <c r="AI15" s="3449"/>
      <c r="AJ15" s="3449"/>
      <c r="AK15" s="4753"/>
      <c r="AL15" s="1639"/>
      <c r="AM15" s="1640"/>
      <c r="AN15" s="1640"/>
      <c r="AO15" s="1637"/>
      <c r="AP15" s="4152" t="s">
        <v>1527</v>
      </c>
      <c r="AQ15" s="1536" t="s">
        <v>1445</v>
      </c>
    </row>
    <row r="16" spans="1:44">
      <c r="A16" s="7184"/>
      <c r="B16" s="1616" t="s">
        <v>1135</v>
      </c>
      <c r="C16" s="3440" t="s">
        <v>440</v>
      </c>
      <c r="D16" s="3724"/>
      <c r="E16" s="3725"/>
      <c r="F16" s="3725"/>
      <c r="G16" s="3725"/>
      <c r="H16" s="3725"/>
      <c r="I16" s="3726"/>
      <c r="J16" s="3727"/>
      <c r="K16" s="3727">
        <v>151.458</v>
      </c>
      <c r="L16" s="3728">
        <v>120</v>
      </c>
      <c r="M16" s="3729">
        <f>L16/12</f>
        <v>10</v>
      </c>
      <c r="N16" s="3730">
        <v>6.8999999999999995</v>
      </c>
      <c r="O16" s="3731">
        <v>18.64</v>
      </c>
      <c r="P16" s="3732">
        <v>22.5</v>
      </c>
      <c r="Q16" s="3617">
        <f>'#2CCL'!Q16</f>
        <v>7.17</v>
      </c>
      <c r="R16" s="3617">
        <f>'#2CCL'!R16</f>
        <v>0</v>
      </c>
      <c r="S16" s="3617">
        <f>'#2CCL'!S16</f>
        <v>0</v>
      </c>
      <c r="T16" s="3617">
        <f>'#2CCL'!T16</f>
        <v>1.1399999999999999</v>
      </c>
      <c r="U16" s="3617">
        <f>'#2CCL'!U16</f>
        <v>6.72</v>
      </c>
      <c r="V16" s="3617">
        <f>'#2CCL'!V16</f>
        <v>7.47</v>
      </c>
      <c r="W16" s="3617">
        <f>'#2CCL'!W16</f>
        <v>0</v>
      </c>
      <c r="X16" s="5506">
        <f>'#2CCL'!X16</f>
        <v>3.26</v>
      </c>
      <c r="Y16" s="5351">
        <f>'#2CCL'!Y16</f>
        <v>12.9</v>
      </c>
      <c r="Z16" s="6932">
        <f t="shared" si="2"/>
        <v>86.700000000000017</v>
      </c>
      <c r="AA16" s="5111"/>
      <c r="AB16" s="3449"/>
      <c r="AC16" s="3449"/>
      <c r="AD16" s="3449"/>
      <c r="AE16" s="3449"/>
      <c r="AF16" s="3449"/>
      <c r="AG16" s="3449"/>
      <c r="AH16" s="3449"/>
      <c r="AI16" s="3449"/>
      <c r="AJ16" s="3449"/>
      <c r="AK16" s="4753"/>
      <c r="AL16" s="1639"/>
      <c r="AM16" s="1640"/>
      <c r="AN16" s="1640"/>
      <c r="AO16" s="1637"/>
      <c r="AP16" s="4152" t="s">
        <v>1528</v>
      </c>
    </row>
    <row r="17" spans="1:47">
      <c r="A17" s="7184"/>
      <c r="B17" s="1616" t="s">
        <v>1041</v>
      </c>
      <c r="C17" s="3440" t="s">
        <v>440</v>
      </c>
      <c r="D17" s="1641">
        <v>12.696</v>
      </c>
      <c r="E17" s="1563">
        <v>12.696</v>
      </c>
      <c r="F17" s="1563">
        <v>12.696</v>
      </c>
      <c r="G17" s="1563">
        <v>12.696</v>
      </c>
      <c r="H17" s="1754">
        <v>12.696</v>
      </c>
      <c r="I17" s="1755">
        <v>12.696</v>
      </c>
      <c r="J17" s="2767">
        <v>12.696</v>
      </c>
      <c r="K17" s="2767">
        <v>12.643999999999998</v>
      </c>
      <c r="L17" s="2795">
        <v>7.43</v>
      </c>
      <c r="M17" s="2790">
        <f t="shared" si="1"/>
        <v>0.61916666666666664</v>
      </c>
      <c r="N17" s="1663">
        <v>0</v>
      </c>
      <c r="O17" s="1638">
        <v>0.95</v>
      </c>
      <c r="P17" s="2176">
        <v>1.38</v>
      </c>
      <c r="Q17" s="3617">
        <f>'#2CCL'!Q17</f>
        <v>0</v>
      </c>
      <c r="R17" s="3617">
        <f>'#2CCL'!R17</f>
        <v>0</v>
      </c>
      <c r="S17" s="3617">
        <f>'#2CCL'!S17</f>
        <v>1.4419999999999999</v>
      </c>
      <c r="T17" s="3617">
        <f>'#2CCL'!T17</f>
        <v>0</v>
      </c>
      <c r="U17" s="3617">
        <f>'#2CCL'!U17</f>
        <v>6.14</v>
      </c>
      <c r="V17" s="3617">
        <f>'#2CCL'!V17</f>
        <v>0.88</v>
      </c>
      <c r="W17" s="3617">
        <f>'#2CCL'!W17</f>
        <v>3.18</v>
      </c>
      <c r="X17" s="5506">
        <f>'#2CCL'!X17</f>
        <v>9.3960000000000008</v>
      </c>
      <c r="Y17" s="5351">
        <f>'#2CCL'!Y17</f>
        <v>24.4</v>
      </c>
      <c r="Z17" s="5375">
        <f t="shared" si="2"/>
        <v>47.768000000000001</v>
      </c>
      <c r="AA17" s="5111"/>
      <c r="AB17" s="3449"/>
      <c r="AC17" s="3449"/>
      <c r="AD17" s="3449"/>
      <c r="AE17" s="3449"/>
      <c r="AF17" s="3449"/>
      <c r="AG17" s="3449"/>
      <c r="AH17" s="3449"/>
      <c r="AI17" s="3449"/>
      <c r="AJ17" s="3449"/>
      <c r="AK17" s="4753"/>
      <c r="AL17" s="1639"/>
      <c r="AM17" s="1640"/>
      <c r="AN17" s="1640"/>
      <c r="AO17" s="1637"/>
      <c r="AP17" s="5156" t="s">
        <v>1529</v>
      </c>
    </row>
    <row r="18" spans="1:47">
      <c r="A18" s="7184"/>
      <c r="B18" s="1616" t="s">
        <v>1042</v>
      </c>
      <c r="C18" s="3440" t="s">
        <v>440</v>
      </c>
      <c r="D18" s="3724"/>
      <c r="E18" s="3725"/>
      <c r="F18" s="3725"/>
      <c r="G18" s="3725"/>
      <c r="H18" s="3725"/>
      <c r="I18" s="3726"/>
      <c r="J18" s="3727">
        <v>50.28</v>
      </c>
      <c r="K18" s="3727">
        <v>31.545000000000002</v>
      </c>
      <c r="L18" s="3728">
        <v>24</v>
      </c>
      <c r="M18" s="3729">
        <f>L18/12</f>
        <v>2</v>
      </c>
      <c r="N18" s="3733">
        <v>6.72</v>
      </c>
      <c r="O18" s="3734">
        <v>4.4000000000000004</v>
      </c>
      <c r="P18" s="3732">
        <v>8.82</v>
      </c>
      <c r="Q18" s="3617">
        <f>'#2CCL'!Q18</f>
        <v>2.42</v>
      </c>
      <c r="R18" s="3617">
        <f>'#2CCL'!R18</f>
        <v>11.86</v>
      </c>
      <c r="S18" s="3617">
        <f>'#2CCL'!S18</f>
        <v>0.7</v>
      </c>
      <c r="T18" s="3617">
        <f>'#2CCL'!T18</f>
        <v>1.1599999999999999</v>
      </c>
      <c r="U18" s="3617">
        <f>'#2CCL'!U18</f>
        <v>6.27</v>
      </c>
      <c r="V18" s="3617">
        <f>'#2CCL'!V18</f>
        <v>10.42</v>
      </c>
      <c r="W18" s="3617">
        <f>'#2CCL'!W18</f>
        <v>3.9</v>
      </c>
      <c r="X18" s="5506">
        <f>'#2CCL'!X18</f>
        <v>3.18</v>
      </c>
      <c r="Y18" s="5351">
        <f>'#2CCL'!Y18</f>
        <v>3.62</v>
      </c>
      <c r="Z18" s="6932">
        <f t="shared" si="2"/>
        <v>63.469999999999992</v>
      </c>
      <c r="AA18" s="5111"/>
      <c r="AB18" s="3449"/>
      <c r="AC18" s="3449"/>
      <c r="AD18" s="3449"/>
      <c r="AE18" s="3449"/>
      <c r="AF18" s="3449"/>
      <c r="AG18" s="3449"/>
      <c r="AH18" s="3449"/>
      <c r="AI18" s="3449"/>
      <c r="AJ18" s="3449"/>
      <c r="AK18" s="4753"/>
      <c r="AL18" s="1639"/>
      <c r="AM18" s="1640"/>
      <c r="AN18" s="1640"/>
      <c r="AO18" s="1637"/>
      <c r="AP18" s="5156" t="s">
        <v>1530</v>
      </c>
      <c r="AQ18" s="5253"/>
      <c r="AR18" s="5253"/>
      <c r="AS18" s="5253"/>
      <c r="AT18" s="5253"/>
      <c r="AU18" s="1707"/>
    </row>
    <row r="19" spans="1:47">
      <c r="A19" s="7184"/>
      <c r="B19" s="1616" t="s">
        <v>1133</v>
      </c>
      <c r="C19" s="3440"/>
      <c r="D19" s="1641">
        <v>6.5420000000000016</v>
      </c>
      <c r="E19" s="1563">
        <v>6.5420000000000016</v>
      </c>
      <c r="F19" s="1563">
        <v>6.5420000000000016</v>
      </c>
      <c r="G19" s="1563">
        <v>6.5420000000000016</v>
      </c>
      <c r="H19" s="1754">
        <v>6.5420000000000016</v>
      </c>
      <c r="I19" s="1755">
        <v>6.5420000000000016</v>
      </c>
      <c r="J19" s="2767">
        <v>6.5420000000000016</v>
      </c>
      <c r="K19" s="2767">
        <v>6.5420000000000016</v>
      </c>
      <c r="L19" s="2795">
        <v>4</v>
      </c>
      <c r="M19" s="2790">
        <f>L19/12</f>
        <v>0.33333333333333331</v>
      </c>
      <c r="N19" s="1666">
        <v>0</v>
      </c>
      <c r="O19" s="1638">
        <v>0</v>
      </c>
      <c r="P19" s="2176">
        <v>1.3560000000000001</v>
      </c>
      <c r="Q19" s="3617">
        <f>'#2CCL'!Q19</f>
        <v>2.23</v>
      </c>
      <c r="R19" s="3617">
        <f>'#2CCL'!R19</f>
        <v>0</v>
      </c>
      <c r="S19" s="3617">
        <f>'#2CCL'!S19</f>
        <v>2.2200000000000002</v>
      </c>
      <c r="T19" s="3617">
        <f>'#2CCL'!T19</f>
        <v>1.2969999999999999</v>
      </c>
      <c r="U19" s="3617">
        <f>'#2CCL'!U19</f>
        <v>1.54</v>
      </c>
      <c r="V19" s="3617">
        <f>'#2CCL'!V19</f>
        <v>1.1399999999999999</v>
      </c>
      <c r="W19" s="3617">
        <f>'#2CCL'!W19</f>
        <v>2.633</v>
      </c>
      <c r="X19" s="5506">
        <f>'#2CCL'!X19</f>
        <v>1.524</v>
      </c>
      <c r="Y19" s="5351">
        <f>'#2CCL'!Y19</f>
        <v>4.4180000000000001</v>
      </c>
      <c r="Z19" s="5375">
        <f t="shared" si="2"/>
        <v>18.358000000000001</v>
      </c>
      <c r="AA19" s="5111"/>
      <c r="AB19" s="3449"/>
      <c r="AC19" s="3449"/>
      <c r="AD19" s="3449"/>
      <c r="AE19" s="3449"/>
      <c r="AF19" s="3449"/>
      <c r="AG19" s="3449"/>
      <c r="AH19" s="3449"/>
      <c r="AI19" s="3449"/>
      <c r="AJ19" s="3449"/>
      <c r="AK19" s="4753"/>
      <c r="AL19" s="1639"/>
      <c r="AM19" s="1640"/>
      <c r="AN19" s="1640"/>
      <c r="AO19" s="1637"/>
      <c r="AP19" s="4152" t="s">
        <v>1531</v>
      </c>
    </row>
    <row r="20" spans="1:47">
      <c r="A20" s="7184"/>
      <c r="B20" s="4230" t="s">
        <v>583</v>
      </c>
      <c r="C20" s="3262" t="s">
        <v>440</v>
      </c>
      <c r="D20" s="3724">
        <v>121.2</v>
      </c>
      <c r="E20" s="3725">
        <v>271.89999999999998</v>
      </c>
      <c r="F20" s="3725">
        <v>144.80000000000001</v>
      </c>
      <c r="G20" s="3725">
        <v>389.9</v>
      </c>
      <c r="H20" s="3725">
        <v>892.3</v>
      </c>
      <c r="I20" s="3726">
        <v>479.8</v>
      </c>
      <c r="J20" s="3727">
        <v>550.02</v>
      </c>
      <c r="K20" s="3727">
        <v>404.41999999999996</v>
      </c>
      <c r="L20" s="3728">
        <v>375</v>
      </c>
      <c r="M20" s="3735">
        <f>L20/12</f>
        <v>31.25</v>
      </c>
      <c r="N20" s="3736">
        <f>스크!V18</f>
        <v>36.74</v>
      </c>
      <c r="O20" s="3737">
        <f>스크!V19</f>
        <v>28.27</v>
      </c>
      <c r="P20" s="3738">
        <f>스크!V20</f>
        <v>24.44</v>
      </c>
      <c r="Q20" s="5098">
        <f>스크!V22</f>
        <v>22.97</v>
      </c>
      <c r="R20" s="5098">
        <f>스크!V23</f>
        <v>18.46</v>
      </c>
      <c r="S20" s="5098">
        <f>스크!V24</f>
        <v>9.5399999999999991</v>
      </c>
      <c r="T20" s="5098">
        <f>스크!V27</f>
        <v>31.19</v>
      </c>
      <c r="U20" s="5098">
        <f>스크!V28</f>
        <v>18.45</v>
      </c>
      <c r="V20" s="5098">
        <f>스크!V29</f>
        <v>27.6</v>
      </c>
      <c r="W20" s="5098">
        <f>스크!V31</f>
        <v>23.18</v>
      </c>
      <c r="X20" s="5550">
        <f>스크!V32</f>
        <v>3.84</v>
      </c>
      <c r="Y20" s="5404">
        <f>스크!V33</f>
        <v>42.86</v>
      </c>
      <c r="Z20" s="6932">
        <f t="shared" si="2"/>
        <v>287.53999999999996</v>
      </c>
      <c r="AA20" s="5111"/>
      <c r="AB20" s="3449"/>
      <c r="AC20" s="3449"/>
      <c r="AD20" s="3449"/>
      <c r="AE20" s="3449"/>
      <c r="AF20" s="3449"/>
      <c r="AG20" s="3449"/>
      <c r="AH20" s="3449"/>
      <c r="AI20" s="3449"/>
      <c r="AJ20" s="3449"/>
      <c r="AK20" s="4753"/>
      <c r="AL20" s="1639"/>
      <c r="AM20" s="1640"/>
      <c r="AN20" s="1640"/>
      <c r="AO20" s="1637"/>
      <c r="AP20" s="4152" t="s">
        <v>1532</v>
      </c>
    </row>
    <row r="21" spans="1:47">
      <c r="A21" s="7184"/>
      <c r="B21" s="1616" t="s">
        <v>112</v>
      </c>
      <c r="C21" s="3440" t="s">
        <v>440</v>
      </c>
      <c r="D21" s="3713">
        <f t="shared" ref="D21:L21" si="3">SUM(D12:D20)</f>
        <v>665.4380000000001</v>
      </c>
      <c r="E21" s="1562">
        <f t="shared" si="3"/>
        <v>918.35800000000006</v>
      </c>
      <c r="F21" s="1562">
        <f t="shared" si="3"/>
        <v>861.50800000000004</v>
      </c>
      <c r="G21" s="1562">
        <f t="shared" si="3"/>
        <v>1336.9580000000001</v>
      </c>
      <c r="H21" s="1562">
        <f t="shared" si="3"/>
        <v>2125.1849999999995</v>
      </c>
      <c r="I21" s="1562">
        <f t="shared" si="3"/>
        <v>1238.758</v>
      </c>
      <c r="J21" s="1562">
        <f t="shared" si="3"/>
        <v>1304.3690000000001</v>
      </c>
      <c r="K21" s="2137">
        <f t="shared" si="3"/>
        <v>1196.386</v>
      </c>
      <c r="L21" s="2789">
        <f t="shared" si="3"/>
        <v>1008.43</v>
      </c>
      <c r="M21" s="2790">
        <f>L21/12</f>
        <v>84.035833333333329</v>
      </c>
      <c r="N21" s="3647">
        <f>SUM(N12:N20)</f>
        <v>103.102</v>
      </c>
      <c r="O21" s="3716">
        <f>SUM(O12:O20)</f>
        <v>95.219000000000008</v>
      </c>
      <c r="P21" s="3716">
        <f t="shared" ref="P21:Y21" si="4">SUM(P12:P20)</f>
        <v>97.585999999999984</v>
      </c>
      <c r="Q21" s="5097">
        <f t="shared" si="4"/>
        <v>68.638000000000005</v>
      </c>
      <c r="R21" s="5097">
        <f t="shared" si="4"/>
        <v>60.39</v>
      </c>
      <c r="S21" s="5097">
        <f t="shared" si="4"/>
        <v>48.51</v>
      </c>
      <c r="T21" s="5097">
        <f t="shared" si="4"/>
        <v>70.932999999999993</v>
      </c>
      <c r="U21" s="5097">
        <f t="shared" si="4"/>
        <v>67.86</v>
      </c>
      <c r="V21" s="5097">
        <f t="shared" si="4"/>
        <v>80.13000000000001</v>
      </c>
      <c r="W21" s="5097">
        <f t="shared" si="4"/>
        <v>63.979000000000006</v>
      </c>
      <c r="X21" s="5527">
        <f t="shared" si="4"/>
        <v>73.490000000000009</v>
      </c>
      <c r="Y21" s="5378">
        <f t="shared" si="4"/>
        <v>121.179</v>
      </c>
      <c r="Z21" s="5375">
        <f t="shared" si="2"/>
        <v>951.01600000000008</v>
      </c>
      <c r="AA21" s="5117"/>
      <c r="AB21" s="3476"/>
      <c r="AC21" s="3476"/>
      <c r="AD21" s="3476"/>
      <c r="AE21" s="3476"/>
      <c r="AF21" s="3476"/>
      <c r="AG21" s="3476"/>
      <c r="AH21" s="3476"/>
      <c r="AI21" s="3476"/>
      <c r="AJ21" s="3476"/>
      <c r="AK21" s="4266"/>
      <c r="AL21" s="1595"/>
      <c r="AM21" s="1797"/>
      <c r="AN21" s="1798"/>
      <c r="AO21" s="1799"/>
      <c r="AP21" s="5156" t="s">
        <v>1533</v>
      </c>
    </row>
    <row r="22" spans="1:47">
      <c r="A22" s="7184"/>
      <c r="B22" s="4230" t="s">
        <v>886</v>
      </c>
      <c r="C22" s="3440" t="s">
        <v>270</v>
      </c>
      <c r="D22" s="3714">
        <v>8.2911105922346788</v>
      </c>
      <c r="E22" s="3709">
        <v>11.655086504856463</v>
      </c>
      <c r="F22" s="3740">
        <f t="shared" ref="F22:K22" si="5">(F12+F13+F14+F15+F17+F19)*1000/F5</f>
        <v>13.684172742088972</v>
      </c>
      <c r="G22" s="3740">
        <f t="shared" si="5"/>
        <v>19.443572183433837</v>
      </c>
      <c r="H22" s="3740">
        <f t="shared" si="5"/>
        <v>19.620948081295719</v>
      </c>
      <c r="I22" s="3740">
        <f t="shared" si="5"/>
        <v>16.797795582311544</v>
      </c>
      <c r="J22" s="3740">
        <f t="shared" si="5"/>
        <v>12.883710291318991</v>
      </c>
      <c r="K22" s="3710">
        <f t="shared" si="5"/>
        <v>11.546987385240101</v>
      </c>
      <c r="L22" s="3739">
        <f>(L12+L13+L14+L15+L17+L19)*1000/L5</f>
        <v>9.1818625243884142</v>
      </c>
      <c r="M22" s="3882">
        <f>(M12+M13+M14+M15+M17+M19)*1000/M5</f>
        <v>9.1818625243884142</v>
      </c>
      <c r="N22" s="3739">
        <f>(N12+N13+N14+N15+N17+N19)*1000/N5</f>
        <v>9.8128119877725908</v>
      </c>
      <c r="O22" s="3741">
        <f>(O12+O13+O14+O15+O17+O19)*1000/O5</f>
        <v>8.1871813900066019</v>
      </c>
      <c r="P22" s="3741">
        <f t="shared" ref="P22:Z22" si="6">(P12+P13+P14+P15+P17+P19)*1000/P5</f>
        <v>9.9283042837976812</v>
      </c>
      <c r="Q22" s="3620">
        <f t="shared" si="6"/>
        <v>7.8782524159056919</v>
      </c>
      <c r="R22" s="3620">
        <f t="shared" si="6"/>
        <v>7.3330910917697203</v>
      </c>
      <c r="S22" s="3620">
        <f t="shared" si="6"/>
        <v>6.6672241560133916</v>
      </c>
      <c r="T22" s="3620">
        <f t="shared" si="6"/>
        <v>7.5281075082030489</v>
      </c>
      <c r="U22" s="3620">
        <f t="shared" si="6"/>
        <v>7.8874874389271952</v>
      </c>
      <c r="V22" s="3620">
        <f t="shared" si="6"/>
        <v>7.5727268156290259</v>
      </c>
      <c r="W22" s="3620">
        <f t="shared" si="6"/>
        <v>8.1562596015481859</v>
      </c>
      <c r="X22" s="5515">
        <f t="shared" si="6"/>
        <v>13.006199601233748</v>
      </c>
      <c r="Y22" s="5359">
        <f t="shared" si="6"/>
        <v>13.248027233925786</v>
      </c>
      <c r="Z22" s="6933">
        <f t="shared" si="6"/>
        <v>8.9138705115418251</v>
      </c>
      <c r="AA22" s="5111">
        <f>($K$22-N22)*년간!$C$217*N5/1000000</f>
        <v>8056.4717072619969</v>
      </c>
      <c r="AB22" s="3449">
        <f>($K$22-O22)*년간!$C$217*O5/1000000</f>
        <v>15574.785846334295</v>
      </c>
      <c r="AC22" s="3449">
        <f>($K$22-P22)*년간!$C$217*P5/1000000</f>
        <v>5894.1588498443061</v>
      </c>
      <c r="AD22" s="3449">
        <f>($K$22-Q22)*년간!$C$217*Q5/1000000</f>
        <v>14521.70638009822</v>
      </c>
      <c r="AE22" s="3449">
        <f>($K$22-R22)*년간!$C$217*R5/1000000</f>
        <v>14935.471605585071</v>
      </c>
      <c r="AF22" s="3449">
        <f>($K$22-S22)*년간!$C$217*S5/1000000</f>
        <v>24210.340910222261</v>
      </c>
      <c r="AG22" s="3449">
        <f>($K$22-T22)*년간!$C$217*T5/1000000</f>
        <v>17277.408430853386</v>
      </c>
      <c r="AH22" s="3449">
        <f>($K$22-U22)*년간!$C$217*U5/1000000</f>
        <v>14605.342812725507</v>
      </c>
      <c r="AI22" s="3449">
        <f>($K$22-V22)*년간!$C$217*V5/1000000</f>
        <v>15713.418608540595</v>
      </c>
      <c r="AJ22" s="3449">
        <f>($K$22-W22)*년간!$C$217*W5/1000000</f>
        <v>13258.830854108503</v>
      </c>
      <c r="AK22" s="3449">
        <f>($K$22-X22)*년간!$C$217*X5/1000000</f>
        <v>-6129.7474483231354</v>
      </c>
      <c r="AL22" s="3449">
        <f>($K$22-Y22)*년간!$C$217*Y5/1000000</f>
        <v>-6858.5683664564694</v>
      </c>
      <c r="AM22" s="1640">
        <f>(K22-L22)*L5*년간!C217/1000000</f>
        <v>108968.9139674918</v>
      </c>
      <c r="AN22" s="1640">
        <f>AA22+AB22+AC22+AD22+AE22+AF22+AG22+AH22+AI22+AJ22+AK22+AL22</f>
        <v>131059.62019079451</v>
      </c>
      <c r="AO22" s="1637">
        <f>AN22/AM22</f>
        <v>1.2027248452700274</v>
      </c>
      <c r="AP22" s="1060" t="s">
        <v>1534</v>
      </c>
      <c r="AQ22" s="1536" t="s">
        <v>1134</v>
      </c>
    </row>
    <row r="23" spans="1:47" ht="18" thickBot="1">
      <c r="A23" s="7069"/>
      <c r="B23" s="1616" t="s">
        <v>1516</v>
      </c>
      <c r="C23" s="3235" t="s">
        <v>270</v>
      </c>
      <c r="D23" s="3715">
        <f>스크!AA9</f>
        <v>8.2911105922346788</v>
      </c>
      <c r="E23" s="3711">
        <f>스크!AA10</f>
        <v>11.655086504856463</v>
      </c>
      <c r="F23" s="3711">
        <f>스크!AA11</f>
        <v>15.074693663590669</v>
      </c>
      <c r="G23" s="3711">
        <f>스크!AA12</f>
        <v>19.343927791956471</v>
      </c>
      <c r="H23" s="3711">
        <f>스크!AA13</f>
        <v>20.895347900877322</v>
      </c>
      <c r="I23" s="3711">
        <f>스크!AA14</f>
        <v>15.856893496308224</v>
      </c>
      <c r="J23" s="3712">
        <f>스크!AA15</f>
        <v>15.807687922740499</v>
      </c>
      <c r="K23" s="3185">
        <f>스크!AA16</f>
        <v>12.840538296772625</v>
      </c>
      <c r="L23" s="3069">
        <f>(L11+L12+L13+L15+L16+L17+L18)/L5*1000</f>
        <v>11.601943568962929</v>
      </c>
      <c r="M23" s="2796">
        <f>(M11+M12+M13+M15+M16+M17+M18)/M5*1000</f>
        <v>11.60194356896293</v>
      </c>
      <c r="N23" s="3070">
        <f>스크!AA18</f>
        <v>12.691356393571938</v>
      </c>
      <c r="O23" s="2888">
        <f>스크!AA19</f>
        <v>8.7467318339297293</v>
      </c>
      <c r="P23" s="2888">
        <f>스크!AA20</f>
        <v>13.933712558191649</v>
      </c>
      <c r="Q23" s="2434">
        <f>스크!AA22</f>
        <v>15.078140166531535</v>
      </c>
      <c r="R23" s="2434">
        <f>스크!AA23</f>
        <v>12.054858413095362</v>
      </c>
      <c r="S23" s="2434">
        <f>스크!AA24</f>
        <v>6.1294472270007763</v>
      </c>
      <c r="T23" s="2434">
        <f>스크!AA27</f>
        <v>12.670494756482016</v>
      </c>
      <c r="U23" s="2434">
        <f>스크!AA28</f>
        <v>10.722391628261548</v>
      </c>
      <c r="V23" s="2434">
        <f>스크!AA29</f>
        <v>14.686383502458504</v>
      </c>
      <c r="W23" s="2434">
        <f>스크!AA31</f>
        <v>17.970225028681895</v>
      </c>
      <c r="X23" s="5551">
        <f>스크!AA32</f>
        <v>8.6975487603883952</v>
      </c>
      <c r="Y23" s="5405">
        <f>스크!AA33</f>
        <v>17.413505917762286</v>
      </c>
      <c r="Z23" s="2228">
        <f>스크!AA36</f>
        <v>12.392639259160473</v>
      </c>
      <c r="AA23" s="5111"/>
      <c r="AB23" s="3449"/>
      <c r="AC23" s="3449"/>
      <c r="AD23" s="3449"/>
      <c r="AE23" s="3449"/>
      <c r="AF23" s="3449"/>
      <c r="AG23" s="3449"/>
      <c r="AH23" s="3449"/>
      <c r="AI23" s="3449"/>
      <c r="AJ23" s="3449"/>
      <c r="AK23" s="4753"/>
      <c r="AL23" s="1639"/>
      <c r="AM23" s="1640"/>
      <c r="AN23" s="1640"/>
      <c r="AO23" s="1637"/>
      <c r="AP23" s="4182"/>
    </row>
    <row r="24" spans="1:47">
      <c r="A24" s="7183" t="s">
        <v>701</v>
      </c>
      <c r="B24" s="7208" t="s">
        <v>784</v>
      </c>
      <c r="C24" s="1792" t="s">
        <v>740</v>
      </c>
      <c r="D24" s="2099"/>
      <c r="E24" s="2100"/>
      <c r="F24" s="2100"/>
      <c r="G24" s="2101">
        <v>239</v>
      </c>
      <c r="H24" s="2101">
        <v>259</v>
      </c>
      <c r="I24" s="1011">
        <v>183</v>
      </c>
      <c r="J24" s="1011">
        <v>199</v>
      </c>
      <c r="K24" s="1011">
        <v>116</v>
      </c>
      <c r="L24" s="1420">
        <v>90</v>
      </c>
      <c r="M24" s="2797">
        <f t="shared" ref="M24:M29" si="7">L24/12</f>
        <v>7.5</v>
      </c>
      <c r="N24" s="2285">
        <v>9</v>
      </c>
      <c r="O24" s="2102">
        <v>3</v>
      </c>
      <c r="P24" s="2102">
        <v>4</v>
      </c>
      <c r="Q24" s="5224">
        <f>'#2CCL'!Q24</f>
        <v>6</v>
      </c>
      <c r="R24" s="2102">
        <f>'#2CCL'!R24</f>
        <v>2</v>
      </c>
      <c r="S24" s="2102">
        <f>'#2CCL'!S24</f>
        <v>4</v>
      </c>
      <c r="T24" s="2102">
        <f>'#2CCL'!T24</f>
        <v>8</v>
      </c>
      <c r="U24" s="2102">
        <f>'#2CCL'!U24</f>
        <v>9</v>
      </c>
      <c r="V24" s="2102">
        <f>'#2CCL'!V24</f>
        <v>4</v>
      </c>
      <c r="W24" s="2102">
        <f>'#2CCL'!W24</f>
        <v>3</v>
      </c>
      <c r="X24" s="5552">
        <f>'#2CCL'!X24</f>
        <v>3</v>
      </c>
      <c r="Y24" s="5406">
        <f>'#2CCL'!Y24</f>
        <v>6</v>
      </c>
      <c r="Z24" s="1819">
        <f t="shared" si="2"/>
        <v>61</v>
      </c>
      <c r="AA24" s="5126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4"/>
      <c r="AL24" s="1014"/>
      <c r="AM24" s="2103"/>
      <c r="AN24" s="2103"/>
      <c r="AO24" s="1015"/>
      <c r="AP24" s="1016"/>
    </row>
    <row r="25" spans="1:47">
      <c r="A25" s="7184"/>
      <c r="B25" s="7209"/>
      <c r="C25" s="1555" t="s">
        <v>791</v>
      </c>
      <c r="D25" s="1565"/>
      <c r="E25" s="1566"/>
      <c r="F25" s="1566"/>
      <c r="G25" s="1566">
        <v>113.46666666666667</v>
      </c>
      <c r="H25" s="1566">
        <v>120.05</v>
      </c>
      <c r="I25" s="1523">
        <v>107.2</v>
      </c>
      <c r="J25" s="1523">
        <v>78.86333333333333</v>
      </c>
      <c r="K25" s="1523">
        <v>64</v>
      </c>
      <c r="L25" s="2277">
        <v>48</v>
      </c>
      <c r="M25" s="2111">
        <f t="shared" si="7"/>
        <v>4</v>
      </c>
      <c r="N25" s="2185">
        <f>264/60</f>
        <v>4.4000000000000004</v>
      </c>
      <c r="O25" s="1660">
        <v>1.1000000000000001</v>
      </c>
      <c r="P25" s="2178">
        <v>1.7666666666666666</v>
      </c>
      <c r="Q25" s="3622">
        <f>'#2CCL'!Q25</f>
        <v>2.4666666666666668</v>
      </c>
      <c r="R25" s="3620">
        <f>'#2CCL'!R25</f>
        <v>0.91666666666666663</v>
      </c>
      <c r="S25" s="3620">
        <f>'#2CCL'!S25</f>
        <v>1.7833333333333334</v>
      </c>
      <c r="T25" s="3620">
        <f>'#2CCL'!T25</f>
        <v>5</v>
      </c>
      <c r="U25" s="3620">
        <f>'#2CCL'!U25</f>
        <v>6.6833333333333336</v>
      </c>
      <c r="V25" s="3620">
        <f>'#2CCL'!V25</f>
        <v>7.9333333333333336</v>
      </c>
      <c r="W25" s="3620">
        <f>'#2CCL'!W25</f>
        <v>0.96666666666666667</v>
      </c>
      <c r="X25" s="5515">
        <f>'#2CCL'!X25</f>
        <v>1.5</v>
      </c>
      <c r="Y25" s="5359">
        <f>'#2CCL'!Y25</f>
        <v>3.1833333333333331</v>
      </c>
      <c r="Z25" s="5375">
        <f t="shared" si="2"/>
        <v>37.699999999999996</v>
      </c>
      <c r="AA25" s="5151">
        <f>($K$25/12-N25)*년간!$E$217/1000</f>
        <v>1216.6027468033592</v>
      </c>
      <c r="AB25" s="4754">
        <f>($K$25/12-O25)*년간!$E$217/1000</f>
        <v>5518.1624587152382</v>
      </c>
      <c r="AC25" s="4754">
        <f>($K$25/12-P25)*년간!$E$217/1000</f>
        <v>4649.1604967128396</v>
      </c>
      <c r="AD25" s="4754">
        <f>($K$25/12-Q25)*년간!$E$217/1000</f>
        <v>3736.7084366103195</v>
      </c>
      <c r="AE25" s="4754">
        <f>($K$25/12-R25)*년간!$E$217/1000</f>
        <v>5757.1379982658991</v>
      </c>
      <c r="AF25" s="4754">
        <f>($K$25/12-S25)*년간!$E$217/1000</f>
        <v>4627.4354476627805</v>
      </c>
      <c r="AG25" s="4754">
        <f>($K$25/12-T25)*년간!$E$217/1000</f>
        <v>434.50098100119965</v>
      </c>
      <c r="AH25" s="4754">
        <f>($K$25/12-U25)*년간!$E$217/1000</f>
        <v>-1759.7289730548607</v>
      </c>
      <c r="AI25" s="4754">
        <f>($K$25/12-V25)*년간!$E$217/1000</f>
        <v>-3389.107651809361</v>
      </c>
      <c r="AJ25" s="4754">
        <f>($K$25/12-W25)*년간!$E$217/1000</f>
        <v>5691.9628511157198</v>
      </c>
      <c r="AK25" s="4754">
        <f>($K$25/12-X25)*년간!$E$217/1000</f>
        <v>4996.7612815138</v>
      </c>
      <c r="AL25" s="3078">
        <f>($K$25/12-Y25)*년간!$E$217/1000</f>
        <v>2802.5313274577402</v>
      </c>
      <c r="AM25" s="3078">
        <f>($K$25/12-M25)*년간!$E$217/1000</f>
        <v>1738.0039240047997</v>
      </c>
      <c r="AN25" s="1685">
        <f>AA25+AB25+AC25+AD25+AE25+AF25+AG25+AH25+AI25+AJ25+AK25+AL25</f>
        <v>34282.127400994672</v>
      </c>
      <c r="AO25" s="1796">
        <f>AN25/AM25</f>
        <v>19.724999999999998</v>
      </c>
      <c r="AP25" s="3284"/>
      <c r="AQ25" s="1537"/>
    </row>
    <row r="26" spans="1:47">
      <c r="A26" s="7184"/>
      <c r="B26" s="7210" t="s">
        <v>789</v>
      </c>
      <c r="C26" s="1555" t="s">
        <v>740</v>
      </c>
      <c r="D26" s="1565"/>
      <c r="E26" s="1566"/>
      <c r="F26" s="1566"/>
      <c r="G26" s="1567">
        <v>13</v>
      </c>
      <c r="H26" s="1567">
        <v>5</v>
      </c>
      <c r="I26" s="1522">
        <v>15</v>
      </c>
      <c r="J26" s="1522">
        <v>3</v>
      </c>
      <c r="K26" s="1522">
        <v>6</v>
      </c>
      <c r="L26" s="2280">
        <f>년간!D44</f>
        <v>3</v>
      </c>
      <c r="M26" s="2290">
        <f t="shared" si="7"/>
        <v>0.25</v>
      </c>
      <c r="N26" s="2286">
        <f>년간!F44</f>
        <v>0</v>
      </c>
      <c r="O26" s="1681">
        <v>0</v>
      </c>
      <c r="P26" s="2273">
        <f>년간!H44</f>
        <v>0</v>
      </c>
      <c r="Q26" s="5397">
        <f>년간!I44</f>
        <v>0</v>
      </c>
      <c r="R26" s="5397">
        <f>년간!J44</f>
        <v>0</v>
      </c>
      <c r="S26" s="5397">
        <f>년간!K44</f>
        <v>0</v>
      </c>
      <c r="T26" s="5397">
        <f>년간!L44</f>
        <v>0</v>
      </c>
      <c r="U26" s="5397">
        <f>년간!M44</f>
        <v>1</v>
      </c>
      <c r="V26" s="5397">
        <f>년간!N44</f>
        <v>2</v>
      </c>
      <c r="W26" s="5397">
        <f>년간!O44</f>
        <v>0</v>
      </c>
      <c r="X26" s="5553">
        <f>년간!P44</f>
        <v>0</v>
      </c>
      <c r="Y26" s="5407">
        <f>년간!Q44</f>
        <v>0</v>
      </c>
      <c r="Z26" s="6934">
        <f t="shared" si="2"/>
        <v>3</v>
      </c>
      <c r="AA26" s="5117"/>
      <c r="AB26" s="3476"/>
      <c r="AC26" s="3476"/>
      <c r="AD26" s="3476"/>
      <c r="AE26" s="3476"/>
      <c r="AF26" s="3476"/>
      <c r="AG26" s="3476"/>
      <c r="AH26" s="3476"/>
      <c r="AI26" s="3476"/>
      <c r="AJ26" s="3476"/>
      <c r="AK26" s="4266"/>
      <c r="AL26" s="1595"/>
      <c r="AM26" s="1623"/>
      <c r="AN26" s="1623"/>
      <c r="AO26" s="1596"/>
      <c r="AP26" s="3284"/>
    </row>
    <row r="27" spans="1:47">
      <c r="A27" s="7184"/>
      <c r="B27" s="7209"/>
      <c r="C27" s="1555" t="s">
        <v>791</v>
      </c>
      <c r="D27" s="1565"/>
      <c r="E27" s="1566"/>
      <c r="F27" s="1566"/>
      <c r="G27" s="1566">
        <v>12</v>
      </c>
      <c r="H27" s="1566">
        <v>3.75</v>
      </c>
      <c r="I27" s="1523">
        <v>14</v>
      </c>
      <c r="J27" s="1523">
        <v>4.4833333333333343</v>
      </c>
      <c r="K27" s="1523">
        <v>9.5666666666666664</v>
      </c>
      <c r="L27" s="2277">
        <f>년간!D54/60</f>
        <v>7.7672727272727267</v>
      </c>
      <c r="M27" s="2111">
        <f t="shared" si="7"/>
        <v>0.64727272727272722</v>
      </c>
      <c r="N27" s="2185">
        <f>년간!F54/60</f>
        <v>0</v>
      </c>
      <c r="O27" s="1660">
        <f>년간!G54/60</f>
        <v>1.0833333333333333</v>
      </c>
      <c r="P27" s="2178">
        <f>년간!H54/60</f>
        <v>0</v>
      </c>
      <c r="Q27" s="3620">
        <f>년간!I54/60</f>
        <v>0</v>
      </c>
      <c r="R27" s="3620">
        <f>년간!J54/60</f>
        <v>0</v>
      </c>
      <c r="S27" s="3620">
        <f>년간!K54/60</f>
        <v>0</v>
      </c>
      <c r="T27" s="3620">
        <f>년간!L54/60</f>
        <v>0</v>
      </c>
      <c r="U27" s="3620">
        <f>년간!M54/60</f>
        <v>0.83333333333333337</v>
      </c>
      <c r="V27" s="3620">
        <f>년간!N54/60</f>
        <v>2.1666666666666665</v>
      </c>
      <c r="W27" s="3620">
        <f>년간!O54/60</f>
        <v>0</v>
      </c>
      <c r="X27" s="5515">
        <f>년간!P54/60</f>
        <v>0</v>
      </c>
      <c r="Y27" s="5359">
        <f>년간!Q54/60</f>
        <v>0</v>
      </c>
      <c r="Z27" s="5375">
        <f t="shared" si="2"/>
        <v>4.083333333333333</v>
      </c>
      <c r="AA27" s="5115">
        <f>년간!F180/1000</f>
        <v>865.79116543596729</v>
      </c>
      <c r="AB27" s="4755">
        <f>년간!G180/1000</f>
        <v>-287.40390853110955</v>
      </c>
      <c r="AC27" s="4755">
        <f>년간!H180/1000</f>
        <v>694.20893876817513</v>
      </c>
      <c r="AD27" s="4755">
        <f>년간!I180/1000</f>
        <v>767.75590500689702</v>
      </c>
      <c r="AE27" s="4755">
        <f>년간!J180/1000</f>
        <v>726.74143239088357</v>
      </c>
      <c r="AF27" s="4755">
        <f>년간!K180/1000</f>
        <v>884.69777022426968</v>
      </c>
      <c r="AG27" s="4755">
        <f>년간!L180/1000</f>
        <v>845.07871995876781</v>
      </c>
      <c r="AH27" s="4755">
        <f>년간!M180/1000</f>
        <v>-88.522639641709233</v>
      </c>
      <c r="AI27" s="4755">
        <f>년간!N180/1000</f>
        <v>-1325.1812058953494</v>
      </c>
      <c r="AJ27" s="4755">
        <f>년간!O180/1000</f>
        <v>835.39284717286466</v>
      </c>
      <c r="AK27" s="4756">
        <f>년간!P180/1000</f>
        <v>870.49729571612363</v>
      </c>
      <c r="AL27" s="1644">
        <f>년간!Q180/1000</f>
        <v>872.30313640502095</v>
      </c>
      <c r="AM27" s="1685">
        <f>년간!E180/1000</f>
        <v>2019.7475528672908</v>
      </c>
      <c r="AN27" s="1685">
        <f>AA27+AB27+AC27+AD27+AE27+AF27+AG27+AH27+AI27+AJ27+AK27+AL27</f>
        <v>5661.3594570108025</v>
      </c>
      <c r="AO27" s="1796">
        <f>AN27/AM27</f>
        <v>2.8030034986173278</v>
      </c>
      <c r="AP27" s="3494"/>
    </row>
    <row r="28" spans="1:47">
      <c r="A28" s="7184"/>
      <c r="B28" s="7210" t="s">
        <v>25</v>
      </c>
      <c r="C28" s="1555" t="s">
        <v>740</v>
      </c>
      <c r="D28" s="1565"/>
      <c r="E28" s="1566"/>
      <c r="F28" s="1566"/>
      <c r="G28" s="1567">
        <v>11</v>
      </c>
      <c r="H28" s="1567">
        <v>11</v>
      </c>
      <c r="I28" s="1522">
        <v>15</v>
      </c>
      <c r="J28" s="1522">
        <v>2</v>
      </c>
      <c r="K28" s="1522">
        <v>2</v>
      </c>
      <c r="L28" s="2280">
        <f>년간!D49</f>
        <v>3</v>
      </c>
      <c r="M28" s="2290">
        <f t="shared" si="7"/>
        <v>0.25</v>
      </c>
      <c r="N28" s="2286">
        <f>년간!F49</f>
        <v>1</v>
      </c>
      <c r="O28" s="1681">
        <v>0</v>
      </c>
      <c r="P28" s="2273">
        <f>년간!H49</f>
        <v>1</v>
      </c>
      <c r="Q28" s="5397">
        <f>년간!I49</f>
        <v>0</v>
      </c>
      <c r="R28" s="5397">
        <f>년간!J49</f>
        <v>1</v>
      </c>
      <c r="S28" s="5397">
        <f>년간!K49</f>
        <v>0</v>
      </c>
      <c r="T28" s="5397">
        <f>년간!L49</f>
        <v>0</v>
      </c>
      <c r="U28" s="5397">
        <f>년간!M49</f>
        <v>0</v>
      </c>
      <c r="V28" s="5397">
        <f>년간!N49</f>
        <v>2</v>
      </c>
      <c r="W28" s="5397">
        <f>년간!O49</f>
        <v>0</v>
      </c>
      <c r="X28" s="5553">
        <f>년간!P49</f>
        <v>0</v>
      </c>
      <c r="Y28" s="5407">
        <f>년간!Q49</f>
        <v>0</v>
      </c>
      <c r="Z28" s="6934">
        <f t="shared" si="2"/>
        <v>5</v>
      </c>
      <c r="AA28" s="5117"/>
      <c r="AB28" s="3476"/>
      <c r="AC28" s="3476"/>
      <c r="AD28" s="3476"/>
      <c r="AE28" s="3476"/>
      <c r="AF28" s="3476"/>
      <c r="AG28" s="3476"/>
      <c r="AH28" s="3476"/>
      <c r="AI28" s="3476"/>
      <c r="AJ28" s="3476"/>
      <c r="AK28" s="4266"/>
      <c r="AL28" s="1595"/>
      <c r="AM28" s="1623"/>
      <c r="AN28" s="1623"/>
      <c r="AO28" s="1596"/>
      <c r="AP28" s="3284"/>
    </row>
    <row r="29" spans="1:47" ht="18" thickBot="1">
      <c r="A29" s="7212"/>
      <c r="B29" s="7211"/>
      <c r="C29" s="1801" t="s">
        <v>791</v>
      </c>
      <c r="D29" s="2104"/>
      <c r="E29" s="2105"/>
      <c r="F29" s="2105"/>
      <c r="G29" s="2105">
        <v>14.6</v>
      </c>
      <c r="H29" s="2105">
        <v>12.583333333333334</v>
      </c>
      <c r="I29" s="1519">
        <v>16</v>
      </c>
      <c r="J29" s="1519">
        <v>0.6333333333333333</v>
      </c>
      <c r="K29" s="1519">
        <v>1.1833333333333333</v>
      </c>
      <c r="L29" s="2106">
        <f>년간!D59/60</f>
        <v>1.1224242424242499</v>
      </c>
      <c r="M29" s="2291">
        <f t="shared" si="7"/>
        <v>9.3535353535354152E-2</v>
      </c>
      <c r="N29" s="2228">
        <f>년간!F59/60</f>
        <v>0.16666666666666666</v>
      </c>
      <c r="O29" s="2086">
        <f>년간!G59/60</f>
        <v>0</v>
      </c>
      <c r="P29" s="2086">
        <f>년간!H59/60</f>
        <v>8.3333333333333329E-2</v>
      </c>
      <c r="Q29" s="2434">
        <f>년간!I59/60</f>
        <v>0</v>
      </c>
      <c r="R29" s="2434">
        <f>년간!J59/60</f>
        <v>2.2166666666666668</v>
      </c>
      <c r="S29" s="2434">
        <f>년간!K59/60</f>
        <v>0</v>
      </c>
      <c r="T29" s="2434">
        <f>년간!L59/60</f>
        <v>0</v>
      </c>
      <c r="U29" s="2434">
        <f>년간!M59/60</f>
        <v>0</v>
      </c>
      <c r="V29" s="2434">
        <f>년간!N59/60</f>
        <v>6.833333333333333</v>
      </c>
      <c r="W29" s="2434">
        <f>년간!O59/60</f>
        <v>0</v>
      </c>
      <c r="X29" s="5551">
        <f>년간!P59/60</f>
        <v>0</v>
      </c>
      <c r="Y29" s="5405">
        <f>년간!Q59/60</f>
        <v>0</v>
      </c>
      <c r="Z29" s="2226">
        <f t="shared" si="2"/>
        <v>9.3000000000000007</v>
      </c>
      <c r="AA29" s="5128">
        <f>년간!F186/1000</f>
        <v>-62.475388798938205</v>
      </c>
      <c r="AB29" s="3077">
        <f>년간!G186/1000</f>
        <v>102.19879001865229</v>
      </c>
      <c r="AC29" s="3077">
        <f>년간!H186/1000</f>
        <v>5.4195279811098693</v>
      </c>
      <c r="AD29" s="3077">
        <f>년간!I186/1000</f>
        <v>94.966322744755544</v>
      </c>
      <c r="AE29" s="3077">
        <f>년간!J186/1000</f>
        <v>-2088.849002448525</v>
      </c>
      <c r="AF29" s="3077">
        <f>년간!K186/1000</f>
        <v>109.43125729254903</v>
      </c>
      <c r="AG29" s="3077">
        <f>년간!L186/1000</f>
        <v>104.53064306110191</v>
      </c>
      <c r="AH29" s="3077">
        <f>년간!M186/1000</f>
        <v>90.346613887072323</v>
      </c>
      <c r="AI29" s="3077">
        <f>년간!N186/1000</f>
        <v>-6469.7700569852805</v>
      </c>
      <c r="AJ29" s="3077">
        <f>년간!O186/1000</f>
        <v>103.33256471998847</v>
      </c>
      <c r="AK29" s="4729">
        <f>년간!P186/1000</f>
        <v>107.67475260600133</v>
      </c>
      <c r="AL29" s="2107">
        <f>년간!Q186/1000</f>
        <v>107.89812314417505</v>
      </c>
      <c r="AM29" s="2108">
        <f>년간!E186/1000</f>
        <v>58.514405749291079</v>
      </c>
      <c r="AN29" s="2108">
        <f>AA29+AB29+AC29+AD29+AE29+AF29+AG29+AH29+AI29+AJ29+AK29+AL29</f>
        <v>-7795.295852777338</v>
      </c>
      <c r="AO29" s="1803">
        <f>AN29/AM29</f>
        <v>-133.22011482397701</v>
      </c>
      <c r="AP29" s="3278"/>
    </row>
    <row r="30" spans="1:47">
      <c r="A30" s="7183" t="s">
        <v>313</v>
      </c>
      <c r="B30" s="7208" t="s">
        <v>358</v>
      </c>
      <c r="C30" s="1832" t="s">
        <v>359</v>
      </c>
      <c r="D30" s="1833">
        <v>31.24</v>
      </c>
      <c r="E30" s="1834">
        <v>30.9</v>
      </c>
      <c r="F30" s="1834">
        <v>30.99</v>
      </c>
      <c r="G30" s="1834">
        <v>30.161592677579389</v>
      </c>
      <c r="H30" s="1834">
        <v>32.450000000000003</v>
      </c>
      <c r="I30" s="1835">
        <v>33.229999999999997</v>
      </c>
      <c r="J30" s="4251">
        <v>38.07</v>
      </c>
      <c r="K30" s="4251">
        <v>36.189847966144271</v>
      </c>
      <c r="L30" s="4252">
        <v>35.49126354565324</v>
      </c>
      <c r="M30" s="4253">
        <v>35.49</v>
      </c>
      <c r="N30" s="2491">
        <f>('#2CCL'!N30*'#2CCL'!N5)/'2CCL보정'!N5</f>
        <v>33.625159148467453</v>
      </c>
      <c r="O30" s="2491">
        <f>('#2CCL'!O30*'#2CCL'!O5)/'2CCL보정'!O5</f>
        <v>33.551894640949044</v>
      </c>
      <c r="P30" s="2491">
        <f>('#2CCL'!P30*'#2CCL'!P5)/'2CCL보정'!P5</f>
        <v>31.489715638325446</v>
      </c>
      <c r="Q30" s="2491">
        <f>('#2CCL'!Q30*'#2CCL'!Q5)/'2CCL보정'!Q5</f>
        <v>35.400601208618866</v>
      </c>
      <c r="R30" s="2491">
        <f>('#2CCL'!R30*'#2CCL'!R5)/'2CCL보정'!R5</f>
        <v>34.787676895276043</v>
      </c>
      <c r="S30" s="5905">
        <f>('#2CCL'!S30*'#2CCL'!$S$5)/'2CCL보정'!$S$5</f>
        <v>33.602670373970817</v>
      </c>
      <c r="T30" s="5905">
        <f>'#2CCL'!T30</f>
        <v>34.693069227304896</v>
      </c>
      <c r="U30" s="5905">
        <v>30.280848262240546</v>
      </c>
      <c r="V30" s="2491">
        <f>180800/V5</f>
        <v>39.525086843698837</v>
      </c>
      <c r="W30" s="2491">
        <f>181980/W5</f>
        <v>40.225375275474633</v>
      </c>
      <c r="X30" s="6683">
        <f>'#2CCL'!X30</f>
        <v>35.97</v>
      </c>
      <c r="Y30" s="5408">
        <v>40.82</v>
      </c>
      <c r="Z30" s="1672">
        <f>AVERAGE(N30:Y30)</f>
        <v>35.331008126193879</v>
      </c>
      <c r="AA30" s="7431">
        <f>($K$30-N30)*N5/1000*5079</f>
        <v>70012.568013914541</v>
      </c>
      <c r="AB30" s="7409">
        <f t="shared" ref="AB30:AL30" si="8">($K$30-O30)*O5/1000*5079</f>
        <v>71856.234309160165</v>
      </c>
      <c r="AC30" s="7409">
        <f t="shared" si="8"/>
        <v>100567.93952124426</v>
      </c>
      <c r="AD30" s="7409">
        <f t="shared" si="8"/>
        <v>18357.079219110543</v>
      </c>
      <c r="AE30" s="7409">
        <f t="shared" si="8"/>
        <v>29202.871922505561</v>
      </c>
      <c r="AF30" s="7409">
        <f t="shared" si="8"/>
        <v>75425.441251824916</v>
      </c>
      <c r="AG30" s="7409">
        <f t="shared" si="8"/>
        <v>37811.215939835725</v>
      </c>
      <c r="AH30" s="7409">
        <f t="shared" si="8"/>
        <v>138577.72963979674</v>
      </c>
      <c r="AI30" s="7409">
        <f t="shared" si="8"/>
        <v>-77487.339657382079</v>
      </c>
      <c r="AJ30" s="7409">
        <f t="shared" si="8"/>
        <v>-92726.114019730259</v>
      </c>
      <c r="AK30" s="7498">
        <f t="shared" si="8"/>
        <v>5426.7028393490373</v>
      </c>
      <c r="AL30" s="7409">
        <f t="shared" si="8"/>
        <v>-109699.26046478056</v>
      </c>
      <c r="AM30" s="7495">
        <f>(K30-L30)*5298*L5/1000</f>
        <v>197283.44824632601</v>
      </c>
      <c r="AN30" s="7409">
        <f>AA30+AB30+AC30+AD30+AE30+AF30+AG30+AH30+AI30+AJ30+AK30+AL30</f>
        <v>267325.06851484854</v>
      </c>
      <c r="AO30" s="7435">
        <f>AN30/AM30</f>
        <v>1.3550303935334165</v>
      </c>
      <c r="AP30" s="1839" t="s">
        <v>1535</v>
      </c>
      <c r="AR30" s="355"/>
    </row>
    <row r="31" spans="1:47" ht="18" thickBot="1">
      <c r="A31" s="7212"/>
      <c r="B31" s="7211"/>
      <c r="C31" s="1840" t="s">
        <v>277</v>
      </c>
      <c r="D31" s="1841">
        <v>185112.01969583478</v>
      </c>
      <c r="E31" s="1842">
        <v>177449.52651247222</v>
      </c>
      <c r="F31" s="1842">
        <v>194368.63878239974</v>
      </c>
      <c r="G31" s="1842">
        <v>173621.66434030529</v>
      </c>
      <c r="H31" s="1842">
        <v>154868.23472527691</v>
      </c>
      <c r="I31" s="1843">
        <v>165622</v>
      </c>
      <c r="J31" s="4254">
        <v>183257</v>
      </c>
      <c r="K31" s="4254">
        <v>186461.59201844776</v>
      </c>
      <c r="L31" s="4255">
        <v>180577</v>
      </c>
      <c r="M31" s="4256">
        <v>182855</v>
      </c>
      <c r="N31" s="2492">
        <f>('#2CCL'!N31*'#2CCL'!N5)/'2CCL보정'!N5</f>
        <v>175346.88930872525</v>
      </c>
      <c r="O31" s="2492">
        <f>('#2CCL'!O31*'#2CCL'!O5)/'2CCL보정'!O5</f>
        <v>162352.18606074684</v>
      </c>
      <c r="P31" s="2492">
        <f>('#2CCL'!P31*'#2CCL'!P5)/'2CCL보정'!P5</f>
        <v>169535.9195443225</v>
      </c>
      <c r="Q31" s="2492">
        <f>('#2CCL'!Q31*'#2CCL'!Q5)/'2CCL보정'!Q5</f>
        <v>189560.79146760676</v>
      </c>
      <c r="R31" s="2492">
        <f>('#2CCL'!R31*'#2CCL'!R5)/'2CCL보정'!R5</f>
        <v>179919.84080339657</v>
      </c>
      <c r="S31" s="2339">
        <f>('#2CCL'!S31*'#2CCL'!S5)/'2CCL보정'!S5</f>
        <v>171040.34480716093</v>
      </c>
      <c r="T31" s="1282">
        <f>'#2CCL'!T31</f>
        <v>202361.46295760147</v>
      </c>
      <c r="U31" s="2339">
        <v>168891.0630132714</v>
      </c>
      <c r="V31" s="2492">
        <f>981115500/V5</f>
        <v>214483.82378981751</v>
      </c>
      <c r="W31" s="2492">
        <f>997232100/W5</f>
        <v>220431.01142570417</v>
      </c>
      <c r="X31" s="5478">
        <f>'#2CCL'!X31</f>
        <v>174820</v>
      </c>
      <c r="Y31" s="5320">
        <v>223585</v>
      </c>
      <c r="Z31" s="2227">
        <f>AVERAGE(N31:Y31)</f>
        <v>187694.02776486278</v>
      </c>
      <c r="AA31" s="7497"/>
      <c r="AB31" s="7494"/>
      <c r="AC31" s="7494"/>
      <c r="AD31" s="7494"/>
      <c r="AE31" s="7494"/>
      <c r="AF31" s="7494"/>
      <c r="AG31" s="7494"/>
      <c r="AH31" s="7494"/>
      <c r="AI31" s="7494"/>
      <c r="AJ31" s="7494"/>
      <c r="AK31" s="7499"/>
      <c r="AL31" s="7494"/>
      <c r="AM31" s="7493"/>
      <c r="AN31" s="7494">
        <f>AA31+AB31+AC31+AD31+AE31+AF31+AG31+AH31</f>
        <v>0</v>
      </c>
      <c r="AO31" s="7501"/>
      <c r="AP31" s="1846" t="s">
        <v>366</v>
      </c>
      <c r="AQ31" s="784"/>
    </row>
    <row r="32" spans="1:47" ht="18" hidden="1" thickBot="1">
      <c r="A32" s="7180" t="s">
        <v>1020</v>
      </c>
      <c r="B32" s="4229" t="s">
        <v>1026</v>
      </c>
      <c r="C32" s="1871" t="s">
        <v>1027</v>
      </c>
      <c r="D32" s="1867"/>
      <c r="E32" s="804"/>
      <c r="F32" s="1541"/>
      <c r="G32" s="1861">
        <v>320.82721894441102</v>
      </c>
      <c r="H32" s="804"/>
      <c r="I32" s="1541"/>
      <c r="J32" s="1541">
        <v>34140</v>
      </c>
      <c r="K32" s="1541"/>
      <c r="L32" s="1829"/>
      <c r="M32" s="2283">
        <f>L32/12</f>
        <v>0</v>
      </c>
      <c r="N32" s="1674"/>
      <c r="O32" s="1282"/>
      <c r="P32" s="1282"/>
      <c r="Q32" s="1282"/>
      <c r="R32" s="1282"/>
      <c r="S32" s="1282"/>
      <c r="T32" s="5905">
        <f>'#2CCL'!T32</f>
        <v>0</v>
      </c>
      <c r="U32" s="1282"/>
      <c r="V32" s="1282"/>
      <c r="W32" s="1282"/>
      <c r="X32" s="5538"/>
      <c r="Y32" s="5388"/>
      <c r="Z32" s="1674"/>
      <c r="AA32" s="5113"/>
      <c r="AB32" s="922"/>
      <c r="AC32" s="922"/>
      <c r="AD32" s="922"/>
      <c r="AE32" s="922"/>
      <c r="AF32" s="922"/>
      <c r="AG32" s="922"/>
      <c r="AH32" s="922"/>
      <c r="AI32" s="922"/>
      <c r="AJ32" s="922"/>
      <c r="AK32" s="922"/>
      <c r="AL32" s="922"/>
      <c r="AM32" s="1118"/>
      <c r="AN32" s="829"/>
      <c r="AO32" s="1830"/>
      <c r="AP32" s="1831" t="s">
        <v>1028</v>
      </c>
      <c r="AR32" s="1722"/>
    </row>
    <row r="33" spans="1:46" ht="18" hidden="1" thickBot="1">
      <c r="A33" s="7184"/>
      <c r="B33" s="1822" t="s">
        <v>1021</v>
      </c>
      <c r="C33" s="1872" t="s">
        <v>154</v>
      </c>
      <c r="D33" s="1868"/>
      <c r="E33" s="1571"/>
      <c r="F33" s="1529"/>
      <c r="G33" s="1862">
        <v>6228750</v>
      </c>
      <c r="H33" s="1571"/>
      <c r="I33" s="1529"/>
      <c r="J33" s="2748">
        <v>390300</v>
      </c>
      <c r="K33" s="1529"/>
      <c r="L33" s="2199"/>
      <c r="M33" s="1524">
        <v>290000</v>
      </c>
      <c r="N33" s="2194"/>
      <c r="O33" s="1652"/>
      <c r="P33" s="2190"/>
      <c r="Q33" s="3595"/>
      <c r="R33" s="3595"/>
      <c r="S33" s="3595"/>
      <c r="T33" s="5905">
        <f>'#2CCL'!T33</f>
        <v>0</v>
      </c>
      <c r="U33" s="3595"/>
      <c r="V33" s="3595"/>
      <c r="W33" s="3595"/>
      <c r="X33" s="5481"/>
      <c r="Y33" s="5323"/>
      <c r="Z33" s="6935"/>
      <c r="AA33" s="5109"/>
      <c r="AB33" s="4149"/>
      <c r="AC33" s="4149"/>
      <c r="AD33" s="4149"/>
      <c r="AE33" s="4149"/>
      <c r="AF33" s="4149"/>
      <c r="AG33" s="4149"/>
      <c r="AH33" s="4149"/>
      <c r="AI33" s="4149"/>
      <c r="AJ33" s="4149"/>
      <c r="AK33" s="4149"/>
      <c r="AL33" s="1702"/>
      <c r="AM33" s="1865"/>
      <c r="AN33" s="1866"/>
      <c r="AO33" s="1633"/>
      <c r="AP33" s="3756" t="s">
        <v>1029</v>
      </c>
      <c r="AR33" s="1722"/>
    </row>
    <row r="34" spans="1:46" ht="18" hidden="1" thickBot="1">
      <c r="A34" s="7184"/>
      <c r="B34" s="4231" t="s">
        <v>1022</v>
      </c>
      <c r="C34" s="1873" t="s">
        <v>1024</v>
      </c>
      <c r="D34" s="1869"/>
      <c r="E34" s="941"/>
      <c r="F34" s="942"/>
      <c r="G34" s="1863"/>
      <c r="H34" s="941"/>
      <c r="I34" s="942"/>
      <c r="J34" s="942">
        <v>360</v>
      </c>
      <c r="K34" s="942"/>
      <c r="L34" s="2199"/>
      <c r="M34" s="1524">
        <v>160</v>
      </c>
      <c r="N34" s="1505"/>
      <c r="O34" s="1281"/>
      <c r="P34" s="1281"/>
      <c r="Q34" s="1281"/>
      <c r="R34" s="1281"/>
      <c r="S34" s="1281"/>
      <c r="T34" s="5905">
        <f>'#2CCL'!T34</f>
        <v>0</v>
      </c>
      <c r="U34" s="1281"/>
      <c r="V34" s="1281"/>
      <c r="W34" s="1281"/>
      <c r="X34" s="5539"/>
      <c r="Y34" s="5389"/>
      <c r="Z34" s="1505"/>
      <c r="AA34" s="5114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6"/>
      <c r="AN34" s="827"/>
      <c r="AO34" s="828"/>
      <c r="AP34" s="5101" t="s">
        <v>1030</v>
      </c>
      <c r="AR34" s="1722"/>
    </row>
    <row r="35" spans="1:46" ht="18" hidden="1" thickBot="1">
      <c r="A35" s="7184"/>
      <c r="B35" s="4230" t="s">
        <v>1023</v>
      </c>
      <c r="C35" s="1874" t="s">
        <v>1024</v>
      </c>
      <c r="D35" s="1870"/>
      <c r="E35" s="1847"/>
      <c r="F35" s="1518"/>
      <c r="G35" s="1864"/>
      <c r="H35" s="1847"/>
      <c r="I35" s="1518"/>
      <c r="J35" s="1518">
        <v>170</v>
      </c>
      <c r="K35" s="1518"/>
      <c r="L35" s="1684"/>
      <c r="M35" s="1549">
        <v>120</v>
      </c>
      <c r="N35" s="1675"/>
      <c r="O35" s="1670"/>
      <c r="P35" s="1670"/>
      <c r="Q35" s="3492"/>
      <c r="R35" s="3492"/>
      <c r="S35" s="3492"/>
      <c r="T35" s="5905">
        <f>'#2CCL'!T35</f>
        <v>0</v>
      </c>
      <c r="U35" s="3492"/>
      <c r="V35" s="3492"/>
      <c r="W35" s="3492"/>
      <c r="X35" s="5554"/>
      <c r="Y35" s="5409"/>
      <c r="Z35" s="6936"/>
      <c r="AA35" s="5117"/>
      <c r="AB35" s="3476"/>
      <c r="AC35" s="3476"/>
      <c r="AD35" s="3476"/>
      <c r="AE35" s="3476"/>
      <c r="AF35" s="3476"/>
      <c r="AG35" s="3476"/>
      <c r="AH35" s="3476"/>
      <c r="AI35" s="3476"/>
      <c r="AJ35" s="3476"/>
      <c r="AK35" s="3476"/>
      <c r="AL35" s="1593"/>
      <c r="AM35" s="1848"/>
      <c r="AN35" s="1849"/>
      <c r="AO35" s="1850"/>
      <c r="AP35" s="3494" t="s">
        <v>1031</v>
      </c>
      <c r="AR35" s="1722"/>
    </row>
    <row r="36" spans="1:46">
      <c r="A36" s="7183" t="s">
        <v>272</v>
      </c>
      <c r="B36" s="7208" t="s">
        <v>273</v>
      </c>
      <c r="C36" s="1556" t="s">
        <v>274</v>
      </c>
      <c r="D36" s="1833">
        <v>51.694598180945746</v>
      </c>
      <c r="E36" s="1834">
        <v>46.817755609800976</v>
      </c>
      <c r="F36" s="1834">
        <v>48.587586323475612</v>
      </c>
      <c r="G36" s="1834">
        <v>42.61</v>
      </c>
      <c r="H36" s="1834">
        <v>42.62</v>
      </c>
      <c r="I36" s="1835">
        <v>48.67</v>
      </c>
      <c r="J36" s="1835">
        <v>52.269771847106512</v>
      </c>
      <c r="K36" s="1835">
        <v>61.248628266089717</v>
      </c>
      <c r="L36" s="1836">
        <v>60.71</v>
      </c>
      <c r="M36" s="2292">
        <f t="shared" ref="M36:M41" si="9">L36</f>
        <v>60.71</v>
      </c>
      <c r="N36" s="1838">
        <v>58.191442854894575</v>
      </c>
      <c r="O36" s="1837">
        <v>56.771319352476212</v>
      </c>
      <c r="P36" s="1837">
        <v>67.732361201707945</v>
      </c>
      <c r="Q36" s="1837">
        <v>62.560980855335757</v>
      </c>
      <c r="R36" s="1837">
        <f>'#2CCL'!R36</f>
        <v>58.778670298930237</v>
      </c>
      <c r="S36" s="5905">
        <f>('#2CCL'!S36*'#2CCL'!$S$5)/'2CCL보정'!$S$5</f>
        <v>52.834364184299652</v>
      </c>
      <c r="T36" s="5905">
        <f>'#2CCL'!T36</f>
        <v>56.51194483893088</v>
      </c>
      <c r="U36" s="5905">
        <v>49.374302845774942</v>
      </c>
      <c r="V36" s="1837">
        <v>64.418829532739196</v>
      </c>
      <c r="W36" s="2491">
        <f>296334/W5</f>
        <v>65.502507730973178</v>
      </c>
      <c r="X36" s="6683">
        <f>'#2CCL'!X36</f>
        <v>67.253001284554259</v>
      </c>
      <c r="Y36" s="5408">
        <f>'#2CCL'!Y36</f>
        <v>75.824576639013472</v>
      </c>
      <c r="Z36" s="1672">
        <f t="shared" ref="Z36:Z41" si="10">AVERAGE(N36:Y36)</f>
        <v>61.312858468302522</v>
      </c>
      <c r="AA36" s="7431">
        <f>($K$36-N36)*604.35*N5/1000</f>
        <v>9930.5527215992224</v>
      </c>
      <c r="AB36" s="7409">
        <f t="shared" ref="AB36:AK36" si="11">($K$36-O36)*588*O5/1000</f>
        <v>14119.311501850796</v>
      </c>
      <c r="AC36" s="7409">
        <f>($K$36-P36)*588*P5/1000</f>
        <v>-16061.041275109274</v>
      </c>
      <c r="AD36" s="7409">
        <f t="shared" si="11"/>
        <v>-3533.7874288092116</v>
      </c>
      <c r="AE36" s="7409">
        <f t="shared" si="11"/>
        <v>5955.4315450460426</v>
      </c>
      <c r="AF36" s="7409">
        <f t="shared" si="11"/>
        <v>28399.249939476893</v>
      </c>
      <c r="AG36" s="7409">
        <f t="shared" si="11"/>
        <v>13852.766418847337</v>
      </c>
      <c r="AH36" s="7409">
        <f t="shared" si="11"/>
        <v>32239.443279241623</v>
      </c>
      <c r="AI36" s="7409">
        <f t="shared" si="11"/>
        <v>-8526.8722133558567</v>
      </c>
      <c r="AJ36" s="7409">
        <f t="shared" si="11"/>
        <v>-11315.820823901327</v>
      </c>
      <c r="AK36" s="7409">
        <f t="shared" si="11"/>
        <v>-17158.541381692401</v>
      </c>
      <c r="AL36" s="7409">
        <f>($K$36-Y36)*604.35*Y5/1000</f>
        <v>-41091.839508046432</v>
      </c>
      <c r="AM36" s="7495">
        <f>(K36-L36)*604.35*L5/1000</f>
        <v>17351.517686153813</v>
      </c>
      <c r="AN36" s="7409">
        <f>SUM(AA36:AL37)</f>
        <v>6808.8527751474103</v>
      </c>
      <c r="AO36" s="7435">
        <f>AN36/AM36</f>
        <v>0.39240675647529943</v>
      </c>
      <c r="AP36" s="1839" t="s">
        <v>1330</v>
      </c>
      <c r="AR36" s="1721"/>
    </row>
    <row r="37" spans="1:46">
      <c r="A37" s="7184"/>
      <c r="B37" s="7209"/>
      <c r="C37" s="1557" t="s">
        <v>277</v>
      </c>
      <c r="D37" s="817">
        <v>42863.387717400583</v>
      </c>
      <c r="E37" s="356">
        <v>40798.139328406724</v>
      </c>
      <c r="F37" s="356">
        <v>44975.29600802598</v>
      </c>
      <c r="G37" s="356">
        <v>31016</v>
      </c>
      <c r="H37" s="356">
        <v>24041.939334962179</v>
      </c>
      <c r="I37" s="512">
        <v>28585</v>
      </c>
      <c r="J37" s="512">
        <v>29923.237649555773</v>
      </c>
      <c r="K37" s="512">
        <v>36834.458899727215</v>
      </c>
      <c r="L37" s="2125">
        <v>37866.499173770106</v>
      </c>
      <c r="M37" s="2282">
        <f t="shared" si="9"/>
        <v>37866.499173770106</v>
      </c>
      <c r="N37" s="2127">
        <v>36973.307728673695</v>
      </c>
      <c r="O37" s="1656">
        <v>36379.958727733341</v>
      </c>
      <c r="P37" s="2126">
        <v>43040.58045926677</v>
      </c>
      <c r="Q37" s="3592">
        <v>38519.509667447826</v>
      </c>
      <c r="R37" s="3592">
        <f>'#2CCL'!R37</f>
        <v>36420.077318464879</v>
      </c>
      <c r="S37" s="3595">
        <f>('#2CCL'!S37*'#2CCL'!$S$5)/'2CCL보정'!$S$5</f>
        <v>32139.571557617426</v>
      </c>
      <c r="T37" s="3595">
        <f>'#2CCL'!T37</f>
        <v>28950.592539117202</v>
      </c>
      <c r="U37" s="3595">
        <v>26075.477459071357</v>
      </c>
      <c r="V37" s="3592">
        <v>30998.437700973558</v>
      </c>
      <c r="W37" s="6970">
        <f>131370007/W5</f>
        <v>29038.398898322506</v>
      </c>
      <c r="X37" s="5476">
        <f>'#2CCL'!X37</f>
        <v>29589.85030149488</v>
      </c>
      <c r="Y37" s="5319">
        <f>'#2CCL'!Y37</f>
        <v>38239.176588923692</v>
      </c>
      <c r="Z37" s="6934">
        <f t="shared" si="10"/>
        <v>33863.744912258924</v>
      </c>
      <c r="AA37" s="7432"/>
      <c r="AB37" s="7410"/>
      <c r="AC37" s="7410"/>
      <c r="AD37" s="7410"/>
      <c r="AE37" s="7410"/>
      <c r="AF37" s="7410"/>
      <c r="AG37" s="7410"/>
      <c r="AH37" s="7410"/>
      <c r="AI37" s="7410"/>
      <c r="AJ37" s="7410"/>
      <c r="AK37" s="7410"/>
      <c r="AL37" s="7410"/>
      <c r="AM37" s="7496"/>
      <c r="AN37" s="7410"/>
      <c r="AO37" s="7436"/>
      <c r="AP37" s="349" t="s">
        <v>368</v>
      </c>
    </row>
    <row r="38" spans="1:46">
      <c r="A38" s="7184"/>
      <c r="B38" s="7210" t="s">
        <v>275</v>
      </c>
      <c r="C38" s="1556" t="s">
        <v>276</v>
      </c>
      <c r="D38" s="1568">
        <v>102.68338550484059</v>
      </c>
      <c r="E38" s="1569">
        <v>100.61778904973957</v>
      </c>
      <c r="F38" s="1569">
        <v>127.9226131142583</v>
      </c>
      <c r="G38" s="1569">
        <v>127.69</v>
      </c>
      <c r="H38" s="1569">
        <v>114.7</v>
      </c>
      <c r="I38" s="1570">
        <v>144.24</v>
      </c>
      <c r="J38" s="1570">
        <v>126.50420240387075</v>
      </c>
      <c r="K38" s="1570">
        <v>130.19365474477331</v>
      </c>
      <c r="L38" s="2293">
        <v>130</v>
      </c>
      <c r="M38" s="2294">
        <f t="shared" si="9"/>
        <v>130</v>
      </c>
      <c r="N38" s="2229">
        <v>113.92732245798852</v>
      </c>
      <c r="O38" s="1642">
        <v>106.17750742808138</v>
      </c>
      <c r="P38" s="2189">
        <v>132.57977347154056</v>
      </c>
      <c r="Q38" s="5122">
        <v>126.94010820421239</v>
      </c>
      <c r="R38" s="5122">
        <f>'#2CCL'!R38</f>
        <v>137.60971930712475</v>
      </c>
      <c r="S38" s="5906">
        <f>('#2CCL'!S38*'#2CCL'!$S$5)/'2CCL보정'!$S$5</f>
        <v>103.46566736701266</v>
      </c>
      <c r="T38" s="6105">
        <f>'#2CCL'!T38</f>
        <v>122.16150357073923</v>
      </c>
      <c r="U38" s="5906">
        <v>116.3436882774871</v>
      </c>
      <c r="V38" s="5122">
        <v>141.42895218021533</v>
      </c>
      <c r="W38" s="5411">
        <f>595741/W5</f>
        <v>131.68428009663992</v>
      </c>
      <c r="X38" s="5476">
        <f>'#2CCL'!X38</f>
        <v>112.54000265432336</v>
      </c>
      <c r="Y38" s="5384">
        <f>'#2CCL'!Y38</f>
        <v>121.62397074239458</v>
      </c>
      <c r="Z38" s="5375">
        <f t="shared" si="10"/>
        <v>122.20687464647999</v>
      </c>
      <c r="AA38" s="7429">
        <f>($K$38-N38)*101.42*N5/1000</f>
        <v>8866.9929363558094</v>
      </c>
      <c r="AB38" s="7502">
        <f t="shared" ref="AB38:AK38" si="12">($K$38-O38)*105*O5/1000</f>
        <v>13524.205833604532</v>
      </c>
      <c r="AC38" s="7502">
        <f>($K$38-P38)*105*P5/1000</f>
        <v>-1055.4863042429977</v>
      </c>
      <c r="AD38" s="7502">
        <f t="shared" si="12"/>
        <v>1564.4399060639344</v>
      </c>
      <c r="AE38" s="7502">
        <f t="shared" si="12"/>
        <v>-3193.0752192919313</v>
      </c>
      <c r="AF38" s="7502">
        <f t="shared" si="12"/>
        <v>16109.014121349841</v>
      </c>
      <c r="AG38" s="7502">
        <f t="shared" si="12"/>
        <v>4194.7491834531957</v>
      </c>
      <c r="AH38" s="7502">
        <f t="shared" si="12"/>
        <v>6714.8958622941345</v>
      </c>
      <c r="AI38" s="7502">
        <f t="shared" si="12"/>
        <v>-5396.342008251263</v>
      </c>
      <c r="AJ38" s="7502">
        <f t="shared" si="12"/>
        <v>-708.07841980029752</v>
      </c>
      <c r="AK38" s="7502">
        <f t="shared" si="12"/>
        <v>9008.6401254219145</v>
      </c>
      <c r="AL38" s="7411">
        <f>($K$38-Y38)*101.42*Y5/1000</f>
        <v>4054.3258432557882</v>
      </c>
      <c r="AM38" s="7492">
        <f>(K38-L38)*101.42*L5/1000</f>
        <v>1046.9153045115249</v>
      </c>
      <c r="AN38" s="7411">
        <f>SUM(AA38:AL39)</f>
        <v>53684.281860212664</v>
      </c>
      <c r="AO38" s="7500">
        <f>AN38/AM38</f>
        <v>51.278533830643489</v>
      </c>
      <c r="AP38" s="3754" t="s">
        <v>1331</v>
      </c>
    </row>
    <row r="39" spans="1:46" ht="18" thickBot="1">
      <c r="A39" s="7212"/>
      <c r="B39" s="7211"/>
      <c r="C39" s="1840" t="s">
        <v>277</v>
      </c>
      <c r="D39" s="1841">
        <v>9544.6979968486376</v>
      </c>
      <c r="E39" s="1842">
        <v>10018.896778078888</v>
      </c>
      <c r="F39" s="1842">
        <v>13521.012391757335</v>
      </c>
      <c r="G39" s="1842">
        <v>13492</v>
      </c>
      <c r="H39" s="1842">
        <v>11769.210472813063</v>
      </c>
      <c r="I39" s="1843">
        <v>14902</v>
      </c>
      <c r="J39" s="1843">
        <v>12908.216260061105</v>
      </c>
      <c r="K39" s="1843">
        <v>12693.555344146525</v>
      </c>
      <c r="L39" s="1844">
        <v>12707</v>
      </c>
      <c r="M39" s="2295">
        <f t="shared" si="9"/>
        <v>12707</v>
      </c>
      <c r="N39" s="5419">
        <v>13848.079306467687</v>
      </c>
      <c r="O39" s="3548">
        <v>11901.332200263952</v>
      </c>
      <c r="P39" s="3548">
        <v>11813.784390583134</v>
      </c>
      <c r="Q39" s="3548">
        <v>11299.950280740914</v>
      </c>
      <c r="R39" s="3548">
        <f>'#2CCL'!R39</f>
        <v>12235.428311326517</v>
      </c>
      <c r="S39" s="2339">
        <f>('#2CCL'!S39*'#2CCL'!$S$5)/'2CCL보정'!$S$5</f>
        <v>12061.837232135562</v>
      </c>
      <c r="T39" s="1282">
        <f>'#2CCL'!T39</f>
        <v>14397.637410538266</v>
      </c>
      <c r="U39" s="3492">
        <v>13510.890411662016</v>
      </c>
      <c r="V39" s="3548">
        <v>13159.336178729945</v>
      </c>
      <c r="W39" s="6971">
        <f>52999880/W5</f>
        <v>11715.243777091562</v>
      </c>
      <c r="X39" s="5476">
        <f>'#2CCL'!X39</f>
        <v>16229.61787489593</v>
      </c>
      <c r="Y39" s="6969">
        <f>'#2CCL'!Y39</f>
        <v>18212.406110263189</v>
      </c>
      <c r="Z39" s="6937">
        <f t="shared" si="10"/>
        <v>13365.461957058224</v>
      </c>
      <c r="AA39" s="7497"/>
      <c r="AB39" s="7494"/>
      <c r="AC39" s="7494"/>
      <c r="AD39" s="7494"/>
      <c r="AE39" s="7494"/>
      <c r="AF39" s="7494"/>
      <c r="AG39" s="7494"/>
      <c r="AH39" s="7494"/>
      <c r="AI39" s="7494"/>
      <c r="AJ39" s="7494"/>
      <c r="AK39" s="7494"/>
      <c r="AL39" s="7494"/>
      <c r="AM39" s="7493"/>
      <c r="AN39" s="7494"/>
      <c r="AO39" s="7501"/>
      <c r="AP39" s="1846" t="s">
        <v>368</v>
      </c>
    </row>
    <row r="40" spans="1:46">
      <c r="A40" s="7184" t="s">
        <v>758</v>
      </c>
      <c r="B40" s="4231" t="s">
        <v>1008</v>
      </c>
      <c r="C40" s="1558" t="s">
        <v>277</v>
      </c>
      <c r="D40" s="834"/>
      <c r="E40" s="804"/>
      <c r="F40" s="804">
        <v>8192</v>
      </c>
      <c r="G40" s="804">
        <v>7346</v>
      </c>
      <c r="H40" s="804">
        <v>6657</v>
      </c>
      <c r="I40" s="1541">
        <v>7480</v>
      </c>
      <c r="J40" s="1541">
        <v>8363.5777780167318</v>
      </c>
      <c r="K40" s="1541">
        <v>5824.2439762880649</v>
      </c>
      <c r="L40" s="1829">
        <v>5812.5954883354889</v>
      </c>
      <c r="M40" s="2296">
        <f t="shared" si="9"/>
        <v>5812.5954883354889</v>
      </c>
      <c r="N40" s="2768">
        <f>('#2CCL'!N40*'#2CCL'!N5)/'2CCL보정'!N5</f>
        <v>4956.4542746627321</v>
      </c>
      <c r="O40" s="2768">
        <f>('#2CCL'!O40*'#2CCL'!O5)/'2CCL보정'!O5</f>
        <v>2816.4470813739708</v>
      </c>
      <c r="P40" s="2768">
        <f>('#2CCL'!P40*'#2CCL'!P5)/'2CCL보정'!P5</f>
        <v>2371.3422224247797</v>
      </c>
      <c r="Q40" s="2768">
        <f>('#2CCL'!Q40*'#2CCL'!Q5)/'2CCL보정'!Q5</f>
        <v>5142.5479348794015</v>
      </c>
      <c r="R40" s="2768">
        <f>('#2CCL'!R40*'#2CCL'!R5)/'2CCL보정'!R5</f>
        <v>4872.469571451913</v>
      </c>
      <c r="S40" s="5907">
        <f>('#2CCL'!S40*'#2CCL'!$S$5)/'2CCL보정'!$S$5</f>
        <v>3770.8927843456991</v>
      </c>
      <c r="T40" s="5905">
        <f>'#2CCL'!T40</f>
        <v>3754.7046902142442</v>
      </c>
      <c r="U40" s="2768">
        <v>3657.8710281021513</v>
      </c>
      <c r="V40" s="5420">
        <f>16650000/V5</f>
        <v>3639.893229798593</v>
      </c>
      <c r="W40" s="5420">
        <f>14985000/W5</f>
        <v>3312.3268958291424</v>
      </c>
      <c r="X40" s="6104">
        <f>'#2CCL'!X40</f>
        <v>7194.4592478585346</v>
      </c>
      <c r="Y40" s="6093">
        <v>2422.4131093280052</v>
      </c>
      <c r="Z40" s="6967">
        <f t="shared" si="10"/>
        <v>3992.6518391890972</v>
      </c>
      <c r="AA40" s="5114"/>
      <c r="AB40" s="825"/>
      <c r="AC40" s="825"/>
      <c r="AD40" s="825"/>
      <c r="AE40" s="825"/>
      <c r="AF40" s="825"/>
      <c r="AG40" s="825"/>
      <c r="AH40" s="825"/>
      <c r="AI40" s="825"/>
      <c r="AJ40" s="825"/>
      <c r="AK40" s="825"/>
      <c r="AL40" s="825"/>
      <c r="AM40" s="833"/>
      <c r="AN40" s="825"/>
      <c r="AO40" s="828"/>
      <c r="AP40" s="5101" t="s">
        <v>759</v>
      </c>
    </row>
    <row r="41" spans="1:46" ht="18" thickBot="1">
      <c r="A41" s="7184"/>
      <c r="B41" s="4230" t="s">
        <v>776</v>
      </c>
      <c r="C41" s="1555" t="s">
        <v>280</v>
      </c>
      <c r="D41" s="1572">
        <v>2057</v>
      </c>
      <c r="E41" s="1573">
        <v>3249</v>
      </c>
      <c r="F41" s="1573">
        <v>4436</v>
      </c>
      <c r="G41" s="1573"/>
      <c r="H41" s="1573">
        <v>15121.883998696972</v>
      </c>
      <c r="I41" s="1574">
        <v>22325</v>
      </c>
      <c r="J41" s="1574">
        <v>16135.219800729554</v>
      </c>
      <c r="K41" s="1574">
        <v>18457.150704298372</v>
      </c>
      <c r="L41" s="1684">
        <v>18401.779252185475</v>
      </c>
      <c r="M41" s="1549">
        <f t="shared" si="9"/>
        <v>18401.779252185475</v>
      </c>
      <c r="N41" s="2340">
        <f>('#2CCL'!N41*'#2CCL'!N5)/'2CCL보정'!N5</f>
        <v>18281.949873576927</v>
      </c>
      <c r="O41" s="2340">
        <f>('#2CCL'!O41*'#2CCL'!O5)/'2CCL보정'!O5</f>
        <v>11677.022788888598</v>
      </c>
      <c r="P41" s="2340">
        <f>('#2CCL'!P41*'#2CCL'!P5)/'2CCL보정'!P5</f>
        <v>14366.13215331167</v>
      </c>
      <c r="Q41" s="2340">
        <f>('#2CCL'!Q41*'#2CCL'!Q5)/'2CCL보정'!Q5</f>
        <v>18883.682116729506</v>
      </c>
      <c r="R41" s="2340">
        <f>('#2CCL'!R41*'#2CCL'!R5)/'2CCL보정'!R5</f>
        <v>14731.089916329112</v>
      </c>
      <c r="S41" s="1282">
        <f>('#2CCL'!S41*'#2CCL'!$S$5)/'2CCL보정'!$S$5</f>
        <v>13702.621071006721</v>
      </c>
      <c r="T41" s="1282">
        <f>'#2CCL'!T41</f>
        <v>15561.531517403331</v>
      </c>
      <c r="U41" s="2339">
        <v>18261.720563775598</v>
      </c>
      <c r="V41" s="2492">
        <f>109913812/V5</f>
        <v>24028.500910519841</v>
      </c>
      <c r="W41" s="2492">
        <f>93979598/W5</f>
        <v>20773.516857831877</v>
      </c>
      <c r="X41" s="5544">
        <f>'#2CCL'!X41</f>
        <v>29191.047718205184</v>
      </c>
      <c r="Y41" s="5394">
        <v>15668.240663526818</v>
      </c>
      <c r="Z41" s="6968">
        <f t="shared" si="10"/>
        <v>17927.254679258767</v>
      </c>
      <c r="AA41" s="5111">
        <f t="shared" ref="AA41:AL41" si="13">($K$41-N41)*N5/1000</f>
        <v>941.67117696993273</v>
      </c>
      <c r="AB41" s="3449">
        <f t="shared" si="13"/>
        <v>36362.775228250779</v>
      </c>
      <c r="AC41" s="3449">
        <f t="shared" si="13"/>
        <v>17234.659315670982</v>
      </c>
      <c r="AD41" s="3449">
        <f t="shared" si="13"/>
        <v>-1953.2758644064547</v>
      </c>
      <c r="AE41" s="3449">
        <f t="shared" si="13"/>
        <v>15279.047606538868</v>
      </c>
      <c r="AF41" s="3449">
        <f t="shared" si="13"/>
        <v>27291.095185686747</v>
      </c>
      <c r="AG41" s="3449">
        <f t="shared" si="13"/>
        <v>14402.114887011079</v>
      </c>
      <c r="AH41" s="3449">
        <f t="shared" si="13"/>
        <v>902.38694805547914</v>
      </c>
      <c r="AI41" s="3449">
        <f t="shared" si="13"/>
        <v>-25485.082961820925</v>
      </c>
      <c r="AJ41" s="3449">
        <f t="shared" si="13"/>
        <v>-10479.263642247113</v>
      </c>
      <c r="AK41" s="4753">
        <f t="shared" si="13"/>
        <v>-52166.632148616962</v>
      </c>
      <c r="AL41" s="3286">
        <f t="shared" si="13"/>
        <v>13009.623890889923</v>
      </c>
      <c r="AM41" s="1682">
        <f>(K41-L41)*L5/1000</f>
        <v>2951.5198834258513</v>
      </c>
      <c r="AN41" s="1682">
        <f>SUM(AA41:AL41)</f>
        <v>35339.119621982347</v>
      </c>
      <c r="AO41" s="1637">
        <f>AA41/AM41</f>
        <v>0.319046191170133</v>
      </c>
      <c r="AP41" s="4182" t="s">
        <v>799</v>
      </c>
    </row>
    <row r="42" spans="1:46">
      <c r="A42" s="7183" t="s">
        <v>762</v>
      </c>
      <c r="B42" s="4228" t="s">
        <v>764</v>
      </c>
      <c r="C42" s="1792" t="s">
        <v>766</v>
      </c>
      <c r="D42" s="1851"/>
      <c r="E42" s="1852"/>
      <c r="F42" s="1852"/>
      <c r="G42" s="1852">
        <v>3</v>
      </c>
      <c r="H42" s="1852">
        <v>18</v>
      </c>
      <c r="I42" s="1853">
        <v>14</v>
      </c>
      <c r="J42" s="1853">
        <v>10</v>
      </c>
      <c r="K42" s="1853">
        <v>14</v>
      </c>
      <c r="L42" s="1311">
        <f>'성과개선 실적'!C10</f>
        <v>12</v>
      </c>
      <c r="M42" s="2110">
        <f>L42/12</f>
        <v>1</v>
      </c>
      <c r="N42" s="2287">
        <v>1</v>
      </c>
      <c r="O42" s="932">
        <f>'#2CCL'!O42</f>
        <v>1</v>
      </c>
      <c r="P42" s="932">
        <v>1</v>
      </c>
      <c r="Q42" s="932">
        <f>'#2CCL'!Q42</f>
        <v>2</v>
      </c>
      <c r="R42" s="932">
        <f>'#2CCL'!R42</f>
        <v>1</v>
      </c>
      <c r="S42" s="932">
        <f>'#2CCL'!S42</f>
        <v>0</v>
      </c>
      <c r="T42" s="5105">
        <f>'#2CCL'!T42</f>
        <v>2</v>
      </c>
      <c r="U42" s="5105">
        <f>'#2CCL'!U42</f>
        <v>1</v>
      </c>
      <c r="V42" s="5105">
        <f>'#2CCL'!V42</f>
        <v>1</v>
      </c>
      <c r="W42" s="5105">
        <f>'#2CCL'!W42</f>
        <v>1</v>
      </c>
      <c r="X42" s="6972">
        <f>'#2CCL'!X42</f>
        <v>1</v>
      </c>
      <c r="Y42" s="5712">
        <v>0</v>
      </c>
      <c r="Z42" s="2287">
        <f>SUM(N42:Y42)</f>
        <v>12</v>
      </c>
      <c r="AA42" s="5152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855"/>
      <c r="AN42" s="1855"/>
      <c r="AO42" s="1125"/>
      <c r="AP42" s="1856"/>
    </row>
    <row r="43" spans="1:46" ht="18" thickBot="1">
      <c r="A43" s="7212"/>
      <c r="B43" s="1800" t="s">
        <v>763</v>
      </c>
      <c r="C43" s="1801" t="s">
        <v>765</v>
      </c>
      <c r="D43" s="1857"/>
      <c r="E43" s="1858"/>
      <c r="F43" s="1858"/>
      <c r="G43" s="1858">
        <v>175289.47202950891</v>
      </c>
      <c r="H43" s="1858">
        <v>800077.21181289305</v>
      </c>
      <c r="I43" s="1530">
        <v>460819</v>
      </c>
      <c r="J43" s="3067">
        <v>459054</v>
      </c>
      <c r="K43" s="3109">
        <v>-690358.77657165157</v>
      </c>
      <c r="L43" s="2055">
        <f>'성과개선 실적'!I10</f>
        <v>408652.66550099157</v>
      </c>
      <c r="M43" s="1527"/>
      <c r="N43" s="2227"/>
      <c r="O43" s="1859"/>
      <c r="P43" s="1859"/>
      <c r="Q43" s="2340"/>
      <c r="R43" s="2340"/>
      <c r="S43" s="2340"/>
      <c r="T43" s="2340"/>
      <c r="U43" s="2340"/>
      <c r="V43" s="2340"/>
      <c r="W43" s="2340"/>
      <c r="X43" s="5544"/>
      <c r="Y43" s="5394"/>
      <c r="Z43" s="2227"/>
      <c r="AA43" s="5112"/>
      <c r="AB43" s="3068"/>
      <c r="AC43" s="3068"/>
      <c r="AD43" s="3068"/>
      <c r="AE43" s="3068"/>
      <c r="AF43" s="3068"/>
      <c r="AG43" s="3068"/>
      <c r="AH43" s="3068"/>
      <c r="AI43" s="3068"/>
      <c r="AJ43" s="3068"/>
      <c r="AK43" s="3068"/>
      <c r="AL43" s="1587"/>
      <c r="AM43" s="1687"/>
      <c r="AN43" s="1687"/>
      <c r="AO43" s="1860"/>
      <c r="AP43" s="3147"/>
    </row>
    <row r="44" spans="1:46" ht="18" thickBot="1">
      <c r="A44" s="7485" t="s">
        <v>308</v>
      </c>
      <c r="B44" s="7486"/>
      <c r="C44" s="1559"/>
      <c r="D44" s="836"/>
      <c r="E44" s="381"/>
      <c r="F44" s="381"/>
      <c r="G44" s="381"/>
      <c r="H44" s="381"/>
      <c r="I44" s="1183"/>
      <c r="J44" s="1183"/>
      <c r="K44" s="1183"/>
      <c r="L44" s="1333"/>
      <c r="M44" s="2297">
        <f>AM44/12</f>
        <v>34054.388791749298</v>
      </c>
      <c r="N44" s="2087">
        <f>AA44</f>
        <v>194322.83867523688</v>
      </c>
      <c r="O44" s="1287">
        <f>AB44</f>
        <v>274488.20710764581</v>
      </c>
      <c r="P44" s="1287">
        <f t="shared" ref="P44:Y44" si="14">AC44</f>
        <v>135557.44032438041</v>
      </c>
      <c r="Q44" s="1287">
        <f t="shared" si="14"/>
        <v>60578.720397022749</v>
      </c>
      <c r="R44" s="1287">
        <f t="shared" si="14"/>
        <v>53471.999913353997</v>
      </c>
      <c r="S44" s="1287">
        <f t="shared" si="14"/>
        <v>284065.33748487884</v>
      </c>
      <c r="T44" s="1413">
        <f t="shared" si="14"/>
        <v>125854.93767402865</v>
      </c>
      <c r="U44" s="1287">
        <f t="shared" si="14"/>
        <v>252336.01937701454</v>
      </c>
      <c r="V44" s="1287">
        <f t="shared" si="14"/>
        <v>-138704.62074410295</v>
      </c>
      <c r="W44" s="1287">
        <f t="shared" si="14"/>
        <v>-150228.09392008121</v>
      </c>
      <c r="X44" s="5556">
        <f t="shared" si="14"/>
        <v>-34661.202998202105</v>
      </c>
      <c r="Y44" s="5410">
        <f t="shared" si="14"/>
        <v>-141335.95464643929</v>
      </c>
      <c r="Z44" s="2087"/>
      <c r="AA44" s="5155">
        <f>SUM(AA5:AA9)+AA30+SUM(AA36:AA41)</f>
        <v>194322.83867523688</v>
      </c>
      <c r="AB44" s="1413">
        <f t="shared" ref="AB44:AN44" si="15">SUM(AB5:AB9)+AB30+SUM(AB36:AB41)</f>
        <v>274488.20710764581</v>
      </c>
      <c r="AC44" s="1413">
        <f t="shared" si="15"/>
        <v>135557.44032438041</v>
      </c>
      <c r="AD44" s="1413">
        <f t="shared" si="15"/>
        <v>60578.720397022749</v>
      </c>
      <c r="AE44" s="1413">
        <f t="shared" si="15"/>
        <v>53471.999913353997</v>
      </c>
      <c r="AF44" s="1413">
        <f t="shared" si="15"/>
        <v>284065.33748487884</v>
      </c>
      <c r="AG44" s="1413">
        <f t="shared" si="15"/>
        <v>125854.93767402865</v>
      </c>
      <c r="AH44" s="1413">
        <f t="shared" si="15"/>
        <v>252336.01937701454</v>
      </c>
      <c r="AI44" s="1413">
        <f t="shared" si="15"/>
        <v>-138704.62074410295</v>
      </c>
      <c r="AJ44" s="1413">
        <f t="shared" si="15"/>
        <v>-150228.09392008121</v>
      </c>
      <c r="AK44" s="1413">
        <f t="shared" si="15"/>
        <v>-34661.202998202105</v>
      </c>
      <c r="AL44" s="1146">
        <f t="shared" si="15"/>
        <v>-141335.95464643929</v>
      </c>
      <c r="AM44" s="1146">
        <f t="shared" si="15"/>
        <v>408652.66550099157</v>
      </c>
      <c r="AN44" s="1146">
        <f t="shared" si="15"/>
        <v>915745.62864473613</v>
      </c>
      <c r="AO44" s="376">
        <f>AN44/AM44</f>
        <v>2.2408898948990563</v>
      </c>
      <c r="AP44" s="515"/>
    </row>
    <row r="45" spans="1:46">
      <c r="AP45" s="1536">
        <v>148149.42921875545</v>
      </c>
    </row>
    <row r="46" spans="1:46">
      <c r="AP46" s="65"/>
    </row>
    <row r="47" spans="1:46">
      <c r="A47" s="1705"/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5"/>
      <c r="R47" s="1705"/>
      <c r="S47" s="1705"/>
      <c r="T47" s="1705"/>
      <c r="U47" s="1705"/>
      <c r="V47" s="1705"/>
      <c r="W47" s="1705"/>
      <c r="X47" s="1705"/>
      <c r="Y47" s="1705"/>
      <c r="Z47" s="1705"/>
      <c r="AA47" s="1705"/>
      <c r="AB47" s="1705"/>
      <c r="AC47" s="1705"/>
      <c r="AD47" s="1705"/>
      <c r="AE47" s="1705"/>
      <c r="AF47" s="1705"/>
      <c r="AG47" s="1705"/>
      <c r="AH47" s="1705"/>
      <c r="AI47" s="1705"/>
      <c r="AJ47" s="1705"/>
      <c r="AK47" s="1705"/>
      <c r="AL47" s="1705"/>
      <c r="AM47" s="1705"/>
      <c r="AN47" s="1705"/>
      <c r="AO47" s="1705"/>
      <c r="AP47" s="1705"/>
      <c r="AQ47" s="1705"/>
      <c r="AR47" s="1705"/>
      <c r="AS47" s="1705"/>
      <c r="AT47" s="1705"/>
    </row>
    <row r="48" spans="1:46">
      <c r="A48" s="1705"/>
      <c r="B48" s="1705"/>
      <c r="C48" s="1705"/>
      <c r="D48" s="1705"/>
      <c r="E48" s="1705"/>
      <c r="F48" s="1705"/>
      <c r="G48" s="1705"/>
      <c r="H48" s="1705"/>
      <c r="I48" s="1705"/>
      <c r="J48" s="1705"/>
      <c r="K48" s="1705"/>
      <c r="L48" s="1705"/>
      <c r="M48" s="1705"/>
      <c r="N48" s="1705"/>
      <c r="O48" s="1705"/>
      <c r="P48" s="1705"/>
      <c r="Q48" s="1705"/>
      <c r="R48" s="1705"/>
      <c r="S48" s="1705"/>
      <c r="T48" s="1705"/>
      <c r="U48" s="1705"/>
      <c r="V48" s="1705"/>
      <c r="W48" s="1705"/>
      <c r="X48" s="1705"/>
      <c r="Y48" s="1705"/>
      <c r="Z48" s="1705"/>
      <c r="AA48" s="1705"/>
      <c r="AB48" s="1705"/>
      <c r="AC48" s="1705"/>
      <c r="AD48" s="1705"/>
      <c r="AE48" s="1705"/>
      <c r="AF48" s="1705"/>
      <c r="AG48" s="1705"/>
      <c r="AH48" s="1705"/>
      <c r="AI48" s="1705"/>
      <c r="AJ48" s="1705"/>
      <c r="AK48" s="1705"/>
      <c r="AL48" s="1705"/>
      <c r="AM48" s="1705"/>
      <c r="AN48" s="1705"/>
      <c r="AO48" s="1705"/>
      <c r="AP48" s="1705"/>
      <c r="AQ48" s="1705"/>
      <c r="AR48" s="1705"/>
      <c r="AS48" s="1705"/>
      <c r="AT48" s="1705"/>
    </row>
    <row r="49" spans="1:46">
      <c r="A49" s="1705"/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5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23"/>
      <c r="AF49" s="1717"/>
      <c r="AG49" s="1705"/>
      <c r="AH49" s="1705"/>
      <c r="AI49" s="1705"/>
      <c r="AJ49" s="1705"/>
      <c r="AK49" s="1705"/>
      <c r="AL49" s="1705"/>
      <c r="AM49" s="1705"/>
      <c r="AN49" s="1705"/>
      <c r="AO49" s="1705"/>
      <c r="AP49" s="1705"/>
      <c r="AQ49" s="1705"/>
      <c r="AR49" s="1705"/>
      <c r="AS49" s="1705"/>
      <c r="AT49" s="1705"/>
    </row>
    <row r="50" spans="1:46">
      <c r="A50" s="1705"/>
      <c r="B50" s="1705"/>
      <c r="C50" s="1705"/>
      <c r="D50" s="1705"/>
      <c r="E50" s="1705"/>
      <c r="F50" s="1705"/>
      <c r="G50" s="1705"/>
      <c r="H50" s="1705"/>
      <c r="I50" s="1705"/>
      <c r="J50" s="1705"/>
      <c r="K50" s="1705"/>
      <c r="L50" s="1705"/>
      <c r="M50" s="1705"/>
      <c r="N50" s="1705"/>
      <c r="O50" s="1705"/>
      <c r="P50" s="1705"/>
      <c r="Q50" s="1705"/>
      <c r="R50" s="1705"/>
      <c r="S50" s="1705"/>
      <c r="T50" s="1705"/>
      <c r="U50" s="1705"/>
      <c r="V50" s="1705"/>
      <c r="W50" s="1705"/>
      <c r="X50" s="1705"/>
      <c r="Y50" s="1705"/>
      <c r="Z50" s="1705"/>
      <c r="AA50" s="1705"/>
      <c r="AB50" s="1705"/>
      <c r="AC50" s="1705"/>
      <c r="AD50" s="1705"/>
      <c r="AE50" s="1723"/>
      <c r="AF50" s="1717"/>
      <c r="AG50" s="1705"/>
      <c r="AH50" s="1705"/>
      <c r="AI50" s="1705"/>
      <c r="AJ50" s="1705"/>
      <c r="AK50" s="1705"/>
      <c r="AL50" s="1705"/>
      <c r="AM50" s="1705"/>
      <c r="AN50" s="1705"/>
      <c r="AO50" s="1705"/>
      <c r="AP50" s="1705"/>
      <c r="AQ50" s="1705"/>
      <c r="AR50" s="1705"/>
      <c r="AS50" s="1705"/>
      <c r="AT50" s="1705"/>
    </row>
    <row r="51" spans="1:46">
      <c r="A51" s="1705"/>
      <c r="B51" s="1705"/>
      <c r="C51" s="1705"/>
      <c r="D51" s="1705"/>
      <c r="E51" s="1705"/>
      <c r="F51" s="1705"/>
      <c r="G51" s="1705"/>
      <c r="H51" s="1705"/>
      <c r="I51" s="1705"/>
      <c r="J51" s="1705"/>
      <c r="K51" s="1705"/>
      <c r="L51" s="1705"/>
      <c r="M51" s="1705"/>
      <c r="N51" s="1705"/>
      <c r="O51" s="1705"/>
      <c r="P51" s="1705"/>
      <c r="Q51" s="1705"/>
      <c r="R51" s="1705"/>
      <c r="S51" s="1705"/>
      <c r="T51" s="1705"/>
      <c r="U51" s="1705"/>
      <c r="V51" s="1705"/>
      <c r="W51" s="1705"/>
      <c r="X51" s="1705"/>
      <c r="Y51" s="1705"/>
      <c r="Z51" s="1705"/>
      <c r="AA51" s="1705"/>
      <c r="AB51" s="1705"/>
      <c r="AC51" s="1705"/>
      <c r="AD51" s="1705"/>
      <c r="AE51" s="1705"/>
      <c r="AF51" s="1705"/>
      <c r="AG51" s="1705"/>
      <c r="AH51" s="1705"/>
      <c r="AI51" s="1705"/>
      <c r="AJ51" s="1705"/>
      <c r="AK51" s="1705"/>
      <c r="AL51" s="1705"/>
      <c r="AM51" s="1705"/>
      <c r="AN51" s="1705"/>
      <c r="AO51" s="1705"/>
      <c r="AP51" s="1706"/>
      <c r="AQ51" s="1705"/>
      <c r="AR51" s="1707"/>
      <c r="AS51" s="1705"/>
      <c r="AT51" s="1705"/>
    </row>
    <row r="52" spans="1:46">
      <c r="A52" s="1705"/>
      <c r="B52" s="1705"/>
      <c r="C52" s="1705"/>
      <c r="D52" s="1705"/>
      <c r="E52" s="1705"/>
      <c r="F52" s="1705"/>
      <c r="G52" s="1705"/>
      <c r="H52" s="1705"/>
      <c r="I52" s="1705"/>
      <c r="J52" s="1705"/>
      <c r="K52" s="1705"/>
      <c r="L52" s="1705"/>
      <c r="M52" s="1705"/>
      <c r="N52" s="1705"/>
      <c r="O52" s="1705"/>
      <c r="P52" s="1705"/>
      <c r="Q52" s="1705"/>
      <c r="R52" s="1705"/>
      <c r="S52" s="1705"/>
      <c r="T52" s="1705"/>
      <c r="U52" s="1705"/>
      <c r="V52" s="1705"/>
      <c r="W52" s="1705"/>
      <c r="X52" s="1705"/>
      <c r="Y52" s="1705"/>
      <c r="Z52" s="1705"/>
      <c r="AA52" s="1705"/>
      <c r="AB52" s="1705"/>
      <c r="AC52" s="1705"/>
      <c r="AD52" s="1705"/>
      <c r="AE52" s="1705"/>
      <c r="AF52" s="1705"/>
      <c r="AG52" s="1705"/>
      <c r="AH52" s="1705"/>
      <c r="AI52" s="1705"/>
      <c r="AJ52" s="1705"/>
      <c r="AK52" s="1705"/>
      <c r="AL52" s="1705"/>
      <c r="AM52" s="1705"/>
      <c r="AN52" s="1705"/>
      <c r="AO52" s="1705"/>
      <c r="AP52" s="1705"/>
      <c r="AQ52" s="1705"/>
      <c r="AR52" s="1709"/>
      <c r="AS52" s="1705"/>
      <c r="AT52" s="1705"/>
    </row>
    <row r="53" spans="1:46">
      <c r="A53" s="1705"/>
      <c r="B53" s="1705"/>
      <c r="C53" s="1705"/>
      <c r="D53" s="1705"/>
      <c r="E53" s="1705"/>
      <c r="F53" s="1705"/>
      <c r="G53" s="1705"/>
      <c r="H53" s="1705"/>
      <c r="I53" s="1705"/>
      <c r="J53" s="1705"/>
      <c r="K53" s="1705"/>
      <c r="L53" s="1705"/>
      <c r="M53" s="1705"/>
      <c r="N53" s="1705"/>
      <c r="O53" s="1705"/>
      <c r="P53" s="1705"/>
      <c r="Q53" s="1705"/>
      <c r="R53" s="1705"/>
      <c r="S53" s="1705"/>
      <c r="T53" s="1705"/>
      <c r="U53" s="1705"/>
      <c r="V53" s="1705"/>
      <c r="W53" s="1705"/>
      <c r="X53" s="1705"/>
      <c r="Y53" s="1705"/>
      <c r="Z53" s="1705"/>
      <c r="AA53" s="1705"/>
      <c r="AB53" s="1705"/>
      <c r="AC53" s="1705"/>
      <c r="AD53" s="1705"/>
      <c r="AE53" s="1705"/>
      <c r="AF53" s="1705"/>
      <c r="AG53" s="1705"/>
      <c r="AH53" s="1705"/>
      <c r="AI53" s="1705"/>
      <c r="AJ53" s="1705"/>
      <c r="AK53" s="1705"/>
      <c r="AL53" s="1705"/>
      <c r="AM53" s="1705"/>
      <c r="AN53" s="1705"/>
      <c r="AO53" s="1705"/>
      <c r="AP53" s="1705"/>
      <c r="AQ53" s="1705"/>
      <c r="AR53" s="1705"/>
      <c r="AS53" s="1705"/>
      <c r="AT53" s="1705"/>
    </row>
    <row r="54" spans="1:46">
      <c r="A54" s="1705"/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5"/>
      <c r="R54" s="1705"/>
      <c r="S54" s="1705"/>
      <c r="T54" s="1705"/>
      <c r="U54" s="1705"/>
      <c r="V54" s="1705"/>
      <c r="W54" s="1705"/>
      <c r="X54" s="1705"/>
      <c r="Y54" s="1705"/>
      <c r="Z54" s="1705"/>
      <c r="AA54" s="1705"/>
      <c r="AB54" s="1705"/>
      <c r="AC54" s="1705"/>
      <c r="AD54" s="1705"/>
      <c r="AE54" s="1705"/>
      <c r="AF54" s="1705"/>
      <c r="AG54" s="1705"/>
      <c r="AH54" s="1705"/>
      <c r="AI54" s="1705"/>
      <c r="AJ54" s="1705"/>
      <c r="AK54" s="1705"/>
      <c r="AL54" s="1705"/>
      <c r="AM54" s="1705"/>
      <c r="AN54" s="1705"/>
      <c r="AO54" s="1705"/>
      <c r="AP54" s="1706"/>
      <c r="AQ54" s="1705"/>
      <c r="AR54" s="1707"/>
      <c r="AS54" s="1705"/>
      <c r="AT54" s="1705"/>
    </row>
    <row r="55" spans="1:46">
      <c r="A55" s="1705"/>
      <c r="B55" s="1705"/>
      <c r="C55" s="1705"/>
      <c r="D55" s="1705"/>
      <c r="E55" s="1705"/>
      <c r="F55" s="1705"/>
      <c r="G55" s="1705"/>
      <c r="H55" s="1705"/>
      <c r="I55" s="1705"/>
      <c r="J55" s="1705"/>
      <c r="K55" s="1705"/>
      <c r="L55" s="1705"/>
      <c r="M55" s="1705"/>
      <c r="N55" s="1705"/>
      <c r="O55" s="1705"/>
      <c r="P55" s="1705"/>
      <c r="Q55" s="1705"/>
      <c r="R55" s="1705"/>
      <c r="S55" s="1705"/>
      <c r="T55" s="1705"/>
      <c r="U55" s="1705"/>
      <c r="V55" s="1705"/>
      <c r="W55" s="1705"/>
      <c r="X55" s="1705"/>
      <c r="Y55" s="1705"/>
      <c r="Z55" s="1705"/>
      <c r="AA55" s="1705"/>
      <c r="AB55" s="1705"/>
      <c r="AC55" s="1705"/>
      <c r="AD55" s="1705"/>
      <c r="AE55" s="1705"/>
      <c r="AF55" s="1705"/>
      <c r="AG55" s="1705"/>
      <c r="AH55" s="1705"/>
      <c r="AI55" s="1705"/>
      <c r="AJ55" s="1705"/>
      <c r="AK55" s="1705"/>
      <c r="AL55" s="1705"/>
      <c r="AM55" s="1705"/>
      <c r="AN55" s="1705"/>
      <c r="AO55" s="1705"/>
      <c r="AP55" s="1705"/>
      <c r="AQ55" s="1705"/>
      <c r="AR55" s="1709"/>
      <c r="AS55" s="1705"/>
      <c r="AT55" s="1705"/>
    </row>
    <row r="56" spans="1:46">
      <c r="A56" s="1705"/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5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5"/>
      <c r="AL56" s="1705"/>
      <c r="AM56" s="1705"/>
      <c r="AN56" s="1705"/>
      <c r="AO56" s="1705"/>
      <c r="AP56" s="1705"/>
      <c r="AQ56" s="1705"/>
      <c r="AR56" s="1705"/>
      <c r="AS56" s="1705"/>
      <c r="AT56" s="1705"/>
    </row>
    <row r="57" spans="1:46">
      <c r="A57" s="1705"/>
      <c r="B57" s="1705"/>
      <c r="C57" s="1705"/>
      <c r="D57" s="1705"/>
      <c r="E57" s="1705"/>
      <c r="F57" s="1705"/>
      <c r="G57" s="1705"/>
      <c r="H57" s="1705"/>
      <c r="I57" s="1705"/>
      <c r="J57" s="1705"/>
      <c r="K57" s="1705"/>
      <c r="L57" s="1705"/>
      <c r="M57" s="1705"/>
      <c r="N57" s="1705"/>
      <c r="O57" s="1705"/>
      <c r="P57" s="1705"/>
      <c r="Q57" s="1705"/>
      <c r="R57" s="1705"/>
      <c r="S57" s="1705"/>
      <c r="T57" s="1705"/>
      <c r="U57" s="1705"/>
      <c r="V57" s="1705"/>
      <c r="W57" s="1705"/>
      <c r="X57" s="1705"/>
      <c r="Y57" s="1705"/>
      <c r="Z57" s="1705"/>
      <c r="AA57" s="1705"/>
      <c r="AB57" s="1705"/>
      <c r="AC57" s="1705"/>
      <c r="AD57" s="1705"/>
      <c r="AE57" s="1705"/>
      <c r="AF57" s="1705"/>
      <c r="AG57" s="1705"/>
      <c r="AH57" s="1705"/>
      <c r="AI57" s="1705"/>
      <c r="AJ57" s="1705"/>
      <c r="AK57" s="1705"/>
      <c r="AL57" s="1705"/>
      <c r="AM57" s="1705"/>
      <c r="AN57" s="1705"/>
      <c r="AO57" s="1705"/>
      <c r="AP57" s="1706"/>
      <c r="AQ57" s="1705"/>
      <c r="AR57" s="1707"/>
      <c r="AS57" s="1705"/>
      <c r="AT57" s="1705"/>
    </row>
    <row r="58" spans="1:46">
      <c r="A58" s="1705"/>
      <c r="B58" s="1705"/>
      <c r="C58" s="1705"/>
      <c r="D58" s="1705"/>
      <c r="E58" s="1705"/>
      <c r="F58" s="1705"/>
      <c r="G58" s="1705"/>
      <c r="H58" s="1705"/>
      <c r="I58" s="1705"/>
      <c r="J58" s="1705"/>
      <c r="K58" s="1705"/>
      <c r="L58" s="1705"/>
      <c r="M58" s="1705"/>
      <c r="N58" s="1705"/>
      <c r="O58" s="1705"/>
      <c r="P58" s="1705"/>
      <c r="Q58" s="1705"/>
      <c r="R58" s="1705"/>
      <c r="S58" s="1705"/>
      <c r="T58" s="1705"/>
      <c r="U58" s="1705"/>
      <c r="V58" s="1705"/>
      <c r="W58" s="1705"/>
      <c r="X58" s="1705"/>
      <c r="Y58" s="1705"/>
      <c r="Z58" s="1705"/>
      <c r="AA58" s="1705"/>
      <c r="AB58" s="1705"/>
      <c r="AC58" s="1705"/>
      <c r="AD58" s="1705"/>
      <c r="AE58" s="1705"/>
      <c r="AF58" s="1705"/>
      <c r="AG58" s="1705"/>
      <c r="AH58" s="1705"/>
      <c r="AI58" s="1705"/>
      <c r="AJ58" s="1705"/>
      <c r="AK58" s="1705"/>
      <c r="AL58" s="1705"/>
      <c r="AM58" s="1705"/>
      <c r="AN58" s="1705"/>
      <c r="AO58" s="1705"/>
      <c r="AP58" s="1705"/>
      <c r="AQ58" s="1705"/>
      <c r="AR58" s="1709"/>
      <c r="AS58" s="1705"/>
      <c r="AT58" s="1705"/>
    </row>
    <row r="59" spans="1:46">
      <c r="A59" s="1705"/>
      <c r="B59" s="1705"/>
      <c r="C59" s="1705"/>
      <c r="D59" s="1705"/>
      <c r="E59" s="1705"/>
      <c r="F59" s="1705"/>
      <c r="G59" s="1705"/>
      <c r="H59" s="1705"/>
      <c r="I59" s="1705"/>
      <c r="J59" s="1705"/>
      <c r="K59" s="1705"/>
      <c r="L59" s="1705"/>
      <c r="M59" s="1705"/>
      <c r="N59" s="1705"/>
      <c r="O59" s="1705"/>
      <c r="P59" s="1705"/>
      <c r="Q59" s="1705"/>
      <c r="R59" s="1705"/>
      <c r="S59" s="1705"/>
      <c r="T59" s="1705"/>
      <c r="U59" s="1705"/>
      <c r="V59" s="1705"/>
      <c r="W59" s="1705"/>
      <c r="X59" s="1705"/>
      <c r="Y59" s="1705"/>
      <c r="Z59" s="1705"/>
      <c r="AA59" s="1705"/>
      <c r="AB59" s="1705"/>
      <c r="AC59" s="1705"/>
      <c r="AD59" s="1705"/>
      <c r="AE59" s="1705"/>
      <c r="AF59" s="1705"/>
      <c r="AG59" s="1705"/>
      <c r="AH59" s="1705"/>
      <c r="AI59" s="1705"/>
      <c r="AJ59" s="1705"/>
      <c r="AK59" s="1705"/>
      <c r="AL59" s="1705"/>
      <c r="AM59" s="1705"/>
      <c r="AN59" s="1705"/>
      <c r="AO59" s="1705"/>
      <c r="AP59" s="1705"/>
      <c r="AQ59" s="1705"/>
      <c r="AR59" s="1705"/>
      <c r="AS59" s="1705"/>
      <c r="AT59" s="1705"/>
    </row>
    <row r="60" spans="1:46">
      <c r="A60" s="1705"/>
      <c r="B60" s="1705"/>
      <c r="C60" s="1705"/>
      <c r="D60" s="1705"/>
      <c r="E60" s="1705"/>
      <c r="F60" s="1705"/>
      <c r="G60" s="1705"/>
      <c r="H60" s="1705"/>
      <c r="I60" s="1705"/>
      <c r="J60" s="1705"/>
      <c r="K60" s="1705"/>
      <c r="L60" s="1705"/>
      <c r="M60" s="1705"/>
      <c r="N60" s="1705"/>
      <c r="O60" s="1705"/>
      <c r="P60" s="1705"/>
      <c r="Q60" s="1705"/>
      <c r="R60" s="1705"/>
      <c r="S60" s="1705"/>
      <c r="T60" s="1705"/>
      <c r="U60" s="1705"/>
      <c r="V60" s="1705"/>
      <c r="W60" s="1705"/>
      <c r="X60" s="1705"/>
      <c r="Y60" s="1705"/>
      <c r="Z60" s="1705"/>
      <c r="AA60" s="1705"/>
      <c r="AB60" s="1705"/>
      <c r="AC60" s="1705"/>
      <c r="AD60" s="1705"/>
      <c r="AE60" s="1705"/>
      <c r="AF60" s="1705"/>
      <c r="AG60" s="1705"/>
      <c r="AH60" s="1705"/>
      <c r="AI60" s="1705"/>
      <c r="AJ60" s="1705"/>
      <c r="AK60" s="1705"/>
      <c r="AL60" s="1705"/>
      <c r="AM60" s="1705"/>
      <c r="AN60" s="1705"/>
      <c r="AO60" s="1705"/>
      <c r="AP60" s="1705"/>
      <c r="AQ60" s="1705"/>
      <c r="AR60" s="1705"/>
      <c r="AS60" s="1705"/>
      <c r="AT60" s="1705"/>
    </row>
    <row r="61" spans="1:46">
      <c r="A61" s="1705"/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5"/>
      <c r="R61" s="1705"/>
      <c r="S61" s="1705"/>
      <c r="T61" s="1705"/>
      <c r="U61" s="1705"/>
      <c r="V61" s="1705"/>
      <c r="W61" s="1705"/>
      <c r="X61" s="1705"/>
      <c r="Y61" s="1705"/>
      <c r="Z61" s="1705"/>
      <c r="AA61" s="1705"/>
      <c r="AB61" s="1705"/>
      <c r="AC61" s="1705"/>
      <c r="AD61" s="1705"/>
      <c r="AE61" s="1705"/>
      <c r="AF61" s="1705"/>
      <c r="AG61" s="1705"/>
      <c r="AH61" s="1705"/>
      <c r="AI61" s="1705"/>
      <c r="AJ61" s="1705"/>
      <c r="AK61" s="1705"/>
      <c r="AL61" s="1705"/>
      <c r="AM61" s="1705"/>
      <c r="AN61" s="1705"/>
      <c r="AO61" s="1705"/>
      <c r="AP61" s="1706"/>
      <c r="AQ61" s="1706"/>
      <c r="AR61" s="1706"/>
      <c r="AS61" s="1705"/>
      <c r="AT61" s="1705"/>
    </row>
    <row r="62" spans="1:46">
      <c r="A62" s="1705"/>
      <c r="B62" s="1705"/>
      <c r="C62" s="1705"/>
      <c r="D62" s="1705"/>
      <c r="E62" s="1705"/>
      <c r="F62" s="1705"/>
      <c r="G62" s="1705"/>
      <c r="H62" s="1705"/>
      <c r="I62" s="1705"/>
      <c r="J62" s="1705"/>
      <c r="K62" s="1705"/>
      <c r="L62" s="1705"/>
      <c r="M62" s="1705"/>
      <c r="N62" s="1705"/>
      <c r="O62" s="1705"/>
      <c r="P62" s="1705"/>
      <c r="Q62" s="1705"/>
      <c r="R62" s="1705"/>
      <c r="S62" s="1705"/>
      <c r="T62" s="1705"/>
      <c r="U62" s="1705"/>
      <c r="V62" s="1705"/>
      <c r="W62" s="1705"/>
      <c r="X62" s="1705"/>
      <c r="Y62" s="1705"/>
      <c r="Z62" s="1705"/>
      <c r="AA62" s="1705"/>
      <c r="AB62" s="1705"/>
      <c r="AC62" s="1705"/>
      <c r="AD62" s="1705"/>
      <c r="AE62" s="1705"/>
      <c r="AF62" s="1705"/>
      <c r="AG62" s="1705"/>
      <c r="AH62" s="1705"/>
      <c r="AI62" s="1705"/>
      <c r="AJ62" s="1705"/>
      <c r="AK62" s="1705"/>
      <c r="AL62" s="1705"/>
      <c r="AM62" s="1705"/>
      <c r="AN62" s="1705"/>
      <c r="AO62" s="1705"/>
      <c r="AP62" s="1705"/>
      <c r="AQ62" s="1705"/>
      <c r="AR62" s="1709"/>
      <c r="AS62" s="1705"/>
      <c r="AT62" s="1705"/>
    </row>
    <row r="63" spans="1:46">
      <c r="A63" s="1705"/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5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5"/>
      <c r="AL63" s="1705"/>
      <c r="AM63" s="1705"/>
      <c r="AN63" s="1705"/>
      <c r="AO63" s="1705"/>
      <c r="AP63" s="1705"/>
      <c r="AQ63" s="1705"/>
      <c r="AR63" s="1705"/>
      <c r="AS63" s="1705"/>
      <c r="AT63" s="1705"/>
    </row>
    <row r="64" spans="1:46">
      <c r="A64" s="1705"/>
      <c r="B64" s="1705"/>
      <c r="C64" s="1705"/>
      <c r="D64" s="1705"/>
      <c r="E64" s="1705"/>
      <c r="F64" s="1705"/>
      <c r="G64" s="1705"/>
      <c r="H64" s="1705"/>
      <c r="I64" s="1705"/>
      <c r="J64" s="1705"/>
      <c r="K64" s="1705"/>
      <c r="L64" s="1705"/>
      <c r="M64" s="1705"/>
      <c r="N64" s="1705"/>
      <c r="O64" s="1705"/>
      <c r="P64" s="1705"/>
      <c r="Q64" s="1705"/>
      <c r="R64" s="1705"/>
      <c r="S64" s="1705"/>
      <c r="T64" s="1705"/>
      <c r="U64" s="1705"/>
      <c r="V64" s="1705"/>
      <c r="W64" s="1705"/>
      <c r="X64" s="1705"/>
      <c r="Y64" s="1705"/>
      <c r="Z64" s="1705"/>
      <c r="AA64" s="1705"/>
      <c r="AB64" s="1705"/>
      <c r="AC64" s="1705"/>
      <c r="AD64" s="1705"/>
      <c r="AE64" s="1705"/>
      <c r="AF64" s="1705"/>
      <c r="AG64" s="1705"/>
      <c r="AH64" s="1705"/>
      <c r="AI64" s="1705"/>
      <c r="AJ64" s="1705"/>
      <c r="AK64" s="1705"/>
      <c r="AL64" s="1705"/>
      <c r="AM64" s="1705"/>
      <c r="AN64" s="1705"/>
      <c r="AO64" s="1705"/>
      <c r="AP64" s="1705"/>
      <c r="AQ64" s="1705"/>
      <c r="AR64" s="1705"/>
      <c r="AS64" s="1705"/>
      <c r="AT64" s="1705"/>
    </row>
    <row r="65" spans="1:46">
      <c r="A65" s="1705"/>
      <c r="B65" s="1705"/>
      <c r="C65" s="1705"/>
      <c r="D65" s="1705"/>
      <c r="E65" s="1705"/>
      <c r="F65" s="1705"/>
      <c r="G65" s="1705"/>
      <c r="H65" s="1705"/>
      <c r="I65" s="1705"/>
      <c r="J65" s="1705"/>
      <c r="K65" s="1705"/>
      <c r="L65" s="1705"/>
      <c r="M65" s="1705"/>
      <c r="N65" s="1705"/>
      <c r="O65" s="1705"/>
      <c r="P65" s="1705"/>
      <c r="Q65" s="1705"/>
      <c r="R65" s="1705"/>
      <c r="S65" s="1705"/>
      <c r="T65" s="1705"/>
      <c r="U65" s="1705"/>
      <c r="V65" s="1705"/>
      <c r="W65" s="1705"/>
      <c r="X65" s="1705"/>
      <c r="Y65" s="1705"/>
      <c r="Z65" s="1705"/>
      <c r="AA65" s="1705"/>
      <c r="AB65" s="1705"/>
      <c r="AC65" s="1705"/>
      <c r="AD65" s="1705"/>
      <c r="AE65" s="1705"/>
      <c r="AF65" s="1705"/>
      <c r="AG65" s="1705"/>
      <c r="AH65" s="1705"/>
      <c r="AI65" s="1705"/>
      <c r="AJ65" s="1705"/>
      <c r="AK65" s="1705"/>
      <c r="AL65" s="1705"/>
      <c r="AM65" s="1705"/>
      <c r="AN65" s="1705"/>
      <c r="AO65" s="1705"/>
      <c r="AP65" s="1705"/>
      <c r="AQ65" s="1705"/>
      <c r="AR65" s="1705"/>
      <c r="AS65" s="1705"/>
      <c r="AT65" s="1705"/>
    </row>
    <row r="66" spans="1:46">
      <c r="A66" s="1705"/>
      <c r="B66" s="1705"/>
      <c r="C66" s="1705"/>
      <c r="D66" s="1705"/>
      <c r="E66" s="1705"/>
      <c r="F66" s="1705"/>
      <c r="G66" s="1705"/>
      <c r="H66" s="1705"/>
      <c r="I66" s="1705"/>
      <c r="J66" s="1705"/>
      <c r="K66" s="1705"/>
      <c r="L66" s="1705"/>
      <c r="M66" s="1705"/>
      <c r="N66" s="1705"/>
      <c r="O66" s="1705"/>
      <c r="P66" s="1705"/>
      <c r="Q66" s="1705"/>
      <c r="R66" s="1705"/>
      <c r="S66" s="1705"/>
      <c r="T66" s="1705"/>
      <c r="U66" s="1705"/>
      <c r="V66" s="1705"/>
      <c r="W66" s="1705"/>
      <c r="X66" s="1705"/>
      <c r="Y66" s="1705"/>
      <c r="Z66" s="1705"/>
      <c r="AA66" s="1705"/>
      <c r="AB66" s="1705"/>
      <c r="AC66" s="1705"/>
      <c r="AD66" s="1705"/>
      <c r="AE66" s="1705"/>
      <c r="AF66" s="1705"/>
      <c r="AG66" s="1705"/>
      <c r="AH66" s="1705"/>
      <c r="AI66" s="1705"/>
      <c r="AJ66" s="1705"/>
      <c r="AK66" s="1705"/>
      <c r="AL66" s="1705"/>
      <c r="AM66" s="1705"/>
      <c r="AN66" s="1705"/>
      <c r="AO66" s="1705"/>
      <c r="AP66" s="1705"/>
      <c r="AQ66" s="1705"/>
      <c r="AR66" s="1705"/>
      <c r="AS66" s="1705"/>
      <c r="AT66" s="1705"/>
    </row>
  </sheetData>
  <mergeCells count="73">
    <mergeCell ref="A1:AP1"/>
    <mergeCell ref="L2:AP2"/>
    <mergeCell ref="A3:A4"/>
    <mergeCell ref="B3:B4"/>
    <mergeCell ref="C3:C4"/>
    <mergeCell ref="D3:K3"/>
    <mergeCell ref="L3:M3"/>
    <mergeCell ref="N3:AL3"/>
    <mergeCell ref="AM3:AM4"/>
    <mergeCell ref="AN3:AN4"/>
    <mergeCell ref="AO3:AO4"/>
    <mergeCell ref="AP3:AP4"/>
    <mergeCell ref="A5:A8"/>
    <mergeCell ref="A9:A10"/>
    <mergeCell ref="A11:A23"/>
    <mergeCell ref="AI30:AI31"/>
    <mergeCell ref="AJ30:AJ31"/>
    <mergeCell ref="A30:A31"/>
    <mergeCell ref="B30:B31"/>
    <mergeCell ref="AA30:AA31"/>
    <mergeCell ref="AB30:AB31"/>
    <mergeCell ref="AC30:AC31"/>
    <mergeCell ref="AD30:AD31"/>
    <mergeCell ref="A24:A29"/>
    <mergeCell ref="B24:B25"/>
    <mergeCell ref="B26:B27"/>
    <mergeCell ref="B28:B29"/>
    <mergeCell ref="A32:A35"/>
    <mergeCell ref="AE30:AE31"/>
    <mergeCell ref="AF30:AF31"/>
    <mergeCell ref="AG30:AG31"/>
    <mergeCell ref="AH30:AH31"/>
    <mergeCell ref="AK30:AK31"/>
    <mergeCell ref="AL30:AL31"/>
    <mergeCell ref="AM30:AM31"/>
    <mergeCell ref="AN30:AN31"/>
    <mergeCell ref="AO30:AO31"/>
    <mergeCell ref="AJ36:AJ37"/>
    <mergeCell ref="A36:A39"/>
    <mergeCell ref="B36:B37"/>
    <mergeCell ref="AA36:AA37"/>
    <mergeCell ref="AB36:AB37"/>
    <mergeCell ref="AC36:AC37"/>
    <mergeCell ref="AD36:AD37"/>
    <mergeCell ref="AE36:AE37"/>
    <mergeCell ref="AF36:AF37"/>
    <mergeCell ref="AG36:AG37"/>
    <mergeCell ref="AH36:AH37"/>
    <mergeCell ref="AI36:AI37"/>
    <mergeCell ref="AK36:AK37"/>
    <mergeCell ref="AL36:AL37"/>
    <mergeCell ref="AM36:AM37"/>
    <mergeCell ref="AN36:AN37"/>
    <mergeCell ref="AO36:AO37"/>
    <mergeCell ref="AN38:AN39"/>
    <mergeCell ref="AO38:AO39"/>
    <mergeCell ref="A40:A41"/>
    <mergeCell ref="AE38:AE39"/>
    <mergeCell ref="AF38:AF39"/>
    <mergeCell ref="AG38:AG39"/>
    <mergeCell ref="AH38:AH39"/>
    <mergeCell ref="AI38:AI39"/>
    <mergeCell ref="AJ38:AJ39"/>
    <mergeCell ref="B38:B39"/>
    <mergeCell ref="AA38:AA39"/>
    <mergeCell ref="AB38:AB39"/>
    <mergeCell ref="AC38:AC39"/>
    <mergeCell ref="AD38:AD39"/>
    <mergeCell ref="A42:A43"/>
    <mergeCell ref="A44:B44"/>
    <mergeCell ref="AK38:AK39"/>
    <mergeCell ref="AL38:AL39"/>
    <mergeCell ref="AM38:AM39"/>
  </mergeCells>
  <phoneticPr fontId="22" type="noConversion"/>
  <pageMargins left="0.7" right="0.7" top="0.75" bottom="0.75" header="0.3" footer="0.3"/>
  <pageSetup paperSize="9" scale="63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zoomScale="80" zoomScaleNormal="80"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T27" sqref="T27"/>
    </sheetView>
  </sheetViews>
  <sheetFormatPr defaultRowHeight="14.4"/>
  <cols>
    <col min="1" max="3" width="8.8984375" style="299"/>
    <col min="4" max="6" width="8.796875" style="299" hidden="1" customWidth="1"/>
    <col min="7" max="7" width="11.59765625" style="299" hidden="1" customWidth="1"/>
    <col min="8" max="8" width="9.59765625" style="299" hidden="1" customWidth="1"/>
    <col min="9" max="11" width="9.59765625" style="299" bestFit="1" customWidth="1"/>
    <col min="12" max="20" width="8.8984375" style="299"/>
    <col min="21" max="25" width="8.796875" style="299" customWidth="1"/>
    <col min="28" max="28" width="10.5" bestFit="1" customWidth="1"/>
  </cols>
  <sheetData>
    <row r="1" spans="1:28" ht="15" thickBot="1"/>
    <row r="2" spans="1:28" ht="18" thickBot="1">
      <c r="A2" s="7132" t="s">
        <v>953</v>
      </c>
      <c r="B2" s="7223" t="s">
        <v>340</v>
      </c>
      <c r="C2" s="7225" t="s">
        <v>254</v>
      </c>
      <c r="D2" s="7400" t="s">
        <v>255</v>
      </c>
      <c r="E2" s="7377"/>
      <c r="F2" s="7377"/>
      <c r="G2" s="7377"/>
      <c r="H2" s="7377"/>
      <c r="I2" s="7377"/>
      <c r="J2" s="7377"/>
      <c r="K2" s="2737"/>
      <c r="L2" s="7132" t="s">
        <v>954</v>
      </c>
      <c r="M2" s="7223"/>
      <c r="N2"/>
      <c r="O2"/>
      <c r="P2"/>
      <c r="Q2"/>
      <c r="R2"/>
      <c r="S2"/>
      <c r="T2"/>
      <c r="U2"/>
      <c r="V2"/>
      <c r="W2"/>
      <c r="X2"/>
      <c r="Y2"/>
    </row>
    <row r="3" spans="1:28" ht="18" thickBot="1">
      <c r="A3" s="7504"/>
      <c r="B3" s="7505"/>
      <c r="C3" s="7503"/>
      <c r="D3" s="1422" t="s">
        <v>256</v>
      </c>
      <c r="E3" s="1423" t="s">
        <v>257</v>
      </c>
      <c r="F3" s="1423" t="s">
        <v>194</v>
      </c>
      <c r="G3" s="1424" t="s">
        <v>258</v>
      </c>
      <c r="H3" s="1414" t="s">
        <v>955</v>
      </c>
      <c r="I3" s="1425" t="s">
        <v>716</v>
      </c>
      <c r="J3" s="1886" t="s">
        <v>1053</v>
      </c>
      <c r="K3" s="2734" t="s">
        <v>1274</v>
      </c>
      <c r="L3" s="1887" t="s">
        <v>1273</v>
      </c>
      <c r="M3" s="1888" t="s">
        <v>956</v>
      </c>
      <c r="N3" s="1437" t="s">
        <v>957</v>
      </c>
      <c r="O3" s="1426" t="s">
        <v>372</v>
      </c>
      <c r="P3" s="1426" t="s">
        <v>373</v>
      </c>
      <c r="Q3" s="1426" t="s">
        <v>374</v>
      </c>
      <c r="R3" s="1426" t="s">
        <v>375</v>
      </c>
      <c r="S3" s="1426" t="s">
        <v>376</v>
      </c>
      <c r="T3" s="1426" t="s">
        <v>377</v>
      </c>
      <c r="U3" s="1426" t="s">
        <v>378</v>
      </c>
      <c r="V3" s="1426" t="s">
        <v>379</v>
      </c>
      <c r="W3" s="1426" t="s">
        <v>380</v>
      </c>
      <c r="X3" s="1426" t="s">
        <v>381</v>
      </c>
      <c r="Y3" s="1454" t="s">
        <v>382</v>
      </c>
      <c r="Z3" s="1415" t="s">
        <v>985</v>
      </c>
    </row>
    <row r="4" spans="1:28" ht="17.399999999999999" customHeight="1">
      <c r="A4" s="7179" t="s">
        <v>958</v>
      </c>
      <c r="B4" s="7208" t="s">
        <v>959</v>
      </c>
      <c r="C4" s="1009" t="s">
        <v>740</v>
      </c>
      <c r="D4" s="1429"/>
      <c r="E4" s="1430"/>
      <c r="F4" s="1010"/>
      <c r="G4" s="1431">
        <v>69</v>
      </c>
      <c r="H4" s="1431">
        <v>35</v>
      </c>
      <c r="I4" s="1431">
        <v>17</v>
      </c>
      <c r="J4" s="2768">
        <v>14</v>
      </c>
      <c r="K4" s="2772">
        <v>24</v>
      </c>
      <c r="L4" s="1912">
        <f>CPL!L18</f>
        <v>17</v>
      </c>
      <c r="M4" s="2496">
        <f>CPL!M18</f>
        <v>1.7</v>
      </c>
      <c r="N4" s="1438">
        <f>CPL!N18</f>
        <v>1</v>
      </c>
      <c r="O4" s="1427">
        <f>CPL!O18</f>
        <v>4</v>
      </c>
      <c r="P4" s="1427">
        <f>CPL!P18</f>
        <v>0</v>
      </c>
      <c r="Q4" s="1427">
        <f>CPL!Q18</f>
        <v>1</v>
      </c>
      <c r="R4" s="1427">
        <f>CPL!R18</f>
        <v>2</v>
      </c>
      <c r="S4" s="1427">
        <f>CPL!S18</f>
        <v>1</v>
      </c>
      <c r="T4" s="1427">
        <f>CPL!T18</f>
        <v>0</v>
      </c>
      <c r="U4" s="1427">
        <f>CPL!U18</f>
        <v>1</v>
      </c>
      <c r="V4" s="1427">
        <f>CPL!V18</f>
        <v>0</v>
      </c>
      <c r="W4" s="1427">
        <f>CPL!W18</f>
        <v>0</v>
      </c>
      <c r="X4" s="1427">
        <f>CPL!X18</f>
        <v>0</v>
      </c>
      <c r="Y4" s="1455">
        <f>CPL!Y18</f>
        <v>0</v>
      </c>
      <c r="Z4" s="5584">
        <f>SUM(N4:Y4)</f>
        <v>10</v>
      </c>
    </row>
    <row r="5" spans="1:28" ht="17.399999999999999">
      <c r="A5" s="7180"/>
      <c r="B5" s="7209"/>
      <c r="C5" s="1184" t="s">
        <v>791</v>
      </c>
      <c r="D5" s="1376"/>
      <c r="E5" s="1377"/>
      <c r="F5" s="1378"/>
      <c r="G5" s="1523">
        <v>63.916666666666664</v>
      </c>
      <c r="H5" s="1523">
        <v>55.75</v>
      </c>
      <c r="I5" s="1523">
        <v>20.350000000000001</v>
      </c>
      <c r="J5" s="1609">
        <v>19.183333333333334</v>
      </c>
      <c r="K5" s="2309">
        <v>24.533333333333335</v>
      </c>
      <c r="L5" s="1913">
        <f>CPL!L19</f>
        <v>20</v>
      </c>
      <c r="M5" s="1914">
        <f>CPL!M19</f>
        <v>2</v>
      </c>
      <c r="N5" s="1898">
        <f>CPL!N19</f>
        <v>0.41666666666666669</v>
      </c>
      <c r="O5" s="1417">
        <f>CPL!O19</f>
        <v>5.833333333333333</v>
      </c>
      <c r="P5" s="1417">
        <f>CPL!P19</f>
        <v>0</v>
      </c>
      <c r="Q5" s="1417">
        <f>CPL!Q19</f>
        <v>0.33333333333333331</v>
      </c>
      <c r="R5" s="1417">
        <f>CPL!R19</f>
        <v>1.1666666666666667</v>
      </c>
      <c r="S5" s="1417">
        <f>CPL!S19</f>
        <v>0.66666666666666663</v>
      </c>
      <c r="T5" s="1417">
        <f>CPL!T19</f>
        <v>0</v>
      </c>
      <c r="U5" s="1417">
        <f>CPL!U19</f>
        <v>2</v>
      </c>
      <c r="V5" s="1417">
        <f>CPL!V19</f>
        <v>0</v>
      </c>
      <c r="W5" s="1417">
        <f>CPL!W19</f>
        <v>0</v>
      </c>
      <c r="X5" s="1417">
        <f>CPL!X19</f>
        <v>0</v>
      </c>
      <c r="Y5" s="1456">
        <f>CPL!Y19</f>
        <v>0</v>
      </c>
      <c r="Z5" s="1469">
        <f t="shared" ref="Z5:Z41" si="0">SUM(N5:Y5)</f>
        <v>10.416666666666666</v>
      </c>
    </row>
    <row r="6" spans="1:28" ht="17.399999999999999">
      <c r="A6" s="7180"/>
      <c r="B6" s="7210" t="s">
        <v>960</v>
      </c>
      <c r="C6" s="1184" t="s">
        <v>740</v>
      </c>
      <c r="D6" s="1376"/>
      <c r="E6" s="1377"/>
      <c r="F6" s="1378"/>
      <c r="G6" s="1518">
        <v>61</v>
      </c>
      <c r="H6" s="1518">
        <v>51</v>
      </c>
      <c r="I6" s="1518">
        <v>23</v>
      </c>
      <c r="J6" s="1670">
        <v>10</v>
      </c>
      <c r="K6" s="1549">
        <v>3</v>
      </c>
      <c r="L6" s="1915">
        <f>CPL!L20</f>
        <v>3</v>
      </c>
      <c r="M6" s="2497">
        <f>CPL!M20</f>
        <v>0.3</v>
      </c>
      <c r="N6" s="1899">
        <f>CPL!N20</f>
        <v>1</v>
      </c>
      <c r="O6" s="1416">
        <f>CPL!O20</f>
        <v>2</v>
      </c>
      <c r="P6" s="1416">
        <f>CPL!P20</f>
        <v>0</v>
      </c>
      <c r="Q6" s="1416">
        <f>CPL!Q20</f>
        <v>1</v>
      </c>
      <c r="R6" s="1416">
        <f>CPL!R20</f>
        <v>0</v>
      </c>
      <c r="S6" s="1416">
        <f>CPL!S20</f>
        <v>1</v>
      </c>
      <c r="T6" s="1416">
        <f>CPL!T20</f>
        <v>0</v>
      </c>
      <c r="U6" s="1416">
        <f>CPL!U20</f>
        <v>0</v>
      </c>
      <c r="V6" s="1416">
        <f>CPL!V20</f>
        <v>1</v>
      </c>
      <c r="W6" s="1416">
        <f>CPL!W20</f>
        <v>1</v>
      </c>
      <c r="X6" s="1416">
        <f>CPL!X20</f>
        <v>0</v>
      </c>
      <c r="Y6" s="1457">
        <f>CPL!Y20</f>
        <v>0</v>
      </c>
      <c r="Z6" s="1466">
        <f t="shared" si="0"/>
        <v>7</v>
      </c>
    </row>
    <row r="7" spans="1:28" ht="17.399999999999999">
      <c r="A7" s="7180"/>
      <c r="B7" s="7209"/>
      <c r="C7" s="1184" t="s">
        <v>791</v>
      </c>
      <c r="D7" s="1376"/>
      <c r="E7" s="1377"/>
      <c r="F7" s="1378"/>
      <c r="G7" s="1523">
        <v>107.4</v>
      </c>
      <c r="H7" s="1523">
        <v>93</v>
      </c>
      <c r="I7" s="1523">
        <v>28</v>
      </c>
      <c r="J7" s="1609">
        <v>17.75</v>
      </c>
      <c r="K7" s="2309">
        <v>8.1666666666666679</v>
      </c>
      <c r="L7" s="1913">
        <f>CPL!L21</f>
        <v>5.2121212121212084</v>
      </c>
      <c r="M7" s="1914">
        <f>CPL!M21</f>
        <v>0.52121212121212079</v>
      </c>
      <c r="N7" s="1898">
        <f>CPL!N21</f>
        <v>1.6666666666666667</v>
      </c>
      <c r="O7" s="1417">
        <f>CPL!O21</f>
        <v>1.25</v>
      </c>
      <c r="P7" s="1417">
        <f>CPL!P21</f>
        <v>0</v>
      </c>
      <c r="Q7" s="1417">
        <f>CPL!Q21</f>
        <v>1.8333333333333333</v>
      </c>
      <c r="R7" s="1417">
        <f>CPL!R21</f>
        <v>0</v>
      </c>
      <c r="S7" s="1417">
        <f>CPL!S21</f>
        <v>0.05</v>
      </c>
      <c r="T7" s="1417">
        <f>CPL!T21</f>
        <v>0</v>
      </c>
      <c r="U7" s="1417">
        <f>CPL!U21</f>
        <v>0</v>
      </c>
      <c r="V7" s="1417">
        <f>CPL!V21</f>
        <v>5.333333333333333</v>
      </c>
      <c r="W7" s="1417">
        <f>CPL!W21</f>
        <v>2.1666666666666665</v>
      </c>
      <c r="X7" s="1417">
        <f>CPL!X21</f>
        <v>0</v>
      </c>
      <c r="Y7" s="1456">
        <f>CPL!Y21</f>
        <v>0</v>
      </c>
      <c r="Z7" s="1469">
        <f t="shared" si="0"/>
        <v>12.299999999999999</v>
      </c>
      <c r="AB7" s="3883"/>
    </row>
    <row r="8" spans="1:28" ht="17.399999999999999">
      <c r="A8" s="7180"/>
      <c r="B8" s="7210" t="s">
        <v>961</v>
      </c>
      <c r="C8" s="1184" t="s">
        <v>740</v>
      </c>
      <c r="D8" s="1376"/>
      <c r="E8" s="1377"/>
      <c r="F8" s="1378"/>
      <c r="G8" s="1518">
        <v>51.616666666666667</v>
      </c>
      <c r="H8" s="1518">
        <v>19</v>
      </c>
      <c r="I8" s="1518">
        <v>6</v>
      </c>
      <c r="J8" s="1670">
        <v>4</v>
      </c>
      <c r="K8" s="1549">
        <v>3</v>
      </c>
      <c r="L8" s="1915">
        <f>CPL!L22</f>
        <v>3</v>
      </c>
      <c r="M8" s="2497">
        <f>CPL!M22</f>
        <v>0.3</v>
      </c>
      <c r="N8" s="1899">
        <f>CPL!N22</f>
        <v>0</v>
      </c>
      <c r="O8" s="1416">
        <f>CPL!O22</f>
        <v>1</v>
      </c>
      <c r="P8" s="1416">
        <f>CPL!P22</f>
        <v>0</v>
      </c>
      <c r="Q8" s="1416">
        <f>CPL!Q22</f>
        <v>0</v>
      </c>
      <c r="R8" s="1416">
        <f>CPL!R22</f>
        <v>0</v>
      </c>
      <c r="S8" s="1416">
        <f>CPL!S22</f>
        <v>1</v>
      </c>
      <c r="T8" s="1416">
        <f>CPL!T22</f>
        <v>0</v>
      </c>
      <c r="U8" s="1416">
        <f>CPL!U22</f>
        <v>1</v>
      </c>
      <c r="V8" s="1416">
        <f>CPL!V22</f>
        <v>0</v>
      </c>
      <c r="W8" s="1416">
        <f>CPL!W22</f>
        <v>0</v>
      </c>
      <c r="X8" s="1416">
        <f>CPL!X22</f>
        <v>0</v>
      </c>
      <c r="Y8" s="1457">
        <f>CPL!Y22</f>
        <v>0</v>
      </c>
      <c r="Z8" s="1466">
        <f t="shared" si="0"/>
        <v>3</v>
      </c>
    </row>
    <row r="9" spans="1:28" ht="18" thickBot="1">
      <c r="A9" s="7207"/>
      <c r="B9" s="7211"/>
      <c r="C9" s="1432" t="s">
        <v>791</v>
      </c>
      <c r="D9" s="1433"/>
      <c r="E9" s="1434"/>
      <c r="F9" s="1382"/>
      <c r="G9" s="1519">
        <v>31</v>
      </c>
      <c r="H9" s="1519">
        <v>18</v>
      </c>
      <c r="I9" s="1519">
        <v>10</v>
      </c>
      <c r="J9" s="2771">
        <v>2.333333333333333</v>
      </c>
      <c r="K9" s="2806">
        <v>0.91666666666666663</v>
      </c>
      <c r="L9" s="1916">
        <f>CPL!L23</f>
        <v>0.75</v>
      </c>
      <c r="M9" s="1917">
        <f>CPL!M23</f>
        <v>7.4999999999999997E-2</v>
      </c>
      <c r="N9" s="814">
        <f>CPL!N23</f>
        <v>0</v>
      </c>
      <c r="O9" s="1435">
        <f>CPL!O23</f>
        <v>0.33333333333333331</v>
      </c>
      <c r="P9" s="1435">
        <f>CPL!P23</f>
        <v>0</v>
      </c>
      <c r="Q9" s="1435">
        <f>CPL!Q23</f>
        <v>0</v>
      </c>
      <c r="R9" s="1435">
        <f>CPL!R23</f>
        <v>0</v>
      </c>
      <c r="S9" s="1435">
        <f>CPL!S23</f>
        <v>0.75</v>
      </c>
      <c r="T9" s="1435">
        <f>CPL!T23</f>
        <v>0</v>
      </c>
      <c r="U9" s="1435">
        <f>CPL!U23</f>
        <v>7.583333333333333</v>
      </c>
      <c r="V9" s="1435">
        <f>CPL!V23</f>
        <v>0</v>
      </c>
      <c r="W9" s="1435">
        <f>CPL!W23</f>
        <v>0</v>
      </c>
      <c r="X9" s="1435">
        <f>CPL!X23</f>
        <v>0</v>
      </c>
      <c r="Y9" s="1271">
        <f>CPL!Y23</f>
        <v>0</v>
      </c>
      <c r="Z9" s="1470">
        <f t="shared" si="0"/>
        <v>8.6666666666666661</v>
      </c>
    </row>
    <row r="10" spans="1:28" ht="17.399999999999999" customHeight="1">
      <c r="A10" s="7179" t="s">
        <v>962</v>
      </c>
      <c r="B10" s="7208" t="s">
        <v>784</v>
      </c>
      <c r="C10" s="913" t="s">
        <v>740</v>
      </c>
      <c r="D10" s="1418"/>
      <c r="E10" s="940"/>
      <c r="F10" s="940"/>
      <c r="G10" s="1419">
        <v>302</v>
      </c>
      <c r="H10" s="1553">
        <v>250</v>
      </c>
      <c r="I10" s="1553">
        <v>193</v>
      </c>
      <c r="J10" s="1270">
        <v>128</v>
      </c>
      <c r="K10" s="2779">
        <v>64</v>
      </c>
      <c r="L10" s="1921">
        <f>CRM!L18</f>
        <v>54</v>
      </c>
      <c r="M10" s="2498">
        <f>CRM!M18</f>
        <v>5.4</v>
      </c>
      <c r="N10" s="1439">
        <f>CRM!N18</f>
        <v>7</v>
      </c>
      <c r="O10" s="1439">
        <f>CRM!O18</f>
        <v>2</v>
      </c>
      <c r="P10" s="1439">
        <f>CRM!P18</f>
        <v>2</v>
      </c>
      <c r="Q10" s="1439">
        <f>CRM!Q18</f>
        <v>0</v>
      </c>
      <c r="R10" s="1439">
        <f>CRM!R18</f>
        <v>0</v>
      </c>
      <c r="S10" s="1439">
        <f>CRM!S18</f>
        <v>1</v>
      </c>
      <c r="T10" s="1439">
        <f>CRM!T18</f>
        <v>2</v>
      </c>
      <c r="U10" s="1439">
        <f>CRM!U18</f>
        <v>8</v>
      </c>
      <c r="V10" s="1439">
        <f>CRM!V18</f>
        <v>6</v>
      </c>
      <c r="W10" s="1439">
        <f>CRM!W18</f>
        <v>6</v>
      </c>
      <c r="X10" s="1439">
        <f>CRM!X18</f>
        <v>0</v>
      </c>
      <c r="Y10" s="1439">
        <f>CRM!Y18</f>
        <v>0</v>
      </c>
      <c r="Z10" s="5585">
        <f t="shared" si="0"/>
        <v>34</v>
      </c>
    </row>
    <row r="11" spans="1:28" ht="17.399999999999999">
      <c r="A11" s="7180"/>
      <c r="B11" s="7209"/>
      <c r="C11" s="1184" t="s">
        <v>791</v>
      </c>
      <c r="D11" s="1379"/>
      <c r="E11" s="1378"/>
      <c r="F11" s="1378"/>
      <c r="G11" s="1703">
        <v>203.66666666666666</v>
      </c>
      <c r="H11" s="1703">
        <v>159.26666666666668</v>
      </c>
      <c r="I11" s="1703">
        <v>96.083333333333329</v>
      </c>
      <c r="J11" s="1651">
        <v>70.733333333333334</v>
      </c>
      <c r="K11" s="2774">
        <v>35.166666666666671</v>
      </c>
      <c r="L11" s="1922">
        <f>CRM!L19</f>
        <v>24.14</v>
      </c>
      <c r="M11" s="1938">
        <f>CRM!M19</f>
        <v>2.4140000000000001</v>
      </c>
      <c r="N11" s="1900">
        <f>CRM!N19</f>
        <v>5.5</v>
      </c>
      <c r="O11" s="1276">
        <f>CRM!O19</f>
        <v>0.5</v>
      </c>
      <c r="P11" s="1276">
        <f>CRM!P19</f>
        <v>1.0833333333333333</v>
      </c>
      <c r="Q11" s="1276">
        <f>CRM!Q19</f>
        <v>0</v>
      </c>
      <c r="R11" s="1276">
        <f>CRM!R19</f>
        <v>0</v>
      </c>
      <c r="S11" s="1276">
        <f>CRM!S19</f>
        <v>2</v>
      </c>
      <c r="T11" s="1276">
        <f>CRM!T19</f>
        <v>1</v>
      </c>
      <c r="U11" s="1276">
        <f>CRM!U19</f>
        <v>3.4166666666666665</v>
      </c>
      <c r="V11" s="1276">
        <f>CRM!V19</f>
        <v>3.75</v>
      </c>
      <c r="W11" s="1276">
        <f>CRM!W19</f>
        <v>6.583333333333333</v>
      </c>
      <c r="X11" s="1276">
        <f>CRM!X19</f>
        <v>0</v>
      </c>
      <c r="Y11" s="1313">
        <f>CRM!Y19</f>
        <v>0</v>
      </c>
      <c r="Z11" s="1469">
        <f t="shared" si="0"/>
        <v>23.833333333333332</v>
      </c>
    </row>
    <row r="12" spans="1:28" ht="17.399999999999999">
      <c r="A12" s="7180"/>
      <c r="B12" s="7210" t="s">
        <v>64</v>
      </c>
      <c r="C12" s="1184" t="s">
        <v>740</v>
      </c>
      <c r="D12" s="1379"/>
      <c r="E12" s="1378"/>
      <c r="F12" s="1378"/>
      <c r="G12" s="1522">
        <v>67</v>
      </c>
      <c r="H12" s="1522">
        <v>73</v>
      </c>
      <c r="I12" s="1522">
        <v>30</v>
      </c>
      <c r="J12" s="2769">
        <v>22</v>
      </c>
      <c r="K12" s="2775">
        <v>7</v>
      </c>
      <c r="L12" s="1923">
        <f>CRM!L20</f>
        <v>6</v>
      </c>
      <c r="M12" s="2499">
        <f>CRM!M20</f>
        <v>0.6</v>
      </c>
      <c r="N12" s="1901">
        <f>CRM!N20</f>
        <v>1</v>
      </c>
      <c r="O12" s="1194">
        <f>CRM!O20</f>
        <v>2</v>
      </c>
      <c r="P12" s="1194">
        <f>CRM!P20</f>
        <v>0</v>
      </c>
      <c r="Q12" s="1194">
        <f>CRM!Q20</f>
        <v>0</v>
      </c>
      <c r="R12" s="1194">
        <f>CRM!R20</f>
        <v>1</v>
      </c>
      <c r="S12" s="1194">
        <f>CRM!S20</f>
        <v>1</v>
      </c>
      <c r="T12" s="1194">
        <f>CRM!T20</f>
        <v>1</v>
      </c>
      <c r="U12" s="1194">
        <f>CRM!U20</f>
        <v>1</v>
      </c>
      <c r="V12" s="1194">
        <f>CRM!V20</f>
        <v>0</v>
      </c>
      <c r="W12" s="1194">
        <f>CRM!W20</f>
        <v>0</v>
      </c>
      <c r="X12" s="1194">
        <f>CRM!X20</f>
        <v>0</v>
      </c>
      <c r="Y12" s="1289">
        <f>CRM!Y20</f>
        <v>0</v>
      </c>
      <c r="Z12" s="1466">
        <f t="shared" si="0"/>
        <v>7</v>
      </c>
    </row>
    <row r="13" spans="1:28" ht="17.399999999999999">
      <c r="A13" s="7180"/>
      <c r="B13" s="7209"/>
      <c r="C13" s="1184" t="s">
        <v>791</v>
      </c>
      <c r="D13" s="1379"/>
      <c r="E13" s="1378"/>
      <c r="F13" s="1378"/>
      <c r="G13" s="1703">
        <v>111.16666666666667</v>
      </c>
      <c r="H13" s="1703">
        <v>161</v>
      </c>
      <c r="I13" s="1703">
        <v>59</v>
      </c>
      <c r="J13" s="1651">
        <v>41.25</v>
      </c>
      <c r="K13" s="2774">
        <v>17.333333333333332</v>
      </c>
      <c r="L13" s="1922">
        <f>CRM!L21</f>
        <v>13.833333333333334</v>
      </c>
      <c r="M13" s="1938">
        <f>CRM!M21</f>
        <v>1.3833333333333333</v>
      </c>
      <c r="N13" s="1900">
        <f>CRM!N21</f>
        <v>1.6666666666666667</v>
      </c>
      <c r="O13" s="1276">
        <f>CRM!O21</f>
        <v>11</v>
      </c>
      <c r="P13" s="1276">
        <f>CRM!P21</f>
        <v>0</v>
      </c>
      <c r="Q13" s="1276">
        <f>CRM!Q21</f>
        <v>0</v>
      </c>
      <c r="R13" s="1276">
        <f>CRM!R21</f>
        <v>2.9166666666666665</v>
      </c>
      <c r="S13" s="1276">
        <f>CRM!S21</f>
        <v>1.3333333333333333</v>
      </c>
      <c r="T13" s="1276">
        <f>CRM!T21</f>
        <v>1</v>
      </c>
      <c r="U13" s="1276">
        <f>CRM!U21</f>
        <v>0.33333333333333331</v>
      </c>
      <c r="V13" s="1276">
        <f>CRM!V21</f>
        <v>0</v>
      </c>
      <c r="W13" s="1276">
        <f>CRM!W21</f>
        <v>0</v>
      </c>
      <c r="X13" s="1276">
        <f>CRM!X21</f>
        <v>0</v>
      </c>
      <c r="Y13" s="1313">
        <f>CRM!Y21</f>
        <v>0</v>
      </c>
      <c r="Z13" s="1469">
        <f t="shared" si="0"/>
        <v>18.249999999999996</v>
      </c>
    </row>
    <row r="14" spans="1:28" ht="17.399999999999999">
      <c r="A14" s="7180"/>
      <c r="B14" s="7210" t="s">
        <v>961</v>
      </c>
      <c r="C14" s="1184" t="s">
        <v>740</v>
      </c>
      <c r="D14" s="1379"/>
      <c r="E14" s="1378"/>
      <c r="F14" s="1378"/>
      <c r="G14" s="1522">
        <v>41</v>
      </c>
      <c r="H14" s="1522">
        <v>24</v>
      </c>
      <c r="I14" s="1522">
        <v>19</v>
      </c>
      <c r="J14" s="2769">
        <v>25</v>
      </c>
      <c r="K14" s="2775">
        <v>6</v>
      </c>
      <c r="L14" s="1923">
        <f>CRM!L22</f>
        <v>6</v>
      </c>
      <c r="M14" s="2499">
        <f>CRM!M22</f>
        <v>0.6</v>
      </c>
      <c r="N14" s="1901">
        <f>CRM!N22</f>
        <v>2</v>
      </c>
      <c r="O14" s="1194">
        <f>CRM!O22</f>
        <v>1</v>
      </c>
      <c r="P14" s="1194">
        <f>CRM!P22</f>
        <v>1</v>
      </c>
      <c r="Q14" s="1194">
        <f>CRM!Q22</f>
        <v>2</v>
      </c>
      <c r="R14" s="1194">
        <f>CRM!R22</f>
        <v>0</v>
      </c>
      <c r="S14" s="1194">
        <f>CRM!S22</f>
        <v>2</v>
      </c>
      <c r="T14" s="1194">
        <f>CRM!T22</f>
        <v>4</v>
      </c>
      <c r="U14" s="1194">
        <f>CRM!U22</f>
        <v>5</v>
      </c>
      <c r="V14" s="1194">
        <f>CRM!V22</f>
        <v>5</v>
      </c>
      <c r="W14" s="1194">
        <f>CRM!W22</f>
        <v>3</v>
      </c>
      <c r="X14" s="1194">
        <f>CRM!X22</f>
        <v>0</v>
      </c>
      <c r="Y14" s="1289">
        <f>CRM!Y22</f>
        <v>0</v>
      </c>
      <c r="Z14" s="1466">
        <f t="shared" si="0"/>
        <v>25</v>
      </c>
    </row>
    <row r="15" spans="1:28" ht="18" thickBot="1">
      <c r="A15" s="7207"/>
      <c r="B15" s="7211"/>
      <c r="C15" s="1380" t="s">
        <v>791</v>
      </c>
      <c r="D15" s="1381"/>
      <c r="E15" s="1382"/>
      <c r="F15" s="1382"/>
      <c r="G15" s="1891">
        <v>79.083333333333329</v>
      </c>
      <c r="H15" s="1891">
        <v>45</v>
      </c>
      <c r="I15" s="1891">
        <v>56</v>
      </c>
      <c r="J15" s="2770">
        <v>42.666666666666664</v>
      </c>
      <c r="K15" s="2774">
        <v>13.583333333333332</v>
      </c>
      <c r="L15" s="1924">
        <f>CRM!L23</f>
        <v>10.242424242424237</v>
      </c>
      <c r="M15" s="1939">
        <f>CRM!M23</f>
        <v>1.0242424242424237</v>
      </c>
      <c r="N15" s="1440">
        <f>CRM!N23</f>
        <v>3.8333333333333335</v>
      </c>
      <c r="O15" s="1440">
        <f>CRM!O23</f>
        <v>0.66666666666666663</v>
      </c>
      <c r="P15" s="1440">
        <f>CRM!P23</f>
        <v>1</v>
      </c>
      <c r="Q15" s="1440">
        <f>CRM!Q23</f>
        <v>4.916666666666667</v>
      </c>
      <c r="R15" s="1440">
        <f>CRM!R23</f>
        <v>0</v>
      </c>
      <c r="S15" s="1440">
        <f>CRM!S23</f>
        <v>6.083333333333333</v>
      </c>
      <c r="T15" s="1440">
        <f>CRM!T23</f>
        <v>14.083333333333334</v>
      </c>
      <c r="U15" s="1440">
        <f>CRM!U23</f>
        <v>9.8333333333333339</v>
      </c>
      <c r="V15" s="1440">
        <f>CRM!V23</f>
        <v>8.8333333333333339</v>
      </c>
      <c r="W15" s="1440">
        <f>CRM!W23</f>
        <v>7.833333333333333</v>
      </c>
      <c r="X15" s="1440">
        <f>CRM!X23</f>
        <v>0</v>
      </c>
      <c r="Y15" s="1458">
        <f>CRM!Y23</f>
        <v>0</v>
      </c>
      <c r="Z15" s="1471">
        <f t="shared" si="0"/>
        <v>57.083333333333343</v>
      </c>
    </row>
    <row r="16" spans="1:28" ht="18" customHeight="1">
      <c r="A16" s="7179" t="s">
        <v>963</v>
      </c>
      <c r="B16" s="7208" t="s">
        <v>784</v>
      </c>
      <c r="C16" s="1009" t="s">
        <v>740</v>
      </c>
      <c r="D16" s="1081"/>
      <c r="E16" s="1082"/>
      <c r="F16" s="1082"/>
      <c r="G16" s="1083">
        <v>97</v>
      </c>
      <c r="H16" s="1892">
        <v>53</v>
      </c>
      <c r="I16" s="1892">
        <v>22</v>
      </c>
      <c r="J16" s="1083">
        <v>15</v>
      </c>
      <c r="K16" s="1547">
        <v>18</v>
      </c>
      <c r="L16" s="1925">
        <f>CGL!L18</f>
        <v>6</v>
      </c>
      <c r="M16" s="2498">
        <f>CGL!M18</f>
        <v>0.6</v>
      </c>
      <c r="N16" s="1902">
        <f>CGL!N18</f>
        <v>0</v>
      </c>
      <c r="O16" s="1082">
        <f>CGL!O18</f>
        <v>1</v>
      </c>
      <c r="P16" s="1082">
        <f>CGL!P18</f>
        <v>0</v>
      </c>
      <c r="Q16" s="1082">
        <f>CGL!Q18</f>
        <v>0</v>
      </c>
      <c r="R16" s="1082">
        <f>CGL!R18</f>
        <v>1</v>
      </c>
      <c r="S16" s="1082">
        <f>CGL!S18</f>
        <v>1</v>
      </c>
      <c r="T16" s="1082">
        <f>CGL!T18</f>
        <v>0</v>
      </c>
      <c r="U16" s="1082">
        <f>CGL!U18</f>
        <v>0</v>
      </c>
      <c r="V16" s="1082">
        <f>CGL!V18</f>
        <v>0</v>
      </c>
      <c r="W16" s="1082">
        <f>CGL!W18</f>
        <v>1</v>
      </c>
      <c r="X16" s="1082">
        <f>CGL!X18</f>
        <v>0</v>
      </c>
      <c r="Y16" s="1083">
        <f>CGL!Y18</f>
        <v>0</v>
      </c>
      <c r="Z16" s="5586">
        <f t="shared" si="0"/>
        <v>4</v>
      </c>
    </row>
    <row r="17" spans="1:26" ht="17.399999999999999">
      <c r="A17" s="7180"/>
      <c r="B17" s="7209"/>
      <c r="C17" s="1184" t="s">
        <v>791</v>
      </c>
      <c r="D17" s="1314"/>
      <c r="E17" s="1275"/>
      <c r="F17" s="1275"/>
      <c r="G17" s="2941">
        <v>108.11666666666666</v>
      </c>
      <c r="H17" s="2942">
        <v>77.849999999999994</v>
      </c>
      <c r="I17" s="2942">
        <v>28.483333333333334</v>
      </c>
      <c r="J17" s="2943">
        <v>21.349999999999998</v>
      </c>
      <c r="K17" s="2944">
        <v>50.95</v>
      </c>
      <c r="L17" s="1922">
        <f>CGL!L19</f>
        <v>17</v>
      </c>
      <c r="M17" s="1938">
        <f>CGL!M19</f>
        <v>1.7</v>
      </c>
      <c r="N17" s="1900">
        <f>CGL!N19</f>
        <v>0</v>
      </c>
      <c r="O17" s="1436">
        <f>CGL!O19</f>
        <v>3.5</v>
      </c>
      <c r="P17" s="1436">
        <f>CGL!P19</f>
        <v>0</v>
      </c>
      <c r="Q17" s="1436">
        <f>CGL!Q19</f>
        <v>0</v>
      </c>
      <c r="R17" s="1436">
        <f>CGL!R19</f>
        <v>5.083333333333333</v>
      </c>
      <c r="S17" s="1436">
        <f>CGL!S19</f>
        <v>2.0499999999999998</v>
      </c>
      <c r="T17" s="1436">
        <f>CGL!T19</f>
        <v>0</v>
      </c>
      <c r="U17" s="1436">
        <f>CGL!U19</f>
        <v>0</v>
      </c>
      <c r="V17" s="1436">
        <f>CGL!V19</f>
        <v>0</v>
      </c>
      <c r="W17" s="1436">
        <f>CGL!W19</f>
        <v>1.5</v>
      </c>
      <c r="X17" s="1436">
        <f>CGL!X19</f>
        <v>0</v>
      </c>
      <c r="Y17" s="1278">
        <f>CGL!Y19</f>
        <v>0</v>
      </c>
      <c r="Z17" s="1469">
        <f t="shared" si="0"/>
        <v>12.133333333333333</v>
      </c>
    </row>
    <row r="18" spans="1:26" ht="17.399999999999999">
      <c r="A18" s="7180"/>
      <c r="B18" s="7210" t="s">
        <v>64</v>
      </c>
      <c r="C18" s="1184" t="s">
        <v>740</v>
      </c>
      <c r="D18" s="1314"/>
      <c r="E18" s="1275"/>
      <c r="F18" s="1275"/>
      <c r="G18" s="1661">
        <v>35</v>
      </c>
      <c r="H18" s="1893">
        <v>27</v>
      </c>
      <c r="I18" s="1893">
        <v>18</v>
      </c>
      <c r="J18" s="2179">
        <v>13</v>
      </c>
      <c r="K18" s="2776">
        <v>18</v>
      </c>
      <c r="L18" s="1926">
        <f>CGL!L20</f>
        <v>10</v>
      </c>
      <c r="M18" s="2499">
        <f>CGL!M20</f>
        <v>1</v>
      </c>
      <c r="N18" s="1903">
        <f>CGL!N20</f>
        <v>0</v>
      </c>
      <c r="O18" s="1275">
        <f>CGL!O20</f>
        <v>0</v>
      </c>
      <c r="P18" s="1275">
        <f>CGL!P20</f>
        <v>0</v>
      </c>
      <c r="Q18" s="1275">
        <f>CGL!Q20</f>
        <v>0</v>
      </c>
      <c r="R18" s="1275">
        <f>CGL!R20</f>
        <v>0</v>
      </c>
      <c r="S18" s="1275">
        <f>CGL!S20</f>
        <v>0</v>
      </c>
      <c r="T18" s="1275">
        <f>CGL!T20</f>
        <v>0</v>
      </c>
      <c r="U18" s="1275">
        <f>CGL!U20</f>
        <v>3</v>
      </c>
      <c r="V18" s="1275">
        <f>CGL!V20</f>
        <v>0</v>
      </c>
      <c r="W18" s="1275">
        <f>CGL!W20</f>
        <v>0</v>
      </c>
      <c r="X18" s="1275">
        <f>CGL!X20</f>
        <v>0</v>
      </c>
      <c r="Y18" s="1277">
        <f>CGL!Y20</f>
        <v>0</v>
      </c>
      <c r="Z18" s="1466">
        <f t="shared" si="0"/>
        <v>3</v>
      </c>
    </row>
    <row r="19" spans="1:26" ht="17.399999999999999">
      <c r="A19" s="7180"/>
      <c r="B19" s="7209"/>
      <c r="C19" s="1184" t="s">
        <v>791</v>
      </c>
      <c r="D19" s="1314"/>
      <c r="E19" s="1275"/>
      <c r="F19" s="1275"/>
      <c r="G19" s="2941">
        <v>73.766666666666666</v>
      </c>
      <c r="H19" s="2942">
        <v>45</v>
      </c>
      <c r="I19" s="2942">
        <v>32</v>
      </c>
      <c r="J19" s="2943">
        <v>40.183333333333337</v>
      </c>
      <c r="K19" s="2944">
        <v>48.783333333333339</v>
      </c>
      <c r="L19" s="1922">
        <f>CGL!L21</f>
        <v>39.913636363636392</v>
      </c>
      <c r="M19" s="1938">
        <f>CGL!M21</f>
        <v>3.9913636363636393</v>
      </c>
      <c r="N19" s="1900">
        <f>CGL!N21</f>
        <v>0</v>
      </c>
      <c r="O19" s="1436">
        <f>CGL!O21</f>
        <v>0</v>
      </c>
      <c r="P19" s="1436">
        <f>CGL!P21</f>
        <v>0</v>
      </c>
      <c r="Q19" s="1436">
        <f>CGL!Q21</f>
        <v>0</v>
      </c>
      <c r="R19" s="1436">
        <f>CGL!R21</f>
        <v>0</v>
      </c>
      <c r="S19" s="1436">
        <f>CGL!S21</f>
        <v>0</v>
      </c>
      <c r="T19" s="1436">
        <f>CGL!T21</f>
        <v>0</v>
      </c>
      <c r="U19" s="1436">
        <f>CGL!U21</f>
        <v>9</v>
      </c>
      <c r="V19" s="1436">
        <f>CGL!V21</f>
        <v>0</v>
      </c>
      <c r="W19" s="1436">
        <f>CGL!W21</f>
        <v>0</v>
      </c>
      <c r="X19" s="1436">
        <f>CGL!X21</f>
        <v>0</v>
      </c>
      <c r="Y19" s="1278">
        <f>CGL!Y21</f>
        <v>0</v>
      </c>
      <c r="Z19" s="1469">
        <f t="shared" si="0"/>
        <v>9</v>
      </c>
    </row>
    <row r="20" spans="1:26" ht="17.399999999999999">
      <c r="A20" s="7180"/>
      <c r="B20" s="7210" t="s">
        <v>961</v>
      </c>
      <c r="C20" s="1184" t="s">
        <v>740</v>
      </c>
      <c r="D20" s="1314"/>
      <c r="E20" s="1275"/>
      <c r="F20" s="1275"/>
      <c r="G20" s="1661">
        <v>20</v>
      </c>
      <c r="H20" s="1893">
        <v>21</v>
      </c>
      <c r="I20" s="1893">
        <v>16</v>
      </c>
      <c r="J20" s="2179">
        <v>21</v>
      </c>
      <c r="K20" s="2776">
        <v>14</v>
      </c>
      <c r="L20" s="1926">
        <f>CGL!L22</f>
        <v>8</v>
      </c>
      <c r="M20" s="2499">
        <f>CGL!M22</f>
        <v>0.8</v>
      </c>
      <c r="N20" s="1903">
        <f>CGL!N22</f>
        <v>0</v>
      </c>
      <c r="O20" s="1275">
        <f>CGL!O22</f>
        <v>1</v>
      </c>
      <c r="P20" s="1275">
        <f>CGL!P22</f>
        <v>1</v>
      </c>
      <c r="Q20" s="1275">
        <f>CGL!Q22</f>
        <v>0</v>
      </c>
      <c r="R20" s="1275">
        <f>CGL!R22</f>
        <v>0</v>
      </c>
      <c r="S20" s="1275">
        <f>CGL!S22</f>
        <v>2</v>
      </c>
      <c r="T20" s="1275">
        <f>CGL!T22</f>
        <v>1</v>
      </c>
      <c r="U20" s="1275">
        <f>CGL!U22</f>
        <v>0</v>
      </c>
      <c r="V20" s="1275">
        <f>CGL!V22</f>
        <v>2</v>
      </c>
      <c r="W20" s="1275">
        <f>CGL!W22</f>
        <v>0</v>
      </c>
      <c r="X20" s="1275">
        <f>CGL!X22</f>
        <v>0</v>
      </c>
      <c r="Y20" s="1277">
        <f>CGL!Y22</f>
        <v>0</v>
      </c>
      <c r="Z20" s="1466">
        <f t="shared" si="0"/>
        <v>7</v>
      </c>
    </row>
    <row r="21" spans="1:26" ht="18" thickBot="1">
      <c r="A21" s="7207"/>
      <c r="B21" s="7211"/>
      <c r="C21" s="1380" t="s">
        <v>791</v>
      </c>
      <c r="D21" s="1383"/>
      <c r="E21" s="1384"/>
      <c r="F21" s="1384"/>
      <c r="G21" s="2945">
        <v>7.5666666666666664</v>
      </c>
      <c r="H21" s="2946">
        <v>19</v>
      </c>
      <c r="I21" s="2946">
        <v>35</v>
      </c>
      <c r="J21" s="2947">
        <v>19.516666666666666</v>
      </c>
      <c r="K21" s="2948">
        <v>27.916666666666668</v>
      </c>
      <c r="L21" s="1924">
        <f>CGL!L23</f>
        <v>22.840909090909026</v>
      </c>
      <c r="M21" s="1939">
        <f>CGL!M23</f>
        <v>2.2840909090909025</v>
      </c>
      <c r="N21" s="1440">
        <f>CGL!N23</f>
        <v>0</v>
      </c>
      <c r="O21" s="1441">
        <f>CGL!O23</f>
        <v>8.3333333333333329E-2</v>
      </c>
      <c r="P21" s="1441">
        <f>CGL!P23</f>
        <v>1</v>
      </c>
      <c r="Q21" s="1441">
        <f>CGL!Q23</f>
        <v>0</v>
      </c>
      <c r="R21" s="1441">
        <f>CGL!R23</f>
        <v>0</v>
      </c>
      <c r="S21" s="1441">
        <f>CGL!S23</f>
        <v>1.5333333333333334</v>
      </c>
      <c r="T21" s="1441">
        <f>CGL!T23</f>
        <v>0.25</v>
      </c>
      <c r="U21" s="1441">
        <f>CGL!U23</f>
        <v>0</v>
      </c>
      <c r="V21" s="1441">
        <f>CGL!V23</f>
        <v>0.18333333333333332</v>
      </c>
      <c r="W21" s="1441">
        <f>CGL!W23</f>
        <v>0</v>
      </c>
      <c r="X21" s="1441">
        <f>CGL!X23</f>
        <v>0</v>
      </c>
      <c r="Y21" s="1459">
        <f>CGL!Y23</f>
        <v>0</v>
      </c>
      <c r="Z21" s="1470">
        <f t="shared" si="0"/>
        <v>3.05</v>
      </c>
    </row>
    <row r="22" spans="1:26" ht="17.399999999999999" customHeight="1">
      <c r="A22" s="7179" t="s">
        <v>964</v>
      </c>
      <c r="B22" s="7208" t="s">
        <v>784</v>
      </c>
      <c r="C22" s="1009" t="s">
        <v>740</v>
      </c>
      <c r="D22" s="1185"/>
      <c r="E22" s="1186"/>
      <c r="F22" s="1186"/>
      <c r="G22" s="1553">
        <v>185</v>
      </c>
      <c r="H22" s="1553">
        <v>139</v>
      </c>
      <c r="I22" s="1553">
        <v>112</v>
      </c>
      <c r="J22" s="1270">
        <v>46</v>
      </c>
      <c r="K22" s="2773">
        <v>49</v>
      </c>
      <c r="L22" s="1927">
        <f>'#1CCL'!L24</f>
        <v>32</v>
      </c>
      <c r="M22" s="2498">
        <f>'#1CCL'!M24</f>
        <v>2.6666666666666665</v>
      </c>
      <c r="N22" s="1904">
        <f>'#1CCL'!N24</f>
        <v>5</v>
      </c>
      <c r="O22" s="1443">
        <f>'#1CCL'!O24</f>
        <v>4</v>
      </c>
      <c r="P22" s="1443">
        <f>'#1CCL'!P24</f>
        <v>4</v>
      </c>
      <c r="Q22" s="1443">
        <f>'#1CCL'!Q24</f>
        <v>1</v>
      </c>
      <c r="R22" s="1443">
        <f>'#1CCL'!R24</f>
        <v>1</v>
      </c>
      <c r="S22" s="1443">
        <f>'#1CCL'!S24</f>
        <v>3</v>
      </c>
      <c r="T22" s="1443">
        <f>'#1CCL'!T24</f>
        <v>1</v>
      </c>
      <c r="U22" s="1443">
        <f>'#1CCL'!U24</f>
        <v>5</v>
      </c>
      <c r="V22" s="1443">
        <f>'#1CCL'!V24</f>
        <v>2</v>
      </c>
      <c r="W22" s="1443">
        <f>'#1CCL'!W24</f>
        <v>3</v>
      </c>
      <c r="X22" s="1443">
        <f>'#1CCL'!X24</f>
        <v>4</v>
      </c>
      <c r="Y22" s="1460">
        <f>'#1CCL'!Y24</f>
        <v>8</v>
      </c>
      <c r="Z22" s="5585">
        <f t="shared" si="0"/>
        <v>41</v>
      </c>
    </row>
    <row r="23" spans="1:26" ht="17.399999999999999">
      <c r="A23" s="7180"/>
      <c r="B23" s="7209"/>
      <c r="C23" s="1184" t="s">
        <v>791</v>
      </c>
      <c r="D23" s="1193"/>
      <c r="E23" s="1189"/>
      <c r="F23" s="1189"/>
      <c r="G23" s="1523">
        <v>105.25</v>
      </c>
      <c r="H23" s="1523">
        <v>83.816666666666663</v>
      </c>
      <c r="I23" s="1523">
        <v>69.066666666666663</v>
      </c>
      <c r="J23" s="1609">
        <v>21.93333333333333</v>
      </c>
      <c r="K23" s="2309">
        <v>23.533333333333335</v>
      </c>
      <c r="L23" s="1928">
        <f>'#1CCL'!L25</f>
        <v>19</v>
      </c>
      <c r="M23" s="1940">
        <f>'#1CCL'!M25</f>
        <v>1.5833333333333333</v>
      </c>
      <c r="N23" s="1905">
        <f>'#1CCL'!N25</f>
        <v>0.71666666666666667</v>
      </c>
      <c r="O23" s="1421">
        <f>'#1CCL'!O25</f>
        <v>1.3</v>
      </c>
      <c r="P23" s="1421">
        <f>'#1CCL'!P25</f>
        <v>3.35</v>
      </c>
      <c r="Q23" s="1421">
        <f>'#1CCL'!Q25</f>
        <v>1.8166666666666667</v>
      </c>
      <c r="R23" s="1421">
        <f>'#1CCL'!R25</f>
        <v>0.3</v>
      </c>
      <c r="S23" s="1421">
        <f>'#1CCL'!S25</f>
        <v>5.416666666666667</v>
      </c>
      <c r="T23" s="1421">
        <f>'#1CCL'!T25</f>
        <v>0.23333333333333334</v>
      </c>
      <c r="U23" s="1421">
        <f>'#1CCL'!U25</f>
        <v>3.3666666666666667</v>
      </c>
      <c r="V23" s="1421">
        <f>'#1CCL'!V25</f>
        <v>0.7</v>
      </c>
      <c r="W23" s="1421">
        <f>'#1CCL'!W25</f>
        <v>2.4500000000000002</v>
      </c>
      <c r="X23" s="1421">
        <f>'#1CCL'!X25</f>
        <v>6.15</v>
      </c>
      <c r="Y23" s="1461">
        <f>'#1CCL'!Y25</f>
        <v>4.0166666666666666</v>
      </c>
      <c r="Z23" s="1469">
        <f t="shared" si="0"/>
        <v>29.816666666666663</v>
      </c>
    </row>
    <row r="24" spans="1:26" ht="17.399999999999999">
      <c r="A24" s="7180"/>
      <c r="B24" s="7210" t="s">
        <v>64</v>
      </c>
      <c r="C24" s="1184" t="s">
        <v>740</v>
      </c>
      <c r="D24" s="1193"/>
      <c r="E24" s="1189"/>
      <c r="F24" s="1189"/>
      <c r="G24" s="1522">
        <v>19</v>
      </c>
      <c r="H24" s="1522">
        <v>30</v>
      </c>
      <c r="I24" s="1522">
        <v>15</v>
      </c>
      <c r="J24" s="2769">
        <v>4</v>
      </c>
      <c r="K24" s="2775">
        <v>6</v>
      </c>
      <c r="L24" s="1929">
        <f>'#1CCL'!L26</f>
        <v>6</v>
      </c>
      <c r="M24" s="2499">
        <f>'#1CCL'!M26</f>
        <v>0.5</v>
      </c>
      <c r="N24" s="1906">
        <f>'#1CCL'!N26</f>
        <v>0</v>
      </c>
      <c r="O24" s="1442">
        <f>'#1CCL'!O26</f>
        <v>1</v>
      </c>
      <c r="P24" s="1442">
        <f>'#1CCL'!P26</f>
        <v>0</v>
      </c>
      <c r="Q24" s="1442">
        <f>'#1CCL'!Q26</f>
        <v>3</v>
      </c>
      <c r="R24" s="1442">
        <f>'#1CCL'!R26</f>
        <v>1</v>
      </c>
      <c r="S24" s="1442">
        <f>'#1CCL'!S26</f>
        <v>0</v>
      </c>
      <c r="T24" s="1442">
        <f>'#1CCL'!T26</f>
        <v>0</v>
      </c>
      <c r="U24" s="1442">
        <f>'#1CCL'!U26</f>
        <v>0</v>
      </c>
      <c r="V24" s="1442">
        <f>'#1CCL'!V26</f>
        <v>0</v>
      </c>
      <c r="W24" s="1442">
        <f>'#1CCL'!W26</f>
        <v>0</v>
      </c>
      <c r="X24" s="1442">
        <f>'#1CCL'!X26</f>
        <v>1</v>
      </c>
      <c r="Y24" s="1462">
        <f>'#1CCL'!Y26</f>
        <v>3</v>
      </c>
      <c r="Z24" s="1466">
        <f t="shared" si="0"/>
        <v>9</v>
      </c>
    </row>
    <row r="25" spans="1:26" ht="17.399999999999999">
      <c r="A25" s="7180"/>
      <c r="B25" s="7209"/>
      <c r="C25" s="1184" t="s">
        <v>791</v>
      </c>
      <c r="D25" s="1193"/>
      <c r="E25" s="1189"/>
      <c r="F25" s="1189"/>
      <c r="G25" s="1523">
        <v>22.1</v>
      </c>
      <c r="H25" s="1523">
        <v>50</v>
      </c>
      <c r="I25" s="1523">
        <v>32</v>
      </c>
      <c r="J25" s="1609">
        <v>3.9333333333333331</v>
      </c>
      <c r="K25" s="2309">
        <v>15.983333333333334</v>
      </c>
      <c r="L25" s="1928">
        <f>'#1CCL'!L27</f>
        <v>13.949090909090909</v>
      </c>
      <c r="M25" s="1940">
        <f>'#1CCL'!M27</f>
        <v>1.1624242424242424</v>
      </c>
      <c r="N25" s="1905">
        <f>'#1CCL'!N27</f>
        <v>0</v>
      </c>
      <c r="O25" s="1421">
        <f>'#1CCL'!O27</f>
        <v>1</v>
      </c>
      <c r="P25" s="1421">
        <f>'#1CCL'!P27</f>
        <v>0</v>
      </c>
      <c r="Q25" s="1421">
        <f>'#1CCL'!Q27</f>
        <v>2.4333333333333331</v>
      </c>
      <c r="R25" s="1421">
        <f>'#1CCL'!R27</f>
        <v>2.8333333333333335</v>
      </c>
      <c r="S25" s="1421">
        <f>'#1CCL'!S27</f>
        <v>0</v>
      </c>
      <c r="T25" s="1421">
        <f>'#1CCL'!T27</f>
        <v>0</v>
      </c>
      <c r="U25" s="1421">
        <f>'#1CCL'!U27</f>
        <v>0</v>
      </c>
      <c r="V25" s="1421">
        <f>'#1CCL'!V27</f>
        <v>0</v>
      </c>
      <c r="W25" s="1421">
        <f>'#1CCL'!W27</f>
        <v>0</v>
      </c>
      <c r="X25" s="1421">
        <f>'#1CCL'!X27</f>
        <v>3.15</v>
      </c>
      <c r="Y25" s="1461">
        <f>'#1CCL'!Y27</f>
        <v>4.916666666666667</v>
      </c>
      <c r="Z25" s="1469">
        <f t="shared" si="0"/>
        <v>14.333333333333332</v>
      </c>
    </row>
    <row r="26" spans="1:26" ht="17.399999999999999">
      <c r="A26" s="7180"/>
      <c r="B26" s="7210" t="s">
        <v>961</v>
      </c>
      <c r="C26" s="1184" t="s">
        <v>740</v>
      </c>
      <c r="D26" s="1193"/>
      <c r="E26" s="1189"/>
      <c r="F26" s="1189"/>
      <c r="G26" s="1522">
        <v>13</v>
      </c>
      <c r="H26" s="1522">
        <v>14</v>
      </c>
      <c r="I26" s="1522">
        <v>18</v>
      </c>
      <c r="J26" s="2769">
        <v>6</v>
      </c>
      <c r="K26" s="2775">
        <v>6</v>
      </c>
      <c r="L26" s="1929">
        <f>'#1CCL'!L28</f>
        <v>6</v>
      </c>
      <c r="M26" s="2499">
        <f>'#1CCL'!M28</f>
        <v>0.5</v>
      </c>
      <c r="N26" s="1906">
        <f>'#1CCL'!N28</f>
        <v>0</v>
      </c>
      <c r="O26" s="1442">
        <f>'#1CCL'!O28</f>
        <v>0</v>
      </c>
      <c r="P26" s="1442">
        <f>'#1CCL'!P28</f>
        <v>0</v>
      </c>
      <c r="Q26" s="1442">
        <f>'#1CCL'!Q28</f>
        <v>0</v>
      </c>
      <c r="R26" s="1442">
        <f>'#1CCL'!R28</f>
        <v>1</v>
      </c>
      <c r="S26" s="1442">
        <f>'#1CCL'!S28</f>
        <v>0</v>
      </c>
      <c r="T26" s="1442">
        <f>'#1CCL'!T28</f>
        <v>0</v>
      </c>
      <c r="U26" s="1442">
        <f>'#1CCL'!U28</f>
        <v>0</v>
      </c>
      <c r="V26" s="1442">
        <f>'#1CCL'!V28</f>
        <v>0</v>
      </c>
      <c r="W26" s="1442">
        <f>'#1CCL'!W28</f>
        <v>0</v>
      </c>
      <c r="X26" s="1442">
        <f>'#1CCL'!X28</f>
        <v>0</v>
      </c>
      <c r="Y26" s="1462">
        <f>'#1CCL'!Y28</f>
        <v>1</v>
      </c>
      <c r="Z26" s="1466">
        <f t="shared" si="0"/>
        <v>2</v>
      </c>
    </row>
    <row r="27" spans="1:26" ht="18" thickBot="1">
      <c r="A27" s="7207"/>
      <c r="B27" s="7211"/>
      <c r="C27" s="1380" t="s">
        <v>791</v>
      </c>
      <c r="D27" s="1385"/>
      <c r="E27" s="1386"/>
      <c r="F27" s="1386"/>
      <c r="G27" s="1519">
        <v>16.516666666666666</v>
      </c>
      <c r="H27" s="1519">
        <v>16</v>
      </c>
      <c r="I27" s="1519">
        <v>37</v>
      </c>
      <c r="J27" s="2771">
        <v>4.9333333333333336</v>
      </c>
      <c r="K27" s="2806">
        <v>7.7833333333333341</v>
      </c>
      <c r="L27" s="1930">
        <f>'#1CCL'!L29</f>
        <v>6.7927272727272729</v>
      </c>
      <c r="M27" s="1753">
        <f>'#1CCL'!M29</f>
        <v>0.56606060606060604</v>
      </c>
      <c r="N27" s="1907">
        <f>'#1CCL'!N29</f>
        <v>0</v>
      </c>
      <c r="O27" s="1444">
        <f>'#1CCL'!O29</f>
        <v>0</v>
      </c>
      <c r="P27" s="1444">
        <f>'#1CCL'!P29</f>
        <v>0</v>
      </c>
      <c r="Q27" s="1444">
        <f>'#1CCL'!Q29</f>
        <v>0</v>
      </c>
      <c r="R27" s="1444">
        <f>'#1CCL'!R29</f>
        <v>2.3333333333333335</v>
      </c>
      <c r="S27" s="1444">
        <f>'#1CCL'!S29</f>
        <v>0</v>
      </c>
      <c r="T27" s="1444">
        <f>'#1CCL'!T29</f>
        <v>0</v>
      </c>
      <c r="U27" s="1444">
        <f>'#1CCL'!U29</f>
        <v>0</v>
      </c>
      <c r="V27" s="1444">
        <f>'#1CCL'!V29</f>
        <v>0</v>
      </c>
      <c r="W27" s="1444">
        <f>'#1CCL'!W29</f>
        <v>0</v>
      </c>
      <c r="X27" s="1444">
        <f>'#1CCL'!X29</f>
        <v>0</v>
      </c>
      <c r="Y27" s="1463">
        <f>'#1CCL'!Y29</f>
        <v>6.916666666666667</v>
      </c>
      <c r="Z27" s="1471">
        <f t="shared" si="0"/>
        <v>9.25</v>
      </c>
    </row>
    <row r="28" spans="1:26" ht="17.399999999999999" customHeight="1">
      <c r="A28" s="7179" t="s">
        <v>965</v>
      </c>
      <c r="B28" s="7208" t="s">
        <v>784</v>
      </c>
      <c r="C28" s="1184" t="s">
        <v>740</v>
      </c>
      <c r="D28" s="1193"/>
      <c r="E28" s="1189"/>
      <c r="F28" s="1189"/>
      <c r="G28" s="1522">
        <v>239</v>
      </c>
      <c r="H28" s="1522">
        <v>259</v>
      </c>
      <c r="I28" s="1522">
        <v>183</v>
      </c>
      <c r="J28" s="2769">
        <v>199</v>
      </c>
      <c r="K28" s="2773">
        <v>116</v>
      </c>
      <c r="L28" s="1927">
        <f>'#2CCL'!L24</f>
        <v>90</v>
      </c>
      <c r="M28" s="2498">
        <f>'#2CCL'!M24</f>
        <v>7.5</v>
      </c>
      <c r="N28" s="1904">
        <f>'#2CCL'!N24</f>
        <v>9</v>
      </c>
      <c r="O28" s="1443">
        <f>'#2CCL'!O24</f>
        <v>3</v>
      </c>
      <c r="P28" s="1443">
        <f>'#2CCL'!P24</f>
        <v>4</v>
      </c>
      <c r="Q28" s="1443">
        <f>'#2CCL'!Q24</f>
        <v>6</v>
      </c>
      <c r="R28" s="1443">
        <f>'#2CCL'!R24</f>
        <v>2</v>
      </c>
      <c r="S28" s="1443">
        <f>'#2CCL'!S24</f>
        <v>4</v>
      </c>
      <c r="T28" s="1443">
        <f>'#2CCL'!T24</f>
        <v>8</v>
      </c>
      <c r="U28" s="1443">
        <f>'#2CCL'!U24</f>
        <v>9</v>
      </c>
      <c r="V28" s="1443">
        <f>'#2CCL'!V24</f>
        <v>4</v>
      </c>
      <c r="W28" s="1443">
        <f>'#2CCL'!W24</f>
        <v>3</v>
      </c>
      <c r="X28" s="1443">
        <f>'#2CCL'!X24</f>
        <v>3</v>
      </c>
      <c r="Y28" s="1460">
        <f>'#2CCL'!Y24</f>
        <v>6</v>
      </c>
      <c r="Z28" s="5586">
        <f t="shared" si="0"/>
        <v>61</v>
      </c>
    </row>
    <row r="29" spans="1:26" ht="17.399999999999999">
      <c r="A29" s="7180"/>
      <c r="B29" s="7209"/>
      <c r="C29" s="1184" t="s">
        <v>791</v>
      </c>
      <c r="D29" s="1193"/>
      <c r="E29" s="1189"/>
      <c r="F29" s="1189"/>
      <c r="G29" s="1523">
        <v>113.46666666666667</v>
      </c>
      <c r="H29" s="1523">
        <v>120.05</v>
      </c>
      <c r="I29" s="1523">
        <v>107.2</v>
      </c>
      <c r="J29" s="1609">
        <v>78.86333333333333</v>
      </c>
      <c r="K29" s="2309">
        <v>64</v>
      </c>
      <c r="L29" s="1928">
        <f>'#2CCL'!L25</f>
        <v>48</v>
      </c>
      <c r="M29" s="1940">
        <f>'#2CCL'!M25</f>
        <v>4</v>
      </c>
      <c r="N29" s="1905">
        <f>'#2CCL'!N25</f>
        <v>4.4000000000000004</v>
      </c>
      <c r="O29" s="1421">
        <f>'#2CCL'!O25</f>
        <v>1.1000000000000001</v>
      </c>
      <c r="P29" s="1421">
        <f>'#2CCL'!P25</f>
        <v>1.7666666666666666</v>
      </c>
      <c r="Q29" s="1421">
        <f>'#2CCL'!Q25</f>
        <v>2.4666666666666668</v>
      </c>
      <c r="R29" s="1421">
        <f>'#2CCL'!R25</f>
        <v>0.91666666666666663</v>
      </c>
      <c r="S29" s="1421">
        <f>'#2CCL'!S25</f>
        <v>1.7833333333333334</v>
      </c>
      <c r="T29" s="1421">
        <f>'#2CCL'!T25</f>
        <v>5</v>
      </c>
      <c r="U29" s="1421">
        <f>'#2CCL'!U25</f>
        <v>6.6833333333333336</v>
      </c>
      <c r="V29" s="1421">
        <f>'#2CCL'!V25</f>
        <v>7.9333333333333336</v>
      </c>
      <c r="W29" s="1421">
        <f>'#2CCL'!W25</f>
        <v>0.96666666666666667</v>
      </c>
      <c r="X29" s="1421">
        <f>'#2CCL'!X25</f>
        <v>1.5</v>
      </c>
      <c r="Y29" s="1461">
        <f>'#2CCL'!Y25</f>
        <v>3.1833333333333331</v>
      </c>
      <c r="Z29" s="1469">
        <f t="shared" si="0"/>
        <v>37.699999999999996</v>
      </c>
    </row>
    <row r="30" spans="1:26" ht="17.399999999999999">
      <c r="A30" s="7180"/>
      <c r="B30" s="7210" t="s">
        <v>64</v>
      </c>
      <c r="C30" s="1184" t="s">
        <v>740</v>
      </c>
      <c r="D30" s="1193"/>
      <c r="E30" s="1189"/>
      <c r="F30" s="1189"/>
      <c r="G30" s="1522">
        <v>13</v>
      </c>
      <c r="H30" s="1522">
        <v>5</v>
      </c>
      <c r="I30" s="1522">
        <v>15</v>
      </c>
      <c r="J30" s="2769">
        <v>3</v>
      </c>
      <c r="K30" s="2775">
        <v>6</v>
      </c>
      <c r="L30" s="1929">
        <f>'#2CCL'!L26</f>
        <v>3</v>
      </c>
      <c r="M30" s="2499">
        <f>'#2CCL'!M26</f>
        <v>0.25</v>
      </c>
      <c r="N30" s="1906">
        <f>'#2CCL'!N26</f>
        <v>0</v>
      </c>
      <c r="O30" s="1442">
        <f>'#2CCL'!O26</f>
        <v>1</v>
      </c>
      <c r="P30" s="1442">
        <f>'#2CCL'!P26</f>
        <v>0</v>
      </c>
      <c r="Q30" s="1442">
        <f>'#2CCL'!Q26</f>
        <v>0</v>
      </c>
      <c r="R30" s="1442">
        <f>'#2CCL'!R26</f>
        <v>0</v>
      </c>
      <c r="S30" s="1442">
        <f>'#2CCL'!S26</f>
        <v>0</v>
      </c>
      <c r="T30" s="1442">
        <f>'#2CCL'!T26</f>
        <v>0</v>
      </c>
      <c r="U30" s="1442">
        <f>'#2CCL'!U26</f>
        <v>1</v>
      </c>
      <c r="V30" s="1442">
        <f>'#2CCL'!V26</f>
        <v>2</v>
      </c>
      <c r="W30" s="1442">
        <f>'#2CCL'!W26</f>
        <v>0</v>
      </c>
      <c r="X30" s="1442">
        <f>'#2CCL'!X26</f>
        <v>0</v>
      </c>
      <c r="Y30" s="1462">
        <f>'#2CCL'!Y26</f>
        <v>0</v>
      </c>
      <c r="Z30" s="1466">
        <f t="shared" si="0"/>
        <v>4</v>
      </c>
    </row>
    <row r="31" spans="1:26" ht="17.399999999999999">
      <c r="A31" s="7180"/>
      <c r="B31" s="7209"/>
      <c r="C31" s="1184" t="s">
        <v>791</v>
      </c>
      <c r="D31" s="1193"/>
      <c r="E31" s="1189"/>
      <c r="F31" s="1189"/>
      <c r="G31" s="1523">
        <v>12</v>
      </c>
      <c r="H31" s="1523">
        <v>3.75</v>
      </c>
      <c r="I31" s="1523">
        <v>14</v>
      </c>
      <c r="J31" s="1609">
        <v>4.4833333333333343</v>
      </c>
      <c r="K31" s="2309">
        <v>9.5666666666666664</v>
      </c>
      <c r="L31" s="1928">
        <f>'#2CCL'!L27</f>
        <v>7.7672727272727267</v>
      </c>
      <c r="M31" s="1940">
        <f>'#2CCL'!M27</f>
        <v>0.64727272727272722</v>
      </c>
      <c r="N31" s="1905">
        <f>'#2CCL'!N27</f>
        <v>0</v>
      </c>
      <c r="O31" s="1421">
        <f>'#2CCL'!O27</f>
        <v>1.0833333333333333</v>
      </c>
      <c r="P31" s="1421">
        <f>'#2CCL'!P27</f>
        <v>0</v>
      </c>
      <c r="Q31" s="1421">
        <f>'#2CCL'!Q27</f>
        <v>0</v>
      </c>
      <c r="R31" s="1421">
        <f>'#2CCL'!R27</f>
        <v>0</v>
      </c>
      <c r="S31" s="1421">
        <f>'#2CCL'!S27</f>
        <v>0</v>
      </c>
      <c r="T31" s="1421">
        <f>'#2CCL'!T27</f>
        <v>0</v>
      </c>
      <c r="U31" s="1421">
        <f>'#2CCL'!U27</f>
        <v>0.83333333333333337</v>
      </c>
      <c r="V31" s="1421">
        <f>'#2CCL'!V27</f>
        <v>2.1666666666666665</v>
      </c>
      <c r="W31" s="1421">
        <f>'#2CCL'!W27</f>
        <v>0</v>
      </c>
      <c r="X31" s="1421">
        <f>'#2CCL'!X27</f>
        <v>0</v>
      </c>
      <c r="Y31" s="1461">
        <f>'#2CCL'!Y27</f>
        <v>0</v>
      </c>
      <c r="Z31" s="1469">
        <f t="shared" si="0"/>
        <v>4.083333333333333</v>
      </c>
    </row>
    <row r="32" spans="1:26" ht="17.399999999999999">
      <c r="A32" s="7180"/>
      <c r="B32" s="7210" t="s">
        <v>961</v>
      </c>
      <c r="C32" s="1184" t="s">
        <v>740</v>
      </c>
      <c r="D32" s="1193"/>
      <c r="E32" s="1189"/>
      <c r="F32" s="1189"/>
      <c r="G32" s="1522">
        <v>11</v>
      </c>
      <c r="H32" s="1522">
        <v>11</v>
      </c>
      <c r="I32" s="1522">
        <v>15</v>
      </c>
      <c r="J32" s="2769">
        <v>2</v>
      </c>
      <c r="K32" s="2775">
        <v>3</v>
      </c>
      <c r="L32" s="1929">
        <f>'#2CCL'!L28</f>
        <v>3</v>
      </c>
      <c r="M32" s="2499">
        <f>'#2CCL'!M28</f>
        <v>0.25</v>
      </c>
      <c r="N32" s="1906">
        <f>'#2CCL'!N28</f>
        <v>1</v>
      </c>
      <c r="O32" s="1442">
        <f>'#2CCL'!O28</f>
        <v>0</v>
      </c>
      <c r="P32" s="1442">
        <f>'#2CCL'!P28</f>
        <v>1</v>
      </c>
      <c r="Q32" s="1442">
        <f>'#2CCL'!Q28</f>
        <v>0</v>
      </c>
      <c r="R32" s="1442">
        <f>'#2CCL'!R28</f>
        <v>1</v>
      </c>
      <c r="S32" s="1442">
        <f>'#2CCL'!S28</f>
        <v>0</v>
      </c>
      <c r="T32" s="1442">
        <f>'#2CCL'!T28</f>
        <v>0</v>
      </c>
      <c r="U32" s="1442">
        <f>'#2CCL'!U28</f>
        <v>0</v>
      </c>
      <c r="V32" s="1442">
        <f>'#2CCL'!V28</f>
        <v>2</v>
      </c>
      <c r="W32" s="1442">
        <f>'#2CCL'!W28</f>
        <v>0</v>
      </c>
      <c r="X32" s="1442">
        <f>'#2CCL'!X28</f>
        <v>0</v>
      </c>
      <c r="Y32" s="1462">
        <f>'#2CCL'!Y28</f>
        <v>0</v>
      </c>
      <c r="Z32" s="1466">
        <f t="shared" si="0"/>
        <v>5</v>
      </c>
    </row>
    <row r="33" spans="1:28" ht="18" thickBot="1">
      <c r="A33" s="7207"/>
      <c r="B33" s="7211"/>
      <c r="C33" s="1184" t="s">
        <v>791</v>
      </c>
      <c r="D33" s="1193"/>
      <c r="E33" s="1189"/>
      <c r="F33" s="1189"/>
      <c r="G33" s="1523">
        <v>14.6</v>
      </c>
      <c r="H33" s="1523">
        <v>12.583333333333334</v>
      </c>
      <c r="I33" s="1523">
        <v>16</v>
      </c>
      <c r="J33" s="1609">
        <v>0.6333333333333333</v>
      </c>
      <c r="K33" s="2309">
        <v>1.1833333333333333</v>
      </c>
      <c r="L33" s="1931">
        <f>'#2CCL'!L29</f>
        <v>1.1224242424242499</v>
      </c>
      <c r="M33" s="1941">
        <f>'#2CCL'!M29</f>
        <v>9.3535353535354152E-2</v>
      </c>
      <c r="N33" s="1908">
        <f>'#2CCL'!N29</f>
        <v>0.16666666666666666</v>
      </c>
      <c r="O33" s="1428">
        <f>'#2CCL'!O29</f>
        <v>0</v>
      </c>
      <c r="P33" s="1428">
        <f>'#2CCL'!P29</f>
        <v>8.3333333333333329E-2</v>
      </c>
      <c r="Q33" s="1428">
        <f>'#2CCL'!Q29</f>
        <v>0</v>
      </c>
      <c r="R33" s="1428">
        <f>'#2CCL'!R29</f>
        <v>2.2166666666666668</v>
      </c>
      <c r="S33" s="1428">
        <f>'#2CCL'!S29</f>
        <v>0</v>
      </c>
      <c r="T33" s="1428">
        <f>'#2CCL'!T29</f>
        <v>0</v>
      </c>
      <c r="U33" s="1428">
        <f>'#2CCL'!U29</f>
        <v>0</v>
      </c>
      <c r="V33" s="1428">
        <f>'#2CCL'!V29</f>
        <v>6.833333333333333</v>
      </c>
      <c r="W33" s="1428">
        <f>'#2CCL'!W29</f>
        <v>0</v>
      </c>
      <c r="X33" s="1428">
        <f>'#2CCL'!X29</f>
        <v>0</v>
      </c>
      <c r="Y33" s="1464">
        <f>'#2CCL'!Y29</f>
        <v>0</v>
      </c>
      <c r="Z33" s="1470">
        <f t="shared" si="0"/>
        <v>9.3000000000000007</v>
      </c>
    </row>
    <row r="34" spans="1:28" ht="17.399999999999999">
      <c r="A34" s="7068" t="s">
        <v>966</v>
      </c>
      <c r="B34" s="7208" t="s">
        <v>784</v>
      </c>
      <c r="C34" s="1387" t="s">
        <v>740</v>
      </c>
      <c r="D34" s="1388"/>
      <c r="E34" s="1389"/>
      <c r="F34" s="1389"/>
      <c r="G34" s="1445">
        <f t="shared" ref="G34:G39" si="1">G4+G10+G16+G22+G28</f>
        <v>892</v>
      </c>
      <c r="H34" s="1894">
        <f t="shared" ref="H34:Y39" si="2">H4+H10+H16+H22+H28</f>
        <v>736</v>
      </c>
      <c r="I34" s="1894">
        <f t="shared" si="2"/>
        <v>527</v>
      </c>
      <c r="J34" s="1445">
        <v>402</v>
      </c>
      <c r="K34" s="2777">
        <v>271</v>
      </c>
      <c r="L34" s="1932">
        <f t="shared" si="2"/>
        <v>199</v>
      </c>
      <c r="M34" s="2500">
        <f t="shared" si="2"/>
        <v>17.866666666666667</v>
      </c>
      <c r="N34" s="1446">
        <f t="shared" si="2"/>
        <v>22</v>
      </c>
      <c r="O34" s="1447">
        <f t="shared" si="2"/>
        <v>14</v>
      </c>
      <c r="P34" s="1447">
        <f t="shared" si="2"/>
        <v>10</v>
      </c>
      <c r="Q34" s="1447">
        <f t="shared" si="2"/>
        <v>8</v>
      </c>
      <c r="R34" s="1447">
        <f t="shared" si="2"/>
        <v>6</v>
      </c>
      <c r="S34" s="1447">
        <f t="shared" si="2"/>
        <v>10</v>
      </c>
      <c r="T34" s="1447">
        <f t="shared" si="2"/>
        <v>11</v>
      </c>
      <c r="U34" s="1447">
        <f t="shared" si="2"/>
        <v>23</v>
      </c>
      <c r="V34" s="1447">
        <f t="shared" si="2"/>
        <v>12</v>
      </c>
      <c r="W34" s="1447">
        <f t="shared" si="2"/>
        <v>13</v>
      </c>
      <c r="X34" s="1447">
        <f t="shared" si="2"/>
        <v>7</v>
      </c>
      <c r="Y34" s="1465">
        <f t="shared" si="2"/>
        <v>14</v>
      </c>
      <c r="Z34" s="1467">
        <f t="shared" si="0"/>
        <v>150</v>
      </c>
      <c r="AA34" s="4713"/>
      <c r="AB34" s="1707"/>
    </row>
    <row r="35" spans="1:28" ht="17.399999999999999">
      <c r="A35" s="7069"/>
      <c r="B35" s="7209"/>
      <c r="C35" s="1390" t="s">
        <v>791</v>
      </c>
      <c r="D35" s="1391"/>
      <c r="E35" s="1392"/>
      <c r="F35" s="1392"/>
      <c r="G35" s="2949">
        <f t="shared" si="1"/>
        <v>594.41666666666663</v>
      </c>
      <c r="H35" s="2950">
        <f t="shared" ref="H35:X35" si="3">H5+H11+H17+H23+H29</f>
        <v>496.73333333333335</v>
      </c>
      <c r="I35" s="2950">
        <f t="shared" si="3"/>
        <v>321.18333333333334</v>
      </c>
      <c r="J35" s="2951">
        <v>212.06333333333333</v>
      </c>
      <c r="K35" s="2952">
        <v>198.18333333333334</v>
      </c>
      <c r="L35" s="1933">
        <f t="shared" si="3"/>
        <v>128.13999999999999</v>
      </c>
      <c r="M35" s="1918">
        <f t="shared" si="3"/>
        <v>11.697333333333333</v>
      </c>
      <c r="N35" s="1909">
        <f t="shared" si="3"/>
        <v>11.033333333333335</v>
      </c>
      <c r="O35" s="1472">
        <f t="shared" si="3"/>
        <v>12.233333333333333</v>
      </c>
      <c r="P35" s="1472">
        <f t="shared" si="3"/>
        <v>6.2</v>
      </c>
      <c r="Q35" s="1472">
        <f t="shared" si="3"/>
        <v>4.6166666666666671</v>
      </c>
      <c r="R35" s="1472">
        <f t="shared" si="3"/>
        <v>7.4666666666666668</v>
      </c>
      <c r="S35" s="1472">
        <f t="shared" si="3"/>
        <v>11.916666666666666</v>
      </c>
      <c r="T35" s="1472">
        <f t="shared" si="3"/>
        <v>6.2333333333333334</v>
      </c>
      <c r="U35" s="1472">
        <f t="shared" si="3"/>
        <v>15.466666666666667</v>
      </c>
      <c r="V35" s="1472">
        <f t="shared" si="3"/>
        <v>12.383333333333333</v>
      </c>
      <c r="W35" s="1472">
        <f t="shared" si="3"/>
        <v>11.499999999999998</v>
      </c>
      <c r="X35" s="1472">
        <f t="shared" si="3"/>
        <v>7.65</v>
      </c>
      <c r="Y35" s="1473">
        <f t="shared" si="2"/>
        <v>7.1999999999999993</v>
      </c>
      <c r="Z35" s="1469">
        <f t="shared" si="0"/>
        <v>113.89999999999999</v>
      </c>
      <c r="AA35" s="4713"/>
      <c r="AB35" s="1707"/>
    </row>
    <row r="36" spans="1:28" ht="16.8" customHeight="1">
      <c r="A36" s="7069"/>
      <c r="B36" s="7210" t="s">
        <v>64</v>
      </c>
      <c r="C36" s="1390" t="s">
        <v>740</v>
      </c>
      <c r="D36" s="1391"/>
      <c r="E36" s="1392"/>
      <c r="F36" s="1392"/>
      <c r="G36" s="1890">
        <f t="shared" si="1"/>
        <v>195</v>
      </c>
      <c r="H36" s="1895">
        <f t="shared" si="2"/>
        <v>186</v>
      </c>
      <c r="I36" s="1895">
        <f t="shared" si="2"/>
        <v>101</v>
      </c>
      <c r="J36" s="2455">
        <v>52</v>
      </c>
      <c r="K36" s="2778">
        <v>40</v>
      </c>
      <c r="L36" s="1934">
        <f t="shared" si="2"/>
        <v>28</v>
      </c>
      <c r="M36" s="2501">
        <f t="shared" si="2"/>
        <v>2.65</v>
      </c>
      <c r="N36" s="1910">
        <f t="shared" si="2"/>
        <v>2</v>
      </c>
      <c r="O36" s="1448">
        <f t="shared" si="2"/>
        <v>6</v>
      </c>
      <c r="P36" s="1448">
        <f t="shared" si="2"/>
        <v>0</v>
      </c>
      <c r="Q36" s="1448">
        <f t="shared" si="2"/>
        <v>4</v>
      </c>
      <c r="R36" s="1448">
        <f t="shared" si="2"/>
        <v>2</v>
      </c>
      <c r="S36" s="1448">
        <f t="shared" si="2"/>
        <v>2</v>
      </c>
      <c r="T36" s="1448">
        <f t="shared" si="2"/>
        <v>1</v>
      </c>
      <c r="U36" s="1448">
        <f t="shared" si="2"/>
        <v>5</v>
      </c>
      <c r="V36" s="1448">
        <f t="shared" si="2"/>
        <v>3</v>
      </c>
      <c r="W36" s="1448">
        <f t="shared" si="2"/>
        <v>1</v>
      </c>
      <c r="X36" s="1448">
        <f t="shared" si="2"/>
        <v>1</v>
      </c>
      <c r="Y36" s="1449">
        <f t="shared" si="2"/>
        <v>3</v>
      </c>
      <c r="Z36" s="1466">
        <f t="shared" si="0"/>
        <v>30</v>
      </c>
      <c r="AA36" s="4713"/>
      <c r="AB36" s="1707"/>
    </row>
    <row r="37" spans="1:28" ht="17.399999999999999">
      <c r="A37" s="7069"/>
      <c r="B37" s="7209"/>
      <c r="C37" s="1390" t="s">
        <v>791</v>
      </c>
      <c r="D37" s="1391"/>
      <c r="E37" s="1392"/>
      <c r="F37" s="1392"/>
      <c r="G37" s="2949">
        <f t="shared" si="1"/>
        <v>326.43333333333334</v>
      </c>
      <c r="H37" s="2950">
        <f t="shared" si="2"/>
        <v>352.75</v>
      </c>
      <c r="I37" s="2950">
        <f t="shared" si="2"/>
        <v>165</v>
      </c>
      <c r="J37" s="2951">
        <v>107.6</v>
      </c>
      <c r="K37" s="2952">
        <v>99.833333333333343</v>
      </c>
      <c r="L37" s="1933">
        <f t="shared" si="2"/>
        <v>80.675454545454571</v>
      </c>
      <c r="M37" s="1918">
        <f t="shared" si="2"/>
        <v>7.7056060606060628</v>
      </c>
      <c r="N37" s="1909">
        <f t="shared" si="2"/>
        <v>3.3333333333333335</v>
      </c>
      <c r="O37" s="1472">
        <f t="shared" si="2"/>
        <v>14.333333333333334</v>
      </c>
      <c r="P37" s="1472">
        <f t="shared" si="2"/>
        <v>0</v>
      </c>
      <c r="Q37" s="1472">
        <f t="shared" si="2"/>
        <v>4.2666666666666666</v>
      </c>
      <c r="R37" s="1472">
        <f t="shared" si="2"/>
        <v>5.75</v>
      </c>
      <c r="S37" s="1472">
        <f t="shared" si="2"/>
        <v>1.3833333333333333</v>
      </c>
      <c r="T37" s="1472">
        <f t="shared" si="2"/>
        <v>1</v>
      </c>
      <c r="U37" s="1472">
        <f t="shared" si="2"/>
        <v>10.166666666666668</v>
      </c>
      <c r="V37" s="1472">
        <f t="shared" si="2"/>
        <v>7.5</v>
      </c>
      <c r="W37" s="1472">
        <f t="shared" si="2"/>
        <v>2.1666666666666665</v>
      </c>
      <c r="X37" s="1472">
        <f t="shared" si="2"/>
        <v>3.15</v>
      </c>
      <c r="Y37" s="1473">
        <f t="shared" si="2"/>
        <v>4.916666666666667</v>
      </c>
      <c r="Z37" s="1469">
        <f t="shared" si="0"/>
        <v>57.966666666666661</v>
      </c>
      <c r="AA37" s="4713"/>
      <c r="AB37" s="1707"/>
    </row>
    <row r="38" spans="1:28" ht="17.399999999999999">
      <c r="A38" s="7069"/>
      <c r="B38" s="7210" t="s">
        <v>961</v>
      </c>
      <c r="C38" s="1390" t="s">
        <v>740</v>
      </c>
      <c r="D38" s="1391"/>
      <c r="E38" s="1392"/>
      <c r="F38" s="1392"/>
      <c r="G38" s="1890">
        <f t="shared" si="1"/>
        <v>136.61666666666667</v>
      </c>
      <c r="H38" s="1895">
        <f t="shared" si="2"/>
        <v>89</v>
      </c>
      <c r="I38" s="1895">
        <f t="shared" si="2"/>
        <v>74</v>
      </c>
      <c r="J38" s="2455">
        <v>58</v>
      </c>
      <c r="K38" s="2778">
        <v>32</v>
      </c>
      <c r="L38" s="1934">
        <f t="shared" si="2"/>
        <v>26</v>
      </c>
      <c r="M38" s="2501">
        <f t="shared" si="2"/>
        <v>2.4500000000000002</v>
      </c>
      <c r="N38" s="1910">
        <f t="shared" si="2"/>
        <v>3</v>
      </c>
      <c r="O38" s="1448">
        <f t="shared" si="2"/>
        <v>3</v>
      </c>
      <c r="P38" s="1448">
        <f t="shared" si="2"/>
        <v>3</v>
      </c>
      <c r="Q38" s="1448">
        <f t="shared" si="2"/>
        <v>2</v>
      </c>
      <c r="R38" s="1448">
        <f t="shared" si="2"/>
        <v>2</v>
      </c>
      <c r="S38" s="1448">
        <f t="shared" si="2"/>
        <v>5</v>
      </c>
      <c r="T38" s="1448">
        <f t="shared" si="2"/>
        <v>5</v>
      </c>
      <c r="U38" s="1448">
        <f t="shared" si="2"/>
        <v>6</v>
      </c>
      <c r="V38" s="1448">
        <f t="shared" si="2"/>
        <v>9</v>
      </c>
      <c r="W38" s="1448">
        <f t="shared" si="2"/>
        <v>3</v>
      </c>
      <c r="X38" s="1448">
        <f t="shared" si="2"/>
        <v>0</v>
      </c>
      <c r="Y38" s="1449">
        <f t="shared" si="2"/>
        <v>1</v>
      </c>
      <c r="Z38" s="1466">
        <f t="shared" si="0"/>
        <v>42</v>
      </c>
      <c r="AA38" s="4713"/>
      <c r="AB38" s="1707"/>
    </row>
    <row r="39" spans="1:28" ht="18" thickBot="1">
      <c r="A39" s="7069"/>
      <c r="B39" s="7211"/>
      <c r="C39" s="1393" t="s">
        <v>791</v>
      </c>
      <c r="D39" s="1394"/>
      <c r="E39" s="1395"/>
      <c r="F39" s="1395"/>
      <c r="G39" s="2953">
        <f t="shared" si="1"/>
        <v>148.76666666666665</v>
      </c>
      <c r="H39" s="2954">
        <f t="shared" si="2"/>
        <v>110.58333333333333</v>
      </c>
      <c r="I39" s="2954">
        <f t="shared" si="2"/>
        <v>154</v>
      </c>
      <c r="J39" s="2953">
        <v>70.083333333333329</v>
      </c>
      <c r="K39" s="2955">
        <v>51.383333333333333</v>
      </c>
      <c r="L39" s="1935">
        <f t="shared" si="2"/>
        <v>41.748484848484786</v>
      </c>
      <c r="M39" s="1919">
        <f t="shared" si="2"/>
        <v>4.0429292929292862</v>
      </c>
      <c r="N39" s="1474">
        <f t="shared" si="2"/>
        <v>4</v>
      </c>
      <c r="O39" s="1475">
        <f t="shared" si="2"/>
        <v>1.0833333333333333</v>
      </c>
      <c r="P39" s="1475">
        <f t="shared" si="2"/>
        <v>2.0833333333333335</v>
      </c>
      <c r="Q39" s="1475">
        <f t="shared" si="2"/>
        <v>4.916666666666667</v>
      </c>
      <c r="R39" s="1475">
        <f t="shared" si="2"/>
        <v>4.5500000000000007</v>
      </c>
      <c r="S39" s="1475">
        <f t="shared" si="2"/>
        <v>8.3666666666666671</v>
      </c>
      <c r="T39" s="1475">
        <f t="shared" si="2"/>
        <v>14.333333333333334</v>
      </c>
      <c r="U39" s="1475">
        <f t="shared" si="2"/>
        <v>17.416666666666668</v>
      </c>
      <c r="V39" s="1475">
        <f t="shared" si="2"/>
        <v>15.850000000000001</v>
      </c>
      <c r="W39" s="1475">
        <f t="shared" si="2"/>
        <v>7.833333333333333</v>
      </c>
      <c r="X39" s="1475">
        <f t="shared" si="2"/>
        <v>0</v>
      </c>
      <c r="Y39" s="1476">
        <f t="shared" si="2"/>
        <v>6.916666666666667</v>
      </c>
      <c r="Z39" s="1471">
        <f t="shared" si="0"/>
        <v>87.35</v>
      </c>
      <c r="AA39" s="4713"/>
      <c r="AB39" s="1707"/>
    </row>
    <row r="40" spans="1:28" ht="17.399999999999999">
      <c r="A40" s="7069"/>
      <c r="B40" s="7183" t="s">
        <v>967</v>
      </c>
      <c r="C40" s="1387" t="s">
        <v>740</v>
      </c>
      <c r="D40" s="1388"/>
      <c r="E40" s="1389"/>
      <c r="F40" s="1389"/>
      <c r="G40" s="1451">
        <f>G34+G36+G38</f>
        <v>1223.6166666666668</v>
      </c>
      <c r="H40" s="1896">
        <f t="shared" ref="H40:Y41" si="4">H34+H36+H38</f>
        <v>1011</v>
      </c>
      <c r="I40" s="1896">
        <f t="shared" si="4"/>
        <v>702</v>
      </c>
      <c r="J40" s="1451">
        <v>512</v>
      </c>
      <c r="K40" s="1452">
        <v>343</v>
      </c>
      <c r="L40" s="1936">
        <f t="shared" si="4"/>
        <v>253</v>
      </c>
      <c r="M40" s="1452">
        <f t="shared" si="4"/>
        <v>22.966666666666665</v>
      </c>
      <c r="N40" s="1453">
        <f t="shared" si="4"/>
        <v>27</v>
      </c>
      <c r="O40" s="1450">
        <f t="shared" si="4"/>
        <v>23</v>
      </c>
      <c r="P40" s="1450">
        <f t="shared" si="4"/>
        <v>13</v>
      </c>
      <c r="Q40" s="1450">
        <f t="shared" si="4"/>
        <v>14</v>
      </c>
      <c r="R40" s="1450">
        <f t="shared" si="4"/>
        <v>10</v>
      </c>
      <c r="S40" s="1450">
        <f t="shared" si="4"/>
        <v>17</v>
      </c>
      <c r="T40" s="1450">
        <f t="shared" si="4"/>
        <v>17</v>
      </c>
      <c r="U40" s="1450">
        <f t="shared" si="4"/>
        <v>34</v>
      </c>
      <c r="V40" s="1450">
        <f t="shared" si="4"/>
        <v>24</v>
      </c>
      <c r="W40" s="1450">
        <f t="shared" si="4"/>
        <v>17</v>
      </c>
      <c r="X40" s="1450">
        <f t="shared" si="4"/>
        <v>8</v>
      </c>
      <c r="Y40" s="1451">
        <f t="shared" si="4"/>
        <v>18</v>
      </c>
      <c r="Z40" s="1468">
        <f t="shared" si="0"/>
        <v>222</v>
      </c>
      <c r="AA40" s="4713"/>
      <c r="AB40" s="1707"/>
    </row>
    <row r="41" spans="1:28" ht="18" thickBot="1">
      <c r="A41" s="7182"/>
      <c r="B41" s="7212"/>
      <c r="C41" s="1396" t="s">
        <v>791</v>
      </c>
      <c r="D41" s="1397"/>
      <c r="E41" s="1398"/>
      <c r="F41" s="1398"/>
      <c r="G41" s="2956">
        <f>G35+G37+G39</f>
        <v>1069.6166666666666</v>
      </c>
      <c r="H41" s="2957">
        <f t="shared" si="4"/>
        <v>960.06666666666672</v>
      </c>
      <c r="I41" s="2957">
        <f t="shared" si="4"/>
        <v>640.18333333333339</v>
      </c>
      <c r="J41" s="2958">
        <v>389.74666666666661</v>
      </c>
      <c r="K41" s="2959">
        <v>349.4</v>
      </c>
      <c r="L41" s="1937">
        <f t="shared" si="4"/>
        <v>250.56393939393934</v>
      </c>
      <c r="M41" s="1920">
        <f t="shared" si="4"/>
        <v>23.445868686868682</v>
      </c>
      <c r="N41" s="1911">
        <f t="shared" si="4"/>
        <v>18.366666666666667</v>
      </c>
      <c r="O41" s="1477">
        <f t="shared" si="4"/>
        <v>27.65</v>
      </c>
      <c r="P41" s="1477">
        <f t="shared" si="4"/>
        <v>8.2833333333333332</v>
      </c>
      <c r="Q41" s="1477">
        <f t="shared" si="4"/>
        <v>13.8</v>
      </c>
      <c r="R41" s="1477">
        <f t="shared" si="4"/>
        <v>17.766666666666666</v>
      </c>
      <c r="S41" s="1477">
        <f t="shared" si="4"/>
        <v>21.666666666666664</v>
      </c>
      <c r="T41" s="1477">
        <f t="shared" si="4"/>
        <v>21.566666666666666</v>
      </c>
      <c r="U41" s="1477">
        <f t="shared" si="4"/>
        <v>43.05</v>
      </c>
      <c r="V41" s="1477">
        <f t="shared" si="4"/>
        <v>35.733333333333334</v>
      </c>
      <c r="W41" s="1477">
        <f t="shared" si="4"/>
        <v>21.499999999999996</v>
      </c>
      <c r="X41" s="1477">
        <f t="shared" si="4"/>
        <v>10.8</v>
      </c>
      <c r="Y41" s="1478">
        <f t="shared" si="4"/>
        <v>19.033333333333335</v>
      </c>
      <c r="Z41" s="1479">
        <f t="shared" si="0"/>
        <v>259.2166666666667</v>
      </c>
    </row>
    <row r="42" spans="1:28" ht="17.399999999999999">
      <c r="C42" s="1897" t="s">
        <v>1054</v>
      </c>
      <c r="G42" s="866">
        <f t="shared" ref="G42:L43" si="5">G40/12</f>
        <v>101.96805555555557</v>
      </c>
      <c r="H42" s="866">
        <f t="shared" si="5"/>
        <v>84.25</v>
      </c>
      <c r="I42" s="866">
        <f t="shared" si="5"/>
        <v>58.5</v>
      </c>
      <c r="J42" s="866">
        <f t="shared" si="5"/>
        <v>42.666666666666664</v>
      </c>
      <c r="K42" s="866">
        <f>K40/12</f>
        <v>28.583333333333332</v>
      </c>
      <c r="L42" s="866">
        <f t="shared" si="5"/>
        <v>21.083333333333332</v>
      </c>
      <c r="N42" s="866">
        <f>(1-N40/$K$42)*100</f>
        <v>5.539358600583089</v>
      </c>
      <c r="O42" s="866">
        <f>(1-O40/$K$42)*100</f>
        <v>19.533527696792994</v>
      </c>
      <c r="P42" s="866">
        <f>(1-P40/$K$42)*100</f>
        <v>54.518950437317784</v>
      </c>
    </row>
    <row r="43" spans="1:28">
      <c r="G43" s="2474">
        <f t="shared" si="5"/>
        <v>89.134722222222209</v>
      </c>
      <c r="H43" s="2474">
        <f t="shared" si="5"/>
        <v>80.00555555555556</v>
      </c>
      <c r="I43" s="2474">
        <f t="shared" si="5"/>
        <v>53.348611111111119</v>
      </c>
      <c r="J43" s="2474">
        <f t="shared" si="5"/>
        <v>32.478888888888882</v>
      </c>
      <c r="K43" s="2474">
        <f>K41/12</f>
        <v>29.116666666666664</v>
      </c>
      <c r="L43" s="2474">
        <f t="shared" si="5"/>
        <v>20.880328282828277</v>
      </c>
      <c r="N43" s="866">
        <f>(1-N41/$K$43)*100</f>
        <v>36.920435031482533</v>
      </c>
      <c r="O43" s="866">
        <f>(1-O41/$K$43)*100</f>
        <v>5.0372066399542064</v>
      </c>
      <c r="P43" s="866">
        <f>(1-P41/$K$43)*100</f>
        <v>71.551230681167709</v>
      </c>
    </row>
  </sheetData>
  <mergeCells count="30">
    <mergeCell ref="C2:C3"/>
    <mergeCell ref="L2:M2"/>
    <mergeCell ref="A2:A3"/>
    <mergeCell ref="B2:B3"/>
    <mergeCell ref="D2:J2"/>
    <mergeCell ref="B4:B5"/>
    <mergeCell ref="B6:B7"/>
    <mergeCell ref="B8:B9"/>
    <mergeCell ref="A4:A9"/>
    <mergeCell ref="A34:A41"/>
    <mergeCell ref="A28:A33"/>
    <mergeCell ref="A22:A27"/>
    <mergeCell ref="A16:A21"/>
    <mergeCell ref="A10:A15"/>
    <mergeCell ref="B10:B11"/>
    <mergeCell ref="B12:B13"/>
    <mergeCell ref="B14:B15"/>
    <mergeCell ref="B16:B17"/>
    <mergeCell ref="B18:B19"/>
    <mergeCell ref="B20:B21"/>
    <mergeCell ref="B22:B23"/>
    <mergeCell ref="B34:B35"/>
    <mergeCell ref="B36:B37"/>
    <mergeCell ref="B38:B39"/>
    <mergeCell ref="B40:B41"/>
    <mergeCell ref="B24:B25"/>
    <mergeCell ref="B26:B27"/>
    <mergeCell ref="B28:B29"/>
    <mergeCell ref="B30:B31"/>
    <mergeCell ref="B32:B33"/>
  </mergeCells>
  <phoneticPr fontId="22" type="noConversion"/>
  <pageMargins left="0.7" right="0.7" top="0.75" bottom="0.75" header="0.3" footer="0.3"/>
  <pageSetup paperSize="9" scale="6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8"/>
  <sheetViews>
    <sheetView zoomScale="70" zoomScaleNormal="70" workbookViewId="0">
      <pane xSplit="8" ySplit="5" topLeftCell="I105" activePane="bottomRight" state="frozen"/>
      <selection pane="topRight" activeCell="I1" sqref="I1"/>
      <selection pane="bottomLeft" activeCell="A6" sqref="A6"/>
      <selection pane="bottomRight" activeCell="AT131" sqref="AT131"/>
    </sheetView>
  </sheetViews>
  <sheetFormatPr defaultColWidth="8.8984375" defaultRowHeight="17.399999999999999"/>
  <cols>
    <col min="1" max="1" width="8.8984375" style="314"/>
    <col min="2" max="2" width="8.8984375" style="314" customWidth="1"/>
    <col min="3" max="3" width="8.69921875" style="313" hidden="1" customWidth="1"/>
    <col min="4" max="5" width="8" style="313" hidden="1" customWidth="1"/>
    <col min="6" max="6" width="7.3984375" style="313" hidden="1" customWidth="1"/>
    <col min="7" max="7" width="8.796875" style="313" hidden="1" customWidth="1"/>
    <col min="8" max="8" width="8" style="314" hidden="1" customWidth="1"/>
    <col min="9" max="10" width="8" style="314" customWidth="1"/>
    <col min="11" max="11" width="8" style="1534" customWidth="1"/>
    <col min="12" max="12" width="8" style="314" customWidth="1"/>
    <col min="13" max="13" width="8.796875" style="314" customWidth="1"/>
    <col min="14" max="14" width="8.796875" style="314" hidden="1" customWidth="1"/>
    <col min="15" max="15" width="8.8984375" style="314" hidden="1" customWidth="1"/>
    <col min="16" max="20" width="8.796875" style="313" hidden="1" customWidth="1"/>
    <col min="21" max="22" width="8.796875" style="313" customWidth="1"/>
    <col min="23" max="23" width="9.796875" style="313" customWidth="1"/>
    <col min="24" max="25" width="10" style="313" customWidth="1"/>
    <col min="26" max="26" width="8.796875" style="2730" customWidth="1"/>
    <col min="27" max="27" width="8.796875" style="313" customWidth="1"/>
    <col min="28" max="34" width="8.796875" style="313" hidden="1" customWidth="1"/>
    <col min="35" max="36" width="8.796875" style="313" customWidth="1"/>
    <col min="37" max="39" width="9.796875" style="313" customWidth="1"/>
    <col min="40" max="40" width="8.796875" style="313" customWidth="1"/>
    <col min="41" max="41" width="9.796875" style="346" customWidth="1"/>
    <col min="42" max="42" width="8.796875" style="354" customWidth="1"/>
    <col min="43" max="16384" width="8.8984375" style="314"/>
  </cols>
  <sheetData>
    <row r="1" spans="1:64">
      <c r="A1" s="304" t="s">
        <v>460</v>
      </c>
      <c r="AR1" s="1534"/>
      <c r="AS1" s="1534"/>
      <c r="AT1" s="1534"/>
      <c r="AU1" s="1534"/>
      <c r="AV1" s="1534"/>
      <c r="AW1" s="1534"/>
      <c r="AX1" s="1534"/>
      <c r="AY1" s="1534"/>
      <c r="AZ1" s="1534"/>
      <c r="BA1" s="1534"/>
      <c r="BB1" s="1534"/>
      <c r="BC1" s="1534"/>
      <c r="BD1" s="1534"/>
      <c r="BE1" s="1534"/>
      <c r="BF1" s="1534"/>
      <c r="BG1" s="1534"/>
      <c r="BH1" s="1534"/>
      <c r="BI1" s="1534"/>
      <c r="BJ1" s="1534"/>
      <c r="BK1" s="1534"/>
      <c r="BL1" s="1534"/>
    </row>
    <row r="2" spans="1:64">
      <c r="AO2" s="313"/>
      <c r="AP2" s="314"/>
      <c r="AR2" s="1534" t="s">
        <v>493</v>
      </c>
      <c r="AS2" s="1534"/>
      <c r="AT2" s="1534"/>
      <c r="AU2" s="1534"/>
      <c r="AV2" s="1534"/>
      <c r="AW2" s="1534"/>
      <c r="AX2" s="1534"/>
      <c r="AY2" s="1534"/>
      <c r="AZ2" s="1534"/>
      <c r="BA2" s="1534"/>
      <c r="BB2" s="1534"/>
      <c r="BC2" s="1534"/>
      <c r="BD2" s="1534"/>
      <c r="BE2" s="1534"/>
      <c r="BF2" s="1534"/>
      <c r="BG2" s="1534"/>
      <c r="BH2" s="1534"/>
      <c r="BI2" s="1534"/>
      <c r="BJ2" s="1534"/>
      <c r="BK2" s="1534"/>
      <c r="BL2" s="1534"/>
    </row>
    <row r="3" spans="1:64" ht="15" customHeight="1" thickBot="1">
      <c r="A3" s="304" t="s">
        <v>628</v>
      </c>
      <c r="AO3" s="313"/>
      <c r="AP3" s="314"/>
      <c r="AR3" s="5254" t="s">
        <v>676</v>
      </c>
      <c r="AS3" s="5256">
        <f t="shared" ref="AS3:AW4" si="0">AS6/12</f>
        <v>25.916666666666668</v>
      </c>
      <c r="AT3" s="5256">
        <f>AT6/12</f>
        <v>22.833333333333332</v>
      </c>
      <c r="AU3" s="5256">
        <f t="shared" si="0"/>
        <v>13.166666666666666</v>
      </c>
      <c r="AV3" s="5256">
        <f t="shared" si="0"/>
        <v>9.25</v>
      </c>
      <c r="AW3" s="5256">
        <f t="shared" si="0"/>
        <v>5.916666666666667</v>
      </c>
      <c r="AX3" s="1534"/>
      <c r="AY3" s="1534"/>
      <c r="AZ3" s="1534"/>
      <c r="BA3" s="1534"/>
      <c r="BB3" s="1534"/>
      <c r="BC3" s="1534"/>
      <c r="BD3" s="1534"/>
      <c r="BE3" s="1534"/>
      <c r="BF3" s="1534"/>
      <c r="BG3" s="1534"/>
      <c r="BH3" s="1534"/>
      <c r="BI3" s="1534"/>
      <c r="BJ3" s="1534"/>
      <c r="BK3" s="1534"/>
      <c r="BL3" s="1534"/>
    </row>
    <row r="4" spans="1:64" ht="21" customHeight="1" thickBot="1">
      <c r="A4" s="7132" t="s">
        <v>0</v>
      </c>
      <c r="B4" s="7220"/>
      <c r="C4" s="7229" t="s">
        <v>408</v>
      </c>
      <c r="D4" s="7229" t="s">
        <v>409</v>
      </c>
      <c r="E4" s="7229" t="s">
        <v>410</v>
      </c>
      <c r="F4" s="7229" t="s">
        <v>411</v>
      </c>
      <c r="G4" s="7229" t="s">
        <v>407</v>
      </c>
      <c r="H4" s="7229" t="s">
        <v>1165</v>
      </c>
      <c r="I4" s="7229" t="s">
        <v>1166</v>
      </c>
      <c r="J4" s="7567" t="s">
        <v>1167</v>
      </c>
      <c r="K4" s="7334" t="s">
        <v>1279</v>
      </c>
      <c r="L4" s="7516" t="s">
        <v>1280</v>
      </c>
      <c r="M4" s="7337" t="s">
        <v>916</v>
      </c>
      <c r="N4" s="7552" t="s">
        <v>1342</v>
      </c>
      <c r="O4" s="7355"/>
      <c r="P4" s="7355"/>
      <c r="Q4" s="7355"/>
      <c r="R4" s="7355"/>
      <c r="S4" s="7355"/>
      <c r="T4" s="7355"/>
      <c r="U4" s="7355"/>
      <c r="V4" s="7355"/>
      <c r="W4" s="7355"/>
      <c r="X4" s="7355"/>
      <c r="Y4" s="7355"/>
      <c r="Z4" s="7355"/>
      <c r="AA4" s="7220"/>
      <c r="AB4" s="7220"/>
      <c r="AC4" s="7220"/>
      <c r="AD4" s="7220"/>
      <c r="AE4" s="7220"/>
      <c r="AF4" s="7220"/>
      <c r="AG4" s="7220"/>
      <c r="AH4" s="7220"/>
      <c r="AI4" s="7220"/>
      <c r="AJ4" s="7220"/>
      <c r="AK4" s="7220"/>
      <c r="AL4" s="7220"/>
      <c r="AM4" s="7220"/>
      <c r="AN4" s="7229" t="s">
        <v>461</v>
      </c>
      <c r="AO4" s="7229" t="s">
        <v>365</v>
      </c>
      <c r="AP4" s="7223" t="s">
        <v>344</v>
      </c>
      <c r="AR4" s="5254" t="s">
        <v>677</v>
      </c>
      <c r="AS4" s="5256">
        <f t="shared" si="0"/>
        <v>41.318055555555553</v>
      </c>
      <c r="AT4" s="5256">
        <f>AT7/12</f>
        <v>38.694444444444443</v>
      </c>
      <c r="AU4" s="5256">
        <f t="shared" si="0"/>
        <v>25.379166666666666</v>
      </c>
      <c r="AV4" s="5256">
        <f t="shared" si="0"/>
        <v>14.806944444444445</v>
      </c>
      <c r="AW4" s="5256">
        <f t="shared" si="0"/>
        <v>12.60138888888889</v>
      </c>
      <c r="AX4" s="1534"/>
      <c r="AY4" s="1534"/>
      <c r="AZ4" s="1534"/>
      <c r="BA4" s="1534"/>
      <c r="BB4" s="1534"/>
      <c r="BC4" s="1534"/>
      <c r="BD4" s="1534"/>
      <c r="BE4" s="1534"/>
      <c r="BF4" s="1534"/>
      <c r="BG4" s="1534"/>
      <c r="BH4" s="1534"/>
      <c r="BI4" s="1534"/>
      <c r="BJ4" s="1534"/>
      <c r="BK4" s="1534"/>
      <c r="BL4" s="1534"/>
    </row>
    <row r="5" spans="1:64" ht="21" customHeight="1">
      <c r="A5" s="7562"/>
      <c r="B5" s="7443"/>
      <c r="C5" s="7553"/>
      <c r="D5" s="7553"/>
      <c r="E5" s="7553"/>
      <c r="F5" s="7553"/>
      <c r="G5" s="7553"/>
      <c r="H5" s="7553"/>
      <c r="I5" s="7553"/>
      <c r="J5" s="7568"/>
      <c r="K5" s="7585"/>
      <c r="L5" s="7554"/>
      <c r="M5" s="7584"/>
      <c r="N5" s="4635" t="s">
        <v>413</v>
      </c>
      <c r="O5" s="5196" t="s">
        <v>372</v>
      </c>
      <c r="P5" s="5292" t="s">
        <v>373</v>
      </c>
      <c r="Q5" s="5458" t="s">
        <v>374</v>
      </c>
      <c r="R5" s="5699" t="s">
        <v>375</v>
      </c>
      <c r="S5" s="5876" t="s">
        <v>376</v>
      </c>
      <c r="T5" s="6088" t="s">
        <v>377</v>
      </c>
      <c r="U5" s="6603" t="s">
        <v>378</v>
      </c>
      <c r="V5" s="6833" t="s">
        <v>379</v>
      </c>
      <c r="W5" s="7034" t="s">
        <v>380</v>
      </c>
      <c r="X5" s="4934" t="s">
        <v>381</v>
      </c>
      <c r="Y5" s="4642" t="s">
        <v>382</v>
      </c>
      <c r="Z5" s="4621" t="s">
        <v>1268</v>
      </c>
      <c r="AA5" s="4621" t="s">
        <v>195</v>
      </c>
      <c r="AB5" s="4732" t="s">
        <v>414</v>
      </c>
      <c r="AC5" s="4732" t="s">
        <v>383</v>
      </c>
      <c r="AD5" s="4732" t="s">
        <v>384</v>
      </c>
      <c r="AE5" s="4732" t="s">
        <v>385</v>
      </c>
      <c r="AF5" s="4732" t="s">
        <v>386</v>
      </c>
      <c r="AG5" s="4732" t="s">
        <v>387</v>
      </c>
      <c r="AH5" s="4732" t="s">
        <v>388</v>
      </c>
      <c r="AI5" s="4732" t="s">
        <v>389</v>
      </c>
      <c r="AJ5" s="4732" t="s">
        <v>390</v>
      </c>
      <c r="AK5" s="7035" t="s">
        <v>915</v>
      </c>
      <c r="AL5" s="7035" t="s">
        <v>914</v>
      </c>
      <c r="AM5" s="7035" t="s">
        <v>913</v>
      </c>
      <c r="AN5" s="7553"/>
      <c r="AO5" s="7553"/>
      <c r="AP5" s="7444"/>
      <c r="AR5" s="5254" t="s">
        <v>204</v>
      </c>
      <c r="AS5" s="5254" t="s">
        <v>258</v>
      </c>
      <c r="AT5" s="5254" t="s">
        <v>259</v>
      </c>
      <c r="AU5" s="5254" t="s">
        <v>716</v>
      </c>
      <c r="AV5" s="5254" t="s">
        <v>718</v>
      </c>
      <c r="AW5" s="5254" t="s">
        <v>999</v>
      </c>
      <c r="AX5" s="6979" t="s">
        <v>2016</v>
      </c>
      <c r="AY5" s="5254" t="s">
        <v>111</v>
      </c>
      <c r="AZ5" s="5254" t="s">
        <v>898</v>
      </c>
      <c r="BA5" s="5254" t="s">
        <v>600</v>
      </c>
      <c r="BB5" s="5254" t="s">
        <v>7</v>
      </c>
      <c r="BC5" s="5254" t="s">
        <v>8</v>
      </c>
      <c r="BD5" s="5254" t="s">
        <v>9</v>
      </c>
      <c r="BE5" s="5254" t="s">
        <v>10</v>
      </c>
      <c r="BF5" s="5254" t="s">
        <v>11</v>
      </c>
      <c r="BG5" s="5254" t="s">
        <v>12</v>
      </c>
      <c r="BH5" s="5254" t="s">
        <v>13</v>
      </c>
      <c r="BI5" s="5254" t="s">
        <v>14</v>
      </c>
      <c r="BJ5" s="5254" t="s">
        <v>15</v>
      </c>
      <c r="BK5" s="6979" t="s">
        <v>2027</v>
      </c>
      <c r="BL5" s="1534"/>
    </row>
    <row r="6" spans="1:64" ht="21" customHeight="1">
      <c r="A6" s="7555" t="s">
        <v>2</v>
      </c>
      <c r="B6" s="5270" t="s">
        <v>65</v>
      </c>
      <c r="C6" s="4932"/>
      <c r="D6" s="4932">
        <v>2.5999999999999999E-3</v>
      </c>
      <c r="E6" s="4932">
        <v>2.0999999999999999E-3</v>
      </c>
      <c r="F6" s="4932">
        <f t="shared" ref="F6:H15" si="1">F31+F67</f>
        <v>4.3E-3</v>
      </c>
      <c r="G6" s="4932">
        <f t="shared" si="1"/>
        <v>2.5127997134549745E-2</v>
      </c>
      <c r="H6" s="4932">
        <f t="shared" si="1"/>
        <v>1.7584856089410621E-2</v>
      </c>
      <c r="I6" s="4932">
        <v>5.6060477387182422E-3</v>
      </c>
      <c r="J6" s="5197">
        <v>3.5120687061206365E-3</v>
      </c>
      <c r="K6" s="5266">
        <f t="shared" ref="K6:L15" si="2">K31+K67</f>
        <v>1.7515949155538415E-3</v>
      </c>
      <c r="L6" s="5265">
        <f t="shared" si="2"/>
        <v>1.2869608977146582E-3</v>
      </c>
      <c r="M6" s="5266">
        <f>L6</f>
        <v>1.2869608977146582E-3</v>
      </c>
      <c r="N6" s="4636">
        <f t="shared" ref="N6:AM6" si="3">N31+N67</f>
        <v>3.7694598364054429E-3</v>
      </c>
      <c r="O6" s="5197">
        <f t="shared" si="3"/>
        <v>3.3486076841734227E-3</v>
      </c>
      <c r="P6" s="4625">
        <f t="shared" si="3"/>
        <v>0</v>
      </c>
      <c r="Q6" s="5197">
        <f t="shared" si="3"/>
        <v>4.4105854049719326E-3</v>
      </c>
      <c r="R6" s="5197">
        <f t="shared" si="3"/>
        <v>0</v>
      </c>
      <c r="S6" s="5197">
        <f t="shared" si="3"/>
        <v>1.6404647983595353E-3</v>
      </c>
      <c r="T6" s="5197">
        <f t="shared" si="3"/>
        <v>0</v>
      </c>
      <c r="U6" s="5197">
        <f t="shared" si="3"/>
        <v>1.5782171349288936E-2</v>
      </c>
      <c r="V6" s="5197">
        <f t="shared" si="3"/>
        <v>1.1088011088011088E-2</v>
      </c>
      <c r="W6" s="5197">
        <f t="shared" si="3"/>
        <v>3.9731051344743277E-3</v>
      </c>
      <c r="X6" s="4935">
        <f t="shared" si="3"/>
        <v>0</v>
      </c>
      <c r="Y6" s="4643" t="e">
        <f t="shared" si="3"/>
        <v>#DIV/0!</v>
      </c>
      <c r="Z6" s="6684">
        <f t="shared" si="3"/>
        <v>4.447995926795463E-3</v>
      </c>
      <c r="AA6" s="7556">
        <f t="shared" si="3"/>
        <v>2369.6767916518888</v>
      </c>
      <c r="AB6" s="7556">
        <f t="shared" si="3"/>
        <v>-962.5871565318497</v>
      </c>
      <c r="AC6" s="7556">
        <f t="shared" si="3"/>
        <v>-822.37500431123465</v>
      </c>
      <c r="AD6" s="7556">
        <f t="shared" si="3"/>
        <v>766.80109063643386</v>
      </c>
      <c r="AE6" s="7556">
        <f t="shared" si="3"/>
        <v>-1216.4993456412662</v>
      </c>
      <c r="AF6" s="7556">
        <f t="shared" si="3"/>
        <v>856.59498414819802</v>
      </c>
      <c r="AG6" s="7556">
        <f t="shared" si="3"/>
        <v>59.781431279719641</v>
      </c>
      <c r="AH6" s="7556">
        <f t="shared" si="3"/>
        <v>1046.3572591056138</v>
      </c>
      <c r="AI6" s="7556">
        <f t="shared" si="3"/>
        <v>-7298.7238383897766</v>
      </c>
      <c r="AJ6" s="7556">
        <f t="shared" si="3"/>
        <v>-4913.6305854690272</v>
      </c>
      <c r="AK6" s="7556">
        <f t="shared" si="3"/>
        <v>-1335.0606858353681</v>
      </c>
      <c r="AL6" s="7556">
        <f t="shared" si="3"/>
        <v>0</v>
      </c>
      <c r="AM6" s="7556">
        <f t="shared" si="3"/>
        <v>0</v>
      </c>
      <c r="AN6" s="7557">
        <f>AB6+AC6+AD6+AE6+AF6+AG6+AH6+AI6+AJ6+AK6+AL6</f>
        <v>-13819.341851008558</v>
      </c>
      <c r="AO6" s="7558">
        <f>AN6/AA6</f>
        <v>-5.8317412314171202</v>
      </c>
      <c r="AP6" s="7560"/>
      <c r="AR6" s="5254" t="s">
        <v>676</v>
      </c>
      <c r="AS6" s="345">
        <v>311</v>
      </c>
      <c r="AT6" s="345">
        <v>274</v>
      </c>
      <c r="AU6" s="345">
        <v>158</v>
      </c>
      <c r="AV6" s="345">
        <v>111</v>
      </c>
      <c r="AW6" s="345">
        <v>71</v>
      </c>
      <c r="AX6" s="7014">
        <v>72</v>
      </c>
      <c r="AY6" s="5254">
        <f t="shared" ref="AY6:BJ6" si="4">N26</f>
        <v>5</v>
      </c>
      <c r="AZ6" s="5254">
        <f t="shared" si="4"/>
        <v>9</v>
      </c>
      <c r="BA6" s="5254">
        <f t="shared" si="4"/>
        <v>3</v>
      </c>
      <c r="BB6" s="5254">
        <f t="shared" si="4"/>
        <v>6</v>
      </c>
      <c r="BC6" s="5254">
        <f t="shared" si="4"/>
        <v>4</v>
      </c>
      <c r="BD6" s="5254">
        <f t="shared" si="4"/>
        <v>7</v>
      </c>
      <c r="BE6" s="5254">
        <f t="shared" si="4"/>
        <v>6</v>
      </c>
      <c r="BF6" s="5254">
        <f t="shared" si="4"/>
        <v>11</v>
      </c>
      <c r="BG6" s="5254">
        <f t="shared" si="4"/>
        <v>12</v>
      </c>
      <c r="BH6" s="5254">
        <f t="shared" si="4"/>
        <v>4</v>
      </c>
      <c r="BI6" s="5254">
        <f t="shared" si="4"/>
        <v>1</v>
      </c>
      <c r="BJ6" s="5254">
        <f t="shared" si="4"/>
        <v>4</v>
      </c>
      <c r="BK6" s="7014">
        <f>SUM(AY6:BJ6)</f>
        <v>72</v>
      </c>
      <c r="BL6" s="1534"/>
    </row>
    <row r="7" spans="1:64" ht="21" customHeight="1">
      <c r="A7" s="7555"/>
      <c r="B7" s="5270" t="s">
        <v>412</v>
      </c>
      <c r="C7" s="4734"/>
      <c r="D7" s="4734">
        <f>799/60</f>
        <v>13.316666666666666</v>
      </c>
      <c r="E7" s="4734">
        <f>679/60</f>
        <v>11.316666666666666</v>
      </c>
      <c r="F7" s="4734">
        <f t="shared" si="1"/>
        <v>25.1</v>
      </c>
      <c r="G7" s="4734">
        <f t="shared" si="1"/>
        <v>159.01666666666668</v>
      </c>
      <c r="H7" s="4734">
        <f t="shared" si="1"/>
        <v>112</v>
      </c>
      <c r="I7" s="4734">
        <v>32.983333333333327</v>
      </c>
      <c r="J7" s="5198">
        <v>20.083333333333332</v>
      </c>
      <c r="K7" s="5268">
        <f t="shared" si="2"/>
        <v>9.0833333333333321</v>
      </c>
      <c r="L7" s="5267">
        <f t="shared" si="2"/>
        <v>5.9621212121212084</v>
      </c>
      <c r="M7" s="5268">
        <f>L7/10</f>
        <v>0.59621212121212086</v>
      </c>
      <c r="N7" s="4637">
        <f t="shared" ref="N7:Z7" si="5">N32+N68</f>
        <v>1.6666666666666667</v>
      </c>
      <c r="O7" s="5198">
        <f t="shared" si="5"/>
        <v>1.5833333333333333</v>
      </c>
      <c r="P7" s="4626">
        <f t="shared" si="5"/>
        <v>0</v>
      </c>
      <c r="Q7" s="5198">
        <f t="shared" si="5"/>
        <v>1.8333333333333333</v>
      </c>
      <c r="R7" s="5198">
        <f t="shared" si="5"/>
        <v>0</v>
      </c>
      <c r="S7" s="5198">
        <f t="shared" si="5"/>
        <v>0.8</v>
      </c>
      <c r="T7" s="5198">
        <f t="shared" si="5"/>
        <v>0</v>
      </c>
      <c r="U7" s="5198">
        <f t="shared" si="5"/>
        <v>7.583333333333333</v>
      </c>
      <c r="V7" s="5198">
        <f t="shared" si="5"/>
        <v>5.333333333333333</v>
      </c>
      <c r="W7" s="5198">
        <f t="shared" si="5"/>
        <v>2.1666666666666665</v>
      </c>
      <c r="X7" s="4936">
        <f t="shared" si="5"/>
        <v>0</v>
      </c>
      <c r="Y7" s="4644">
        <f t="shared" si="5"/>
        <v>0</v>
      </c>
      <c r="Z7" s="6685">
        <f t="shared" si="5"/>
        <v>20.966666666666669</v>
      </c>
      <c r="AA7" s="7524"/>
      <c r="AB7" s="7524"/>
      <c r="AC7" s="7524"/>
      <c r="AD7" s="7524"/>
      <c r="AE7" s="7524"/>
      <c r="AF7" s="7524"/>
      <c r="AG7" s="7524"/>
      <c r="AH7" s="7524"/>
      <c r="AI7" s="7524"/>
      <c r="AJ7" s="7524"/>
      <c r="AK7" s="7524"/>
      <c r="AL7" s="7524"/>
      <c r="AM7" s="7524"/>
      <c r="AN7" s="7519"/>
      <c r="AO7" s="7559"/>
      <c r="AP7" s="7561"/>
      <c r="AR7" s="5254" t="s">
        <v>677</v>
      </c>
      <c r="AS7" s="345">
        <v>495.81666666666666</v>
      </c>
      <c r="AT7" s="345">
        <v>464.33333333333331</v>
      </c>
      <c r="AU7" s="345">
        <v>304.55</v>
      </c>
      <c r="AV7" s="345">
        <v>177.68333333333334</v>
      </c>
      <c r="AW7" s="345">
        <v>151.21666666666667</v>
      </c>
      <c r="AX7" s="7014">
        <v>145.31666666666666</v>
      </c>
      <c r="AY7" s="5257">
        <f t="shared" ref="AY7:BJ7" si="6">N16</f>
        <v>7.3333333333333339</v>
      </c>
      <c r="AZ7" s="5257">
        <f t="shared" si="6"/>
        <v>15.416666666666668</v>
      </c>
      <c r="BA7" s="5257">
        <f t="shared" si="6"/>
        <v>2.0833333333333335</v>
      </c>
      <c r="BB7" s="5257">
        <f t="shared" si="6"/>
        <v>9.1833333333333336</v>
      </c>
      <c r="BC7" s="5257">
        <f t="shared" si="6"/>
        <v>10.3</v>
      </c>
      <c r="BD7" s="5257">
        <f t="shared" si="6"/>
        <v>9.75</v>
      </c>
      <c r="BE7" s="5257">
        <f t="shared" si="6"/>
        <v>15.333333333333334</v>
      </c>
      <c r="BF7" s="5257">
        <f t="shared" si="6"/>
        <v>27.583333333333332</v>
      </c>
      <c r="BG7" s="5257">
        <f t="shared" si="6"/>
        <v>23.35</v>
      </c>
      <c r="BH7" s="5257">
        <f t="shared" si="6"/>
        <v>10</v>
      </c>
      <c r="BI7" s="5257">
        <f t="shared" si="6"/>
        <v>3.15</v>
      </c>
      <c r="BJ7" s="5257">
        <f t="shared" si="6"/>
        <v>11.833333333333334</v>
      </c>
      <c r="BK7" s="7014">
        <f>SUM(AY7:BJ7)</f>
        <v>145.31666666666666</v>
      </c>
      <c r="BL7" s="1534"/>
    </row>
    <row r="8" spans="1:64" ht="23.25" customHeight="1">
      <c r="A8" s="7555" t="s">
        <v>3</v>
      </c>
      <c r="B8" s="5270" t="s">
        <v>65</v>
      </c>
      <c r="C8" s="4932"/>
      <c r="D8" s="4932"/>
      <c r="E8" s="4932">
        <v>2.8E-3</v>
      </c>
      <c r="F8" s="4932">
        <f t="shared" si="1"/>
        <v>5.4000000000000003E-3</v>
      </c>
      <c r="G8" s="4932">
        <f t="shared" si="1"/>
        <v>2.6604732682451598E-2</v>
      </c>
      <c r="H8" s="4932">
        <f t="shared" si="1"/>
        <v>2.6078370144064007E-2</v>
      </c>
      <c r="I8" s="4932">
        <v>1.4308612980957347E-2</v>
      </c>
      <c r="J8" s="5197">
        <v>1.1616389886659478E-2</v>
      </c>
      <c r="K8" s="5266">
        <f t="shared" si="2"/>
        <v>4.7326740756615544E-3</v>
      </c>
      <c r="L8" s="5265">
        <f t="shared" si="2"/>
        <v>4.1275206859826864E-3</v>
      </c>
      <c r="M8" s="5266">
        <f>L8</f>
        <v>4.1275206859826864E-3</v>
      </c>
      <c r="N8" s="4636">
        <f t="shared" ref="N8:Z8" si="7">N33+N69</f>
        <v>1.0370510040539268E-2</v>
      </c>
      <c r="O8" s="5197">
        <f t="shared" si="7"/>
        <v>1.8905123288411159E-2</v>
      </c>
      <c r="P8" s="4625">
        <f t="shared" si="7"/>
        <v>2.0678959159055659E-3</v>
      </c>
      <c r="Q8" s="5197">
        <f t="shared" si="7"/>
        <v>9.1187289419183328E-3</v>
      </c>
      <c r="R8" s="5197">
        <f t="shared" si="7"/>
        <v>5.2316890881913304E-3</v>
      </c>
      <c r="S8" s="5197">
        <f t="shared" si="7"/>
        <v>1.3263785394932935E-2</v>
      </c>
      <c r="T8" s="5197">
        <f t="shared" si="7"/>
        <v>2.4068508816254885E-2</v>
      </c>
      <c r="U8" s="5197">
        <f t="shared" si="7"/>
        <v>1.7665797856935998E-2</v>
      </c>
      <c r="V8" s="5197">
        <f t="shared" si="7"/>
        <v>1.6580635069607382E-2</v>
      </c>
      <c r="W8" s="5197">
        <f t="shared" si="7"/>
        <v>1.1735623860770556E-2</v>
      </c>
      <c r="X8" s="4935" t="e">
        <f t="shared" si="7"/>
        <v>#DIV/0!</v>
      </c>
      <c r="Y8" s="4643" t="e">
        <f t="shared" si="7"/>
        <v>#DIV/0!</v>
      </c>
      <c r="Z8" s="6684">
        <f t="shared" si="7"/>
        <v>1.3241191824442888E-2</v>
      </c>
      <c r="AA8" s="7556">
        <f t="shared" ref="AA8:AM8" si="8">AA33+AA69</f>
        <v>3779.1144396580985</v>
      </c>
      <c r="AB8" s="7556">
        <f t="shared" si="8"/>
        <v>-3136.431354721713</v>
      </c>
      <c r="AC8" s="7556">
        <f t="shared" si="8"/>
        <v>-9268.4686643371315</v>
      </c>
      <c r="AD8" s="7556">
        <f t="shared" si="8"/>
        <v>1387.6363093390794</v>
      </c>
      <c r="AE8" s="7556">
        <f t="shared" si="8"/>
        <v>-2555.2321090494352</v>
      </c>
      <c r="AF8" s="7556">
        <f t="shared" si="8"/>
        <v>-299.69389456935141</v>
      </c>
      <c r="AG8" s="7556">
        <f t="shared" si="8"/>
        <v>-5015.5132160159037</v>
      </c>
      <c r="AH8" s="7556">
        <f t="shared" si="8"/>
        <v>-12882.428803786044</v>
      </c>
      <c r="AI8" s="7556">
        <f t="shared" si="8"/>
        <v>-7823.0587816055449</v>
      </c>
      <c r="AJ8" s="7556">
        <f t="shared" si="8"/>
        <v>-6688.8081784567839</v>
      </c>
      <c r="AK8" s="7556">
        <f t="shared" si="8"/>
        <v>-4948.5262847529521</v>
      </c>
      <c r="AL8" s="7556">
        <f t="shared" si="8"/>
        <v>0</v>
      </c>
      <c r="AM8" s="7556">
        <f t="shared" si="8"/>
        <v>0</v>
      </c>
      <c r="AN8" s="7557">
        <f>AB8+AC8+AD8+AE8+AF8+AG8+AH8+AI8+AJ8+AK8+AL8</f>
        <v>-51230.524977955785</v>
      </c>
      <c r="AO8" s="7558">
        <f>AN8/AA8</f>
        <v>-13.556224823556992</v>
      </c>
      <c r="AP8" s="7563"/>
      <c r="AR8" s="1534"/>
      <c r="AS8" s="1534"/>
      <c r="AT8" s="1534"/>
      <c r="AU8" s="1534"/>
      <c r="AV8" s="1534"/>
      <c r="AW8" s="1534"/>
      <c r="AX8" s="1534"/>
      <c r="AY8" s="1534"/>
      <c r="AZ8" s="1534"/>
      <c r="BA8" s="1534"/>
      <c r="BB8" s="1534"/>
      <c r="BC8" s="1534"/>
      <c r="BD8" s="1534"/>
      <c r="BE8" s="1534"/>
      <c r="BF8" s="1534"/>
      <c r="BG8" s="1534"/>
      <c r="BH8" s="1534"/>
      <c r="BI8" s="1534"/>
      <c r="BJ8" s="1534"/>
      <c r="BK8" s="1534"/>
      <c r="BL8" s="1534"/>
    </row>
    <row r="9" spans="1:64" ht="23.25" customHeight="1">
      <c r="A9" s="7555"/>
      <c r="B9" s="5270" t="s">
        <v>412</v>
      </c>
      <c r="C9" s="4734"/>
      <c r="D9" s="4734"/>
      <c r="E9" s="4734">
        <f>1280/60</f>
        <v>21.333333333333332</v>
      </c>
      <c r="F9" s="4734">
        <f t="shared" si="1"/>
        <v>36.75</v>
      </c>
      <c r="G9" s="4734">
        <f t="shared" si="1"/>
        <v>190.25</v>
      </c>
      <c r="H9" s="4734">
        <f t="shared" si="1"/>
        <v>206</v>
      </c>
      <c r="I9" s="4734">
        <v>108.33333333333334</v>
      </c>
      <c r="J9" s="5198">
        <v>83.916666666666671</v>
      </c>
      <c r="K9" s="5268">
        <f t="shared" si="2"/>
        <v>30.916666666666664</v>
      </c>
      <c r="L9" s="5267">
        <f t="shared" si="2"/>
        <v>24.075757575757571</v>
      </c>
      <c r="M9" s="5268">
        <f>L9/10</f>
        <v>2.4075757575757573</v>
      </c>
      <c r="N9" s="4637">
        <f t="shared" ref="N9:Z9" si="9">N34+N70</f>
        <v>5.5</v>
      </c>
      <c r="O9" s="5198">
        <f t="shared" si="9"/>
        <v>11.666666666666666</v>
      </c>
      <c r="P9" s="4626">
        <f t="shared" si="9"/>
        <v>1</v>
      </c>
      <c r="Q9" s="5198">
        <f t="shared" si="9"/>
        <v>4.916666666666667</v>
      </c>
      <c r="R9" s="5198">
        <f t="shared" si="9"/>
        <v>2.9166666666666665</v>
      </c>
      <c r="S9" s="5198">
        <f t="shared" si="9"/>
        <v>7.4166666666666661</v>
      </c>
      <c r="T9" s="5198">
        <f t="shared" si="9"/>
        <v>15.083333333333334</v>
      </c>
      <c r="U9" s="5198">
        <f t="shared" si="9"/>
        <v>10.166666666666668</v>
      </c>
      <c r="V9" s="5198">
        <f t="shared" si="9"/>
        <v>8.8333333333333339</v>
      </c>
      <c r="W9" s="5198">
        <f t="shared" si="9"/>
        <v>7.833333333333333</v>
      </c>
      <c r="X9" s="4936">
        <f t="shared" si="9"/>
        <v>0</v>
      </c>
      <c r="Y9" s="4644">
        <f t="shared" si="9"/>
        <v>0</v>
      </c>
      <c r="Z9" s="6685">
        <f t="shared" si="9"/>
        <v>75.333333333333343</v>
      </c>
      <c r="AA9" s="7524"/>
      <c r="AB9" s="7524"/>
      <c r="AC9" s="7524"/>
      <c r="AD9" s="7524"/>
      <c r="AE9" s="7524"/>
      <c r="AF9" s="7524"/>
      <c r="AG9" s="7524"/>
      <c r="AH9" s="7524"/>
      <c r="AI9" s="7524"/>
      <c r="AJ9" s="7524"/>
      <c r="AK9" s="7524"/>
      <c r="AL9" s="7524"/>
      <c r="AM9" s="7524"/>
      <c r="AN9" s="7519"/>
      <c r="AO9" s="7559"/>
      <c r="AP9" s="7561"/>
      <c r="AR9" s="1534"/>
      <c r="AS9" s="1534"/>
      <c r="AT9" s="1534"/>
      <c r="AU9" s="1534"/>
      <c r="AV9" s="1534"/>
      <c r="AW9" s="1534"/>
      <c r="AX9" s="1534"/>
      <c r="AY9" s="1534"/>
      <c r="AZ9" s="1534"/>
      <c r="BA9" s="1534"/>
      <c r="BB9" s="1534"/>
      <c r="BC9" s="1534"/>
      <c r="BD9" s="1534"/>
      <c r="BE9" s="1534"/>
      <c r="BF9" s="1534"/>
      <c r="BG9" s="1534"/>
      <c r="BH9" s="1534"/>
      <c r="BI9" s="1534"/>
      <c r="BJ9" s="1534"/>
      <c r="BK9" s="1534"/>
      <c r="BL9" s="1534"/>
    </row>
    <row r="10" spans="1:64" ht="23.25" customHeight="1">
      <c r="A10" s="7555" t="s">
        <v>4</v>
      </c>
      <c r="B10" s="5270" t="s">
        <v>65</v>
      </c>
      <c r="C10" s="4932"/>
      <c r="D10" s="4932"/>
      <c r="E10" s="4932">
        <v>1E-3</v>
      </c>
      <c r="F10" s="4932">
        <f t="shared" si="1"/>
        <v>9.4000000000000004E-3</v>
      </c>
      <c r="G10" s="4932">
        <f t="shared" si="1"/>
        <v>1.0842275989246595E-2</v>
      </c>
      <c r="H10" s="4932">
        <f t="shared" si="1"/>
        <v>7.8816763340352949E-3</v>
      </c>
      <c r="I10" s="4932">
        <v>8.0087495312707434E-3</v>
      </c>
      <c r="J10" s="5197">
        <v>7.7214521880525563E-3</v>
      </c>
      <c r="K10" s="5266">
        <f t="shared" si="2"/>
        <v>1.0093167701863354E-2</v>
      </c>
      <c r="L10" s="5265">
        <f t="shared" si="2"/>
        <v>9.1393438016528876E-3</v>
      </c>
      <c r="M10" s="5266">
        <f>L10</f>
        <v>9.1393438016528876E-3</v>
      </c>
      <c r="N10" s="4636">
        <f t="shared" ref="N10:Z10" si="10">N35+N71</f>
        <v>0</v>
      </c>
      <c r="O10" s="4625">
        <f t="shared" si="10"/>
        <v>1.2859751549600061E-4</v>
      </c>
      <c r="P10" s="4625">
        <f t="shared" si="10"/>
        <v>1.4044943820224719E-3</v>
      </c>
      <c r="Q10" s="5197">
        <f t="shared" si="10"/>
        <v>0</v>
      </c>
      <c r="R10" s="5197">
        <f t="shared" si="10"/>
        <v>0</v>
      </c>
      <c r="S10" s="5197">
        <f t="shared" si="10"/>
        <v>2.4572649572649572E-3</v>
      </c>
      <c r="T10" s="5197">
        <f t="shared" si="10"/>
        <v>3.3602150537634411E-4</v>
      </c>
      <c r="U10" s="5197">
        <f t="shared" si="10"/>
        <v>1.266654156502158E-2</v>
      </c>
      <c r="V10" s="5197">
        <f t="shared" si="10"/>
        <v>2.6773110061821548E-4</v>
      </c>
      <c r="W10" s="5197">
        <f t="shared" si="10"/>
        <v>0</v>
      </c>
      <c r="X10" s="4935">
        <f t="shared" si="10"/>
        <v>0</v>
      </c>
      <c r="Y10" s="4643" t="e">
        <f t="shared" si="10"/>
        <v>#DIV/0!</v>
      </c>
      <c r="Z10" s="6684">
        <f t="shared" si="10"/>
        <v>1.788085857798948E-3</v>
      </c>
      <c r="AA10" s="7556">
        <f t="shared" ref="AA10:AM10" si="11">AA35+AA71</f>
        <v>14270.790435921306</v>
      </c>
      <c r="AB10" s="7556">
        <f t="shared" si="11"/>
        <v>13791.487542614772</v>
      </c>
      <c r="AC10" s="7556">
        <f t="shared" si="11"/>
        <v>14076.667003647199</v>
      </c>
      <c r="AD10" s="7556">
        <f t="shared" si="11"/>
        <v>13542.11008401949</v>
      </c>
      <c r="AE10" s="7556">
        <f t="shared" si="11"/>
        <v>13051.393545341303</v>
      </c>
      <c r="AF10" s="7556">
        <f t="shared" si="11"/>
        <v>13322.798219976718</v>
      </c>
      <c r="AG10" s="7556">
        <f t="shared" si="11"/>
        <v>10385.014679101349</v>
      </c>
      <c r="AH10" s="7556">
        <f t="shared" si="11"/>
        <v>15907.907661010762</v>
      </c>
      <c r="AI10" s="7556">
        <f t="shared" si="11"/>
        <v>-3934.1244957185454</v>
      </c>
      <c r="AJ10" s="7556">
        <f t="shared" si="11"/>
        <v>14744.887040581667</v>
      </c>
      <c r="AK10" s="7556">
        <f t="shared" si="11"/>
        <v>16428.095455173479</v>
      </c>
      <c r="AL10" s="7556">
        <f t="shared" si="11"/>
        <v>0</v>
      </c>
      <c r="AM10" s="7556">
        <f t="shared" si="11"/>
        <v>0</v>
      </c>
      <c r="AN10" s="7557">
        <f>AB10+AC10+AD10+AE10+AF10+AG10+AH10+AI10+AJ10+AK10+AL10</f>
        <v>121316.2367357482</v>
      </c>
      <c r="AO10" s="7564">
        <f>AN10/AA10</f>
        <v>8.5010173248974734</v>
      </c>
      <c r="AP10" s="7563"/>
      <c r="AR10" s="1534"/>
      <c r="AS10" s="1534"/>
      <c r="AT10" s="1534"/>
      <c r="AU10" s="1534"/>
      <c r="AV10" s="1534"/>
      <c r="AW10" s="1534"/>
      <c r="AX10" s="1534"/>
      <c r="AY10" s="1534"/>
      <c r="AZ10" s="1534"/>
      <c r="BA10" s="1534"/>
      <c r="BB10" s="1534"/>
      <c r="BC10" s="1534"/>
      <c r="BD10" s="1534"/>
      <c r="BE10" s="1534"/>
      <c r="BF10" s="1534"/>
      <c r="BG10" s="1534"/>
      <c r="BH10" s="1534"/>
      <c r="BI10" s="1534"/>
      <c r="BJ10" s="1534"/>
      <c r="BK10" s="1534"/>
      <c r="BL10" s="1534"/>
    </row>
    <row r="11" spans="1:64" ht="23.25" customHeight="1">
      <c r="A11" s="7555"/>
      <c r="B11" s="5270" t="s">
        <v>412</v>
      </c>
      <c r="C11" s="4734"/>
      <c r="D11" s="4734"/>
      <c r="E11" s="4734">
        <f>457/60</f>
        <v>7.6166666666666663</v>
      </c>
      <c r="F11" s="4734">
        <f t="shared" si="1"/>
        <v>68.55</v>
      </c>
      <c r="G11" s="4734">
        <f t="shared" si="1"/>
        <v>81.333333333333329</v>
      </c>
      <c r="H11" s="4734">
        <f t="shared" si="1"/>
        <v>64</v>
      </c>
      <c r="I11" s="4734">
        <v>67.2</v>
      </c>
      <c r="J11" s="5198">
        <v>59.699999999999989</v>
      </c>
      <c r="K11" s="5268">
        <f t="shared" si="2"/>
        <v>76.7</v>
      </c>
      <c r="L11" s="5267">
        <f t="shared" si="2"/>
        <v>62.754545454545422</v>
      </c>
      <c r="M11" s="5268">
        <f>L11/10</f>
        <v>6.2754545454545418</v>
      </c>
      <c r="N11" s="4637">
        <f t="shared" ref="N11:Z11" si="12">N36+N72</f>
        <v>0</v>
      </c>
      <c r="O11" s="4626">
        <f t="shared" si="12"/>
        <v>8.3333333333333329E-2</v>
      </c>
      <c r="P11" s="4626">
        <f t="shared" si="12"/>
        <v>1</v>
      </c>
      <c r="Q11" s="5198">
        <f t="shared" si="12"/>
        <v>0</v>
      </c>
      <c r="R11" s="5198">
        <f t="shared" si="12"/>
        <v>0</v>
      </c>
      <c r="S11" s="5198">
        <f t="shared" si="12"/>
        <v>1.5333333333333334</v>
      </c>
      <c r="T11" s="5198">
        <f t="shared" si="12"/>
        <v>0.25</v>
      </c>
      <c r="U11" s="5198">
        <f t="shared" si="12"/>
        <v>9</v>
      </c>
      <c r="V11" s="5198">
        <f t="shared" si="12"/>
        <v>0.18333333333333332</v>
      </c>
      <c r="W11" s="5198">
        <f t="shared" si="12"/>
        <v>0</v>
      </c>
      <c r="X11" s="4936">
        <f t="shared" si="12"/>
        <v>0</v>
      </c>
      <c r="Y11" s="4644">
        <f t="shared" si="12"/>
        <v>0</v>
      </c>
      <c r="Z11" s="6685">
        <f t="shared" si="12"/>
        <v>12.05</v>
      </c>
      <c r="AA11" s="7524"/>
      <c r="AB11" s="7524"/>
      <c r="AC11" s="7524"/>
      <c r="AD11" s="7524"/>
      <c r="AE11" s="7524"/>
      <c r="AF11" s="7524"/>
      <c r="AG11" s="7524"/>
      <c r="AH11" s="7524"/>
      <c r="AI11" s="7524"/>
      <c r="AJ11" s="7524"/>
      <c r="AK11" s="7524"/>
      <c r="AL11" s="7524"/>
      <c r="AM11" s="7524"/>
      <c r="AN11" s="7519"/>
      <c r="AO11" s="7468"/>
      <c r="AP11" s="7561"/>
      <c r="AR11" s="1534"/>
      <c r="AS11" s="1534"/>
      <c r="AT11" s="1534"/>
      <c r="AU11" s="1534"/>
      <c r="AV11" s="1534"/>
      <c r="AW11" s="1534"/>
      <c r="AX11" s="1534"/>
      <c r="AY11" s="1534"/>
      <c r="AZ11" s="1534"/>
      <c r="BA11" s="1534"/>
      <c r="BB11" s="1534"/>
      <c r="BC11" s="1534"/>
      <c r="BD11" s="1534"/>
      <c r="BE11" s="1534"/>
      <c r="BF11" s="1534"/>
      <c r="BG11" s="1534"/>
      <c r="BH11" s="1534"/>
      <c r="BI11" s="1534"/>
      <c r="BJ11" s="1534"/>
      <c r="BK11" s="1534"/>
      <c r="BL11" s="1534"/>
    </row>
    <row r="12" spans="1:64" ht="23.25" customHeight="1">
      <c r="A12" s="7555" t="s">
        <v>193</v>
      </c>
      <c r="B12" s="5270" t="s">
        <v>65</v>
      </c>
      <c r="C12" s="4932"/>
      <c r="D12" s="4932"/>
      <c r="E12" s="4932">
        <v>1.2999999999999999E-3</v>
      </c>
      <c r="F12" s="4932">
        <f t="shared" si="1"/>
        <v>5.5999999999999999E-3</v>
      </c>
      <c r="G12" s="4932">
        <f t="shared" si="1"/>
        <v>5.9082274042813613E-3</v>
      </c>
      <c r="H12" s="4932">
        <f t="shared" si="1"/>
        <v>8.7417411517464721E-3</v>
      </c>
      <c r="I12" s="4932">
        <v>9.9811195604215201E-3</v>
      </c>
      <c r="J12" s="5197">
        <v>1.2348670407432022E-3</v>
      </c>
      <c r="K12" s="5266">
        <f t="shared" si="2"/>
        <v>3.1177849296858602E-3</v>
      </c>
      <c r="L12" s="5265">
        <f t="shared" si="2"/>
        <v>2.7030560928433273E-3</v>
      </c>
      <c r="M12" s="5266">
        <f>L12</f>
        <v>2.7030560928433273E-3</v>
      </c>
      <c r="N12" s="4636">
        <f t="shared" ref="N12:Z12" si="13">N37+N73</f>
        <v>0</v>
      </c>
      <c r="O12" s="4625">
        <f t="shared" si="13"/>
        <v>1.6923814627817109E-3</v>
      </c>
      <c r="P12" s="4625">
        <f t="shared" si="13"/>
        <v>0</v>
      </c>
      <c r="Q12" s="5197">
        <f t="shared" si="13"/>
        <v>3.7927003506948954E-3</v>
      </c>
      <c r="R12" s="5197">
        <f t="shared" si="13"/>
        <v>7.6884920634920631E-3</v>
      </c>
      <c r="S12" s="5197">
        <f t="shared" si="13"/>
        <v>0</v>
      </c>
      <c r="T12" s="5197">
        <f t="shared" si="13"/>
        <v>0</v>
      </c>
      <c r="U12" s="5197">
        <f t="shared" si="13"/>
        <v>0</v>
      </c>
      <c r="V12" s="5197">
        <f t="shared" si="13"/>
        <v>0</v>
      </c>
      <c r="W12" s="5197">
        <f t="shared" si="13"/>
        <v>0</v>
      </c>
      <c r="X12" s="4935">
        <f t="shared" si="13"/>
        <v>4.4497810425201297E-3</v>
      </c>
      <c r="Y12" s="4643">
        <f t="shared" si="13"/>
        <v>1.672555948174323E-2</v>
      </c>
      <c r="Z12" s="6684">
        <f t="shared" si="13"/>
        <v>2.9275458269541112E-3</v>
      </c>
      <c r="AA12" s="7556">
        <f t="shared" ref="AA12:AM12" si="14">AA37+AA73</f>
        <v>2976.1164306116198</v>
      </c>
      <c r="AB12" s="7556">
        <f t="shared" si="14"/>
        <v>1939.2557627191391</v>
      </c>
      <c r="AC12" s="7556">
        <f t="shared" si="14"/>
        <v>763.23264611900322</v>
      </c>
      <c r="AD12" s="7556">
        <f t="shared" si="14"/>
        <v>1793.7992953405937</v>
      </c>
      <c r="AE12" s="7556">
        <f t="shared" si="14"/>
        <v>-398.92261590659371</v>
      </c>
      <c r="AF12" s="7556">
        <f t="shared" si="14"/>
        <v>-2865.383056962557</v>
      </c>
      <c r="AG12" s="7556">
        <f t="shared" si="14"/>
        <v>2001.4460466321132</v>
      </c>
      <c r="AH12" s="7556">
        <f t="shared" si="14"/>
        <v>2123.0965756559112</v>
      </c>
      <c r="AI12" s="7556">
        <f t="shared" si="14"/>
        <v>1770.757767850449</v>
      </c>
      <c r="AJ12" s="7556">
        <f t="shared" si="14"/>
        <v>1858.93802115989</v>
      </c>
      <c r="AK12" s="7556">
        <f t="shared" si="14"/>
        <v>2023.8323648097421</v>
      </c>
      <c r="AL12" s="7556">
        <f t="shared" si="14"/>
        <v>-859.50017036820623</v>
      </c>
      <c r="AM12" s="7556">
        <f t="shared" si="14"/>
        <v>-8432.312513216837</v>
      </c>
      <c r="AN12" s="7557">
        <f>AB12+AC12+AD12+AE12+AF12+AG12+AH12+AI12+AJ12+AK12+AL12</f>
        <v>10150.552637049484</v>
      </c>
      <c r="AO12" s="7564">
        <f>AN12/AA12</f>
        <v>3.4106705411936624</v>
      </c>
      <c r="AP12" s="7563"/>
      <c r="AR12" s="1534"/>
      <c r="AS12" s="1534"/>
      <c r="AT12" s="1534"/>
      <c r="AU12" s="1534"/>
      <c r="AV12" s="1534"/>
      <c r="AW12" s="1534"/>
      <c r="AX12" s="1534"/>
      <c r="AY12" s="1534"/>
      <c r="AZ12" s="1534"/>
      <c r="BA12" s="1534"/>
      <c r="BB12" s="1534"/>
      <c r="BC12" s="1534"/>
      <c r="BD12" s="1534"/>
      <c r="BE12" s="1534"/>
      <c r="BF12" s="1534"/>
      <c r="BG12" s="1534"/>
      <c r="BH12" s="1534"/>
      <c r="BI12" s="1534"/>
      <c r="BJ12" s="1534"/>
      <c r="BK12" s="1534"/>
      <c r="BL12" s="1534"/>
    </row>
    <row r="13" spans="1:64" ht="23.25" customHeight="1">
      <c r="A13" s="7555"/>
      <c r="B13" s="5270" t="s">
        <v>412</v>
      </c>
      <c r="C13" s="4734"/>
      <c r="D13" s="4734"/>
      <c r="E13" s="4734">
        <f>525/60</f>
        <v>8.75</v>
      </c>
      <c r="F13" s="4734">
        <f t="shared" si="1"/>
        <v>38.683333333333337</v>
      </c>
      <c r="G13" s="4734">
        <f t="shared" si="1"/>
        <v>38.616666666666667</v>
      </c>
      <c r="H13" s="4734">
        <f t="shared" si="1"/>
        <v>66</v>
      </c>
      <c r="I13" s="4734">
        <v>69.033333333333346</v>
      </c>
      <c r="J13" s="5198">
        <v>8.8666666666666671</v>
      </c>
      <c r="K13" s="5268">
        <f t="shared" si="2"/>
        <v>23.766666666666666</v>
      </c>
      <c r="L13" s="5267">
        <f t="shared" si="2"/>
        <v>20.741818181818182</v>
      </c>
      <c r="M13" s="5268">
        <f>L13/12</f>
        <v>1.7284848484848485</v>
      </c>
      <c r="N13" s="4637">
        <f t="shared" ref="N13:Z13" si="15">N38+N74</f>
        <v>0</v>
      </c>
      <c r="O13" s="4626">
        <f t="shared" si="15"/>
        <v>1</v>
      </c>
      <c r="P13" s="4626">
        <f t="shared" si="15"/>
        <v>0</v>
      </c>
      <c r="Q13" s="5198">
        <f t="shared" si="15"/>
        <v>2.4333333333333331</v>
      </c>
      <c r="R13" s="5198">
        <f t="shared" si="15"/>
        <v>5.166666666666667</v>
      </c>
      <c r="S13" s="5198">
        <f t="shared" si="15"/>
        <v>0</v>
      </c>
      <c r="T13" s="5198">
        <f t="shared" si="15"/>
        <v>0</v>
      </c>
      <c r="U13" s="5198">
        <f t="shared" si="15"/>
        <v>0</v>
      </c>
      <c r="V13" s="5198">
        <f t="shared" si="15"/>
        <v>0</v>
      </c>
      <c r="W13" s="5198">
        <f t="shared" si="15"/>
        <v>0</v>
      </c>
      <c r="X13" s="4936">
        <f t="shared" si="15"/>
        <v>3.15</v>
      </c>
      <c r="Y13" s="4644">
        <f t="shared" si="15"/>
        <v>11.833333333333334</v>
      </c>
      <c r="Z13" s="6685">
        <f t="shared" si="15"/>
        <v>23.583333333333336</v>
      </c>
      <c r="AA13" s="7524"/>
      <c r="AB13" s="7524"/>
      <c r="AC13" s="7524"/>
      <c r="AD13" s="7524"/>
      <c r="AE13" s="7524"/>
      <c r="AF13" s="7524"/>
      <c r="AG13" s="7524"/>
      <c r="AH13" s="7524"/>
      <c r="AI13" s="7524"/>
      <c r="AJ13" s="7524"/>
      <c r="AK13" s="7524"/>
      <c r="AL13" s="7524"/>
      <c r="AM13" s="7524"/>
      <c r="AN13" s="7519"/>
      <c r="AO13" s="7468"/>
      <c r="AP13" s="7561"/>
      <c r="AR13" s="1534"/>
      <c r="AS13" s="1534"/>
      <c r="AT13" s="1534"/>
      <c r="AU13" s="1534"/>
      <c r="AV13" s="1534"/>
      <c r="AW13" s="1534"/>
      <c r="AX13" s="1534"/>
      <c r="AY13" s="1534"/>
      <c r="AZ13" s="1534"/>
      <c r="BA13" s="1534"/>
      <c r="BB13" s="1534"/>
      <c r="BC13" s="1534"/>
      <c r="BD13" s="1534"/>
      <c r="BE13" s="1534"/>
      <c r="BF13" s="1534"/>
      <c r="BG13" s="1534"/>
      <c r="BH13" s="1534"/>
      <c r="BI13" s="1534"/>
      <c r="BJ13" s="1534"/>
      <c r="BK13" s="1534"/>
      <c r="BL13" s="1534"/>
    </row>
    <row r="14" spans="1:64" ht="23.25" customHeight="1">
      <c r="A14" s="7555" t="s">
        <v>17</v>
      </c>
      <c r="B14" s="5270" t="s">
        <v>65</v>
      </c>
      <c r="C14" s="4932"/>
      <c r="D14" s="4932"/>
      <c r="E14" s="4932">
        <v>1.4E-3</v>
      </c>
      <c r="F14" s="4932">
        <f t="shared" si="1"/>
        <v>1E-3</v>
      </c>
      <c r="G14" s="4932">
        <f t="shared" si="1"/>
        <v>6.5262736976547785E-3</v>
      </c>
      <c r="H14" s="4932">
        <f t="shared" si="1"/>
        <v>6.5437597238266303E-3</v>
      </c>
      <c r="I14" s="4932">
        <v>3.7032150107262803E-3</v>
      </c>
      <c r="J14" s="5197">
        <v>6.9415897550918889E-4</v>
      </c>
      <c r="K14" s="5266">
        <f t="shared" si="2"/>
        <v>1.4152154308947015E-3</v>
      </c>
      <c r="L14" s="5265">
        <f t="shared" si="2"/>
        <v>1.18175864581199E-3</v>
      </c>
      <c r="M14" s="5266">
        <f>L14</f>
        <v>1.18175864581199E-3</v>
      </c>
      <c r="N14" s="5264">
        <f t="shared" ref="N14:Z14" si="16">N39+N75</f>
        <v>2.4666387114279369E-4</v>
      </c>
      <c r="O14" s="4625">
        <f t="shared" si="16"/>
        <v>1.6975268339818757E-3</v>
      </c>
      <c r="P14" s="4625">
        <f t="shared" si="16"/>
        <v>1.4595131064276958E-4</v>
      </c>
      <c r="Q14" s="5197">
        <f t="shared" si="16"/>
        <v>0</v>
      </c>
      <c r="R14" s="5197">
        <f t="shared" si="16"/>
        <v>3.7757274662881474E-3</v>
      </c>
      <c r="S14" s="5197">
        <f t="shared" si="16"/>
        <v>0</v>
      </c>
      <c r="T14" s="5197">
        <f t="shared" si="16"/>
        <v>0</v>
      </c>
      <c r="U14" s="5197">
        <f t="shared" si="16"/>
        <v>1.412070377587619E-3</v>
      </c>
      <c r="V14" s="5197">
        <f t="shared" si="16"/>
        <v>1.4403456829639113E-2</v>
      </c>
      <c r="W14" s="5197">
        <f t="shared" si="16"/>
        <v>0</v>
      </c>
      <c r="X14" s="4935">
        <f t="shared" si="16"/>
        <v>0</v>
      </c>
      <c r="Y14" s="4643">
        <f t="shared" si="16"/>
        <v>0</v>
      </c>
      <c r="Z14" s="6684">
        <f t="shared" si="16"/>
        <v>1.7286363792925292E-3</v>
      </c>
      <c r="AA14" s="7556">
        <f t="shared" ref="AA14:AM14" si="17">AA39+AA75</f>
        <v>2078.261958616582</v>
      </c>
      <c r="AB14" s="7556">
        <f t="shared" si="17"/>
        <v>803.3157766370291</v>
      </c>
      <c r="AC14" s="7556">
        <f t="shared" si="17"/>
        <v>-185.20511851245726</v>
      </c>
      <c r="AD14" s="7556">
        <f t="shared" si="17"/>
        <v>699.62846674928505</v>
      </c>
      <c r="AE14" s="7556">
        <f t="shared" si="17"/>
        <v>862.72222775165255</v>
      </c>
      <c r="AF14" s="7556">
        <f t="shared" si="17"/>
        <v>-1362.1075700576414</v>
      </c>
      <c r="AG14" s="7556">
        <f t="shared" si="17"/>
        <v>994.12902751681872</v>
      </c>
      <c r="AH14" s="7556">
        <f t="shared" si="17"/>
        <v>949.60936301986976</v>
      </c>
      <c r="AI14" s="7556">
        <f t="shared" si="17"/>
        <v>1.8239742453630896</v>
      </c>
      <c r="AJ14" s="7556">
        <f t="shared" si="17"/>
        <v>-7794.9512628806297</v>
      </c>
      <c r="AK14" s="7556">
        <f t="shared" si="17"/>
        <v>938.72541189285312</v>
      </c>
      <c r="AL14" s="7556">
        <f t="shared" si="17"/>
        <v>978.17204832212497</v>
      </c>
      <c r="AM14" s="7556">
        <f t="shared" si="17"/>
        <v>980.20125954919604</v>
      </c>
      <c r="AN14" s="7557">
        <f>AB14+AC14+AD14+AE14+AF14+AG14+AH14+AI14+AJ14+AK14+AL14</f>
        <v>-3114.1376553157324</v>
      </c>
      <c r="AO14" s="7564">
        <f>AN14/AA14</f>
        <v>-1.4984336514481997</v>
      </c>
      <c r="AP14" s="7563"/>
      <c r="AR14" s="1534"/>
      <c r="AS14" s="1534"/>
      <c r="AT14" s="1534"/>
      <c r="AU14" s="1534"/>
      <c r="AV14" s="1534"/>
      <c r="AW14" s="1534"/>
      <c r="AX14" s="1534"/>
      <c r="AY14" s="1534"/>
      <c r="AZ14" s="1534"/>
      <c r="BA14" s="1534"/>
      <c r="BB14" s="1534"/>
      <c r="BC14" s="1534"/>
      <c r="BD14" s="1534"/>
      <c r="BE14" s="1534"/>
      <c r="BF14" s="1534"/>
      <c r="BG14" s="1534"/>
      <c r="BH14" s="1534"/>
      <c r="BI14" s="1534"/>
      <c r="BJ14" s="1534"/>
      <c r="BK14" s="1534"/>
      <c r="BL14" s="1534"/>
    </row>
    <row r="15" spans="1:64" ht="23.25" customHeight="1">
      <c r="A15" s="7555"/>
      <c r="B15" s="5270" t="s">
        <v>412</v>
      </c>
      <c r="C15" s="5271"/>
      <c r="D15" s="5271"/>
      <c r="E15" s="5271">
        <f>575/60</f>
        <v>9.5833333333333339</v>
      </c>
      <c r="F15" s="4734">
        <f t="shared" si="1"/>
        <v>5.95</v>
      </c>
      <c r="G15" s="4734">
        <f t="shared" si="1"/>
        <v>26.6</v>
      </c>
      <c r="H15" s="4734">
        <f t="shared" si="1"/>
        <v>16.333333333333336</v>
      </c>
      <c r="I15" s="4734">
        <v>27</v>
      </c>
      <c r="J15" s="5198">
        <v>5.1166666666666671</v>
      </c>
      <c r="K15" s="5268">
        <f t="shared" si="2"/>
        <v>10.75</v>
      </c>
      <c r="L15" s="5267">
        <f t="shared" si="2"/>
        <v>8.8896969696969759</v>
      </c>
      <c r="M15" s="5268">
        <f>L15/12</f>
        <v>0.74080808080808136</v>
      </c>
      <c r="N15" s="4637">
        <f t="shared" ref="N15:Z15" si="18">N40+N76</f>
        <v>0.16666666666666666</v>
      </c>
      <c r="O15" s="4626">
        <f t="shared" si="18"/>
        <v>1.0833333333333333</v>
      </c>
      <c r="P15" s="4626">
        <f t="shared" si="18"/>
        <v>8.3333333333333329E-2</v>
      </c>
      <c r="Q15" s="5198">
        <f t="shared" si="18"/>
        <v>0</v>
      </c>
      <c r="R15" s="5198">
        <f t="shared" si="18"/>
        <v>2.2166666666666668</v>
      </c>
      <c r="S15" s="5198">
        <f t="shared" si="18"/>
        <v>0</v>
      </c>
      <c r="T15" s="5198">
        <f t="shared" si="18"/>
        <v>0</v>
      </c>
      <c r="U15" s="5198">
        <f t="shared" si="18"/>
        <v>0.83333333333333337</v>
      </c>
      <c r="V15" s="5198">
        <f t="shared" si="18"/>
        <v>9</v>
      </c>
      <c r="W15" s="5198">
        <f t="shared" si="18"/>
        <v>0</v>
      </c>
      <c r="X15" s="4936">
        <f t="shared" si="18"/>
        <v>0</v>
      </c>
      <c r="Y15" s="4644">
        <f t="shared" si="18"/>
        <v>0</v>
      </c>
      <c r="Z15" s="6685">
        <f t="shared" si="18"/>
        <v>13.383333333333333</v>
      </c>
      <c r="AA15" s="7524"/>
      <c r="AB15" s="7524"/>
      <c r="AC15" s="7524"/>
      <c r="AD15" s="7524"/>
      <c r="AE15" s="7524"/>
      <c r="AF15" s="7524"/>
      <c r="AG15" s="7524"/>
      <c r="AH15" s="7524"/>
      <c r="AI15" s="7524"/>
      <c r="AJ15" s="7524"/>
      <c r="AK15" s="7524"/>
      <c r="AL15" s="7524"/>
      <c r="AM15" s="7524"/>
      <c r="AN15" s="7519"/>
      <c r="AO15" s="7468"/>
      <c r="AP15" s="7561"/>
      <c r="AR15" s="1534"/>
      <c r="AS15" s="1534"/>
      <c r="AT15" s="1534"/>
      <c r="AU15" s="1534"/>
      <c r="AV15" s="1534"/>
      <c r="AW15" s="1534"/>
      <c r="AX15" s="1534"/>
      <c r="AY15" s="1534"/>
      <c r="AZ15" s="1534"/>
      <c r="BA15" s="1534"/>
      <c r="BB15" s="1534"/>
      <c r="BC15" s="1534"/>
      <c r="BD15" s="1534"/>
      <c r="BE15" s="1534"/>
      <c r="BF15" s="1534"/>
      <c r="BG15" s="1534"/>
      <c r="BH15" s="1534"/>
      <c r="BI15" s="1534"/>
      <c r="BJ15" s="1534"/>
      <c r="BK15" s="1534"/>
      <c r="BL15" s="1534"/>
    </row>
    <row r="16" spans="1:64" ht="21" customHeight="1" thickBot="1">
      <c r="A16" s="7517" t="s">
        <v>31</v>
      </c>
      <c r="B16" s="7515"/>
      <c r="C16" s="5260"/>
      <c r="D16" s="5260"/>
      <c r="E16" s="5260"/>
      <c r="F16" s="5272">
        <f t="shared" ref="F16:Z16" si="19">F7+F9+F11+F13+F15</f>
        <v>175.03333333333333</v>
      </c>
      <c r="G16" s="5272">
        <f t="shared" si="19"/>
        <v>495.81666666666666</v>
      </c>
      <c r="H16" s="5272">
        <f t="shared" si="19"/>
        <v>464.33333333333331</v>
      </c>
      <c r="I16" s="5272">
        <f>I7+I9+I11+I13+I15</f>
        <v>304.55</v>
      </c>
      <c r="J16" s="5273">
        <f>J7+J9+J11+J13+J15</f>
        <v>177.68333333333334</v>
      </c>
      <c r="K16" s="5273">
        <f>K7+K9+K11+K13+K15</f>
        <v>151.21666666666667</v>
      </c>
      <c r="L16" s="2999">
        <f>L7+L9+L11+L13+L15</f>
        <v>122.42393939393936</v>
      </c>
      <c r="M16" s="5269">
        <f>M7+M9+M11+M13+M15</f>
        <v>11.748535353535349</v>
      </c>
      <c r="N16" s="5274">
        <f t="shared" si="19"/>
        <v>7.3333333333333339</v>
      </c>
      <c r="O16" s="5273">
        <f t="shared" si="19"/>
        <v>15.416666666666668</v>
      </c>
      <c r="P16" s="5273">
        <f t="shared" si="19"/>
        <v>2.0833333333333335</v>
      </c>
      <c r="Q16" s="5564">
        <f t="shared" si="19"/>
        <v>9.1833333333333336</v>
      </c>
      <c r="R16" s="5564">
        <f t="shared" si="19"/>
        <v>10.3</v>
      </c>
      <c r="S16" s="5273">
        <f t="shared" si="19"/>
        <v>9.75</v>
      </c>
      <c r="T16" s="5564">
        <f>T7+T9+T11+T13+T15</f>
        <v>15.333333333333334</v>
      </c>
      <c r="U16" s="5564">
        <f t="shared" si="19"/>
        <v>27.583333333333332</v>
      </c>
      <c r="V16" s="5564">
        <f t="shared" si="19"/>
        <v>23.35</v>
      </c>
      <c r="W16" s="5564">
        <f t="shared" si="19"/>
        <v>10</v>
      </c>
      <c r="X16" s="5898">
        <f>X7+X9+X11+X13+X15</f>
        <v>3.15</v>
      </c>
      <c r="Y16" s="5412">
        <f t="shared" si="19"/>
        <v>11.833333333333334</v>
      </c>
      <c r="Z16" s="6686">
        <f t="shared" si="19"/>
        <v>145.31666666666666</v>
      </c>
      <c r="AA16" s="5275">
        <f>AA14+AA12+AA10+AA8+AA6</f>
        <v>25473.960056459495</v>
      </c>
      <c r="AB16" s="5276">
        <f>SUM(AB6:AB15)</f>
        <v>12435.040570717376</v>
      </c>
      <c r="AC16" s="5276">
        <f t="shared" ref="AC16:AM16" si="20">SUM(AC6:AC15)</f>
        <v>4563.850862605379</v>
      </c>
      <c r="AD16" s="5276">
        <f t="shared" si="20"/>
        <v>18189.975246084879</v>
      </c>
      <c r="AE16" s="5276">
        <f t="shared" si="20"/>
        <v>9743.4617024956606</v>
      </c>
      <c r="AF16" s="5276">
        <f t="shared" si="20"/>
        <v>9652.2086825353654</v>
      </c>
      <c r="AG16" s="5276">
        <f t="shared" si="20"/>
        <v>8424.8579685140976</v>
      </c>
      <c r="AH16" s="5276">
        <f t="shared" si="20"/>
        <v>7144.5420550061135</v>
      </c>
      <c r="AI16" s="5276">
        <f t="shared" si="20"/>
        <v>-17283.325373618056</v>
      </c>
      <c r="AJ16" s="5276">
        <f t="shared" si="20"/>
        <v>-2793.5649650648838</v>
      </c>
      <c r="AK16" s="5276">
        <f t="shared" si="20"/>
        <v>13107.066261287757</v>
      </c>
      <c r="AL16" s="5276">
        <f t="shared" si="20"/>
        <v>118.67187795391874</v>
      </c>
      <c r="AM16" s="5276">
        <f t="shared" si="20"/>
        <v>-7452.111253667641</v>
      </c>
      <c r="AN16" s="5276">
        <f>SUM(AN6:AN15)</f>
        <v>63302.784888517621</v>
      </c>
      <c r="AO16" s="3211">
        <f>AN16/AA16</f>
        <v>2.4849997702836855</v>
      </c>
      <c r="AP16" s="5259"/>
      <c r="AR16" s="1534"/>
      <c r="AS16" s="1534"/>
      <c r="AT16" s="1534"/>
      <c r="AU16" s="1534"/>
      <c r="AV16" s="1534"/>
      <c r="AW16" s="1534"/>
      <c r="AX16" s="1534"/>
      <c r="AY16" s="1534"/>
      <c r="AZ16" s="1534"/>
      <c r="BA16" s="1534"/>
      <c r="BB16" s="1534"/>
      <c r="BC16" s="1534"/>
      <c r="BD16" s="1534"/>
      <c r="BE16" s="1534"/>
      <c r="BF16" s="1534"/>
      <c r="BG16" s="1534"/>
      <c r="BH16" s="1534"/>
      <c r="BI16" s="1534"/>
      <c r="BJ16" s="1534"/>
      <c r="BK16" s="1534"/>
      <c r="BL16" s="1534"/>
    </row>
    <row r="17" spans="1:64" ht="15" customHeight="1">
      <c r="A17" s="424"/>
      <c r="B17" s="424"/>
      <c r="C17" s="425"/>
      <c r="D17" s="425"/>
      <c r="E17" s="425"/>
      <c r="F17" s="448"/>
      <c r="G17" s="534"/>
      <c r="H17" s="448"/>
      <c r="I17" s="448"/>
      <c r="J17" s="448"/>
      <c r="K17" s="448"/>
      <c r="L17" s="448"/>
      <c r="M17" s="448"/>
      <c r="N17" s="448">
        <f>AVERAGE(N12,N10,N8,N6)</f>
        <v>3.5349924692361775E-3</v>
      </c>
      <c r="O17" s="448">
        <f>AVERAGE(O14,O12,O10,O8,O6)</f>
        <v>5.1544473569688342E-3</v>
      </c>
      <c r="P17" s="448">
        <f>AVERAGE(P14,P12,P10,P8,P6)</f>
        <v>7.236683217141614E-4</v>
      </c>
      <c r="Q17" s="448">
        <f t="shared" ref="Q17:V17" si="21">AVERAGE(Q14,Q12,Q10,Q8,Q6)</f>
        <v>3.464402939517032E-3</v>
      </c>
      <c r="R17" s="448">
        <f t="shared" si="21"/>
        <v>3.3391817235943083E-3</v>
      </c>
      <c r="S17" s="448">
        <f t="shared" si="21"/>
        <v>3.4723030301114857E-3</v>
      </c>
      <c r="T17" s="448">
        <f t="shared" si="21"/>
        <v>4.8809060643262457E-3</v>
      </c>
      <c r="U17" s="448">
        <f t="shared" si="21"/>
        <v>9.5053162297668269E-3</v>
      </c>
      <c r="V17" s="448">
        <f t="shared" si="21"/>
        <v>8.467966817575159E-3</v>
      </c>
      <c r="W17" s="448">
        <f>AVERAGE(W14,W12,W10,W8,W6)</f>
        <v>3.1417457990489768E-3</v>
      </c>
      <c r="X17" s="425"/>
      <c r="Y17" s="425"/>
      <c r="Z17" s="425"/>
      <c r="AA17" s="426"/>
      <c r="AR17" s="1534"/>
      <c r="AS17" s="1534"/>
      <c r="AT17" s="1534"/>
      <c r="AU17" s="1534"/>
      <c r="AV17" s="1534"/>
      <c r="AW17" s="1534"/>
      <c r="AX17" s="1534"/>
      <c r="AY17" s="1534"/>
      <c r="AZ17" s="1534"/>
      <c r="BA17" s="1534"/>
      <c r="BB17" s="1534"/>
      <c r="BC17" s="1534"/>
      <c r="BD17" s="1534"/>
      <c r="BE17" s="1534"/>
      <c r="BF17" s="1534"/>
      <c r="BG17" s="1534"/>
      <c r="BH17" s="1534"/>
      <c r="BI17" s="1534"/>
      <c r="BJ17" s="1534"/>
      <c r="BK17" s="1534"/>
      <c r="BL17" s="1534"/>
    </row>
    <row r="18" spans="1:64" ht="15" customHeight="1" thickBot="1">
      <c r="A18" s="304" t="s">
        <v>629</v>
      </c>
      <c r="AR18" s="1534"/>
      <c r="AS18" s="1534"/>
      <c r="AT18" s="1534"/>
      <c r="AU18" s="1534"/>
      <c r="AV18" s="1534"/>
      <c r="AW18" s="1534"/>
      <c r="AX18" s="1534"/>
      <c r="AY18" s="1534"/>
      <c r="AZ18" s="1534"/>
      <c r="BA18" s="1534"/>
      <c r="BB18" s="1534"/>
      <c r="BC18" s="1534"/>
      <c r="BD18" s="1534"/>
      <c r="BE18" s="1534"/>
      <c r="BF18" s="1534"/>
      <c r="BG18" s="1534"/>
      <c r="BH18" s="1534"/>
      <c r="BI18" s="1534"/>
      <c r="BJ18" s="1534"/>
      <c r="BK18" s="1534"/>
      <c r="BL18" s="1534"/>
    </row>
    <row r="19" spans="1:64" ht="21" customHeight="1" thickBot="1">
      <c r="A19" s="7132" t="s">
        <v>0</v>
      </c>
      <c r="B19" s="7220"/>
      <c r="C19" s="7229" t="s">
        <v>408</v>
      </c>
      <c r="D19" s="7229" t="s">
        <v>409</v>
      </c>
      <c r="E19" s="7229" t="s">
        <v>410</v>
      </c>
      <c r="F19" s="7229" t="s">
        <v>411</v>
      </c>
      <c r="G19" s="7229" t="s">
        <v>407</v>
      </c>
      <c r="H19" s="7229" t="s">
        <v>1165</v>
      </c>
      <c r="I19" s="7229" t="s">
        <v>1166</v>
      </c>
      <c r="J19" s="7567" t="s">
        <v>1167</v>
      </c>
      <c r="K19" s="7567" t="s">
        <v>1181</v>
      </c>
      <c r="L19" s="7516" t="s">
        <v>1280</v>
      </c>
      <c r="M19" s="7337" t="s">
        <v>916</v>
      </c>
      <c r="N19" s="7552" t="s">
        <v>1342</v>
      </c>
      <c r="O19" s="7355"/>
      <c r="P19" s="7355"/>
      <c r="Q19" s="7355"/>
      <c r="R19" s="7355"/>
      <c r="S19" s="7355"/>
      <c r="T19" s="7355"/>
      <c r="U19" s="7355"/>
      <c r="V19" s="7355"/>
      <c r="W19" s="7355"/>
      <c r="X19" s="7355"/>
      <c r="Y19" s="7355"/>
      <c r="Z19" s="7355"/>
      <c r="AA19" s="7220"/>
      <c r="AB19" s="7220"/>
      <c r="AC19" s="7220"/>
      <c r="AD19" s="7220"/>
      <c r="AE19" s="7220"/>
      <c r="AF19" s="7220"/>
      <c r="AG19" s="7220"/>
      <c r="AH19" s="7220"/>
      <c r="AI19" s="7220"/>
      <c r="AJ19" s="7220"/>
      <c r="AK19" s="7220"/>
      <c r="AL19" s="7220"/>
      <c r="AM19" s="7220"/>
      <c r="AN19" s="7229" t="s">
        <v>461</v>
      </c>
      <c r="AO19" s="7229" t="s">
        <v>365</v>
      </c>
      <c r="AP19" s="7223" t="s">
        <v>344</v>
      </c>
      <c r="AR19" s="1534"/>
      <c r="AS19" s="1534"/>
      <c r="AT19" s="1534"/>
      <c r="AU19" s="1534"/>
      <c r="AV19" s="1534"/>
      <c r="AW19" s="1534"/>
      <c r="AX19" s="1534"/>
      <c r="AY19" s="1534"/>
      <c r="AZ19" s="1534"/>
      <c r="BA19" s="1534"/>
      <c r="BB19" s="1534"/>
      <c r="BC19" s="1534"/>
      <c r="BD19" s="1534"/>
      <c r="BE19" s="1534"/>
      <c r="BF19" s="1534"/>
      <c r="BG19" s="1534"/>
      <c r="BH19" s="1534"/>
      <c r="BI19" s="1534"/>
      <c r="BJ19" s="1534"/>
      <c r="BK19" s="1534"/>
      <c r="BL19" s="1534"/>
    </row>
    <row r="20" spans="1:64" ht="21" customHeight="1">
      <c r="A20" s="7562"/>
      <c r="B20" s="7443"/>
      <c r="C20" s="7553"/>
      <c r="D20" s="7553"/>
      <c r="E20" s="7553"/>
      <c r="F20" s="7553"/>
      <c r="G20" s="7553"/>
      <c r="H20" s="7553"/>
      <c r="I20" s="7553"/>
      <c r="J20" s="7568"/>
      <c r="K20" s="7568"/>
      <c r="L20" s="7554"/>
      <c r="M20" s="7584"/>
      <c r="N20" s="4635" t="s">
        <v>413</v>
      </c>
      <c r="O20" s="5196" t="s">
        <v>372</v>
      </c>
      <c r="P20" s="5292" t="s">
        <v>373</v>
      </c>
      <c r="Q20" s="5458" t="s">
        <v>374</v>
      </c>
      <c r="R20" s="5699" t="s">
        <v>375</v>
      </c>
      <c r="S20" s="5876" t="s">
        <v>376</v>
      </c>
      <c r="T20" s="6088" t="s">
        <v>377</v>
      </c>
      <c r="U20" s="6603" t="s">
        <v>378</v>
      </c>
      <c r="V20" s="6833" t="s">
        <v>379</v>
      </c>
      <c r="W20" s="6964" t="s">
        <v>380</v>
      </c>
      <c r="X20" s="4934" t="s">
        <v>381</v>
      </c>
      <c r="Y20" s="4642" t="s">
        <v>382</v>
      </c>
      <c r="Z20" s="4621" t="s">
        <v>1268</v>
      </c>
      <c r="AA20" s="4621" t="s">
        <v>195</v>
      </c>
      <c r="AB20" s="4732" t="s">
        <v>414</v>
      </c>
      <c r="AC20" s="4732" t="s">
        <v>383</v>
      </c>
      <c r="AD20" s="4732" t="s">
        <v>384</v>
      </c>
      <c r="AE20" s="4732" t="s">
        <v>385</v>
      </c>
      <c r="AF20" s="4732" t="s">
        <v>386</v>
      </c>
      <c r="AG20" s="4732" t="s">
        <v>387</v>
      </c>
      <c r="AH20" s="4732" t="s">
        <v>388</v>
      </c>
      <c r="AI20" s="4732" t="s">
        <v>389</v>
      </c>
      <c r="AJ20" s="4732" t="s">
        <v>390</v>
      </c>
      <c r="AK20" s="7035" t="s">
        <v>391</v>
      </c>
      <c r="AL20" s="7035" t="s">
        <v>392</v>
      </c>
      <c r="AM20" s="7035" t="s">
        <v>393</v>
      </c>
      <c r="AN20" s="7553"/>
      <c r="AO20" s="7553"/>
      <c r="AP20" s="7444"/>
      <c r="AR20" s="5258" t="s">
        <v>204</v>
      </c>
      <c r="AS20" s="5258" t="s">
        <v>1771</v>
      </c>
      <c r="AT20" s="5258" t="s">
        <v>639</v>
      </c>
      <c r="AU20" s="5258" t="s">
        <v>16</v>
      </c>
      <c r="AV20" s="5258" t="s">
        <v>1772</v>
      </c>
      <c r="AW20" s="5258" t="s">
        <v>1773</v>
      </c>
      <c r="AX20" s="1534"/>
      <c r="AY20" s="1534"/>
      <c r="AZ20" s="1534"/>
      <c r="BA20" s="1534"/>
      <c r="BB20" s="1534"/>
      <c r="BC20" s="1534"/>
      <c r="BD20" s="1534"/>
      <c r="BE20" s="1534"/>
      <c r="BF20" s="1534"/>
      <c r="BG20" s="1534"/>
      <c r="BH20" s="1534"/>
      <c r="BI20" s="1534"/>
      <c r="BJ20" s="1534"/>
      <c r="BK20" s="1534"/>
      <c r="BL20" s="1534"/>
    </row>
    <row r="21" spans="1:64" ht="21" customHeight="1">
      <c r="A21" s="7565" t="s">
        <v>2</v>
      </c>
      <c r="B21" s="7566"/>
      <c r="C21" s="4733"/>
      <c r="D21" s="4733">
        <v>23</v>
      </c>
      <c r="E21" s="4733">
        <f t="shared" ref="E21:L25" si="22">E46+E82</f>
        <v>32</v>
      </c>
      <c r="F21" s="4733">
        <f t="shared" si="22"/>
        <v>33</v>
      </c>
      <c r="G21" s="4733">
        <f t="shared" si="22"/>
        <v>92</v>
      </c>
      <c r="H21" s="4733">
        <f t="shared" si="22"/>
        <v>69</v>
      </c>
      <c r="I21" s="4733">
        <f t="shared" si="22"/>
        <v>27</v>
      </c>
      <c r="J21" s="4733">
        <f t="shared" si="22"/>
        <v>14</v>
      </c>
      <c r="K21" s="4733">
        <f t="shared" si="22"/>
        <v>6</v>
      </c>
      <c r="L21" s="5277">
        <f t="shared" si="22"/>
        <v>6</v>
      </c>
      <c r="M21" s="5284">
        <f>L21/10</f>
        <v>0.6</v>
      </c>
      <c r="N21" s="4638">
        <f t="shared" ref="N21:AM21" si="23">N46+N82</f>
        <v>1</v>
      </c>
      <c r="O21" s="5203">
        <f t="shared" si="23"/>
        <v>3</v>
      </c>
      <c r="P21" s="5414">
        <f t="shared" si="23"/>
        <v>0</v>
      </c>
      <c r="Q21" s="5199">
        <f t="shared" si="23"/>
        <v>1</v>
      </c>
      <c r="R21" s="5199">
        <f t="shared" si="23"/>
        <v>0</v>
      </c>
      <c r="S21" s="5199">
        <f t="shared" si="23"/>
        <v>2</v>
      </c>
      <c r="T21" s="5199">
        <f t="shared" si="23"/>
        <v>0</v>
      </c>
      <c r="U21" s="5199">
        <f t="shared" si="23"/>
        <v>1</v>
      </c>
      <c r="V21" s="5199">
        <f t="shared" si="23"/>
        <v>1</v>
      </c>
      <c r="W21" s="5199">
        <f t="shared" si="23"/>
        <v>1</v>
      </c>
      <c r="X21" s="4933">
        <f t="shared" si="23"/>
        <v>0</v>
      </c>
      <c r="Y21" s="4645">
        <f t="shared" si="23"/>
        <v>0</v>
      </c>
      <c r="Z21" s="4622">
        <f t="shared" si="23"/>
        <v>10</v>
      </c>
      <c r="AA21" s="5278">
        <f t="shared" si="23"/>
        <v>0</v>
      </c>
      <c r="AB21" s="5279">
        <f t="shared" si="23"/>
        <v>0</v>
      </c>
      <c r="AC21" s="5279">
        <f t="shared" si="23"/>
        <v>0</v>
      </c>
      <c r="AD21" s="5279">
        <f t="shared" si="23"/>
        <v>0</v>
      </c>
      <c r="AE21" s="5279">
        <f t="shared" si="23"/>
        <v>0</v>
      </c>
      <c r="AF21" s="5279">
        <f t="shared" si="23"/>
        <v>0</v>
      </c>
      <c r="AG21" s="5279">
        <f t="shared" si="23"/>
        <v>0</v>
      </c>
      <c r="AH21" s="5279">
        <f t="shared" si="23"/>
        <v>0</v>
      </c>
      <c r="AI21" s="5279">
        <f t="shared" si="23"/>
        <v>0</v>
      </c>
      <c r="AJ21" s="5279">
        <f t="shared" si="23"/>
        <v>0</v>
      </c>
      <c r="AK21" s="5279">
        <f t="shared" si="23"/>
        <v>0</v>
      </c>
      <c r="AL21" s="5279">
        <f t="shared" si="23"/>
        <v>0</v>
      </c>
      <c r="AM21" s="5279">
        <f t="shared" si="23"/>
        <v>0</v>
      </c>
      <c r="AN21" s="5279">
        <v>0</v>
      </c>
      <c r="AO21" s="4166"/>
      <c r="AP21" s="5280"/>
      <c r="AR21" s="5258" t="s">
        <v>2</v>
      </c>
      <c r="AS21" s="5258">
        <v>16</v>
      </c>
      <c r="AT21" s="5258">
        <v>3</v>
      </c>
      <c r="AU21" s="5258">
        <f>SUM(AS21:AT21)</f>
        <v>19</v>
      </c>
      <c r="AV21" s="5258">
        <f>AU21/5</f>
        <v>3.8</v>
      </c>
      <c r="AW21" s="5258">
        <v>2</v>
      </c>
      <c r="AX21" s="1534"/>
      <c r="AY21" s="1534"/>
      <c r="AZ21" s="1534"/>
      <c r="BA21" s="1534"/>
      <c r="BB21" s="1534"/>
      <c r="BC21" s="1534"/>
      <c r="BD21" s="1534"/>
      <c r="BE21" s="1534"/>
      <c r="BF21" s="1534"/>
      <c r="BG21" s="1534"/>
      <c r="BH21" s="1534"/>
      <c r="BI21" s="1534"/>
      <c r="BJ21" s="1534"/>
      <c r="BK21" s="1534"/>
      <c r="BL21" s="1534"/>
    </row>
    <row r="22" spans="1:64" ht="21" customHeight="1">
      <c r="A22" s="7565" t="s">
        <v>3</v>
      </c>
      <c r="B22" s="7566"/>
      <c r="C22" s="4733"/>
      <c r="D22" s="4733"/>
      <c r="E22" s="4733">
        <f t="shared" si="22"/>
        <v>35</v>
      </c>
      <c r="F22" s="4733">
        <f t="shared" si="22"/>
        <v>47</v>
      </c>
      <c r="G22" s="4733">
        <f t="shared" si="22"/>
        <v>108</v>
      </c>
      <c r="H22" s="4733">
        <f t="shared" si="22"/>
        <v>97</v>
      </c>
      <c r="I22" s="4733">
        <f t="shared" si="22"/>
        <v>40</v>
      </c>
      <c r="J22" s="4733">
        <f t="shared" si="22"/>
        <v>47</v>
      </c>
      <c r="K22" s="4733">
        <f t="shared" si="22"/>
        <v>13</v>
      </c>
      <c r="L22" s="5277">
        <f t="shared" si="22"/>
        <v>12</v>
      </c>
      <c r="M22" s="5284">
        <f>L22/10</f>
        <v>1.2</v>
      </c>
      <c r="N22" s="4638">
        <f t="shared" ref="N22:AM22" si="24">N47+N83</f>
        <v>3</v>
      </c>
      <c r="O22" s="5203">
        <f t="shared" si="24"/>
        <v>3</v>
      </c>
      <c r="P22" s="5414">
        <f t="shared" si="24"/>
        <v>1</v>
      </c>
      <c r="Q22" s="5199">
        <f t="shared" si="24"/>
        <v>2</v>
      </c>
      <c r="R22" s="5199">
        <f t="shared" si="24"/>
        <v>1</v>
      </c>
      <c r="S22" s="5199">
        <f t="shared" si="24"/>
        <v>3</v>
      </c>
      <c r="T22" s="5199">
        <f t="shared" si="24"/>
        <v>5</v>
      </c>
      <c r="U22" s="5199">
        <f t="shared" si="24"/>
        <v>6</v>
      </c>
      <c r="V22" s="5199">
        <f t="shared" si="24"/>
        <v>5</v>
      </c>
      <c r="W22" s="5199">
        <f t="shared" si="24"/>
        <v>3</v>
      </c>
      <c r="X22" s="4933">
        <f t="shared" si="24"/>
        <v>0</v>
      </c>
      <c r="Y22" s="4645">
        <f t="shared" si="24"/>
        <v>0</v>
      </c>
      <c r="Z22" s="4622">
        <f t="shared" si="24"/>
        <v>32</v>
      </c>
      <c r="AA22" s="5278">
        <f t="shared" si="24"/>
        <v>0</v>
      </c>
      <c r="AB22" s="5279">
        <f t="shared" si="24"/>
        <v>0</v>
      </c>
      <c r="AC22" s="5279">
        <f t="shared" si="24"/>
        <v>0</v>
      </c>
      <c r="AD22" s="5279">
        <f t="shared" si="24"/>
        <v>0</v>
      </c>
      <c r="AE22" s="5279">
        <f t="shared" si="24"/>
        <v>0</v>
      </c>
      <c r="AF22" s="5279">
        <f t="shared" si="24"/>
        <v>0</v>
      </c>
      <c r="AG22" s="5279">
        <f t="shared" si="24"/>
        <v>0</v>
      </c>
      <c r="AH22" s="5279">
        <f t="shared" si="24"/>
        <v>0</v>
      </c>
      <c r="AI22" s="5279">
        <f t="shared" si="24"/>
        <v>0</v>
      </c>
      <c r="AJ22" s="5279">
        <f t="shared" si="24"/>
        <v>0</v>
      </c>
      <c r="AK22" s="5279">
        <f t="shared" si="24"/>
        <v>0</v>
      </c>
      <c r="AL22" s="5279">
        <f t="shared" si="24"/>
        <v>0</v>
      </c>
      <c r="AM22" s="5279">
        <f t="shared" si="24"/>
        <v>0</v>
      </c>
      <c r="AN22" s="5279">
        <v>0</v>
      </c>
      <c r="AO22" s="4166"/>
      <c r="AP22" s="5280"/>
      <c r="AR22" s="5258" t="s">
        <v>3</v>
      </c>
      <c r="AS22" s="5258">
        <v>30</v>
      </c>
      <c r="AT22" s="5258">
        <v>8</v>
      </c>
      <c r="AU22" s="5258">
        <f>SUM(AS22:AT22)</f>
        <v>38</v>
      </c>
      <c r="AV22" s="5258">
        <f>AU22/5</f>
        <v>7.6</v>
      </c>
      <c r="AW22" s="5258">
        <v>4</v>
      </c>
      <c r="AX22" s="1534"/>
      <c r="AY22" s="1534"/>
      <c r="AZ22" s="1534"/>
      <c r="BA22" s="1534"/>
      <c r="BB22" s="1534"/>
      <c r="BC22" s="1534"/>
      <c r="BD22" s="1534"/>
      <c r="BE22" s="1534"/>
      <c r="BF22" s="1534"/>
      <c r="BG22" s="1534"/>
      <c r="BH22" s="1534"/>
      <c r="BI22" s="1534"/>
      <c r="BJ22" s="1534"/>
      <c r="BK22" s="1534"/>
      <c r="BL22" s="1534"/>
    </row>
    <row r="23" spans="1:64" ht="21" customHeight="1">
      <c r="A23" s="7565" t="s">
        <v>4</v>
      </c>
      <c r="B23" s="7566"/>
      <c r="C23" s="4733"/>
      <c r="D23" s="4733"/>
      <c r="E23" s="4733">
        <f t="shared" si="22"/>
        <v>30</v>
      </c>
      <c r="F23" s="4733">
        <f t="shared" si="22"/>
        <v>62</v>
      </c>
      <c r="G23" s="4733">
        <f t="shared" si="22"/>
        <v>55</v>
      </c>
      <c r="H23" s="4733">
        <f t="shared" si="22"/>
        <v>48</v>
      </c>
      <c r="I23" s="4733">
        <f t="shared" si="22"/>
        <v>32</v>
      </c>
      <c r="J23" s="4733">
        <f t="shared" si="22"/>
        <v>35</v>
      </c>
      <c r="K23" s="4733">
        <f t="shared" si="22"/>
        <v>32</v>
      </c>
      <c r="L23" s="5277">
        <f t="shared" si="22"/>
        <v>18</v>
      </c>
      <c r="M23" s="5284">
        <f>L23/10</f>
        <v>1.8</v>
      </c>
      <c r="N23" s="4638">
        <f t="shared" ref="N23:AM23" si="25">N48+N84</f>
        <v>0</v>
      </c>
      <c r="O23" s="5203">
        <f t="shared" si="25"/>
        <v>1</v>
      </c>
      <c r="P23" s="5199">
        <f t="shared" si="25"/>
        <v>1</v>
      </c>
      <c r="Q23" s="5199">
        <f t="shared" si="25"/>
        <v>0</v>
      </c>
      <c r="R23" s="5199">
        <f t="shared" si="25"/>
        <v>0</v>
      </c>
      <c r="S23" s="5199">
        <f t="shared" si="25"/>
        <v>2</v>
      </c>
      <c r="T23" s="5199">
        <f t="shared" si="25"/>
        <v>1</v>
      </c>
      <c r="U23" s="5199">
        <f t="shared" si="25"/>
        <v>3</v>
      </c>
      <c r="V23" s="5199">
        <f t="shared" si="25"/>
        <v>2</v>
      </c>
      <c r="W23" s="5199">
        <f t="shared" si="25"/>
        <v>0</v>
      </c>
      <c r="X23" s="4933">
        <f t="shared" si="25"/>
        <v>0</v>
      </c>
      <c r="Y23" s="4645">
        <f t="shared" si="25"/>
        <v>0</v>
      </c>
      <c r="Z23" s="4622">
        <f t="shared" si="25"/>
        <v>10</v>
      </c>
      <c r="AA23" s="5278">
        <f t="shared" si="25"/>
        <v>41905.94099926934</v>
      </c>
      <c r="AB23" s="5279">
        <f t="shared" si="25"/>
        <v>7982.0839998608262</v>
      </c>
      <c r="AC23" s="5279">
        <f t="shared" si="25"/>
        <v>4988.8024999130166</v>
      </c>
      <c r="AD23" s="5279">
        <f t="shared" si="25"/>
        <v>4988.8024999130166</v>
      </c>
      <c r="AE23" s="5279">
        <f t="shared" si="25"/>
        <v>7982.0839998608262</v>
      </c>
      <c r="AF23" s="5279">
        <f t="shared" si="25"/>
        <v>7982.0839998608262</v>
      </c>
      <c r="AG23" s="5279">
        <f t="shared" si="25"/>
        <v>1995.5209999652066</v>
      </c>
      <c r="AH23" s="5279">
        <f t="shared" si="25"/>
        <v>4988.8024999130166</v>
      </c>
      <c r="AI23" s="5279">
        <f t="shared" si="25"/>
        <v>-997.76049998260305</v>
      </c>
      <c r="AJ23" s="5279">
        <f t="shared" si="25"/>
        <v>1995.5209999652066</v>
      </c>
      <c r="AK23" s="5279">
        <f t="shared" si="25"/>
        <v>7982.0839998608262</v>
      </c>
      <c r="AL23" s="5279">
        <f t="shared" si="25"/>
        <v>0</v>
      </c>
      <c r="AM23" s="5279">
        <f t="shared" si="25"/>
        <v>7982.0839998608262</v>
      </c>
      <c r="AN23" s="5279">
        <f>AB23+AC23+AD23+AE23+AF23+AG23+AH23+AI23+AJ23+AK23+AL23</f>
        <v>49888.024999130168</v>
      </c>
      <c r="AO23" s="4166">
        <f>AN23/AA23</f>
        <v>1.1904761904761905</v>
      </c>
      <c r="AP23" s="5280"/>
      <c r="AR23" s="5258" t="s">
        <v>4</v>
      </c>
      <c r="AS23" s="5258">
        <v>7</v>
      </c>
      <c r="AT23" s="5258">
        <v>10</v>
      </c>
      <c r="AU23" s="5258">
        <f>SUM(AS23:AT23)</f>
        <v>17</v>
      </c>
      <c r="AV23" s="5258">
        <f>AU23/5</f>
        <v>3.4</v>
      </c>
      <c r="AW23" s="5258">
        <v>2</v>
      </c>
      <c r="AX23" s="1534"/>
      <c r="AY23" s="1534"/>
      <c r="AZ23" s="1534"/>
      <c r="BA23" s="1534"/>
      <c r="BB23" s="1534"/>
      <c r="BC23" s="1534"/>
      <c r="BD23" s="1534"/>
      <c r="BE23" s="1534"/>
      <c r="BF23" s="1534"/>
      <c r="BG23" s="1534"/>
      <c r="BH23" s="1534"/>
      <c r="BI23" s="1534"/>
      <c r="BJ23" s="1534"/>
      <c r="BK23" s="1534"/>
      <c r="BL23" s="1534"/>
    </row>
    <row r="24" spans="1:64" ht="21" customHeight="1">
      <c r="A24" s="7565" t="s">
        <v>193</v>
      </c>
      <c r="B24" s="7566"/>
      <c r="C24" s="4733"/>
      <c r="D24" s="4733"/>
      <c r="E24" s="4733">
        <f t="shared" si="22"/>
        <v>33</v>
      </c>
      <c r="F24" s="4733">
        <f t="shared" si="22"/>
        <v>35</v>
      </c>
      <c r="G24" s="4733">
        <f t="shared" si="22"/>
        <v>32</v>
      </c>
      <c r="H24" s="4733">
        <f t="shared" si="22"/>
        <v>44</v>
      </c>
      <c r="I24" s="4733">
        <f t="shared" si="22"/>
        <v>31</v>
      </c>
      <c r="J24" s="4733">
        <f t="shared" si="22"/>
        <v>10</v>
      </c>
      <c r="K24" s="4733">
        <f t="shared" si="22"/>
        <v>12</v>
      </c>
      <c r="L24" s="5277">
        <f t="shared" si="22"/>
        <v>12</v>
      </c>
      <c r="M24" s="5284">
        <f>L24/12</f>
        <v>1</v>
      </c>
      <c r="N24" s="4638">
        <f t="shared" ref="N24:Z24" si="26">N49+N85</f>
        <v>0</v>
      </c>
      <c r="O24" s="5203">
        <f t="shared" si="26"/>
        <v>1</v>
      </c>
      <c r="P24" s="5414">
        <f t="shared" si="26"/>
        <v>0</v>
      </c>
      <c r="Q24" s="5199">
        <f t="shared" si="26"/>
        <v>3</v>
      </c>
      <c r="R24" s="5199">
        <f t="shared" si="26"/>
        <v>2</v>
      </c>
      <c r="S24" s="5199">
        <f t="shared" si="26"/>
        <v>0</v>
      </c>
      <c r="T24" s="5199">
        <f t="shared" si="26"/>
        <v>0</v>
      </c>
      <c r="U24" s="5199">
        <f t="shared" si="26"/>
        <v>0</v>
      </c>
      <c r="V24" s="5199">
        <f t="shared" si="26"/>
        <v>0</v>
      </c>
      <c r="W24" s="5199">
        <f t="shared" si="26"/>
        <v>0</v>
      </c>
      <c r="X24" s="4933">
        <f t="shared" si="26"/>
        <v>1</v>
      </c>
      <c r="Y24" s="4645">
        <f t="shared" si="26"/>
        <v>4</v>
      </c>
      <c r="Z24" s="4622">
        <f t="shared" si="26"/>
        <v>11</v>
      </c>
      <c r="AA24" s="5278">
        <v>1</v>
      </c>
      <c r="AB24" s="5279">
        <f t="shared" ref="AB24:AM24" si="27">AB49+AB85</f>
        <v>1231.9914980403598</v>
      </c>
      <c r="AC24" s="5279">
        <f t="shared" si="27"/>
        <v>0</v>
      </c>
      <c r="AD24" s="5279">
        <f t="shared" si="27"/>
        <v>1231.9914980403598</v>
      </c>
      <c r="AE24" s="5279">
        <f t="shared" si="27"/>
        <v>-2463.9829960807197</v>
      </c>
      <c r="AF24" s="5279">
        <f t="shared" si="27"/>
        <v>-1231.9914980403598</v>
      </c>
      <c r="AG24" s="5279">
        <f t="shared" si="27"/>
        <v>1231.9914980403598</v>
      </c>
      <c r="AH24" s="5279">
        <f t="shared" si="27"/>
        <v>1231.9914980403598</v>
      </c>
      <c r="AI24" s="5279">
        <f t="shared" si="27"/>
        <v>1231.9914980403598</v>
      </c>
      <c r="AJ24" s="5279">
        <f t="shared" si="27"/>
        <v>1231.9914980403598</v>
      </c>
      <c r="AK24" s="5279">
        <f t="shared" si="27"/>
        <v>1231.9914980403598</v>
      </c>
      <c r="AL24" s="5279">
        <f t="shared" si="27"/>
        <v>0</v>
      </c>
      <c r="AM24" s="5279">
        <f t="shared" si="27"/>
        <v>-3695.9744941210797</v>
      </c>
      <c r="AN24" s="5279">
        <f>AB24+AC24+AD24+AE24+AF24+AG24+AH24+AI24+AJ24+AK24+AL24</f>
        <v>4927.9659921614393</v>
      </c>
      <c r="AO24" s="6061">
        <f>AN24/AA24</f>
        <v>4927.9659921614393</v>
      </c>
      <c r="AP24" s="5280"/>
      <c r="AR24" s="5258" t="s">
        <v>193</v>
      </c>
      <c r="AS24" s="5258">
        <v>18</v>
      </c>
      <c r="AT24" s="5258">
        <v>4</v>
      </c>
      <c r="AU24" s="5258">
        <f>SUM(AS24:AT24)</f>
        <v>22</v>
      </c>
      <c r="AV24" s="5258">
        <f>AU24/5</f>
        <v>4.4000000000000004</v>
      </c>
      <c r="AW24" s="5258">
        <v>2</v>
      </c>
      <c r="AX24" s="1534"/>
      <c r="AY24" s="1534"/>
      <c r="AZ24" s="1534"/>
      <c r="BA24" s="1534"/>
      <c r="BB24" s="1534"/>
      <c r="BC24" s="1534"/>
      <c r="BD24" s="1534"/>
      <c r="BE24" s="1534"/>
      <c r="BF24" s="1534"/>
      <c r="BG24" s="1534"/>
      <c r="BH24" s="1534"/>
      <c r="BI24" s="1534"/>
      <c r="BJ24" s="1534"/>
      <c r="BK24" s="1534"/>
      <c r="BL24" s="1534"/>
    </row>
    <row r="25" spans="1:64" ht="21" customHeight="1">
      <c r="A25" s="7565" t="s">
        <v>17</v>
      </c>
      <c r="B25" s="7566"/>
      <c r="C25" s="4733"/>
      <c r="D25" s="4733"/>
      <c r="E25" s="4733">
        <f t="shared" si="22"/>
        <v>16</v>
      </c>
      <c r="F25" s="4733">
        <f t="shared" si="22"/>
        <v>10</v>
      </c>
      <c r="G25" s="4733">
        <f t="shared" si="22"/>
        <v>24</v>
      </c>
      <c r="H25" s="4733">
        <f t="shared" si="22"/>
        <v>16</v>
      </c>
      <c r="I25" s="4733">
        <f t="shared" si="22"/>
        <v>28</v>
      </c>
      <c r="J25" s="4733">
        <f t="shared" si="22"/>
        <v>5</v>
      </c>
      <c r="K25" s="4733">
        <f t="shared" si="22"/>
        <v>8</v>
      </c>
      <c r="L25" s="5277">
        <f t="shared" si="22"/>
        <v>6</v>
      </c>
      <c r="M25" s="5284">
        <f>L25/12</f>
        <v>0.5</v>
      </c>
      <c r="N25" s="4638">
        <f t="shared" ref="N25:Z25" si="28">N50+N86</f>
        <v>1</v>
      </c>
      <c r="O25" s="5203">
        <f t="shared" si="28"/>
        <v>1</v>
      </c>
      <c r="P25" s="5414">
        <f t="shared" si="28"/>
        <v>1</v>
      </c>
      <c r="Q25" s="5199">
        <f t="shared" si="28"/>
        <v>0</v>
      </c>
      <c r="R25" s="5199">
        <f t="shared" si="28"/>
        <v>1</v>
      </c>
      <c r="S25" s="5199">
        <f t="shared" si="28"/>
        <v>0</v>
      </c>
      <c r="T25" s="5199">
        <f t="shared" si="28"/>
        <v>0</v>
      </c>
      <c r="U25" s="5199">
        <f t="shared" si="28"/>
        <v>1</v>
      </c>
      <c r="V25" s="5199">
        <f t="shared" si="28"/>
        <v>4</v>
      </c>
      <c r="W25" s="5199">
        <f t="shared" si="28"/>
        <v>0</v>
      </c>
      <c r="X25" s="4933">
        <f t="shared" si="28"/>
        <v>0</v>
      </c>
      <c r="Y25" s="4645">
        <f t="shared" si="28"/>
        <v>0</v>
      </c>
      <c r="Z25" s="4622">
        <f t="shared" si="28"/>
        <v>9</v>
      </c>
      <c r="AA25" s="5278">
        <f>AA50+AA86</f>
        <v>1465.1204582794398</v>
      </c>
      <c r="AB25" s="5279">
        <f t="shared" ref="AB25:AM25" si="29">AB50+AB86</f>
        <v>-244.18674304657338</v>
      </c>
      <c r="AC25" s="5279">
        <f t="shared" si="29"/>
        <v>-244.18674304657333</v>
      </c>
      <c r="AD25" s="5279">
        <f t="shared" si="29"/>
        <v>-244.18674304657338</v>
      </c>
      <c r="AE25" s="5279">
        <f t="shared" si="29"/>
        <v>488.3734860931466</v>
      </c>
      <c r="AF25" s="5279">
        <f t="shared" si="29"/>
        <v>-244.18674304657338</v>
      </c>
      <c r="AG25" s="5279">
        <f t="shared" si="29"/>
        <v>488.3734860931466</v>
      </c>
      <c r="AH25" s="5279">
        <f t="shared" si="29"/>
        <v>488.3734860931466</v>
      </c>
      <c r="AI25" s="5279">
        <f t="shared" si="29"/>
        <v>-244.18674304657333</v>
      </c>
      <c r="AJ25" s="5279">
        <f t="shared" si="29"/>
        <v>-2441.8674304657334</v>
      </c>
      <c r="AK25" s="5279">
        <f t="shared" si="29"/>
        <v>488.3734860931466</v>
      </c>
      <c r="AL25" s="5279">
        <f t="shared" si="29"/>
        <v>488.3734860931466</v>
      </c>
      <c r="AM25" s="5279">
        <f t="shared" si="29"/>
        <v>488.3734860931466</v>
      </c>
      <c r="AN25" s="5279">
        <f>AB25+AC25+AD25+AE25+AF25+AG25+AH25+AI25+AJ25+AK25+AL25</f>
        <v>-1220.9337152328676</v>
      </c>
      <c r="AO25" s="4166">
        <f>AN25/AA25</f>
        <v>-0.83333333333333404</v>
      </c>
      <c r="AP25" s="5280"/>
      <c r="AR25" s="5258" t="s">
        <v>17</v>
      </c>
      <c r="AS25" s="5258">
        <v>11</v>
      </c>
      <c r="AT25" s="5258">
        <v>1</v>
      </c>
      <c r="AU25" s="5258">
        <f>SUM(AS25:AT25)</f>
        <v>12</v>
      </c>
      <c r="AV25" s="5258">
        <f>AU25/5</f>
        <v>2.4</v>
      </c>
      <c r="AW25" s="5258">
        <v>2</v>
      </c>
      <c r="AX25" s="1534"/>
      <c r="AY25" s="1534"/>
      <c r="AZ25" s="1534"/>
      <c r="BA25" s="1534"/>
      <c r="BB25" s="1534"/>
      <c r="BC25" s="1534"/>
      <c r="BD25" s="1534"/>
      <c r="BE25" s="1534"/>
      <c r="BF25" s="1534"/>
      <c r="BG25" s="1534"/>
      <c r="BH25" s="1534"/>
      <c r="BI25" s="1534"/>
      <c r="BJ25" s="1534"/>
      <c r="BK25" s="1534"/>
      <c r="BL25" s="1534"/>
    </row>
    <row r="26" spans="1:64" ht="21" customHeight="1" thickBot="1">
      <c r="A26" s="7517" t="s">
        <v>31</v>
      </c>
      <c r="B26" s="7515"/>
      <c r="C26" s="5260"/>
      <c r="D26" s="5260"/>
      <c r="E26" s="5575">
        <f>SUM(E21:E25)</f>
        <v>146</v>
      </c>
      <c r="F26" s="5575">
        <f>SUM(F21:F25)</f>
        <v>187</v>
      </c>
      <c r="G26" s="5260">
        <f t="shared" ref="G26:N26" si="30">SUM(G21:G25)</f>
        <v>311</v>
      </c>
      <c r="H26" s="5260">
        <f t="shared" si="30"/>
        <v>274</v>
      </c>
      <c r="I26" s="5260">
        <f t="shared" si="30"/>
        <v>158</v>
      </c>
      <c r="J26" s="5281">
        <f t="shared" si="30"/>
        <v>111</v>
      </c>
      <c r="K26" s="5281">
        <f t="shared" si="30"/>
        <v>71</v>
      </c>
      <c r="L26" s="2821">
        <f t="shared" si="30"/>
        <v>54</v>
      </c>
      <c r="M26" s="5285">
        <f t="shared" si="30"/>
        <v>5.0999999999999996</v>
      </c>
      <c r="N26" s="5282">
        <f t="shared" si="30"/>
        <v>5</v>
      </c>
      <c r="O26" s="5281">
        <f>SUM(O21:O25)</f>
        <v>9</v>
      </c>
      <c r="P26" s="5281">
        <f>SUM(P21:P25)</f>
        <v>3</v>
      </c>
      <c r="Q26" s="5200">
        <f>SUM(Q21:Q25)</f>
        <v>6</v>
      </c>
      <c r="R26" s="5200">
        <f t="shared" ref="R26:AM26" si="31">SUM(R21:R25)</f>
        <v>4</v>
      </c>
      <c r="S26" s="5281">
        <f t="shared" si="31"/>
        <v>7</v>
      </c>
      <c r="T26" s="5200">
        <f t="shared" si="31"/>
        <v>6</v>
      </c>
      <c r="U26" s="5200">
        <f t="shared" si="31"/>
        <v>11</v>
      </c>
      <c r="V26" s="5200">
        <f t="shared" si="31"/>
        <v>12</v>
      </c>
      <c r="W26" s="5200">
        <f t="shared" si="31"/>
        <v>4</v>
      </c>
      <c r="X26" s="5895">
        <f t="shared" si="31"/>
        <v>1</v>
      </c>
      <c r="Y26" s="4646">
        <f t="shared" si="31"/>
        <v>4</v>
      </c>
      <c r="Z26" s="6687">
        <f t="shared" si="31"/>
        <v>72</v>
      </c>
      <c r="AA26" s="5283">
        <f t="shared" si="31"/>
        <v>43372.061457548778</v>
      </c>
      <c r="AB26" s="4823">
        <f>SUM(AB21:AB25)</f>
        <v>8969.8887548546118</v>
      </c>
      <c r="AC26" s="4823">
        <f t="shared" si="31"/>
        <v>4744.615756866443</v>
      </c>
      <c r="AD26" s="4823">
        <f t="shared" si="31"/>
        <v>5976.6072549068031</v>
      </c>
      <c r="AE26" s="4823">
        <f t="shared" si="31"/>
        <v>6006.4744898732524</v>
      </c>
      <c r="AF26" s="4823">
        <f t="shared" si="31"/>
        <v>6505.9057587738926</v>
      </c>
      <c r="AG26" s="4823">
        <f t="shared" si="31"/>
        <v>3715.8859840987129</v>
      </c>
      <c r="AH26" s="4823">
        <f t="shared" si="31"/>
        <v>6709.167484046523</v>
      </c>
      <c r="AI26" s="4823">
        <f t="shared" si="31"/>
        <v>-9.9557449888165479</v>
      </c>
      <c r="AJ26" s="4823">
        <f t="shared" si="31"/>
        <v>785.64506753983278</v>
      </c>
      <c r="AK26" s="4823">
        <f t="shared" si="31"/>
        <v>9702.4489839943326</v>
      </c>
      <c r="AL26" s="4823">
        <f t="shared" si="31"/>
        <v>488.3734860931466</v>
      </c>
      <c r="AM26" s="4823">
        <f t="shared" si="31"/>
        <v>4774.4829918328933</v>
      </c>
      <c r="AN26" s="4823">
        <f>SUM(AN21:AN25)</f>
        <v>53595.057276058738</v>
      </c>
      <c r="AO26" s="3211">
        <f>AN26/AA26</f>
        <v>1.235704632774163</v>
      </c>
      <c r="AP26" s="5259"/>
      <c r="AR26" s="1534"/>
      <c r="AS26" s="1534"/>
      <c r="AT26" s="1534"/>
      <c r="AU26" s="1534"/>
      <c r="AV26" s="1534"/>
      <c r="AW26" s="1534"/>
      <c r="AX26" s="1534"/>
      <c r="AY26" s="1534"/>
      <c r="AZ26" s="1534"/>
      <c r="BA26" s="1534"/>
      <c r="BB26" s="1534"/>
      <c r="BC26" s="1534"/>
      <c r="BD26" s="1534"/>
      <c r="BE26" s="1534"/>
      <c r="BF26" s="1534"/>
      <c r="BG26" s="1534"/>
      <c r="BH26" s="1534"/>
      <c r="BI26" s="1534"/>
      <c r="BJ26" s="1534"/>
      <c r="BK26" s="1534"/>
      <c r="BL26" s="1534"/>
    </row>
    <row r="27" spans="1:64" s="334" customFormat="1" ht="15" customHeight="1">
      <c r="A27" s="797"/>
      <c r="B27" s="797"/>
      <c r="C27" s="105"/>
      <c r="D27" s="105"/>
      <c r="E27" s="105"/>
      <c r="F27" s="105">
        <v>1.18</v>
      </c>
      <c r="G27" s="105" t="s">
        <v>675</v>
      </c>
      <c r="H27" s="105" t="s">
        <v>490</v>
      </c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431"/>
      <c r="AB27" s="432"/>
      <c r="AC27" s="432"/>
      <c r="AD27" s="432"/>
      <c r="AE27" s="432"/>
      <c r="AF27" s="432"/>
      <c r="AG27" s="432"/>
      <c r="AH27" s="432"/>
      <c r="AI27" s="432"/>
      <c r="AJ27" s="432"/>
      <c r="AK27" s="432"/>
      <c r="AL27" s="432"/>
      <c r="AM27" s="432"/>
      <c r="AN27" s="432"/>
      <c r="AO27" s="540"/>
      <c r="AP27" s="328"/>
    </row>
    <row r="28" spans="1:64" ht="15" customHeight="1" thickBot="1">
      <c r="A28" s="304" t="s">
        <v>630</v>
      </c>
      <c r="AO28" s="313"/>
      <c r="AP28" s="314"/>
      <c r="AT28" s="314">
        <v>10.3</v>
      </c>
      <c r="AU28" s="314">
        <v>9.75</v>
      </c>
    </row>
    <row r="29" spans="1:64" ht="15" customHeight="1" thickBot="1">
      <c r="A29" s="7526" t="s">
        <v>0</v>
      </c>
      <c r="B29" s="7526"/>
      <c r="C29" s="7508" t="s">
        <v>408</v>
      </c>
      <c r="D29" s="7508" t="s">
        <v>409</v>
      </c>
      <c r="E29" s="7508" t="s">
        <v>410</v>
      </c>
      <c r="F29" s="7508" t="s">
        <v>411</v>
      </c>
      <c r="G29" s="7508" t="s">
        <v>407</v>
      </c>
      <c r="H29" s="7508" t="s">
        <v>1165</v>
      </c>
      <c r="I29" s="7508" t="s">
        <v>1166</v>
      </c>
      <c r="J29" s="7586" t="s">
        <v>1167</v>
      </c>
      <c r="K29" s="7589" t="s">
        <v>1181</v>
      </c>
      <c r="L29" s="7516" t="s">
        <v>1280</v>
      </c>
      <c r="M29" s="7337" t="s">
        <v>916</v>
      </c>
      <c r="N29" s="7527" t="s">
        <v>1342</v>
      </c>
      <c r="O29" s="7528"/>
      <c r="P29" s="7528"/>
      <c r="Q29" s="7528"/>
      <c r="R29" s="7528"/>
      <c r="S29" s="7528"/>
      <c r="T29" s="7528"/>
      <c r="U29" s="7528"/>
      <c r="V29" s="7528"/>
      <c r="W29" s="7528"/>
      <c r="X29" s="7528"/>
      <c r="Y29" s="7528"/>
      <c r="Z29" s="7367"/>
      <c r="AA29" s="7526"/>
      <c r="AB29" s="7526"/>
      <c r="AC29" s="7526"/>
      <c r="AD29" s="7526"/>
      <c r="AE29" s="7526"/>
      <c r="AF29" s="7526"/>
      <c r="AG29" s="7526"/>
      <c r="AH29" s="7526"/>
      <c r="AI29" s="7526"/>
      <c r="AJ29" s="7526"/>
      <c r="AK29" s="7526"/>
      <c r="AL29" s="7526"/>
      <c r="AM29" s="7526"/>
      <c r="AN29" s="7508" t="s">
        <v>461</v>
      </c>
      <c r="AO29" s="7508" t="s">
        <v>365</v>
      </c>
      <c r="AP29" s="7526" t="s">
        <v>344</v>
      </c>
    </row>
    <row r="30" spans="1:64" ht="15" customHeight="1">
      <c r="A30" s="7526"/>
      <c r="B30" s="7526"/>
      <c r="C30" s="7508"/>
      <c r="D30" s="7508"/>
      <c r="E30" s="7508"/>
      <c r="F30" s="7508"/>
      <c r="G30" s="7508"/>
      <c r="H30" s="7508"/>
      <c r="I30" s="7508"/>
      <c r="J30" s="7586"/>
      <c r="K30" s="7589"/>
      <c r="L30" s="7525"/>
      <c r="M30" s="7585"/>
      <c r="N30" s="5196" t="s">
        <v>413</v>
      </c>
      <c r="O30" s="5196" t="s">
        <v>372</v>
      </c>
      <c r="P30" s="5292" t="s">
        <v>373</v>
      </c>
      <c r="Q30" s="5458" t="s">
        <v>374</v>
      </c>
      <c r="R30" s="5699" t="s">
        <v>375</v>
      </c>
      <c r="S30" s="5876" t="s">
        <v>376</v>
      </c>
      <c r="T30" s="6088" t="s">
        <v>377</v>
      </c>
      <c r="U30" s="6603" t="s">
        <v>378</v>
      </c>
      <c r="V30" s="6833" t="s">
        <v>379</v>
      </c>
      <c r="W30" s="6964" t="s">
        <v>380</v>
      </c>
      <c r="X30" s="4934" t="s">
        <v>381</v>
      </c>
      <c r="Y30" s="4642" t="s">
        <v>382</v>
      </c>
      <c r="Z30" s="4621" t="s">
        <v>1268</v>
      </c>
      <c r="AA30" s="1305" t="s">
        <v>195</v>
      </c>
      <c r="AB30" s="1252" t="s">
        <v>414</v>
      </c>
      <c r="AC30" s="1252" t="s">
        <v>383</v>
      </c>
      <c r="AD30" s="1252" t="s">
        <v>384</v>
      </c>
      <c r="AE30" s="1252" t="s">
        <v>385</v>
      </c>
      <c r="AF30" s="1252" t="s">
        <v>386</v>
      </c>
      <c r="AG30" s="1252" t="s">
        <v>387</v>
      </c>
      <c r="AH30" s="1252" t="s">
        <v>388</v>
      </c>
      <c r="AI30" s="1252" t="s">
        <v>389</v>
      </c>
      <c r="AJ30" s="1252" t="s">
        <v>390</v>
      </c>
      <c r="AK30" s="7036" t="s">
        <v>391</v>
      </c>
      <c r="AL30" s="7036" t="s">
        <v>392</v>
      </c>
      <c r="AM30" s="7036" t="s">
        <v>393</v>
      </c>
      <c r="AN30" s="7508"/>
      <c r="AO30" s="7508"/>
      <c r="AP30" s="7526"/>
    </row>
    <row r="31" spans="1:64" ht="15" customHeight="1">
      <c r="A31" s="7537" t="s">
        <v>2</v>
      </c>
      <c r="B31" s="1255" t="s">
        <v>69</v>
      </c>
      <c r="C31" s="417"/>
      <c r="D31" s="417">
        <v>2.5999999999999999E-3</v>
      </c>
      <c r="E31" s="417">
        <v>2.0999999999999999E-3</v>
      </c>
      <c r="F31" s="529">
        <v>3.0000000000000001E-3</v>
      </c>
      <c r="G31" s="529">
        <v>1.6971471914373603E-2</v>
      </c>
      <c r="H31" s="529">
        <v>1.4601710859957033E-2</v>
      </c>
      <c r="I31" s="529">
        <v>4.8044165958440405E-3</v>
      </c>
      <c r="J31" s="3113">
        <v>3.2027089203713337E-3</v>
      </c>
      <c r="K31" s="3001">
        <f>년간!C76</f>
        <v>1.5748284561860227E-3</v>
      </c>
      <c r="L31" s="3000">
        <f>년간!D76</f>
        <v>1.1250687390440722E-3</v>
      </c>
      <c r="M31" s="4625">
        <v>3.0188340807174884E-3</v>
      </c>
      <c r="N31" s="5197">
        <f>년간!F76</f>
        <v>3.7694598364054429E-3</v>
      </c>
      <c r="O31" s="4625">
        <f>년간!G76</f>
        <v>2.6436376454000705E-3</v>
      </c>
      <c r="P31" s="5415">
        <f>년간!H76</f>
        <v>0</v>
      </c>
      <c r="Q31" s="5197">
        <f>년간!I76</f>
        <v>4.4105854049719326E-3</v>
      </c>
      <c r="R31" s="5197">
        <f>년간!J76</f>
        <v>0</v>
      </c>
      <c r="S31" s="5197">
        <f>년간!K76</f>
        <v>1.0252904989747096E-4</v>
      </c>
      <c r="T31" s="5197">
        <f>년간!L76</f>
        <v>0</v>
      </c>
      <c r="U31" s="5197">
        <f>년간!M76</f>
        <v>0</v>
      </c>
      <c r="V31" s="5197">
        <f>년간!N76</f>
        <v>1.1088011088011088E-2</v>
      </c>
      <c r="W31" s="5197">
        <f>년간!O76</f>
        <v>3.9731051344743277E-3</v>
      </c>
      <c r="X31" s="4935">
        <f>년간!P76</f>
        <v>0</v>
      </c>
      <c r="Y31" s="4643" t="e">
        <f>년간!Q76</f>
        <v>#DIV/0!</v>
      </c>
      <c r="Z31" s="6974">
        <f>년간!V76</f>
        <v>2.6093966565779426E-3</v>
      </c>
      <c r="AA31" s="7523">
        <f>년간!D176/1000</f>
        <v>2293.8164719142073</v>
      </c>
      <c r="AB31" s="7520">
        <f>년간!F176/1000</f>
        <v>-1046.9105033202272</v>
      </c>
      <c r="AC31" s="7520">
        <f>년간!G176/1000</f>
        <v>-550.37879399520591</v>
      </c>
      <c r="AD31" s="7520">
        <f>년간!H176/1000</f>
        <v>689.41749433367443</v>
      </c>
      <c r="AE31" s="7520">
        <f>년간!I176/1000</f>
        <v>-1297.3707451472251</v>
      </c>
      <c r="AF31" s="7520">
        <f>년간!J176/1000</f>
        <v>770.14961877544408</v>
      </c>
      <c r="AG31" s="7520">
        <f>년간!K176/1000</f>
        <v>792.01001494778234</v>
      </c>
      <c r="AH31" s="7520">
        <f>년간!L176/1000</f>
        <v>940.76157240688212</v>
      </c>
      <c r="AI31" s="7520">
        <f>년간!M176/1000</f>
        <v>819.22778075623228</v>
      </c>
      <c r="AJ31" s="7520">
        <f>년간!N176/1000</f>
        <v>-5006.6604017487552</v>
      </c>
      <c r="AK31" s="7518">
        <f>년간!O176/1000</f>
        <v>-1441.292000220664</v>
      </c>
      <c r="AL31" s="7518">
        <v>0</v>
      </c>
      <c r="AM31" s="7518">
        <v>0</v>
      </c>
      <c r="AN31" s="7518">
        <f>AB31+AC31+AD31+AE31+AF31+AG31+AH31+AI31+AJ31+AK31+AL31</f>
        <v>-5331.0459632120619</v>
      </c>
      <c r="AO31" s="7531">
        <f>AN31/AA31</f>
        <v>-2.3240943765493425</v>
      </c>
      <c r="AP31" s="7511"/>
    </row>
    <row r="32" spans="1:64" ht="15" customHeight="1">
      <c r="A32" s="7537"/>
      <c r="B32" s="1255" t="s">
        <v>412</v>
      </c>
      <c r="C32" s="418"/>
      <c r="D32" s="418">
        <f>799/60</f>
        <v>13.316666666666666</v>
      </c>
      <c r="E32" s="418">
        <f>679/60</f>
        <v>11.316666666666666</v>
      </c>
      <c r="F32" s="530">
        <f>1067/60</f>
        <v>17.783333333333335</v>
      </c>
      <c r="G32" s="420">
        <f>[3]년간!C56/60</f>
        <v>107.4</v>
      </c>
      <c r="H32" s="531">
        <v>93</v>
      </c>
      <c r="I32" s="531">
        <v>27.933333333333334</v>
      </c>
      <c r="J32" s="2331">
        <v>17.75</v>
      </c>
      <c r="K32" s="3115">
        <f>년간!C50/60</f>
        <v>8.1666666666666661</v>
      </c>
      <c r="L32" s="3002">
        <f>년간!D50/60</f>
        <v>5.2121212121212084</v>
      </c>
      <c r="M32" s="4626">
        <f>L32/10</f>
        <v>0.52121212121212079</v>
      </c>
      <c r="N32" s="5198">
        <f>년간!F50/60</f>
        <v>1.6666666666666667</v>
      </c>
      <c r="O32" s="4626">
        <f>년간!G50/60</f>
        <v>1.25</v>
      </c>
      <c r="P32" s="5416">
        <f>년간!H50/60</f>
        <v>0</v>
      </c>
      <c r="Q32" s="5198">
        <f>년간!I50/60</f>
        <v>1.8333333333333333</v>
      </c>
      <c r="R32" s="5198">
        <f>년간!J50/60</f>
        <v>0</v>
      </c>
      <c r="S32" s="5198">
        <f>년간!K50/60</f>
        <v>0.05</v>
      </c>
      <c r="T32" s="5198">
        <f>년간!L50/60</f>
        <v>0</v>
      </c>
      <c r="U32" s="5198">
        <f>년간!M50/60</f>
        <v>0</v>
      </c>
      <c r="V32" s="5198">
        <f>년간!N50/60</f>
        <v>5.333333333333333</v>
      </c>
      <c r="W32" s="5198">
        <f>년간!O50/60</f>
        <v>2.1666666666666665</v>
      </c>
      <c r="X32" s="4936">
        <f>년간!P50/60</f>
        <v>0</v>
      </c>
      <c r="Y32" s="4644">
        <f>년간!Q50/60</f>
        <v>0</v>
      </c>
      <c r="Z32" s="6685">
        <f>년간!V50/60</f>
        <v>12.3</v>
      </c>
      <c r="AA32" s="7524"/>
      <c r="AB32" s="7519"/>
      <c r="AC32" s="7519"/>
      <c r="AD32" s="7519"/>
      <c r="AE32" s="7519"/>
      <c r="AF32" s="7519"/>
      <c r="AG32" s="7519"/>
      <c r="AH32" s="7519"/>
      <c r="AI32" s="7519"/>
      <c r="AJ32" s="7519"/>
      <c r="AK32" s="7519"/>
      <c r="AL32" s="7519"/>
      <c r="AM32" s="7519"/>
      <c r="AN32" s="7519"/>
      <c r="AO32" s="7468"/>
      <c r="AP32" s="7512"/>
    </row>
    <row r="33" spans="1:42" ht="15" customHeight="1">
      <c r="A33" s="7537" t="s">
        <v>3</v>
      </c>
      <c r="B33" s="1255" t="s">
        <v>69</v>
      </c>
      <c r="C33" s="417"/>
      <c r="D33" s="417"/>
      <c r="E33" s="417">
        <v>2.8E-3</v>
      </c>
      <c r="F33" s="529">
        <v>2.8999999999999998E-3</v>
      </c>
      <c r="G33" s="529">
        <v>1.5545647568283151E-2</v>
      </c>
      <c r="H33" s="529">
        <v>2.0381638801914102E-2</v>
      </c>
      <c r="I33" s="529">
        <v>8.01684430060365E-3</v>
      </c>
      <c r="J33" s="3113">
        <v>5.7002957244327345E-3</v>
      </c>
      <c r="K33" s="3001">
        <f>년간!C77</f>
        <v>2.6533590505056692E-3</v>
      </c>
      <c r="L33" s="3000">
        <f>년간!D77</f>
        <v>2.371571042355062E-3</v>
      </c>
      <c r="M33" s="4625">
        <f>L33</f>
        <v>2.371571042355062E-3</v>
      </c>
      <c r="N33" s="5197">
        <f>년간!F77</f>
        <v>3.1425788001634143E-3</v>
      </c>
      <c r="O33" s="4625">
        <f>년간!G77</f>
        <v>1.7824830529073379E-2</v>
      </c>
      <c r="P33" s="5415">
        <f>년간!H77</f>
        <v>0</v>
      </c>
      <c r="Q33" s="5197">
        <f>년간!I77</f>
        <v>0</v>
      </c>
      <c r="R33" s="5197">
        <f>년간!J77</f>
        <v>5.2316890881913304E-3</v>
      </c>
      <c r="S33" s="5197">
        <f>년간!K77</f>
        <v>2.3845007451564829E-3</v>
      </c>
      <c r="T33" s="5197">
        <f>년간!L77</f>
        <v>1.59570224196165E-3</v>
      </c>
      <c r="U33" s="5197">
        <f>년간!M77</f>
        <v>5.7920648711265563E-4</v>
      </c>
      <c r="V33" s="5197">
        <f>년간!N77</f>
        <v>0</v>
      </c>
      <c r="W33" s="5197">
        <f>년간!O77</f>
        <v>0</v>
      </c>
      <c r="X33" s="4935" t="e">
        <f>년간!P77</f>
        <v>#DIV/0!</v>
      </c>
      <c r="Y33" s="4643" t="e">
        <f>년간!Q77</f>
        <v>#DIV/0!</v>
      </c>
      <c r="Z33" s="6974">
        <f>년간!V77</f>
        <v>3.2077666034878239E-3</v>
      </c>
      <c r="AA33" s="7523">
        <f>년간!D177/1000</f>
        <v>1759.734223895797</v>
      </c>
      <c r="AB33" s="7520">
        <f>년간!F177/1000</f>
        <v>-272.16190249851303</v>
      </c>
      <c r="AC33" s="7520">
        <f>년간!G177/1000</f>
        <v>-9921.8071541572517</v>
      </c>
      <c r="AD33" s="7520">
        <f>년간!H177/1000</f>
        <v>1381.6900092472538</v>
      </c>
      <c r="AE33" s="7520">
        <f>년간!I177/1000</f>
        <v>1545.7964958097452</v>
      </c>
      <c r="AF33" s="7520">
        <f>년간!J177/1000</f>
        <v>-1548.4699880307733</v>
      </c>
      <c r="AG33" s="7520">
        <f>년간!K177/1000</f>
        <v>158.064094260307</v>
      </c>
      <c r="AH33" s="7520">
        <f>년간!L177/1000</f>
        <v>704.65996000179916</v>
      </c>
      <c r="AI33" s="7520">
        <f>년간!M177/1000</f>
        <v>1254.6247681426287</v>
      </c>
      <c r="AJ33" s="7520">
        <f>년간!N177/1000</f>
        <v>1497.9632129506142</v>
      </c>
      <c r="AK33" s="7518">
        <f>년간!O177/1000</f>
        <v>1874.9551842045753</v>
      </c>
      <c r="AL33" s="7518">
        <v>0</v>
      </c>
      <c r="AM33" s="7518">
        <v>0</v>
      </c>
      <c r="AN33" s="7518">
        <f>AB33+AC33+AD33+AE33+AF33+AG33+AH33+AI33+AJ33+AK33+AL33</f>
        <v>-3324.6853200696146</v>
      </c>
      <c r="AO33" s="7531">
        <f>AN33/AA33</f>
        <v>-1.8893110532960156</v>
      </c>
      <c r="AP33" s="7511"/>
    </row>
    <row r="34" spans="1:42" ht="15" customHeight="1">
      <c r="A34" s="7537"/>
      <c r="B34" s="1255" t="s">
        <v>412</v>
      </c>
      <c r="C34" s="418"/>
      <c r="D34" s="418"/>
      <c r="E34" s="418">
        <f>1280/60</f>
        <v>21.333333333333332</v>
      </c>
      <c r="F34" s="530">
        <f>1180/60</f>
        <v>19.666666666666668</v>
      </c>
      <c r="G34" s="420">
        <f>[3]년간!C57/60</f>
        <v>111.16666666666667</v>
      </c>
      <c r="H34" s="531">
        <v>161</v>
      </c>
      <c r="I34" s="531">
        <v>60.916666666666671</v>
      </c>
      <c r="J34" s="2331">
        <v>41.25</v>
      </c>
      <c r="K34" s="3115">
        <f>년간!C51/60</f>
        <v>17.333333333333332</v>
      </c>
      <c r="L34" s="3002">
        <f>년간!D51/60</f>
        <v>13.833333333333334</v>
      </c>
      <c r="M34" s="4626">
        <f>L34/10</f>
        <v>1.3833333333333333</v>
      </c>
      <c r="N34" s="5198">
        <f>년간!F51/60</f>
        <v>1.6666666666666667</v>
      </c>
      <c r="O34" s="4626">
        <f>년간!G51/60</f>
        <v>11</v>
      </c>
      <c r="P34" s="5416">
        <f>년간!H51/60</f>
        <v>0</v>
      </c>
      <c r="Q34" s="5198">
        <f>년간!I51/60</f>
        <v>0</v>
      </c>
      <c r="R34" s="5198">
        <f>년간!J51/60</f>
        <v>2.9166666666666665</v>
      </c>
      <c r="S34" s="5198">
        <f>년간!K51/60</f>
        <v>1.3333333333333333</v>
      </c>
      <c r="T34" s="5198">
        <f>년간!L51/60</f>
        <v>1</v>
      </c>
      <c r="U34" s="5198">
        <f>년간!M51/60</f>
        <v>0.33333333333333331</v>
      </c>
      <c r="V34" s="5198">
        <f>년간!N51/60</f>
        <v>0</v>
      </c>
      <c r="W34" s="5198">
        <f>년간!O51/60</f>
        <v>0</v>
      </c>
      <c r="X34" s="4936">
        <f>년간!P51/60</f>
        <v>0</v>
      </c>
      <c r="Y34" s="4644">
        <f>년간!Q51/60</f>
        <v>0</v>
      </c>
      <c r="Z34" s="6685">
        <f>년간!V51/60</f>
        <v>18.25</v>
      </c>
      <c r="AA34" s="7524"/>
      <c r="AB34" s="7519"/>
      <c r="AC34" s="7519"/>
      <c r="AD34" s="7519"/>
      <c r="AE34" s="7519"/>
      <c r="AF34" s="7519"/>
      <c r="AG34" s="7519"/>
      <c r="AH34" s="7519"/>
      <c r="AI34" s="7519"/>
      <c r="AJ34" s="7519"/>
      <c r="AK34" s="7519"/>
      <c r="AL34" s="7519"/>
      <c r="AM34" s="7519"/>
      <c r="AN34" s="7519"/>
      <c r="AO34" s="7468"/>
      <c r="AP34" s="7512"/>
    </row>
    <row r="35" spans="1:42" ht="15" customHeight="1">
      <c r="A35" s="7537" t="s">
        <v>4</v>
      </c>
      <c r="B35" s="1255" t="s">
        <v>69</v>
      </c>
      <c r="C35" s="417"/>
      <c r="D35" s="417"/>
      <c r="E35" s="417">
        <v>1E-3</v>
      </c>
      <c r="F35" s="529">
        <v>5.5999999999999999E-3</v>
      </c>
      <c r="G35" s="529">
        <v>9.8335888377879977E-3</v>
      </c>
      <c r="H35" s="529">
        <v>5.5418036723685667E-3</v>
      </c>
      <c r="I35" s="529">
        <v>3.8762812030039445E-3</v>
      </c>
      <c r="J35" s="3113">
        <v>5.013839528021145E-3</v>
      </c>
      <c r="K35" s="3001">
        <f>년간!C78</f>
        <v>6.4195353896901427E-3</v>
      </c>
      <c r="L35" s="3000">
        <f>년간!D78</f>
        <v>5.8128768595041361E-3</v>
      </c>
      <c r="M35" s="4625">
        <f>L35</f>
        <v>5.8128768595041361E-3</v>
      </c>
      <c r="N35" s="5197">
        <f>년간!F78</f>
        <v>0</v>
      </c>
      <c r="O35" s="4625">
        <f>년간!G78</f>
        <v>0</v>
      </c>
      <c r="P35" s="5415">
        <f>년간!H78</f>
        <v>0</v>
      </c>
      <c r="Q35" s="5197">
        <f>년간!I78</f>
        <v>0</v>
      </c>
      <c r="R35" s="5197">
        <f>년간!J78</f>
        <v>0</v>
      </c>
      <c r="S35" s="5197">
        <f>년간!K78</f>
        <v>0</v>
      </c>
      <c r="T35" s="5197">
        <f>년간!L78</f>
        <v>0</v>
      </c>
      <c r="U35" s="5197">
        <f>년간!M78</f>
        <v>1.266654156502158E-2</v>
      </c>
      <c r="V35" s="5197">
        <f>년간!N78</f>
        <v>0</v>
      </c>
      <c r="W35" s="5197">
        <f>년간!O78</f>
        <v>0</v>
      </c>
      <c r="X35" s="4935">
        <f>년간!P78</f>
        <v>0</v>
      </c>
      <c r="Y35" s="4643" t="e">
        <f>년간!Q78</f>
        <v>#DIV/0!</v>
      </c>
      <c r="Z35" s="6974">
        <f>년간!V78</f>
        <v>1.3354998108041935E-3</v>
      </c>
      <c r="AA35" s="7523">
        <f>년간!D178/1000</f>
        <v>9076.6196449241961</v>
      </c>
      <c r="AB35" s="7520">
        <f>년간!F178/1000</f>
        <v>8771.769673453593</v>
      </c>
      <c r="AC35" s="7520">
        <f>년간!G178/1000</f>
        <v>9068.6964222929582</v>
      </c>
      <c r="AD35" s="7520">
        <f>년간!H178/1000</f>
        <v>10005.446370843059</v>
      </c>
      <c r="AE35" s="7520">
        <f>년간!I178/1000</f>
        <v>8301.0493062177284</v>
      </c>
      <c r="AF35" s="7520">
        <f>년간!J178/1000</f>
        <v>8473.6702281338221</v>
      </c>
      <c r="AG35" s="7520">
        <f>년간!K178/1000</f>
        <v>8730.7252966393062</v>
      </c>
      <c r="AH35" s="7520">
        <f>년간!L178/1000</f>
        <v>10466.316087643494</v>
      </c>
      <c r="AI35" s="7520">
        <f>년간!M178/1000</f>
        <v>-9550.30295874476</v>
      </c>
      <c r="AJ35" s="7520">
        <f>년간!N178/1000</f>
        <v>9633.7015865536468</v>
      </c>
      <c r="AK35" s="7518">
        <f>년간!O178/1000</f>
        <v>10448.725640437369</v>
      </c>
      <c r="AL35" s="7518">
        <v>0</v>
      </c>
      <c r="AM35" s="7518">
        <v>0</v>
      </c>
      <c r="AN35" s="7518">
        <f>AB35+AC35+AD35+AE35+AF35+AG35+AH35+AI35+AJ35+AK35+AL35</f>
        <v>74349.797653470217</v>
      </c>
      <c r="AO35" s="7531">
        <f>AN35/AA35</f>
        <v>8.1913532308305896</v>
      </c>
      <c r="AP35" s="7511"/>
    </row>
    <row r="36" spans="1:42" ht="15" customHeight="1">
      <c r="A36" s="7537"/>
      <c r="B36" s="1255" t="s">
        <v>412</v>
      </c>
      <c r="C36" s="418"/>
      <c r="D36" s="418"/>
      <c r="E36" s="418">
        <f>457/60</f>
        <v>7.6166666666666663</v>
      </c>
      <c r="F36" s="530">
        <f>2458/60</f>
        <v>40.966666666666669</v>
      </c>
      <c r="G36" s="420">
        <f>[3]년간!C58/60</f>
        <v>73.766666666666666</v>
      </c>
      <c r="H36" s="531">
        <v>45</v>
      </c>
      <c r="I36" s="531">
        <v>32.1</v>
      </c>
      <c r="J36" s="3114">
        <v>40.18333333333333</v>
      </c>
      <c r="K36" s="3115">
        <f>년간!C52/60</f>
        <v>48.783333333333331</v>
      </c>
      <c r="L36" s="3002">
        <f>년간!D52/60</f>
        <v>39.913636363636392</v>
      </c>
      <c r="M36" s="4626">
        <f>L36/10</f>
        <v>3.9913636363636393</v>
      </c>
      <c r="N36" s="5198">
        <f>년간!F52/60</f>
        <v>0</v>
      </c>
      <c r="O36" s="4626">
        <f>년간!G52/60</f>
        <v>0</v>
      </c>
      <c r="P36" s="5416">
        <f>년간!H52/60</f>
        <v>0</v>
      </c>
      <c r="Q36" s="5198">
        <f>년간!I52/60</f>
        <v>0</v>
      </c>
      <c r="R36" s="5198">
        <f>년간!J52/60</f>
        <v>0</v>
      </c>
      <c r="S36" s="5198">
        <f>년간!K52/60</f>
        <v>0</v>
      </c>
      <c r="T36" s="5198">
        <f>년간!L52/60</f>
        <v>0</v>
      </c>
      <c r="U36" s="5198">
        <f>년간!M52/60</f>
        <v>9</v>
      </c>
      <c r="V36" s="5198">
        <f>년간!N52/60</f>
        <v>0</v>
      </c>
      <c r="W36" s="5198">
        <f>년간!O52/60</f>
        <v>0</v>
      </c>
      <c r="X36" s="4936">
        <f>년간!P52/60</f>
        <v>0</v>
      </c>
      <c r="Y36" s="4644">
        <f>년간!Q52/60</f>
        <v>0</v>
      </c>
      <c r="Z36" s="6685">
        <f>년간!V52/60</f>
        <v>9</v>
      </c>
      <c r="AA36" s="7524"/>
      <c r="AB36" s="7519"/>
      <c r="AC36" s="7519"/>
      <c r="AD36" s="7519"/>
      <c r="AE36" s="7519"/>
      <c r="AF36" s="7519"/>
      <c r="AG36" s="7519"/>
      <c r="AH36" s="7519"/>
      <c r="AI36" s="7519"/>
      <c r="AJ36" s="7519"/>
      <c r="AK36" s="7519"/>
      <c r="AL36" s="7519"/>
      <c r="AM36" s="7519"/>
      <c r="AN36" s="7519"/>
      <c r="AO36" s="7468"/>
      <c r="AP36" s="7512"/>
    </row>
    <row r="37" spans="1:42" ht="15" customHeight="1">
      <c r="A37" s="7537" t="s">
        <v>193</v>
      </c>
      <c r="B37" s="1255" t="s">
        <v>69</v>
      </c>
      <c r="C37" s="417"/>
      <c r="D37" s="417"/>
      <c r="E37" s="417">
        <v>1.2999999999999999E-3</v>
      </c>
      <c r="F37" s="529">
        <v>2.8E-3</v>
      </c>
      <c r="G37" s="529">
        <v>3.3812298394808307E-3</v>
      </c>
      <c r="H37" s="529">
        <v>6.6225311755655093E-3</v>
      </c>
      <c r="I37" s="529">
        <v>4.1395934849379626E-3</v>
      </c>
      <c r="J37" s="3113">
        <v>5.4898913885470632E-4</v>
      </c>
      <c r="K37" s="3001">
        <f>년간!C79</f>
        <v>2.0967431609878961E-3</v>
      </c>
      <c r="L37" s="3000">
        <f>년간!D79</f>
        <v>1.8178336557059963E-3</v>
      </c>
      <c r="M37" s="4625">
        <f>L37</f>
        <v>1.8178336557059963E-3</v>
      </c>
      <c r="N37" s="5197">
        <f>년간!F79</f>
        <v>0</v>
      </c>
      <c r="O37" s="4625">
        <f>년간!G79</f>
        <v>1.6923814627817109E-3</v>
      </c>
      <c r="P37" s="5415">
        <f>년간!H79</f>
        <v>0</v>
      </c>
      <c r="Q37" s="5197">
        <f>년간!I79</f>
        <v>3.7927003506948954E-3</v>
      </c>
      <c r="R37" s="5197">
        <f>년간!J79</f>
        <v>4.216269841269841E-3</v>
      </c>
      <c r="S37" s="5197">
        <f>년간!K79</f>
        <v>0</v>
      </c>
      <c r="T37" s="5197">
        <f>년간!L79</f>
        <v>0</v>
      </c>
      <c r="U37" s="5197">
        <f>년간!M79</f>
        <v>0</v>
      </c>
      <c r="V37" s="5197">
        <f>년간!N79</f>
        <v>0</v>
      </c>
      <c r="W37" s="5197">
        <f>년간!O79</f>
        <v>0</v>
      </c>
      <c r="X37" s="4935">
        <f>년간!P79</f>
        <v>4.4497810425201297E-3</v>
      </c>
      <c r="Y37" s="4643">
        <f>년간!Q79</f>
        <v>6.9493521790341579E-3</v>
      </c>
      <c r="Z37" s="6974">
        <f>년간!V79</f>
        <v>1.7792858029544421E-3</v>
      </c>
      <c r="AA37" s="7523">
        <f>년간!D179/1000</f>
        <v>2001.469605158866</v>
      </c>
      <c r="AB37" s="7520">
        <f>년간!F179/1000</f>
        <v>1304.1698993321559</v>
      </c>
      <c r="AC37" s="7520">
        <f>년간!G179/1000</f>
        <v>216.51557336350555</v>
      </c>
      <c r="AD37" s="7520">
        <f>년간!H179/1000</f>
        <v>1206.3488949730922</v>
      </c>
      <c r="AE37" s="7520">
        <f>년간!I179/1000</f>
        <v>-1002.430315745377</v>
      </c>
      <c r="AF37" s="7520">
        <f>년간!J179/1000</f>
        <v>-1328.7344081926656</v>
      </c>
      <c r="AG37" s="7520">
        <f>년간!K179/1000</f>
        <v>1345.993519439128</v>
      </c>
      <c r="AH37" s="7520">
        <f>년간!L179/1000</f>
        <v>1427.8047798415278</v>
      </c>
      <c r="AI37" s="7520">
        <f>년간!M179/1000</f>
        <v>1190.8532253636608</v>
      </c>
      <c r="AJ37" s="7520">
        <f>년간!N179/1000</f>
        <v>1250.1553732765319</v>
      </c>
      <c r="AK37" s="7518">
        <f>년간!O179/1000</f>
        <v>1361.0485538937887</v>
      </c>
      <c r="AL37" s="7518">
        <f>년간!P179/1000</f>
        <v>-1518.3501217254939</v>
      </c>
      <c r="AM37" s="7518">
        <f>년간!Q179/1000</f>
        <v>-3007.0101167596017</v>
      </c>
      <c r="AN37" s="7518">
        <f>AB37+AC37+AD37+AE37+AF37+AG37+AH37+AI37+AJ37+AK37+AL37</f>
        <v>5453.374973819853</v>
      </c>
      <c r="AO37" s="7531">
        <f>AN37/AA37</f>
        <v>2.7246853810637774</v>
      </c>
      <c r="AP37" s="7511"/>
    </row>
    <row r="38" spans="1:42" ht="15" customHeight="1">
      <c r="A38" s="7537"/>
      <c r="B38" s="1255" t="s">
        <v>412</v>
      </c>
      <c r="C38" s="418"/>
      <c r="D38" s="418"/>
      <c r="E38" s="418">
        <f>525/60</f>
        <v>8.75</v>
      </c>
      <c r="F38" s="530">
        <f>1144/60</f>
        <v>19.066666666666666</v>
      </c>
      <c r="G38" s="420">
        <f>[3]년간!C59/60</f>
        <v>22.1</v>
      </c>
      <c r="H38" s="531">
        <v>50</v>
      </c>
      <c r="I38" s="531">
        <v>32</v>
      </c>
      <c r="J38" s="3114">
        <v>3.9333333333333331</v>
      </c>
      <c r="K38" s="3115">
        <f>년간!C53/60</f>
        <v>15.983333333333333</v>
      </c>
      <c r="L38" s="3002">
        <f>년간!D53/60</f>
        <v>13.949090909090909</v>
      </c>
      <c r="M38" s="4626">
        <f>L38/12</f>
        <v>1.1624242424242424</v>
      </c>
      <c r="N38" s="5198">
        <f>년간!F53/60</f>
        <v>0</v>
      </c>
      <c r="O38" s="4626">
        <f>년간!G53/60</f>
        <v>1</v>
      </c>
      <c r="P38" s="5416">
        <f>년간!H53/60</f>
        <v>0</v>
      </c>
      <c r="Q38" s="5198">
        <f>년간!I53/60</f>
        <v>2.4333333333333331</v>
      </c>
      <c r="R38" s="5198">
        <f>년간!J53/60</f>
        <v>2.8333333333333335</v>
      </c>
      <c r="S38" s="5198">
        <f>년간!K53/60</f>
        <v>0</v>
      </c>
      <c r="T38" s="5198">
        <f>년간!L53/60</f>
        <v>0</v>
      </c>
      <c r="U38" s="5198">
        <f>년간!M53/60</f>
        <v>0</v>
      </c>
      <c r="V38" s="5198">
        <f>년간!N53/60</f>
        <v>0</v>
      </c>
      <c r="W38" s="5198">
        <f>년간!O53/60</f>
        <v>0</v>
      </c>
      <c r="X38" s="4936">
        <f>년간!P53/60</f>
        <v>3.15</v>
      </c>
      <c r="Y38" s="4644">
        <f>년간!Q53/60</f>
        <v>4.916666666666667</v>
      </c>
      <c r="Z38" s="6685">
        <f>년간!V53/60</f>
        <v>14.333333333333334</v>
      </c>
      <c r="AA38" s="7524"/>
      <c r="AB38" s="7519"/>
      <c r="AC38" s="7519"/>
      <c r="AD38" s="7519"/>
      <c r="AE38" s="7519"/>
      <c r="AF38" s="7519"/>
      <c r="AG38" s="7519"/>
      <c r="AH38" s="7519"/>
      <c r="AI38" s="7519"/>
      <c r="AJ38" s="7519"/>
      <c r="AK38" s="7519"/>
      <c r="AL38" s="7519"/>
      <c r="AM38" s="7519"/>
      <c r="AN38" s="7519"/>
      <c r="AO38" s="7468"/>
      <c r="AP38" s="7512"/>
    </row>
    <row r="39" spans="1:42" ht="15" customHeight="1">
      <c r="A39" s="7537" t="s">
        <v>17</v>
      </c>
      <c r="B39" s="1255" t="s">
        <v>69</v>
      </c>
      <c r="C39" s="417"/>
      <c r="D39" s="417"/>
      <c r="E39" s="417">
        <v>1.4E-3</v>
      </c>
      <c r="F39" s="529">
        <v>5.0000000000000001E-4</v>
      </c>
      <c r="G39" s="529">
        <v>3.912183272805402E-3</v>
      </c>
      <c r="H39" s="529">
        <v>1.5023938141438692E-3</v>
      </c>
      <c r="I39" s="529">
        <v>1.9165359412900164E-3</v>
      </c>
      <c r="J39" s="3113">
        <v>6.0399218627208838E-4</v>
      </c>
      <c r="K39" s="3001">
        <f>년간!C80</f>
        <v>1.2594320268737344E-3</v>
      </c>
      <c r="L39" s="3000">
        <f>년간!D80</f>
        <v>1.032548323201967E-3</v>
      </c>
      <c r="M39" s="4625">
        <f>L39</f>
        <v>1.032548323201967E-3</v>
      </c>
      <c r="N39" s="4625">
        <f>년간!F80</f>
        <v>0</v>
      </c>
      <c r="O39" s="4625">
        <f>년간!G80</f>
        <v>1.6975268339818757E-3</v>
      </c>
      <c r="P39" s="5415">
        <f>년간!H80</f>
        <v>0</v>
      </c>
      <c r="Q39" s="5197">
        <f>년간!I80</f>
        <v>0</v>
      </c>
      <c r="R39" s="5197">
        <f>년간!J80</f>
        <v>0</v>
      </c>
      <c r="S39" s="5197">
        <f>년간!K80</f>
        <v>0</v>
      </c>
      <c r="T39" s="5197">
        <f>년간!L80</f>
        <v>0</v>
      </c>
      <c r="U39" s="5197">
        <f>년간!M80</f>
        <v>1.412070377587619E-3</v>
      </c>
      <c r="V39" s="5197">
        <f>년간!N80</f>
        <v>3.4674988663946013E-3</v>
      </c>
      <c r="W39" s="5197">
        <f>년간!O80</f>
        <v>0</v>
      </c>
      <c r="X39" s="4935">
        <f>년간!P80</f>
        <v>0</v>
      </c>
      <c r="Y39" s="4643">
        <f>년간!Q80</f>
        <v>0</v>
      </c>
      <c r="Z39" s="6974">
        <f>년간!V80</f>
        <v>5.2741707711914025E-4</v>
      </c>
      <c r="AA39" s="7523">
        <f>년간!D180/1000</f>
        <v>2019.7475528672908</v>
      </c>
      <c r="AB39" s="7520">
        <f>년간!F180/1000</f>
        <v>865.79116543596729</v>
      </c>
      <c r="AC39" s="7520">
        <f>년간!G180/1000</f>
        <v>-287.40390853110955</v>
      </c>
      <c r="AD39" s="7520">
        <f>년간!H180/1000</f>
        <v>694.20893876817513</v>
      </c>
      <c r="AE39" s="7520">
        <f>년간!I180/1000</f>
        <v>767.75590500689702</v>
      </c>
      <c r="AF39" s="7520">
        <f>년간!J180/1000</f>
        <v>726.74143239088357</v>
      </c>
      <c r="AG39" s="7520">
        <f>년간!K180/1000</f>
        <v>884.69777022426968</v>
      </c>
      <c r="AH39" s="7520">
        <f>년간!L180/1000</f>
        <v>845.07871995876781</v>
      </c>
      <c r="AI39" s="7520">
        <f>년간!M180/1000</f>
        <v>-88.522639641709233</v>
      </c>
      <c r="AJ39" s="7532">
        <f>년간!N180/1000</f>
        <v>-1325.1812058953494</v>
      </c>
      <c r="AK39" s="7521">
        <f>년간!O180/1000</f>
        <v>835.39284717286466</v>
      </c>
      <c r="AL39" s="7521">
        <f>년간!P180/1000</f>
        <v>870.49729571612363</v>
      </c>
      <c r="AM39" s="7521">
        <f>년간!Q180/1000</f>
        <v>872.30313640502095</v>
      </c>
      <c r="AN39" s="7518">
        <f>AB39+AC39+AD39+AE39+AF39+AG39+AH39+AI39+AJ39+AK39+AL39</f>
        <v>4789.0563206057814</v>
      </c>
      <c r="AO39" s="7531">
        <f>AN39/AA39</f>
        <v>2.3711162881752728</v>
      </c>
      <c r="AP39" s="7511"/>
    </row>
    <row r="40" spans="1:42" ht="15" customHeight="1">
      <c r="A40" s="7537"/>
      <c r="B40" s="1255" t="s">
        <v>412</v>
      </c>
      <c r="C40" s="419"/>
      <c r="D40" s="419"/>
      <c r="E40" s="419">
        <f>575/60</f>
        <v>9.5833333333333339</v>
      </c>
      <c r="F40" s="531">
        <f>171/60</f>
        <v>2.85</v>
      </c>
      <c r="G40" s="420">
        <v>12</v>
      </c>
      <c r="H40" s="531">
        <v>3.75</v>
      </c>
      <c r="I40" s="531">
        <v>12.533333333333331</v>
      </c>
      <c r="J40" s="3114">
        <v>4.4833333333333334</v>
      </c>
      <c r="K40" s="3115">
        <f>년간!C54/60</f>
        <v>9.5666666666666664</v>
      </c>
      <c r="L40" s="3002">
        <f>년간!D54/60</f>
        <v>7.7672727272727267</v>
      </c>
      <c r="M40" s="4626">
        <f>L40/12</f>
        <v>0.64727272727272722</v>
      </c>
      <c r="N40" s="5201">
        <f>년간!F54/60</f>
        <v>0</v>
      </c>
      <c r="O40" s="5201">
        <f>년간!G54/60</f>
        <v>1.0833333333333333</v>
      </c>
      <c r="P40" s="5417">
        <f>년간!H54/60</f>
        <v>0</v>
      </c>
      <c r="Q40" s="5201">
        <f>년간!I54/60</f>
        <v>0</v>
      </c>
      <c r="R40" s="5201">
        <f>년간!J54/60</f>
        <v>0</v>
      </c>
      <c r="S40" s="5899">
        <f>년간!K54/60</f>
        <v>0</v>
      </c>
      <c r="T40" s="5201">
        <f>년간!L54/60</f>
        <v>0</v>
      </c>
      <c r="U40" s="5201">
        <f>년간!M54/60</f>
        <v>0.83333333333333337</v>
      </c>
      <c r="V40" s="5201">
        <f>년간!N54/60</f>
        <v>2.1666666666666665</v>
      </c>
      <c r="W40" s="5201">
        <f>년간!O54/60</f>
        <v>0</v>
      </c>
      <c r="X40" s="5897">
        <f>년간!P54/60</f>
        <v>0</v>
      </c>
      <c r="Y40" s="5713">
        <f>년간!Q54/60</f>
        <v>0</v>
      </c>
      <c r="Z40" s="6685">
        <f>년간!V54/60</f>
        <v>4.083333333333333</v>
      </c>
      <c r="AA40" s="7524"/>
      <c r="AB40" s="7519"/>
      <c r="AC40" s="7519"/>
      <c r="AD40" s="7519"/>
      <c r="AE40" s="7519"/>
      <c r="AF40" s="7519"/>
      <c r="AG40" s="7519"/>
      <c r="AH40" s="7519"/>
      <c r="AI40" s="7519"/>
      <c r="AJ40" s="7522"/>
      <c r="AK40" s="7522"/>
      <c r="AL40" s="7522"/>
      <c r="AM40" s="7522"/>
      <c r="AN40" s="7519"/>
      <c r="AO40" s="7468"/>
      <c r="AP40" s="7512"/>
    </row>
    <row r="41" spans="1:42" ht="15" customHeight="1" thickBot="1">
      <c r="A41" s="7508" t="s">
        <v>31</v>
      </c>
      <c r="B41" s="7508"/>
      <c r="C41" s="1181"/>
      <c r="D41" s="1181"/>
      <c r="E41" s="1181"/>
      <c r="F41" s="1256">
        <f t="shared" ref="F41:Z41" si="32">F32+F34+F36+F38+F40</f>
        <v>100.33333333333333</v>
      </c>
      <c r="G41" s="1256">
        <f t="shared" si="32"/>
        <v>326.43333333333334</v>
      </c>
      <c r="H41" s="1256">
        <v>352.75</v>
      </c>
      <c r="I41" s="1256">
        <f>I32+I34+I36+I38+I40</f>
        <v>165.48333333333335</v>
      </c>
      <c r="J41" s="2823">
        <f>J32+J34+J36+J38+J40</f>
        <v>107.60000000000001</v>
      </c>
      <c r="K41" s="2823">
        <f>K32+K34+K36+K38+K40</f>
        <v>99.833333333333329</v>
      </c>
      <c r="L41" s="3004">
        <f t="shared" si="32"/>
        <v>80.675454545454571</v>
      </c>
      <c r="M41" s="2334">
        <f t="shared" si="32"/>
        <v>7.7056060606060628</v>
      </c>
      <c r="N41" s="5202">
        <f t="shared" si="32"/>
        <v>3.3333333333333335</v>
      </c>
      <c r="O41" s="5202">
        <f t="shared" si="32"/>
        <v>14.333333333333334</v>
      </c>
      <c r="P41" s="5202">
        <f t="shared" si="32"/>
        <v>0</v>
      </c>
      <c r="Q41" s="5202">
        <f t="shared" si="32"/>
        <v>4.2666666666666666</v>
      </c>
      <c r="R41" s="5202">
        <f t="shared" si="32"/>
        <v>5.75</v>
      </c>
      <c r="S41" s="5900">
        <f t="shared" si="32"/>
        <v>1.3833333333333333</v>
      </c>
      <c r="T41" s="5202">
        <f t="shared" si="32"/>
        <v>1</v>
      </c>
      <c r="U41" s="5202">
        <f t="shared" si="32"/>
        <v>10.166666666666668</v>
      </c>
      <c r="V41" s="5202">
        <f t="shared" si="32"/>
        <v>7.5</v>
      </c>
      <c r="W41" s="5202">
        <f t="shared" si="32"/>
        <v>2.1666666666666665</v>
      </c>
      <c r="X41" s="5896">
        <f t="shared" si="32"/>
        <v>3.15</v>
      </c>
      <c r="Y41" s="4647">
        <f t="shared" si="32"/>
        <v>4.916666666666667</v>
      </c>
      <c r="Z41" s="6688">
        <f t="shared" si="32"/>
        <v>57.966666666666669</v>
      </c>
      <c r="AA41" s="1498">
        <f>AA39+AA37+AA35+AA33+AA31</f>
        <v>17151.387498760356</v>
      </c>
      <c r="AB41" s="1253">
        <f>SUM(AB31:AB40)</f>
        <v>9622.6583324029743</v>
      </c>
      <c r="AC41" s="1253">
        <f t="shared" ref="AC41:AM41" si="33">SUM(AC31:AC40)</f>
        <v>-1474.3778610271029</v>
      </c>
      <c r="AD41" s="1253">
        <f t="shared" si="33"/>
        <v>13977.111708165256</v>
      </c>
      <c r="AE41" s="1253">
        <f t="shared" si="33"/>
        <v>8314.8006461417681</v>
      </c>
      <c r="AF41" s="1253">
        <f t="shared" si="33"/>
        <v>7093.3568830767108</v>
      </c>
      <c r="AG41" s="1253">
        <f t="shared" si="33"/>
        <v>11911.490695510793</v>
      </c>
      <c r="AH41" s="1253">
        <f t="shared" si="33"/>
        <v>14384.621119852472</v>
      </c>
      <c r="AI41" s="1253">
        <f t="shared" si="33"/>
        <v>-6374.1198241239472</v>
      </c>
      <c r="AJ41" s="1253">
        <f t="shared" si="33"/>
        <v>6049.9785651366892</v>
      </c>
      <c r="AK41" s="1253">
        <f t="shared" si="33"/>
        <v>13078.830225487935</v>
      </c>
      <c r="AL41" s="1253">
        <f t="shared" si="33"/>
        <v>-647.85282600937023</v>
      </c>
      <c r="AM41" s="1253">
        <f t="shared" si="33"/>
        <v>-2134.706980354581</v>
      </c>
      <c r="AN41" s="1253">
        <f>SUM(AN31:AN40)</f>
        <v>75936.497664614173</v>
      </c>
      <c r="AO41" s="1254">
        <f>AN41/AA41</f>
        <v>4.4274259251680137</v>
      </c>
      <c r="AP41" s="1181"/>
    </row>
    <row r="42" spans="1:42" ht="15" customHeight="1">
      <c r="A42" s="424"/>
      <c r="B42" s="424"/>
      <c r="C42" s="425"/>
      <c r="D42" s="425"/>
      <c r="E42" s="425"/>
      <c r="F42" s="448"/>
      <c r="G42" s="534"/>
      <c r="H42" s="448"/>
      <c r="I42" s="448"/>
      <c r="J42" s="448"/>
      <c r="K42" s="448"/>
      <c r="L42" s="448"/>
      <c r="M42" s="448"/>
      <c r="N42" s="448"/>
      <c r="O42" s="448"/>
      <c r="P42" s="448"/>
      <c r="Q42" s="448"/>
      <c r="R42" s="448"/>
      <c r="S42" s="448"/>
      <c r="T42" s="425"/>
      <c r="U42" s="425"/>
      <c r="V42" s="425"/>
      <c r="W42" s="425"/>
      <c r="X42" s="425"/>
      <c r="Y42" s="425"/>
      <c r="Z42" s="425"/>
      <c r="AA42" s="426"/>
    </row>
    <row r="43" spans="1:42" ht="15" customHeight="1" thickBot="1">
      <c r="A43" s="304" t="s">
        <v>631</v>
      </c>
    </row>
    <row r="44" spans="1:42" ht="15" customHeight="1" thickBot="1">
      <c r="A44" s="7526" t="s">
        <v>0</v>
      </c>
      <c r="B44" s="7526"/>
      <c r="C44" s="7508" t="s">
        <v>408</v>
      </c>
      <c r="D44" s="7508" t="s">
        <v>409</v>
      </c>
      <c r="E44" s="7508" t="s">
        <v>410</v>
      </c>
      <c r="F44" s="7508" t="s">
        <v>411</v>
      </c>
      <c r="G44" s="7508" t="s">
        <v>407</v>
      </c>
      <c r="H44" s="7508" t="s">
        <v>1165</v>
      </c>
      <c r="I44" s="7508" t="s">
        <v>1166</v>
      </c>
      <c r="J44" s="7586" t="s">
        <v>1167</v>
      </c>
      <c r="K44" s="7589" t="s">
        <v>1181</v>
      </c>
      <c r="L44" s="7516" t="s">
        <v>1280</v>
      </c>
      <c r="M44" s="7337" t="s">
        <v>916</v>
      </c>
      <c r="N44" s="7527" t="s">
        <v>1342</v>
      </c>
      <c r="O44" s="7528"/>
      <c r="P44" s="7528"/>
      <c r="Q44" s="7528"/>
      <c r="R44" s="7528"/>
      <c r="S44" s="7528"/>
      <c r="T44" s="7528"/>
      <c r="U44" s="7528"/>
      <c r="V44" s="7528"/>
      <c r="W44" s="7528"/>
      <c r="X44" s="7528"/>
      <c r="Y44" s="7528"/>
      <c r="Z44" s="7367"/>
      <c r="AA44" s="7526"/>
      <c r="AB44" s="7526"/>
      <c r="AC44" s="7526"/>
      <c r="AD44" s="7526"/>
      <c r="AE44" s="7526"/>
      <c r="AF44" s="7526"/>
      <c r="AG44" s="7526"/>
      <c r="AH44" s="7526"/>
      <c r="AI44" s="7526"/>
      <c r="AJ44" s="7526"/>
      <c r="AK44" s="7526"/>
      <c r="AL44" s="7526"/>
      <c r="AM44" s="7526"/>
      <c r="AN44" s="7508" t="s">
        <v>461</v>
      </c>
      <c r="AO44" s="7508" t="s">
        <v>365</v>
      </c>
      <c r="AP44" s="7526" t="s">
        <v>344</v>
      </c>
    </row>
    <row r="45" spans="1:42" ht="15" customHeight="1">
      <c r="A45" s="7526"/>
      <c r="B45" s="7526"/>
      <c r="C45" s="7508"/>
      <c r="D45" s="7508"/>
      <c r="E45" s="7508"/>
      <c r="F45" s="7508"/>
      <c r="G45" s="7508"/>
      <c r="H45" s="7508"/>
      <c r="I45" s="7508"/>
      <c r="J45" s="7586"/>
      <c r="K45" s="7589"/>
      <c r="L45" s="7525"/>
      <c r="M45" s="7585"/>
      <c r="N45" s="5196" t="s">
        <v>413</v>
      </c>
      <c r="O45" s="5196" t="s">
        <v>372</v>
      </c>
      <c r="P45" s="5292" t="s">
        <v>373</v>
      </c>
      <c r="Q45" s="5458" t="s">
        <v>374</v>
      </c>
      <c r="R45" s="5699" t="s">
        <v>375</v>
      </c>
      <c r="S45" s="5876" t="s">
        <v>376</v>
      </c>
      <c r="T45" s="6088" t="s">
        <v>377</v>
      </c>
      <c r="U45" s="6603" t="s">
        <v>378</v>
      </c>
      <c r="V45" s="6833" t="s">
        <v>379</v>
      </c>
      <c r="W45" s="6964" t="s">
        <v>380</v>
      </c>
      <c r="X45" s="4934" t="s">
        <v>381</v>
      </c>
      <c r="Y45" s="4642" t="s">
        <v>382</v>
      </c>
      <c r="Z45" s="4621" t="s">
        <v>1268</v>
      </c>
      <c r="AA45" s="1305" t="s">
        <v>195</v>
      </c>
      <c r="AB45" s="1252" t="s">
        <v>414</v>
      </c>
      <c r="AC45" s="1252" t="s">
        <v>383</v>
      </c>
      <c r="AD45" s="1252" t="s">
        <v>384</v>
      </c>
      <c r="AE45" s="1252" t="s">
        <v>385</v>
      </c>
      <c r="AF45" s="1252" t="s">
        <v>386</v>
      </c>
      <c r="AG45" s="1252" t="s">
        <v>387</v>
      </c>
      <c r="AH45" s="1252" t="s">
        <v>388</v>
      </c>
      <c r="AI45" s="1252" t="s">
        <v>389</v>
      </c>
      <c r="AJ45" s="1252" t="s">
        <v>390</v>
      </c>
      <c r="AK45" s="7036" t="s">
        <v>391</v>
      </c>
      <c r="AL45" s="7036" t="s">
        <v>392</v>
      </c>
      <c r="AM45" s="7036" t="s">
        <v>393</v>
      </c>
      <c r="AN45" s="7508"/>
      <c r="AO45" s="7508"/>
      <c r="AP45" s="7526"/>
    </row>
    <row r="46" spans="1:42" ht="15" customHeight="1">
      <c r="A46" s="7535" t="s">
        <v>2</v>
      </c>
      <c r="B46" s="7536"/>
      <c r="C46" s="427"/>
      <c r="D46" s="427">
        <v>23</v>
      </c>
      <c r="E46" s="427">
        <v>19</v>
      </c>
      <c r="F46" s="427">
        <v>19</v>
      </c>
      <c r="G46" s="524">
        <v>61</v>
      </c>
      <c r="H46" s="532">
        <v>51</v>
      </c>
      <c r="I46" s="767">
        <v>20</v>
      </c>
      <c r="J46" s="2822">
        <v>10</v>
      </c>
      <c r="K46" s="2231">
        <f>년간!C40</f>
        <v>3</v>
      </c>
      <c r="L46" s="2820">
        <f>년간!D40</f>
        <v>3</v>
      </c>
      <c r="M46" s="4624">
        <f>L46/10</f>
        <v>0.3</v>
      </c>
      <c r="N46" s="5199">
        <f>년간!F40</f>
        <v>1</v>
      </c>
      <c r="O46" s="5199">
        <f>년간!G40</f>
        <v>2</v>
      </c>
      <c r="P46" s="5414">
        <f>년간!H40</f>
        <v>0</v>
      </c>
      <c r="Q46" s="5199">
        <f>년간!I40</f>
        <v>1</v>
      </c>
      <c r="R46" s="5199">
        <f>년간!J40</f>
        <v>0</v>
      </c>
      <c r="S46" s="5199">
        <f>년간!K40</f>
        <v>1</v>
      </c>
      <c r="T46" s="5199">
        <f>년간!L40</f>
        <v>0</v>
      </c>
      <c r="U46" s="5199">
        <f>년간!M40</f>
        <v>0</v>
      </c>
      <c r="V46" s="5199">
        <f>년간!N40</f>
        <v>1</v>
      </c>
      <c r="W46" s="5199">
        <f>년간!O40</f>
        <v>1</v>
      </c>
      <c r="X46" s="4933">
        <f>년간!P40</f>
        <v>0</v>
      </c>
      <c r="Y46" s="4645">
        <f>년간!Q40</f>
        <v>0</v>
      </c>
      <c r="Z46" s="6975">
        <f>년간!V40</f>
        <v>7</v>
      </c>
      <c r="AA46" s="1306"/>
      <c r="AB46" s="416"/>
      <c r="AC46" s="416"/>
      <c r="AD46" s="416"/>
      <c r="AE46" s="416"/>
      <c r="AF46" s="416"/>
      <c r="AG46" s="416"/>
      <c r="AH46" s="416"/>
      <c r="AI46" s="416"/>
      <c r="AJ46" s="416"/>
      <c r="AK46" s="416"/>
      <c r="AL46" s="416"/>
      <c r="AM46" s="416"/>
      <c r="AN46" s="748"/>
      <c r="AO46" s="366"/>
      <c r="AP46" s="348"/>
    </row>
    <row r="47" spans="1:42" ht="15" customHeight="1">
      <c r="A47" s="7535" t="s">
        <v>3</v>
      </c>
      <c r="B47" s="7536"/>
      <c r="C47" s="427"/>
      <c r="D47" s="427"/>
      <c r="E47" s="427">
        <v>21</v>
      </c>
      <c r="F47" s="427">
        <v>26</v>
      </c>
      <c r="G47" s="524">
        <v>67</v>
      </c>
      <c r="H47" s="532">
        <v>73</v>
      </c>
      <c r="I47" s="767">
        <v>26</v>
      </c>
      <c r="J47" s="2822">
        <v>22</v>
      </c>
      <c r="K47" s="2231">
        <f>년간!C41</f>
        <v>7</v>
      </c>
      <c r="L47" s="2820">
        <f>년간!D41</f>
        <v>6</v>
      </c>
      <c r="M47" s="4624">
        <f>L47/10</f>
        <v>0.6</v>
      </c>
      <c r="N47" s="5199">
        <f>년간!F41</f>
        <v>1</v>
      </c>
      <c r="O47" s="5199">
        <f>년간!G41</f>
        <v>2</v>
      </c>
      <c r="P47" s="5414">
        <f>년간!H41</f>
        <v>0</v>
      </c>
      <c r="Q47" s="5199">
        <f>년간!I41</f>
        <v>0</v>
      </c>
      <c r="R47" s="5199">
        <f>년간!J41</f>
        <v>1</v>
      </c>
      <c r="S47" s="5199">
        <f>년간!K41</f>
        <v>1</v>
      </c>
      <c r="T47" s="5199">
        <f>년간!L41</f>
        <v>1</v>
      </c>
      <c r="U47" s="5199">
        <f>년간!M41</f>
        <v>1</v>
      </c>
      <c r="V47" s="5199">
        <f>년간!N41</f>
        <v>0</v>
      </c>
      <c r="W47" s="5199">
        <f>년간!O41</f>
        <v>0</v>
      </c>
      <c r="X47" s="4933">
        <f>년간!P41</f>
        <v>0</v>
      </c>
      <c r="Y47" s="4645">
        <f>년간!Q41</f>
        <v>0</v>
      </c>
      <c r="Z47" s="6975">
        <f>년간!V41</f>
        <v>7</v>
      </c>
      <c r="AA47" s="1306"/>
      <c r="AB47" s="416"/>
      <c r="AC47" s="416"/>
      <c r="AD47" s="416"/>
      <c r="AE47" s="416"/>
      <c r="AF47" s="416"/>
      <c r="AG47" s="416"/>
      <c r="AH47" s="416"/>
      <c r="AI47" s="416"/>
      <c r="AJ47" s="416"/>
      <c r="AK47" s="416"/>
      <c r="AL47" s="416"/>
      <c r="AM47" s="416"/>
      <c r="AN47" s="748"/>
      <c r="AO47" s="366"/>
      <c r="AP47" s="348"/>
    </row>
    <row r="48" spans="1:42" ht="15" customHeight="1">
      <c r="A48" s="7535" t="s">
        <v>4</v>
      </c>
      <c r="B48" s="7536"/>
      <c r="C48" s="427"/>
      <c r="D48" s="427"/>
      <c r="E48" s="427">
        <v>14</v>
      </c>
      <c r="F48" s="427">
        <v>26</v>
      </c>
      <c r="G48" s="524">
        <v>35</v>
      </c>
      <c r="H48" s="532">
        <v>27</v>
      </c>
      <c r="I48" s="767">
        <v>15</v>
      </c>
      <c r="J48" s="2822">
        <v>13</v>
      </c>
      <c r="K48" s="2231">
        <f>년간!C42</f>
        <v>18</v>
      </c>
      <c r="L48" s="2820">
        <f>년간!D42</f>
        <v>10</v>
      </c>
      <c r="M48" s="4624">
        <f>L48/10</f>
        <v>1</v>
      </c>
      <c r="N48" s="5199">
        <f>년간!F42</f>
        <v>0</v>
      </c>
      <c r="O48" s="5203">
        <f>년간!G42</f>
        <v>0</v>
      </c>
      <c r="P48" s="5414">
        <f>년간!H42</f>
        <v>0</v>
      </c>
      <c r="Q48" s="5199">
        <f>년간!I42</f>
        <v>0</v>
      </c>
      <c r="R48" s="5199">
        <f>년간!J42</f>
        <v>0</v>
      </c>
      <c r="S48" s="5199">
        <f>년간!K42</f>
        <v>0</v>
      </c>
      <c r="T48" s="5199">
        <f>년간!L42</f>
        <v>0</v>
      </c>
      <c r="U48" s="5199">
        <f>년간!M42</f>
        <v>3</v>
      </c>
      <c r="V48" s="5199">
        <f>년간!N42</f>
        <v>0</v>
      </c>
      <c r="W48" s="5199">
        <f>년간!O42</f>
        <v>0</v>
      </c>
      <c r="X48" s="4933">
        <f>년간!P42</f>
        <v>0</v>
      </c>
      <c r="Y48" s="4645">
        <f>년간!Q42</f>
        <v>0</v>
      </c>
      <c r="Z48" s="6975">
        <f>년간!V42</f>
        <v>3</v>
      </c>
      <c r="AA48" s="1499">
        <f>년간!D188/1000</f>
        <v>23946.25199958248</v>
      </c>
      <c r="AB48" s="387">
        <f>년간!F188/1000</f>
        <v>4489.9222499217149</v>
      </c>
      <c r="AC48" s="387">
        <f>년간!G188/1000</f>
        <v>4489.9222499217149</v>
      </c>
      <c r="AD48" s="387">
        <f>년간!H188/1000</f>
        <v>4489.9222499217149</v>
      </c>
      <c r="AE48" s="387">
        <f>년간!I188/1000</f>
        <v>4489.9222499217149</v>
      </c>
      <c r="AF48" s="387">
        <f>년간!J188/1000</f>
        <v>4489.9222499217149</v>
      </c>
      <c r="AG48" s="387">
        <f>년간!K188/1000</f>
        <v>4489.9222499217149</v>
      </c>
      <c r="AH48" s="387">
        <f>년간!L188/1000</f>
        <v>4489.9222499217149</v>
      </c>
      <c r="AI48" s="387">
        <f>년간!M188/1000</f>
        <v>-4489.9222499217149</v>
      </c>
      <c r="AJ48" s="387">
        <f>년간!N188/1000</f>
        <v>4489.9222499217149</v>
      </c>
      <c r="AK48" s="387">
        <f>년간!O188/1000</f>
        <v>4489.9222499217149</v>
      </c>
      <c r="AL48" s="387">
        <v>0</v>
      </c>
      <c r="AM48" s="387">
        <f>년간!Q188/1000</f>
        <v>4489.9222499217149</v>
      </c>
      <c r="AN48" s="894">
        <f>AB48+AC48+AD48+AE48+AF48+AG48+AH48+AI48+AJ48+AK48+AL48</f>
        <v>35919.377999373719</v>
      </c>
      <c r="AO48" s="366">
        <f>AN48/AA48</f>
        <v>1.5</v>
      </c>
      <c r="AP48" s="348"/>
    </row>
    <row r="49" spans="1:42" ht="15" customHeight="1">
      <c r="A49" s="7535" t="s">
        <v>193</v>
      </c>
      <c r="B49" s="7536"/>
      <c r="C49" s="427"/>
      <c r="D49" s="427"/>
      <c r="E49" s="427">
        <v>10</v>
      </c>
      <c r="F49" s="427">
        <v>14</v>
      </c>
      <c r="G49" s="524">
        <v>19</v>
      </c>
      <c r="H49" s="532">
        <v>30</v>
      </c>
      <c r="I49" s="767">
        <v>12</v>
      </c>
      <c r="J49" s="2822">
        <v>4</v>
      </c>
      <c r="K49" s="2231">
        <f>년간!C43</f>
        <v>6</v>
      </c>
      <c r="L49" s="2820">
        <f>년간!D43</f>
        <v>6</v>
      </c>
      <c r="M49" s="4624">
        <f>L49/12</f>
        <v>0.5</v>
      </c>
      <c r="N49" s="5199">
        <f>년간!F43</f>
        <v>0</v>
      </c>
      <c r="O49" s="5199">
        <f>년간!G43</f>
        <v>1</v>
      </c>
      <c r="P49" s="5414">
        <f>년간!H43</f>
        <v>0</v>
      </c>
      <c r="Q49" s="5199">
        <f>년간!I43</f>
        <v>3</v>
      </c>
      <c r="R49" s="5199">
        <f>년간!J43</f>
        <v>1</v>
      </c>
      <c r="S49" s="5199">
        <f>년간!K43</f>
        <v>0</v>
      </c>
      <c r="T49" s="5199">
        <f>년간!L43</f>
        <v>0</v>
      </c>
      <c r="U49" s="5199">
        <f>년간!M43</f>
        <v>0</v>
      </c>
      <c r="V49" s="5199">
        <f>년간!N43</f>
        <v>0</v>
      </c>
      <c r="W49" s="5199">
        <f>년간!O43</f>
        <v>0</v>
      </c>
      <c r="X49" s="4933">
        <f>년간!P43</f>
        <v>1</v>
      </c>
      <c r="Y49" s="4645">
        <f>년간!Q43</f>
        <v>3</v>
      </c>
      <c r="Z49" s="6975">
        <f>년간!V43</f>
        <v>9</v>
      </c>
      <c r="AA49" s="1499">
        <f>년간!D189/1000</f>
        <v>0</v>
      </c>
      <c r="AB49" s="387">
        <f>년간!F189/1000</f>
        <v>615.99574902017991</v>
      </c>
      <c r="AC49" s="387">
        <f>년간!G189/1000</f>
        <v>-615.99574902017991</v>
      </c>
      <c r="AD49" s="387">
        <f>년간!H189/1000</f>
        <v>615.99574902017991</v>
      </c>
      <c r="AE49" s="387">
        <f>년간!I189/1000</f>
        <v>-3079.9787451008997</v>
      </c>
      <c r="AF49" s="387">
        <f>년간!J189/1000</f>
        <v>-615.99574902017991</v>
      </c>
      <c r="AG49" s="387">
        <f>년간!K189/1000</f>
        <v>615.99574902017991</v>
      </c>
      <c r="AH49" s="387">
        <f>년간!L189/1000</f>
        <v>615.99574902017991</v>
      </c>
      <c r="AI49" s="387">
        <f>년간!M189/1000</f>
        <v>615.99574902017991</v>
      </c>
      <c r="AJ49" s="387">
        <f>년간!N189/1000</f>
        <v>615.99574902017991</v>
      </c>
      <c r="AK49" s="387">
        <f>년간!O189/1000</f>
        <v>615.99574902017991</v>
      </c>
      <c r="AL49" s="387">
        <f>년간!P189/1000</f>
        <v>-615.99574902017991</v>
      </c>
      <c r="AM49" s="387">
        <f>년간!Q189/1000</f>
        <v>-3079.9787451008997</v>
      </c>
      <c r="AN49" s="894">
        <f>AB49+AC49+AD49+AE49+AF49+AG49+AH49+AI49+AJ49+AK49+AL49</f>
        <v>-615.99574902017969</v>
      </c>
      <c r="AO49" s="366" t="e">
        <f>AN49/AA49</f>
        <v>#DIV/0!</v>
      </c>
      <c r="AP49" s="348"/>
    </row>
    <row r="50" spans="1:42" ht="15" customHeight="1">
      <c r="A50" s="7535" t="s">
        <v>17</v>
      </c>
      <c r="B50" s="7536"/>
      <c r="C50" s="427"/>
      <c r="D50" s="427"/>
      <c r="E50" s="427">
        <v>7</v>
      </c>
      <c r="F50" s="427">
        <v>4</v>
      </c>
      <c r="G50" s="524">
        <v>13</v>
      </c>
      <c r="H50" s="532">
        <v>5</v>
      </c>
      <c r="I50" s="767">
        <v>14</v>
      </c>
      <c r="J50" s="2822">
        <v>3</v>
      </c>
      <c r="K50" s="2231">
        <f>년간!C44</f>
        <v>6</v>
      </c>
      <c r="L50" s="2820">
        <f>년간!D44</f>
        <v>3</v>
      </c>
      <c r="M50" s="4624">
        <f>L50/12</f>
        <v>0.25</v>
      </c>
      <c r="N50" s="5199">
        <f>년간!F44</f>
        <v>0</v>
      </c>
      <c r="O50" s="4733">
        <f>년간!G44</f>
        <v>1</v>
      </c>
      <c r="P50" s="5414">
        <f>년간!H44</f>
        <v>0</v>
      </c>
      <c r="Q50" s="5199">
        <f>년간!I44</f>
        <v>0</v>
      </c>
      <c r="R50" s="5199">
        <f>년간!J44</f>
        <v>0</v>
      </c>
      <c r="S50" s="5199">
        <f>년간!K44</f>
        <v>0</v>
      </c>
      <c r="T50" s="5199">
        <f>년간!L44</f>
        <v>0</v>
      </c>
      <c r="U50" s="5199">
        <f>년간!M44</f>
        <v>1</v>
      </c>
      <c r="V50" s="5199">
        <f>년간!N44</f>
        <v>2</v>
      </c>
      <c r="W50" s="5199">
        <f>년간!O44</f>
        <v>0</v>
      </c>
      <c r="X50" s="4933">
        <f>년간!P44</f>
        <v>0</v>
      </c>
      <c r="Y50" s="4645">
        <f>년간!Q44</f>
        <v>0</v>
      </c>
      <c r="Z50" s="6975">
        <f>년간!V44</f>
        <v>4</v>
      </c>
      <c r="AA50" s="1499">
        <f>년간!D190/1000</f>
        <v>2197.6806874191598</v>
      </c>
      <c r="AB50" s="387">
        <f>년간!F190/1000</f>
        <v>366.28011456985996</v>
      </c>
      <c r="AC50" s="387">
        <f>년간!G190/1000</f>
        <v>-366.28011456985996</v>
      </c>
      <c r="AD50" s="387">
        <f>년간!H190/1000</f>
        <v>366.28011456985996</v>
      </c>
      <c r="AE50" s="387">
        <f>년간!I190/1000</f>
        <v>366.28011456985996</v>
      </c>
      <c r="AF50" s="387">
        <f>년간!J190/1000</f>
        <v>366.28011456985996</v>
      </c>
      <c r="AG50" s="387">
        <f>년간!K190/1000</f>
        <v>366.28011456985996</v>
      </c>
      <c r="AH50" s="387">
        <f>년간!L190/1000</f>
        <v>366.28011456985996</v>
      </c>
      <c r="AI50" s="387">
        <f>년간!M190/1000</f>
        <v>-366.28011456985996</v>
      </c>
      <c r="AJ50" s="387">
        <f>년간!N190/1000</f>
        <v>-1098.8403437095799</v>
      </c>
      <c r="AK50" s="387">
        <f>년간!O190/1000</f>
        <v>366.28011456985996</v>
      </c>
      <c r="AL50" s="387">
        <f>년간!P190/1000</f>
        <v>366.28011456985996</v>
      </c>
      <c r="AM50" s="387">
        <f>년간!Q190/1000</f>
        <v>366.28011456985996</v>
      </c>
      <c r="AN50" s="894">
        <f>AB50+AC50+AD50+AE50+AF50+AG50+AH50+AI50+AJ50+AK50+AL50</f>
        <v>1098.8403437095799</v>
      </c>
      <c r="AO50" s="366"/>
      <c r="AP50" s="348"/>
    </row>
    <row r="51" spans="1:42" ht="15" customHeight="1" thickBot="1">
      <c r="A51" s="7508" t="s">
        <v>31</v>
      </c>
      <c r="B51" s="7508"/>
      <c r="C51" s="1181"/>
      <c r="D51" s="1181"/>
      <c r="E51" s="5574">
        <f>SUM(E46:E50)</f>
        <v>71</v>
      </c>
      <c r="F51" s="1181">
        <f>SUM(F46:F50)</f>
        <v>89</v>
      </c>
      <c r="G51" s="1181">
        <f>SUM(G46:G50)</f>
        <v>195</v>
      </c>
      <c r="H51" s="1182">
        <v>186</v>
      </c>
      <c r="I51" s="1181">
        <f t="shared" ref="I51:N51" si="34">SUM(I46:I50)</f>
        <v>87</v>
      </c>
      <c r="J51" s="1575">
        <f t="shared" si="34"/>
        <v>52</v>
      </c>
      <c r="K51" s="2232">
        <f t="shared" si="34"/>
        <v>40</v>
      </c>
      <c r="L51" s="2983">
        <f t="shared" si="34"/>
        <v>28</v>
      </c>
      <c r="M51" s="4627">
        <f t="shared" si="34"/>
        <v>2.65</v>
      </c>
      <c r="N51" s="5200">
        <f t="shared" si="34"/>
        <v>2</v>
      </c>
      <c r="O51" s="5252">
        <f t="shared" ref="O51:Z51" si="35">SUM(O46:O50)</f>
        <v>6</v>
      </c>
      <c r="P51" s="5200">
        <f t="shared" si="35"/>
        <v>0</v>
      </c>
      <c r="Q51" s="5200">
        <f t="shared" si="35"/>
        <v>4</v>
      </c>
      <c r="R51" s="5200">
        <f t="shared" si="35"/>
        <v>2</v>
      </c>
      <c r="S51" s="5281">
        <f t="shared" si="35"/>
        <v>2</v>
      </c>
      <c r="T51" s="5200">
        <f t="shared" si="35"/>
        <v>1</v>
      </c>
      <c r="U51" s="5200">
        <f t="shared" si="35"/>
        <v>5</v>
      </c>
      <c r="V51" s="5200">
        <f t="shared" si="35"/>
        <v>3</v>
      </c>
      <c r="W51" s="5200">
        <f t="shared" si="35"/>
        <v>1</v>
      </c>
      <c r="X51" s="5895">
        <f t="shared" si="35"/>
        <v>1</v>
      </c>
      <c r="Y51" s="4646">
        <f t="shared" si="35"/>
        <v>3</v>
      </c>
      <c r="Z51" s="4623">
        <f t="shared" si="35"/>
        <v>30</v>
      </c>
      <c r="AA51" s="1498">
        <f>SUM(AA46:AA50)</f>
        <v>26143.932687001641</v>
      </c>
      <c r="AB51" s="1253">
        <f>SUM(AB48:AB50)</f>
        <v>5472.1981135117549</v>
      </c>
      <c r="AC51" s="1253">
        <f>SUM(AC48:AC50)</f>
        <v>3507.6463863316749</v>
      </c>
      <c r="AD51" s="1253">
        <f>SUM(AD48:AD49)</f>
        <v>5105.9179989418944</v>
      </c>
      <c r="AE51" s="1253">
        <f t="shared" ref="AE51:AM51" si="36">SUM(AE48:AE49)</f>
        <v>1409.9435048208152</v>
      </c>
      <c r="AF51" s="1253">
        <f t="shared" si="36"/>
        <v>3873.9265009015348</v>
      </c>
      <c r="AG51" s="1253">
        <f t="shared" si="36"/>
        <v>5105.9179989418944</v>
      </c>
      <c r="AH51" s="1253">
        <f t="shared" si="36"/>
        <v>5105.9179989418944</v>
      </c>
      <c r="AI51" s="1253">
        <f t="shared" si="36"/>
        <v>-3873.9265009015348</v>
      </c>
      <c r="AJ51" s="1253">
        <f t="shared" si="36"/>
        <v>5105.9179989418944</v>
      </c>
      <c r="AK51" s="1253">
        <f t="shared" si="36"/>
        <v>5105.9179989418944</v>
      </c>
      <c r="AL51" s="1253">
        <f t="shared" si="36"/>
        <v>-615.99574902017991</v>
      </c>
      <c r="AM51" s="1253">
        <f t="shared" si="36"/>
        <v>1409.9435048208152</v>
      </c>
      <c r="AN51" s="1253">
        <f>SUM(AN48:AN50)</f>
        <v>36402.222594063118</v>
      </c>
      <c r="AO51" s="1254">
        <f>AN51/AA51</f>
        <v>1.3923774601883725</v>
      </c>
      <c r="AP51" s="1181"/>
    </row>
    <row r="52" spans="1:42" ht="15" customHeight="1">
      <c r="A52" s="429"/>
      <c r="B52" s="429"/>
      <c r="C52" s="105"/>
      <c r="D52" s="105"/>
      <c r="E52" s="105"/>
      <c r="F52" s="105"/>
      <c r="G52" s="105"/>
      <c r="H52" s="430"/>
      <c r="I52" s="430"/>
      <c r="J52" s="430"/>
      <c r="K52" s="430"/>
      <c r="L52" s="430"/>
      <c r="M52" s="430"/>
      <c r="N52" s="430"/>
      <c r="O52" s="430"/>
      <c r="P52" s="105"/>
      <c r="Q52" s="105"/>
      <c r="R52" s="105"/>
      <c r="S52" s="105"/>
      <c r="T52" s="105">
        <f>T51+T87</f>
        <v>6</v>
      </c>
      <c r="U52" s="105">
        <f>U51+U87</f>
        <v>11</v>
      </c>
      <c r="V52" s="105">
        <f>V51+V87</f>
        <v>12</v>
      </c>
      <c r="W52" s="105">
        <f>W51+W87</f>
        <v>4</v>
      </c>
      <c r="X52" s="105"/>
      <c r="Y52" s="105"/>
      <c r="Z52" s="105"/>
      <c r="AA52" s="431"/>
      <c r="AB52" s="432"/>
      <c r="AC52" s="432"/>
      <c r="AD52" s="432"/>
      <c r="AE52" s="432"/>
      <c r="AF52" s="432"/>
      <c r="AG52" s="432"/>
      <c r="AH52" s="432"/>
      <c r="AI52" s="432"/>
      <c r="AJ52" s="432"/>
      <c r="AK52" s="432"/>
      <c r="AL52" s="432"/>
      <c r="AM52" s="432"/>
      <c r="AN52" s="432"/>
      <c r="AO52" s="331"/>
      <c r="AP52" s="433"/>
    </row>
    <row r="53" spans="1:42" ht="15" customHeight="1" thickBot="1">
      <c r="A53" s="304" t="s">
        <v>632</v>
      </c>
      <c r="C53" s="105"/>
      <c r="D53" s="105"/>
      <c r="E53" s="105"/>
      <c r="F53" s="105"/>
      <c r="G53" s="105"/>
      <c r="H53" s="430"/>
      <c r="I53" s="430"/>
      <c r="J53" s="430"/>
      <c r="K53" s="430"/>
      <c r="L53" s="430"/>
      <c r="M53" s="430"/>
      <c r="N53" s="430"/>
      <c r="O53" s="430"/>
      <c r="P53" s="105"/>
      <c r="Q53" s="105"/>
      <c r="R53" s="105"/>
      <c r="S53" s="105"/>
      <c r="T53" s="434">
        <f t="shared" ref="T53:Y53" si="37">T41+T77</f>
        <v>15.333333333333334</v>
      </c>
      <c r="U53" s="434">
        <f t="shared" si="37"/>
        <v>27.583333333333336</v>
      </c>
      <c r="V53" s="434">
        <f t="shared" si="37"/>
        <v>23.35</v>
      </c>
      <c r="W53" s="434">
        <f t="shared" si="37"/>
        <v>10</v>
      </c>
      <c r="X53" s="434">
        <f t="shared" si="37"/>
        <v>3.15</v>
      </c>
      <c r="Y53" s="434">
        <f t="shared" si="37"/>
        <v>11.833333333333334</v>
      </c>
      <c r="Z53" s="434"/>
      <c r="AA53" s="434"/>
      <c r="AB53" s="432"/>
      <c r="AC53" s="432"/>
      <c r="AD53" s="432"/>
      <c r="AE53" s="432"/>
      <c r="AF53" s="432"/>
      <c r="AG53" s="432"/>
      <c r="AH53" s="432"/>
      <c r="AI53" s="432"/>
      <c r="AJ53" s="432"/>
      <c r="AK53" s="432"/>
      <c r="AL53" s="432"/>
      <c r="AM53" s="432"/>
      <c r="AN53" s="432"/>
      <c r="AO53" s="331"/>
      <c r="AP53" s="433"/>
    </row>
    <row r="54" spans="1:42" ht="15" customHeight="1" thickBot="1">
      <c r="A54" s="7132" t="s">
        <v>0</v>
      </c>
      <c r="B54" s="7220"/>
      <c r="C54" s="7229" t="s">
        <v>408</v>
      </c>
      <c r="D54" s="7229" t="s">
        <v>409</v>
      </c>
      <c r="E54" s="7229" t="s">
        <v>410</v>
      </c>
      <c r="F54" s="7229" t="s">
        <v>411</v>
      </c>
      <c r="G54" s="7229" t="s">
        <v>407</v>
      </c>
      <c r="H54" s="7229" t="s">
        <v>1165</v>
      </c>
      <c r="I54" s="7229" t="s">
        <v>1166</v>
      </c>
      <c r="J54" s="7567" t="s">
        <v>1167</v>
      </c>
      <c r="K54" s="7567" t="s">
        <v>1181</v>
      </c>
      <c r="L54" s="7516" t="s">
        <v>1280</v>
      </c>
      <c r="M54" s="7337" t="s">
        <v>916</v>
      </c>
      <c r="N54" s="7527" t="s">
        <v>1342</v>
      </c>
      <c r="O54" s="7528"/>
      <c r="P54" s="7528"/>
      <c r="Q54" s="7528"/>
      <c r="R54" s="7528"/>
      <c r="S54" s="7528"/>
      <c r="T54" s="7528"/>
      <c r="U54" s="7528"/>
      <c r="V54" s="7528"/>
      <c r="W54" s="7528"/>
      <c r="X54" s="7528"/>
      <c r="Y54" s="7528"/>
      <c r="Z54" s="7367"/>
      <c r="AA54" s="7526"/>
      <c r="AB54" s="7526"/>
      <c r="AC54" s="7526"/>
      <c r="AD54" s="7526"/>
      <c r="AE54" s="7526"/>
      <c r="AF54" s="7526"/>
      <c r="AG54" s="7526"/>
      <c r="AH54" s="7526"/>
      <c r="AI54" s="7526"/>
      <c r="AJ54" s="7526"/>
      <c r="AK54" s="7526"/>
      <c r="AL54" s="7526"/>
      <c r="AM54" s="7526"/>
      <c r="AN54" s="7508" t="s">
        <v>461</v>
      </c>
      <c r="AO54" s="7508" t="s">
        <v>365</v>
      </c>
      <c r="AP54" s="7526" t="s">
        <v>287</v>
      </c>
    </row>
    <row r="55" spans="1:42" ht="15" customHeight="1" thickBot="1">
      <c r="A55" s="7544"/>
      <c r="B55" s="7545"/>
      <c r="C55" s="7515"/>
      <c r="D55" s="7515"/>
      <c r="E55" s="7515"/>
      <c r="F55" s="7515"/>
      <c r="G55" s="7515"/>
      <c r="H55" s="7515"/>
      <c r="I55" s="7515"/>
      <c r="J55" s="7587"/>
      <c r="K55" s="7587"/>
      <c r="L55" s="7517"/>
      <c r="M55" s="7335"/>
      <c r="N55" s="5196" t="s">
        <v>419</v>
      </c>
      <c r="O55" s="5196" t="s">
        <v>372</v>
      </c>
      <c r="P55" s="5292" t="s">
        <v>373</v>
      </c>
      <c r="Q55" s="5458" t="s">
        <v>374</v>
      </c>
      <c r="R55" s="5699" t="s">
        <v>375</v>
      </c>
      <c r="S55" s="5876" t="s">
        <v>376</v>
      </c>
      <c r="T55" s="6088" t="s">
        <v>377</v>
      </c>
      <c r="U55" s="6603" t="s">
        <v>378</v>
      </c>
      <c r="V55" s="6833" t="s">
        <v>379</v>
      </c>
      <c r="W55" s="6964" t="s">
        <v>380</v>
      </c>
      <c r="X55" s="4934" t="s">
        <v>381</v>
      </c>
      <c r="Y55" s="4642" t="s">
        <v>382</v>
      </c>
      <c r="Z55" s="4621" t="s">
        <v>1268</v>
      </c>
      <c r="AA55" s="1252" t="s">
        <v>195</v>
      </c>
      <c r="AB55" s="1252" t="s">
        <v>414</v>
      </c>
      <c r="AC55" s="1252" t="s">
        <v>383</v>
      </c>
      <c r="AD55" s="1252" t="s">
        <v>384</v>
      </c>
      <c r="AE55" s="1252" t="s">
        <v>385</v>
      </c>
      <c r="AF55" s="1252" t="s">
        <v>386</v>
      </c>
      <c r="AG55" s="1252" t="s">
        <v>387</v>
      </c>
      <c r="AH55" s="1252" t="s">
        <v>388</v>
      </c>
      <c r="AI55" s="1252" t="s">
        <v>389</v>
      </c>
      <c r="AJ55" s="1252" t="s">
        <v>390</v>
      </c>
      <c r="AK55" s="7036" t="s">
        <v>391</v>
      </c>
      <c r="AL55" s="7036" t="s">
        <v>392</v>
      </c>
      <c r="AM55" s="7036" t="s">
        <v>393</v>
      </c>
      <c r="AN55" s="7508"/>
      <c r="AO55" s="7508"/>
      <c r="AP55" s="7526"/>
    </row>
    <row r="56" spans="1:42" ht="15" customHeight="1">
      <c r="A56" s="7542" t="s">
        <v>2</v>
      </c>
      <c r="B56" s="7543"/>
      <c r="C56" s="2824"/>
      <c r="D56" s="2824">
        <v>23</v>
      </c>
      <c r="E56" s="2824">
        <v>19</v>
      </c>
      <c r="F56" s="2824"/>
      <c r="G56" s="2824"/>
      <c r="H56" s="2824">
        <v>9</v>
      </c>
      <c r="I56" s="2824">
        <v>1</v>
      </c>
      <c r="J56" s="2825">
        <v>6</v>
      </c>
      <c r="K56" s="2825">
        <v>6</v>
      </c>
      <c r="L56" s="2826">
        <f>L125+L135</f>
        <v>4</v>
      </c>
      <c r="M56" s="4628">
        <f>L56/12</f>
        <v>0.33333333333333331</v>
      </c>
      <c r="N56" s="5199">
        <f>N125+N135</f>
        <v>1</v>
      </c>
      <c r="O56" s="5199">
        <v>0</v>
      </c>
      <c r="P56" s="5199">
        <f t="shared" ref="P56:Y56" si="38">P125+P135</f>
        <v>2</v>
      </c>
      <c r="Q56" s="5199">
        <f t="shared" si="38"/>
        <v>0</v>
      </c>
      <c r="R56" s="5199">
        <f t="shared" si="38"/>
        <v>0</v>
      </c>
      <c r="S56" s="5199">
        <f t="shared" si="38"/>
        <v>2</v>
      </c>
      <c r="T56" s="5199">
        <f t="shared" si="38"/>
        <v>1</v>
      </c>
      <c r="U56" s="5199">
        <f t="shared" si="38"/>
        <v>2</v>
      </c>
      <c r="V56" s="5199">
        <f t="shared" si="38"/>
        <v>0</v>
      </c>
      <c r="W56" s="5199">
        <f t="shared" si="38"/>
        <v>0</v>
      </c>
      <c r="X56" s="4933">
        <f t="shared" si="38"/>
        <v>0</v>
      </c>
      <c r="Y56" s="4645">
        <f t="shared" si="38"/>
        <v>0</v>
      </c>
      <c r="Z56" s="4622">
        <f>SUM(N56:Y56)</f>
        <v>8</v>
      </c>
      <c r="AA56" s="3408">
        <f>AA125+AA135</f>
        <v>13475</v>
      </c>
      <c r="AB56" s="832">
        <f t="shared" ref="AB56:AM56" si="39">AB125+AB135</f>
        <v>0</v>
      </c>
      <c r="AC56" s="832">
        <f t="shared" si="39"/>
        <v>2000</v>
      </c>
      <c r="AD56" s="832">
        <f t="shared" si="39"/>
        <v>0</v>
      </c>
      <c r="AE56" s="832">
        <f t="shared" si="39"/>
        <v>0</v>
      </c>
      <c r="AF56" s="832">
        <f t="shared" si="39"/>
        <v>0</v>
      </c>
      <c r="AG56" s="832">
        <f t="shared" si="39"/>
        <v>0</v>
      </c>
      <c r="AH56" s="832">
        <f t="shared" si="39"/>
        <v>0</v>
      </c>
      <c r="AI56" s="832">
        <f t="shared" si="39"/>
        <v>8200</v>
      </c>
      <c r="AJ56" s="832">
        <f t="shared" si="39"/>
        <v>0</v>
      </c>
      <c r="AK56" s="832">
        <f t="shared" si="39"/>
        <v>0</v>
      </c>
      <c r="AL56" s="832">
        <f t="shared" si="39"/>
        <v>0</v>
      </c>
      <c r="AM56" s="832">
        <f t="shared" si="39"/>
        <v>0</v>
      </c>
      <c r="AN56" s="428">
        <f>SUM(AB56:AM56)</f>
        <v>10200</v>
      </c>
      <c r="AO56" s="366">
        <f t="shared" ref="AO56:AO61" si="40">AN56/AA56</f>
        <v>0.7569573283858998</v>
      </c>
      <c r="AP56" s="435"/>
    </row>
    <row r="57" spans="1:42" ht="15" customHeight="1">
      <c r="A57" s="7535" t="s">
        <v>3</v>
      </c>
      <c r="B57" s="7536"/>
      <c r="C57" s="427"/>
      <c r="D57" s="427"/>
      <c r="E57" s="427">
        <v>21</v>
      </c>
      <c r="F57" s="427"/>
      <c r="G57" s="524"/>
      <c r="H57" s="427">
        <v>10</v>
      </c>
      <c r="I57" s="532">
        <v>5</v>
      </c>
      <c r="J57" s="1690">
        <v>7</v>
      </c>
      <c r="K57" s="2231">
        <v>8</v>
      </c>
      <c r="L57" s="2826">
        <f>L126+L136</f>
        <v>4</v>
      </c>
      <c r="M57" s="4629">
        <f>L57/12</f>
        <v>0.33333333333333331</v>
      </c>
      <c r="N57" s="5199">
        <f t="shared" ref="N57:Y60" si="41">N126+N136</f>
        <v>0</v>
      </c>
      <c r="O57" s="5199">
        <f t="shared" si="41"/>
        <v>0</v>
      </c>
      <c r="P57" s="5199">
        <f t="shared" si="41"/>
        <v>0</v>
      </c>
      <c r="Q57" s="5199">
        <f t="shared" si="41"/>
        <v>1</v>
      </c>
      <c r="R57" s="5199">
        <f t="shared" si="41"/>
        <v>0</v>
      </c>
      <c r="S57" s="5199">
        <f t="shared" si="41"/>
        <v>1</v>
      </c>
      <c r="T57" s="5199">
        <f t="shared" si="41"/>
        <v>0</v>
      </c>
      <c r="U57" s="5199">
        <f t="shared" si="41"/>
        <v>0</v>
      </c>
      <c r="V57" s="5199">
        <f t="shared" si="41"/>
        <v>1</v>
      </c>
      <c r="W57" s="5199">
        <f t="shared" si="41"/>
        <v>0</v>
      </c>
      <c r="X57" s="4933">
        <f t="shared" si="41"/>
        <v>0</v>
      </c>
      <c r="Y57" s="4645">
        <f t="shared" si="41"/>
        <v>0</v>
      </c>
      <c r="Z57" s="4622">
        <f>SUM(N57:Y57)</f>
        <v>3</v>
      </c>
      <c r="AA57" s="3408">
        <f t="shared" ref="AA57:AM57" si="42">AA126+AA136</f>
        <v>62368</v>
      </c>
      <c r="AB57" s="832">
        <f t="shared" si="42"/>
        <v>0</v>
      </c>
      <c r="AC57" s="832">
        <f t="shared" si="42"/>
        <v>0</v>
      </c>
      <c r="AD57" s="832">
        <f t="shared" si="42"/>
        <v>0</v>
      </c>
      <c r="AE57" s="832">
        <f>AE126+AE136</f>
        <v>9739</v>
      </c>
      <c r="AF57" s="832">
        <f t="shared" si="42"/>
        <v>0</v>
      </c>
      <c r="AG57" s="832">
        <f t="shared" si="42"/>
        <v>0</v>
      </c>
      <c r="AH57" s="832">
        <f t="shared" si="42"/>
        <v>0</v>
      </c>
      <c r="AI57" s="832">
        <f t="shared" si="42"/>
        <v>0</v>
      </c>
      <c r="AJ57" s="832">
        <f t="shared" si="42"/>
        <v>35239</v>
      </c>
      <c r="AK57" s="832">
        <f t="shared" si="42"/>
        <v>0</v>
      </c>
      <c r="AL57" s="832">
        <f t="shared" si="42"/>
        <v>0</v>
      </c>
      <c r="AM57" s="832">
        <f t="shared" si="42"/>
        <v>0</v>
      </c>
      <c r="AN57" s="428">
        <f>SUM(AB57:AM57)</f>
        <v>44978</v>
      </c>
      <c r="AO57" s="366">
        <f t="shared" si="40"/>
        <v>0.72117111339148277</v>
      </c>
      <c r="AP57" s="435"/>
    </row>
    <row r="58" spans="1:42" ht="15" customHeight="1">
      <c r="A58" s="7535" t="s">
        <v>4</v>
      </c>
      <c r="B58" s="7536"/>
      <c r="C58" s="427"/>
      <c r="D58" s="427"/>
      <c r="E58" s="427">
        <v>14</v>
      </c>
      <c r="F58" s="427"/>
      <c r="G58" s="524"/>
      <c r="H58" s="427">
        <v>13</v>
      </c>
      <c r="I58" s="532">
        <v>3</v>
      </c>
      <c r="J58" s="1690">
        <v>8</v>
      </c>
      <c r="K58" s="2231">
        <v>8</v>
      </c>
      <c r="L58" s="2826">
        <f>L127+L137</f>
        <v>7</v>
      </c>
      <c r="M58" s="4629">
        <f>L58/12</f>
        <v>0.58333333333333337</v>
      </c>
      <c r="N58" s="5199">
        <f t="shared" si="41"/>
        <v>0</v>
      </c>
      <c r="O58" s="5199">
        <f t="shared" si="41"/>
        <v>0</v>
      </c>
      <c r="P58" s="5199">
        <f t="shared" si="41"/>
        <v>1</v>
      </c>
      <c r="Q58" s="5199">
        <f t="shared" si="41"/>
        <v>1</v>
      </c>
      <c r="R58" s="5199">
        <f t="shared" si="41"/>
        <v>2</v>
      </c>
      <c r="S58" s="5199">
        <f t="shared" si="41"/>
        <v>3</v>
      </c>
      <c r="T58" s="5199">
        <f t="shared" si="41"/>
        <v>0</v>
      </c>
      <c r="U58" s="5199">
        <f t="shared" si="41"/>
        <v>1</v>
      </c>
      <c r="V58" s="5199">
        <f t="shared" si="41"/>
        <v>0</v>
      </c>
      <c r="W58" s="5199">
        <f t="shared" si="41"/>
        <v>0</v>
      </c>
      <c r="X58" s="4933">
        <f t="shared" si="41"/>
        <v>0</v>
      </c>
      <c r="Y58" s="4645">
        <f t="shared" si="41"/>
        <v>0</v>
      </c>
      <c r="Z58" s="4622">
        <f>SUM(N58:Y58)</f>
        <v>8</v>
      </c>
      <c r="AA58" s="3408">
        <f t="shared" ref="AA58:AL58" si="43">AA127+AA137</f>
        <v>88174</v>
      </c>
      <c r="AB58" s="832">
        <f t="shared" si="43"/>
        <v>0</v>
      </c>
      <c r="AC58" s="832">
        <f t="shared" si="43"/>
        <v>0</v>
      </c>
      <c r="AD58" s="832">
        <f t="shared" si="43"/>
        <v>6485</v>
      </c>
      <c r="AE58" s="832">
        <f t="shared" si="43"/>
        <v>0</v>
      </c>
      <c r="AF58" s="832">
        <v>0</v>
      </c>
      <c r="AG58" s="832">
        <v>0</v>
      </c>
      <c r="AH58" s="832">
        <v>0</v>
      </c>
      <c r="AI58" s="832">
        <f t="shared" si="43"/>
        <v>0</v>
      </c>
      <c r="AJ58" s="832">
        <f t="shared" si="43"/>
        <v>0</v>
      </c>
      <c r="AK58" s="832">
        <f t="shared" si="43"/>
        <v>0</v>
      </c>
      <c r="AL58" s="832">
        <f t="shared" si="43"/>
        <v>0</v>
      </c>
      <c r="AM58" s="832">
        <v>0</v>
      </c>
      <c r="AN58" s="428">
        <f>SUM(AB58:AM58)</f>
        <v>6485</v>
      </c>
      <c r="AO58" s="366">
        <f t="shared" si="40"/>
        <v>7.3547757842447881E-2</v>
      </c>
      <c r="AP58" s="435"/>
    </row>
    <row r="59" spans="1:42" ht="15" customHeight="1">
      <c r="A59" s="7535" t="s">
        <v>193</v>
      </c>
      <c r="B59" s="7536"/>
      <c r="C59" s="427"/>
      <c r="D59" s="427"/>
      <c r="E59" s="427">
        <v>10</v>
      </c>
      <c r="F59" s="427"/>
      <c r="G59" s="524"/>
      <c r="H59" s="427">
        <v>7</v>
      </c>
      <c r="I59" s="532">
        <v>3</v>
      </c>
      <c r="J59" s="1690">
        <v>8</v>
      </c>
      <c r="K59" s="2231">
        <v>7</v>
      </c>
      <c r="L59" s="2826">
        <f>L128+L138</f>
        <v>1</v>
      </c>
      <c r="M59" s="4629">
        <f>L59/12</f>
        <v>8.3333333333333329E-2</v>
      </c>
      <c r="N59" s="5199">
        <f t="shared" si="41"/>
        <v>0</v>
      </c>
      <c r="O59" s="5199">
        <v>0</v>
      </c>
      <c r="P59" s="5199">
        <f t="shared" si="41"/>
        <v>0</v>
      </c>
      <c r="Q59" s="5199">
        <f t="shared" si="41"/>
        <v>0</v>
      </c>
      <c r="R59" s="5199">
        <f t="shared" si="41"/>
        <v>2</v>
      </c>
      <c r="S59" s="5199">
        <f t="shared" si="41"/>
        <v>1</v>
      </c>
      <c r="T59" s="5199">
        <f t="shared" si="41"/>
        <v>1</v>
      </c>
      <c r="U59" s="5199">
        <f t="shared" si="41"/>
        <v>3</v>
      </c>
      <c r="V59" s="5199">
        <f t="shared" si="41"/>
        <v>0</v>
      </c>
      <c r="W59" s="5199">
        <f t="shared" si="41"/>
        <v>0</v>
      </c>
      <c r="X59" s="4933">
        <f t="shared" si="41"/>
        <v>0</v>
      </c>
      <c r="Y59" s="4645">
        <f t="shared" si="41"/>
        <v>0</v>
      </c>
      <c r="Z59" s="4622">
        <f>SUM(N59:Y59)</f>
        <v>7</v>
      </c>
      <c r="AA59" s="3408">
        <f t="shared" ref="AA59:AM60" si="44">AA128+AA138</f>
        <v>29611</v>
      </c>
      <c r="AB59" s="832">
        <f t="shared" si="44"/>
        <v>0</v>
      </c>
      <c r="AC59" s="832">
        <f t="shared" si="44"/>
        <v>0</v>
      </c>
      <c r="AD59" s="832">
        <f t="shared" si="44"/>
        <v>0</v>
      </c>
      <c r="AE59" s="832">
        <f t="shared" si="44"/>
        <v>0</v>
      </c>
      <c r="AF59" s="832">
        <f t="shared" si="44"/>
        <v>4433</v>
      </c>
      <c r="AG59" s="832">
        <f t="shared" si="44"/>
        <v>0</v>
      </c>
      <c r="AH59" s="832">
        <f t="shared" si="44"/>
        <v>0</v>
      </c>
      <c r="AI59" s="832">
        <f t="shared" si="44"/>
        <v>3000</v>
      </c>
      <c r="AJ59" s="832">
        <f t="shared" si="44"/>
        <v>0</v>
      </c>
      <c r="AK59" s="832">
        <f t="shared" si="44"/>
        <v>0</v>
      </c>
      <c r="AL59" s="832">
        <f t="shared" si="44"/>
        <v>0</v>
      </c>
      <c r="AM59" s="832">
        <f t="shared" si="44"/>
        <v>0</v>
      </c>
      <c r="AN59" s="428">
        <f>SUM(AB59:AM59)</f>
        <v>7433</v>
      </c>
      <c r="AO59" s="366">
        <f t="shared" si="40"/>
        <v>0.25102157981831075</v>
      </c>
      <c r="AP59" s="435"/>
    </row>
    <row r="60" spans="1:42" ht="15" customHeight="1" thickBot="1">
      <c r="A60" s="7538" t="s">
        <v>17</v>
      </c>
      <c r="B60" s="7539"/>
      <c r="C60" s="2827"/>
      <c r="D60" s="2827"/>
      <c r="E60" s="2827">
        <v>7</v>
      </c>
      <c r="F60" s="2827"/>
      <c r="G60" s="2827"/>
      <c r="H60" s="2827">
        <v>5</v>
      </c>
      <c r="I60" s="2827">
        <v>0</v>
      </c>
      <c r="J60" s="2233">
        <v>28</v>
      </c>
      <c r="K60" s="2233">
        <v>6</v>
      </c>
      <c r="L60" s="2826">
        <f>L129+L139</f>
        <v>8</v>
      </c>
      <c r="M60" s="4629">
        <f>L60/12</f>
        <v>0.66666666666666663</v>
      </c>
      <c r="N60" s="5199">
        <f t="shared" si="41"/>
        <v>0</v>
      </c>
      <c r="O60" s="5199">
        <f t="shared" si="41"/>
        <v>0</v>
      </c>
      <c r="P60" s="5199">
        <f t="shared" si="41"/>
        <v>0</v>
      </c>
      <c r="Q60" s="5199">
        <f t="shared" si="41"/>
        <v>0</v>
      </c>
      <c r="R60" s="5199">
        <f t="shared" si="41"/>
        <v>1</v>
      </c>
      <c r="S60" s="5199">
        <f t="shared" si="41"/>
        <v>2.2999999999999998</v>
      </c>
      <c r="T60" s="5199">
        <f t="shared" si="41"/>
        <v>1</v>
      </c>
      <c r="U60" s="5199">
        <f t="shared" si="41"/>
        <v>0</v>
      </c>
      <c r="V60" s="5199">
        <f t="shared" si="41"/>
        <v>1</v>
      </c>
      <c r="W60" s="5199">
        <f t="shared" si="41"/>
        <v>0</v>
      </c>
      <c r="X60" s="4933">
        <f t="shared" si="41"/>
        <v>0</v>
      </c>
      <c r="Y60" s="4645">
        <f t="shared" si="41"/>
        <v>0</v>
      </c>
      <c r="Z60" s="4622">
        <f>SUM(N60:Y60)</f>
        <v>5.3</v>
      </c>
      <c r="AA60" s="3408">
        <f t="shared" ref="AA60:AM60" si="45">AA129+AA139</f>
        <v>333943</v>
      </c>
      <c r="AB60" s="832">
        <f t="shared" si="45"/>
        <v>0</v>
      </c>
      <c r="AC60" s="832">
        <f t="shared" si="45"/>
        <v>0</v>
      </c>
      <c r="AD60" s="832">
        <f t="shared" si="45"/>
        <v>0</v>
      </c>
      <c r="AE60" s="832">
        <f t="shared" si="45"/>
        <v>0</v>
      </c>
      <c r="AF60" s="883">
        <f t="shared" si="44"/>
        <v>4242</v>
      </c>
      <c r="AG60" s="832">
        <f t="shared" si="45"/>
        <v>0</v>
      </c>
      <c r="AH60" s="832">
        <f t="shared" si="45"/>
        <v>1221</v>
      </c>
      <c r="AI60" s="832">
        <f t="shared" si="45"/>
        <v>0</v>
      </c>
      <c r="AJ60" s="832">
        <f t="shared" si="45"/>
        <v>0</v>
      </c>
      <c r="AK60" s="832">
        <f t="shared" si="45"/>
        <v>0</v>
      </c>
      <c r="AL60" s="832">
        <f t="shared" si="45"/>
        <v>0</v>
      </c>
      <c r="AM60" s="832">
        <f t="shared" si="45"/>
        <v>0</v>
      </c>
      <c r="AN60" s="428">
        <f>SUM(AB60:AM60)</f>
        <v>5463</v>
      </c>
      <c r="AO60" s="366">
        <f t="shared" si="40"/>
        <v>1.6359079244062609E-2</v>
      </c>
      <c r="AP60" s="435"/>
    </row>
    <row r="61" spans="1:42" ht="15" customHeight="1" thickBot="1">
      <c r="A61" s="7540" t="s">
        <v>16</v>
      </c>
      <c r="B61" s="7541"/>
      <c r="C61" s="2463"/>
      <c r="D61" s="2463"/>
      <c r="E61" s="2463"/>
      <c r="F61" s="2463"/>
      <c r="G61" s="2463"/>
      <c r="H61" s="2463">
        <f t="shared" ref="H61:M61" si="46">SUM(H56:H60)</f>
        <v>44</v>
      </c>
      <c r="I61" s="2463">
        <f t="shared" si="46"/>
        <v>12</v>
      </c>
      <c r="J61" s="2463">
        <f t="shared" si="46"/>
        <v>57</v>
      </c>
      <c r="K61" s="2463">
        <f t="shared" si="46"/>
        <v>35</v>
      </c>
      <c r="L61" s="2463">
        <f t="shared" si="46"/>
        <v>24</v>
      </c>
      <c r="M61" s="4630">
        <f t="shared" si="46"/>
        <v>2</v>
      </c>
      <c r="N61" s="5200">
        <f t="shared" ref="N61:AA61" si="47">SUM(N56:N60)</f>
        <v>1</v>
      </c>
      <c r="O61" s="5200">
        <f t="shared" si="47"/>
        <v>0</v>
      </c>
      <c r="P61" s="5200">
        <f t="shared" si="47"/>
        <v>3</v>
      </c>
      <c r="Q61" s="5200">
        <f t="shared" si="47"/>
        <v>2</v>
      </c>
      <c r="R61" s="5200">
        <f t="shared" si="47"/>
        <v>5</v>
      </c>
      <c r="S61" s="5281">
        <f t="shared" si="47"/>
        <v>9.3000000000000007</v>
      </c>
      <c r="T61" s="5200">
        <f t="shared" si="47"/>
        <v>3</v>
      </c>
      <c r="U61" s="5200">
        <f t="shared" si="47"/>
        <v>6</v>
      </c>
      <c r="V61" s="5200">
        <f t="shared" si="47"/>
        <v>2</v>
      </c>
      <c r="W61" s="5200">
        <f t="shared" si="47"/>
        <v>0</v>
      </c>
      <c r="X61" s="5895">
        <f t="shared" si="47"/>
        <v>0</v>
      </c>
      <c r="Y61" s="4646">
        <f t="shared" si="47"/>
        <v>0</v>
      </c>
      <c r="Z61" s="4623">
        <f t="shared" si="47"/>
        <v>31.3</v>
      </c>
      <c r="AA61" s="3409">
        <f t="shared" si="47"/>
        <v>527571</v>
      </c>
      <c r="AB61" s="1253">
        <f>SUM(AB56:AB60)</f>
        <v>0</v>
      </c>
      <c r="AC61" s="1253">
        <f>SUM(AC56:AC60)</f>
        <v>2000</v>
      </c>
      <c r="AD61" s="1253">
        <f>SUM(AD56:AD60)</f>
        <v>6485</v>
      </c>
      <c r="AE61" s="1253">
        <f>SUM(AE56:AE60)</f>
        <v>9739</v>
      </c>
      <c r="AF61" s="1253">
        <f t="shared" ref="AF61:AM61" si="48">SUM(AF56:AF60)</f>
        <v>8675</v>
      </c>
      <c r="AG61" s="1253">
        <f t="shared" si="48"/>
        <v>0</v>
      </c>
      <c r="AH61" s="1253">
        <f t="shared" si="48"/>
        <v>1221</v>
      </c>
      <c r="AI61" s="1253">
        <f t="shared" si="48"/>
        <v>11200</v>
      </c>
      <c r="AJ61" s="1253">
        <f t="shared" si="48"/>
        <v>35239</v>
      </c>
      <c r="AK61" s="1253">
        <f t="shared" si="48"/>
        <v>0</v>
      </c>
      <c r="AL61" s="1253">
        <f t="shared" si="48"/>
        <v>0</v>
      </c>
      <c r="AM61" s="1253">
        <f t="shared" si="48"/>
        <v>0</v>
      </c>
      <c r="AN61" s="1258">
        <f>SUM(AN56:AN60)</f>
        <v>74559</v>
      </c>
      <c r="AO61" s="1254">
        <f t="shared" si="40"/>
        <v>0.14132505387900396</v>
      </c>
      <c r="AP61" s="1181"/>
    </row>
    <row r="62" spans="1:42">
      <c r="A62" s="784" t="s">
        <v>948</v>
      </c>
      <c r="B62" s="429"/>
      <c r="AB62" s="437"/>
    </row>
    <row r="63" spans="1:42">
      <c r="A63" s="429"/>
      <c r="B63" s="429"/>
      <c r="AB63" s="437"/>
    </row>
    <row r="64" spans="1:42" ht="15.75" customHeight="1" thickBot="1">
      <c r="A64" s="304" t="s">
        <v>633</v>
      </c>
      <c r="AB64" s="437"/>
    </row>
    <row r="65" spans="1:42" ht="15.75" customHeight="1" thickBot="1">
      <c r="A65" s="7526" t="s">
        <v>0</v>
      </c>
      <c r="B65" s="7526"/>
      <c r="C65" s="7508" t="s">
        <v>408</v>
      </c>
      <c r="D65" s="7508" t="s">
        <v>409</v>
      </c>
      <c r="E65" s="7508" t="s">
        <v>410</v>
      </c>
      <c r="F65" s="7508" t="s">
        <v>411</v>
      </c>
      <c r="G65" s="7508" t="s">
        <v>407</v>
      </c>
      <c r="H65" s="7508" t="s">
        <v>1165</v>
      </c>
      <c r="I65" s="7508" t="s">
        <v>1166</v>
      </c>
      <c r="J65" s="7586" t="s">
        <v>1167</v>
      </c>
      <c r="K65" s="7508" t="s">
        <v>1181</v>
      </c>
      <c r="L65" s="7352" t="s">
        <v>1280</v>
      </c>
      <c r="M65" s="7337" t="s">
        <v>916</v>
      </c>
      <c r="N65" s="7527" t="s">
        <v>1342</v>
      </c>
      <c r="O65" s="7528"/>
      <c r="P65" s="7528"/>
      <c r="Q65" s="7528"/>
      <c r="R65" s="7528"/>
      <c r="S65" s="7528"/>
      <c r="T65" s="7528"/>
      <c r="U65" s="7528"/>
      <c r="V65" s="7528"/>
      <c r="W65" s="7528"/>
      <c r="X65" s="7528"/>
      <c r="Y65" s="7528"/>
      <c r="Z65" s="7367"/>
      <c r="AA65" s="7526"/>
      <c r="AB65" s="7526"/>
      <c r="AC65" s="7526"/>
      <c r="AD65" s="7526"/>
      <c r="AE65" s="7526"/>
      <c r="AF65" s="7526"/>
      <c r="AG65" s="7526"/>
      <c r="AH65" s="7526"/>
      <c r="AI65" s="7526"/>
      <c r="AJ65" s="7526"/>
      <c r="AK65" s="7526"/>
      <c r="AL65" s="7526"/>
      <c r="AM65" s="7526"/>
      <c r="AN65" s="7508" t="s">
        <v>461</v>
      </c>
      <c r="AO65" s="7508" t="s">
        <v>365</v>
      </c>
      <c r="AP65" s="7526" t="s">
        <v>344</v>
      </c>
    </row>
    <row r="66" spans="1:42" ht="15.75" customHeight="1">
      <c r="A66" s="7526"/>
      <c r="B66" s="7526"/>
      <c r="C66" s="7508"/>
      <c r="D66" s="7508"/>
      <c r="E66" s="7508"/>
      <c r="F66" s="7508"/>
      <c r="G66" s="7508"/>
      <c r="H66" s="7508"/>
      <c r="I66" s="7508"/>
      <c r="J66" s="7586"/>
      <c r="K66" s="7508"/>
      <c r="L66" s="7352"/>
      <c r="M66" s="7585"/>
      <c r="N66" s="5196" t="s">
        <v>413</v>
      </c>
      <c r="O66" s="5196" t="s">
        <v>372</v>
      </c>
      <c r="P66" s="5292" t="s">
        <v>373</v>
      </c>
      <c r="Q66" s="5458" t="s">
        <v>374</v>
      </c>
      <c r="R66" s="5699" t="s">
        <v>375</v>
      </c>
      <c r="S66" s="5876" t="s">
        <v>376</v>
      </c>
      <c r="T66" s="6088" t="s">
        <v>377</v>
      </c>
      <c r="U66" s="6603" t="s">
        <v>378</v>
      </c>
      <c r="V66" s="6833" t="s">
        <v>379</v>
      </c>
      <c r="W66" s="6964" t="s">
        <v>380</v>
      </c>
      <c r="X66" s="4934" t="s">
        <v>381</v>
      </c>
      <c r="Y66" s="4642" t="s">
        <v>382</v>
      </c>
      <c r="Z66" s="4621" t="s">
        <v>1268</v>
      </c>
      <c r="AA66" s="1305" t="s">
        <v>195</v>
      </c>
      <c r="AB66" s="1252" t="s">
        <v>414</v>
      </c>
      <c r="AC66" s="1252" t="s">
        <v>383</v>
      </c>
      <c r="AD66" s="1252" t="s">
        <v>384</v>
      </c>
      <c r="AE66" s="1252" t="s">
        <v>385</v>
      </c>
      <c r="AF66" s="1252" t="s">
        <v>386</v>
      </c>
      <c r="AG66" s="1252" t="s">
        <v>387</v>
      </c>
      <c r="AH66" s="1252" t="s">
        <v>388</v>
      </c>
      <c r="AI66" s="1252" t="s">
        <v>389</v>
      </c>
      <c r="AJ66" s="1252" t="s">
        <v>390</v>
      </c>
      <c r="AK66" s="7036" t="s">
        <v>391</v>
      </c>
      <c r="AL66" s="7036" t="s">
        <v>392</v>
      </c>
      <c r="AM66" s="7036" t="s">
        <v>393</v>
      </c>
      <c r="AN66" s="7508"/>
      <c r="AO66" s="7508"/>
      <c r="AP66" s="7526"/>
    </row>
    <row r="67" spans="1:42" ht="15.75" customHeight="1">
      <c r="A67" s="7537" t="s">
        <v>2</v>
      </c>
      <c r="B67" s="1255" t="s">
        <v>69</v>
      </c>
      <c r="C67" s="417"/>
      <c r="D67" s="417">
        <v>2.3999999999999998E-3</v>
      </c>
      <c r="E67" s="417">
        <v>1.1000000000000001E-3</v>
      </c>
      <c r="F67" s="417">
        <v>1.2999999999999999E-3</v>
      </c>
      <c r="G67" s="417">
        <v>8.1565252201761407E-3</v>
      </c>
      <c r="H67" s="417">
        <v>2.9831452294535872E-3</v>
      </c>
      <c r="I67" s="417">
        <v>8.2800588755307003E-4</v>
      </c>
      <c r="J67" s="3113">
        <v>4.2101337920374341E-4</v>
      </c>
      <c r="K67" s="3001">
        <f>년간!C81</f>
        <v>1.7676645936781887E-4</v>
      </c>
      <c r="L67" s="1757">
        <f>년간!D81</f>
        <v>1.6189215867058607E-4</v>
      </c>
      <c r="M67" s="4625">
        <f>L67</f>
        <v>1.6189215867058607E-4</v>
      </c>
      <c r="N67" s="5197">
        <f>년간!F81</f>
        <v>0</v>
      </c>
      <c r="O67" s="5197">
        <f>년간!G81</f>
        <v>7.0497003877335212E-4</v>
      </c>
      <c r="P67" s="5415">
        <f>년간!H81</f>
        <v>0</v>
      </c>
      <c r="Q67" s="5197">
        <f>년간!I81</f>
        <v>0</v>
      </c>
      <c r="R67" s="5197">
        <f>년간!J81</f>
        <v>0</v>
      </c>
      <c r="S67" s="5197">
        <f>년간!K81</f>
        <v>1.5379357484620643E-3</v>
      </c>
      <c r="T67" s="5197">
        <f>년간!L81</f>
        <v>0</v>
      </c>
      <c r="U67" s="5197">
        <f>년간!M81</f>
        <v>1.5782171349288936E-2</v>
      </c>
      <c r="V67" s="5197">
        <f>년간!N81</f>
        <v>0</v>
      </c>
      <c r="W67" s="5197">
        <f>년간!O81</f>
        <v>0</v>
      </c>
      <c r="X67" s="4935">
        <f>년간!P81</f>
        <v>0</v>
      </c>
      <c r="Y67" s="4643" t="e">
        <f>년간!Q81</f>
        <v>#DIV/0!</v>
      </c>
      <c r="Z67" s="6974">
        <f>년간!V81</f>
        <v>1.8385992702175205E-3</v>
      </c>
      <c r="AA67" s="7533">
        <f>년간!D182/1000</f>
        <v>75.86031973768155</v>
      </c>
      <c r="AB67" s="7509">
        <f>년간!F182/1000</f>
        <v>84.323346788377521</v>
      </c>
      <c r="AC67" s="7509">
        <f>년간!G182/1000</f>
        <v>-271.99621031602874</v>
      </c>
      <c r="AD67" s="7509">
        <f>년간!H182/1000</f>
        <v>77.383596302759386</v>
      </c>
      <c r="AE67" s="7509">
        <f>년간!I182/1000</f>
        <v>80.871399505958721</v>
      </c>
      <c r="AF67" s="7509">
        <f>년간!J182/1000</f>
        <v>86.445365372753955</v>
      </c>
      <c r="AG67" s="7509">
        <f>년간!K182/1000</f>
        <v>-732.2285836680627</v>
      </c>
      <c r="AH67" s="7509">
        <f>년간!L182/1000</f>
        <v>105.59568669873165</v>
      </c>
      <c r="AI67" s="7509">
        <f>년간!M182/1000</f>
        <v>-8117.9516191460089</v>
      </c>
      <c r="AJ67" s="7509">
        <f>년간!N182/1000</f>
        <v>93.029816279728408</v>
      </c>
      <c r="AK67" s="7509">
        <f>년간!O182/1000</f>
        <v>106.23131438529603</v>
      </c>
      <c r="AL67" s="7509">
        <v>0</v>
      </c>
      <c r="AM67" s="7509">
        <v>0</v>
      </c>
      <c r="AN67" s="7529">
        <f>AB67+AC67+AD67+AE67+AF67+AG67+AH67+AI67+AJ67+AK67+AL67</f>
        <v>-8488.2958877964957</v>
      </c>
      <c r="AO67" s="7531">
        <f>AN67/AA67</f>
        <v>-111.89375311293561</v>
      </c>
      <c r="AP67" s="7511"/>
    </row>
    <row r="68" spans="1:42" ht="15.75" customHeight="1">
      <c r="A68" s="7537"/>
      <c r="B68" s="1255" t="s">
        <v>412</v>
      </c>
      <c r="C68" s="418"/>
      <c r="D68" s="418">
        <f>743/60</f>
        <v>12.383333333333333</v>
      </c>
      <c r="E68" s="418">
        <f>365/60</f>
        <v>6.083333333333333</v>
      </c>
      <c r="F68" s="418">
        <f>439/60</f>
        <v>7.3166666666666664</v>
      </c>
      <c r="G68" s="420">
        <v>51.616666666666667</v>
      </c>
      <c r="H68" s="418">
        <v>19</v>
      </c>
      <c r="I68" s="418">
        <v>4.8</v>
      </c>
      <c r="J68" s="3114">
        <v>2.3333333333333335</v>
      </c>
      <c r="K68" s="3003">
        <f>년간!C55/60</f>
        <v>0.91666666666666663</v>
      </c>
      <c r="L68" s="1785">
        <f>년간!D55/60</f>
        <v>0.75</v>
      </c>
      <c r="M68" s="4626">
        <f>L68/10</f>
        <v>7.4999999999999997E-2</v>
      </c>
      <c r="N68" s="5198">
        <f>년간!F55/60</f>
        <v>0</v>
      </c>
      <c r="O68" s="5198">
        <f>년간!G55/60</f>
        <v>0.33333333333333331</v>
      </c>
      <c r="P68" s="5416">
        <f>년간!H55/60</f>
        <v>0</v>
      </c>
      <c r="Q68" s="5198">
        <f>년간!I55/60</f>
        <v>0</v>
      </c>
      <c r="R68" s="5198">
        <f>년간!J55/60</f>
        <v>0</v>
      </c>
      <c r="S68" s="5198">
        <f>년간!K55/60</f>
        <v>0.75</v>
      </c>
      <c r="T68" s="5198">
        <f>년간!L55/60</f>
        <v>0</v>
      </c>
      <c r="U68" s="5198">
        <f>년간!M55/60</f>
        <v>7.583333333333333</v>
      </c>
      <c r="V68" s="5198">
        <f>년간!N55/60</f>
        <v>0</v>
      </c>
      <c r="W68" s="5198">
        <f>년간!O55/60</f>
        <v>0</v>
      </c>
      <c r="X68" s="4936">
        <f>년간!P55/60</f>
        <v>0</v>
      </c>
      <c r="Y68" s="4644">
        <f>년간!Q55/60</f>
        <v>0</v>
      </c>
      <c r="Z68" s="6685">
        <f>년간!V55/60</f>
        <v>8.6666666666666661</v>
      </c>
      <c r="AA68" s="7534"/>
      <c r="AB68" s="7510"/>
      <c r="AC68" s="7510"/>
      <c r="AD68" s="7510"/>
      <c r="AE68" s="7510"/>
      <c r="AF68" s="7510"/>
      <c r="AG68" s="7510"/>
      <c r="AH68" s="7510"/>
      <c r="AI68" s="7510"/>
      <c r="AJ68" s="7510"/>
      <c r="AK68" s="7510"/>
      <c r="AL68" s="7510"/>
      <c r="AM68" s="7510"/>
      <c r="AN68" s="7530"/>
      <c r="AO68" s="7468"/>
      <c r="AP68" s="7512"/>
    </row>
    <row r="69" spans="1:42" ht="15.75" customHeight="1">
      <c r="A69" s="7537" t="s">
        <v>3</v>
      </c>
      <c r="B69" s="1255" t="s">
        <v>69</v>
      </c>
      <c r="C69" s="417"/>
      <c r="D69" s="417"/>
      <c r="E69" s="417">
        <v>2.3999999999999998E-3</v>
      </c>
      <c r="F69" s="417">
        <v>2.5000000000000001E-3</v>
      </c>
      <c r="G69" s="417">
        <v>1.1059085114168447E-2</v>
      </c>
      <c r="H69" s="417">
        <v>5.6967313421499039E-3</v>
      </c>
      <c r="I69" s="417">
        <v>6.5673049635479033E-3</v>
      </c>
      <c r="J69" s="3113">
        <v>5.8960634563829497E-3</v>
      </c>
      <c r="K69" s="3001">
        <f>년간!C82</f>
        <v>2.0793150251558847E-3</v>
      </c>
      <c r="L69" s="1757">
        <f>년간!D82</f>
        <v>1.755949643627624E-3</v>
      </c>
      <c r="M69" s="4625">
        <f>L69</f>
        <v>1.755949643627624E-3</v>
      </c>
      <c r="N69" s="5197">
        <f>년간!F82</f>
        <v>7.2279312403758528E-3</v>
      </c>
      <c r="O69" s="5197">
        <f>년간!G82</f>
        <v>1.0802927593377806E-3</v>
      </c>
      <c r="P69" s="5415">
        <f>년간!H82</f>
        <v>2.0678959159055659E-3</v>
      </c>
      <c r="Q69" s="5197">
        <f>년간!I82</f>
        <v>9.1187289419183328E-3</v>
      </c>
      <c r="R69" s="5197">
        <f>년간!J82</f>
        <v>0</v>
      </c>
      <c r="S69" s="5197">
        <f>년간!K82</f>
        <v>1.0879284649776453E-2</v>
      </c>
      <c r="T69" s="5197">
        <f>년간!L82</f>
        <v>2.2472806574293236E-2</v>
      </c>
      <c r="U69" s="5197">
        <f>년간!M82</f>
        <v>1.7086591369823344E-2</v>
      </c>
      <c r="V69" s="5197">
        <f>년간!N82</f>
        <v>1.6580635069607382E-2</v>
      </c>
      <c r="W69" s="5197">
        <f>년간!O82</f>
        <v>1.1735623860770556E-2</v>
      </c>
      <c r="X69" s="4935" t="e">
        <f>년간!P82</f>
        <v>#DIV/0!</v>
      </c>
      <c r="Y69" s="4643" t="e">
        <f>년간!Q82</f>
        <v>#DIV/0!</v>
      </c>
      <c r="Z69" s="6974">
        <f>년간!V82</f>
        <v>1.0033425220955065E-2</v>
      </c>
      <c r="AA69" s="7533">
        <f>년간!D183/1000</f>
        <v>2019.3802157623013</v>
      </c>
      <c r="AB69" s="7509">
        <f>년간!F183/1000</f>
        <v>-2864.2694522232</v>
      </c>
      <c r="AC69" s="7509">
        <f>년간!G183/1000</f>
        <v>653.33848982012012</v>
      </c>
      <c r="AD69" s="7509">
        <f>년간!H183/1000</f>
        <v>5.946300091825683</v>
      </c>
      <c r="AE69" s="7509">
        <f>년간!I183/1000</f>
        <v>-4101.0286048591806</v>
      </c>
      <c r="AF69" s="7509">
        <f>년간!J183/1000</f>
        <v>1248.7760934614219</v>
      </c>
      <c r="AG69" s="7509">
        <f>년간!K183/1000</f>
        <v>-5173.5773102762105</v>
      </c>
      <c r="AH69" s="7509">
        <f>년간!L183/1000</f>
        <v>-13587.088763787844</v>
      </c>
      <c r="AI69" s="7509">
        <f>년간!M183/1000</f>
        <v>-9077.6835497481734</v>
      </c>
      <c r="AJ69" s="7509">
        <f>년간!N183/1000</f>
        <v>-8186.7713914073984</v>
      </c>
      <c r="AK69" s="7509">
        <f>년간!O183/1000</f>
        <v>-6823.4814689575278</v>
      </c>
      <c r="AL69" s="7509">
        <v>0</v>
      </c>
      <c r="AM69" s="7509">
        <v>0</v>
      </c>
      <c r="AN69" s="7529">
        <f>AB69+AC69+AD69+AE69+AF69+AG69+AH69+AI69+AJ69+AK69+AL69</f>
        <v>-47905.839657886165</v>
      </c>
      <c r="AO69" s="7531">
        <f>AN69/AA69</f>
        <v>-23.723041002361242</v>
      </c>
      <c r="AP69" s="7511"/>
    </row>
    <row r="70" spans="1:42" ht="15.75" customHeight="1">
      <c r="A70" s="7537"/>
      <c r="B70" s="1255" t="s">
        <v>412</v>
      </c>
      <c r="C70" s="418"/>
      <c r="D70" s="418"/>
      <c r="E70" s="418">
        <f>1115/60</f>
        <v>18.583333333333332</v>
      </c>
      <c r="F70" s="418">
        <f>1025/60</f>
        <v>17.083333333333332</v>
      </c>
      <c r="G70" s="420">
        <v>79.083333333333329</v>
      </c>
      <c r="H70" s="418">
        <v>45</v>
      </c>
      <c r="I70" s="418">
        <v>45.166666666666671</v>
      </c>
      <c r="J70" s="3114">
        <v>42.666666666666664</v>
      </c>
      <c r="K70" s="3003">
        <f>년간!C56/60</f>
        <v>13.583333333333334</v>
      </c>
      <c r="L70" s="1785">
        <f>년간!D56/60</f>
        <v>10.242424242424237</v>
      </c>
      <c r="M70" s="4626">
        <f>L70/10</f>
        <v>1.0242424242424237</v>
      </c>
      <c r="N70" s="5198">
        <f>년간!F56/60</f>
        <v>3.8333333333333335</v>
      </c>
      <c r="O70" s="5198">
        <f>년간!G56/60</f>
        <v>0.66666666666666663</v>
      </c>
      <c r="P70" s="5416">
        <f>년간!H56/60</f>
        <v>1</v>
      </c>
      <c r="Q70" s="5198">
        <f>년간!I56/60</f>
        <v>4.916666666666667</v>
      </c>
      <c r="R70" s="5198">
        <f>년간!J56/60</f>
        <v>0</v>
      </c>
      <c r="S70" s="5198">
        <f>년간!K56/60</f>
        <v>6.083333333333333</v>
      </c>
      <c r="T70" s="5198">
        <f>년간!L56/60</f>
        <v>14.083333333333334</v>
      </c>
      <c r="U70" s="5198">
        <f>년간!M56/60</f>
        <v>9.8333333333333339</v>
      </c>
      <c r="V70" s="5198">
        <f>년간!N56/60</f>
        <v>8.8333333333333339</v>
      </c>
      <c r="W70" s="5198">
        <f>년간!O56/60</f>
        <v>7.833333333333333</v>
      </c>
      <c r="X70" s="4936">
        <f>년간!P56/60</f>
        <v>0</v>
      </c>
      <c r="Y70" s="4644">
        <f>년간!Q56/60</f>
        <v>0</v>
      </c>
      <c r="Z70" s="6685">
        <f>년간!V56/60</f>
        <v>57.083333333333336</v>
      </c>
      <c r="AA70" s="7534"/>
      <c r="AB70" s="7510"/>
      <c r="AC70" s="7510"/>
      <c r="AD70" s="7510"/>
      <c r="AE70" s="7510"/>
      <c r="AF70" s="7510"/>
      <c r="AG70" s="7510"/>
      <c r="AH70" s="7510"/>
      <c r="AI70" s="7510"/>
      <c r="AJ70" s="7510"/>
      <c r="AK70" s="7510"/>
      <c r="AL70" s="7510"/>
      <c r="AM70" s="7510"/>
      <c r="AN70" s="7530"/>
      <c r="AO70" s="7468"/>
      <c r="AP70" s="7512"/>
    </row>
    <row r="71" spans="1:42" ht="15.75" customHeight="1">
      <c r="A71" s="7537" t="s">
        <v>4</v>
      </c>
      <c r="B71" s="1255" t="s">
        <v>69</v>
      </c>
      <c r="C71" s="417"/>
      <c r="D71" s="417"/>
      <c r="E71" s="417">
        <v>6.9999999999999999E-4</v>
      </c>
      <c r="F71" s="417">
        <v>3.8E-3</v>
      </c>
      <c r="G71" s="417">
        <v>1.0086871514585973E-3</v>
      </c>
      <c r="H71" s="417">
        <v>2.3398726616667281E-3</v>
      </c>
      <c r="I71" s="417">
        <v>4.5081472672001419E-3</v>
      </c>
      <c r="J71" s="3113">
        <v>2.4351746525561016E-3</v>
      </c>
      <c r="K71" s="3001">
        <f>년간!C83</f>
        <v>3.6736323121732114E-3</v>
      </c>
      <c r="L71" s="1757">
        <f>년간!D83</f>
        <v>3.3264669421487511E-3</v>
      </c>
      <c r="M71" s="4625">
        <f>L71</f>
        <v>3.3264669421487511E-3</v>
      </c>
      <c r="N71" s="5197">
        <f>년간!F83</f>
        <v>0</v>
      </c>
      <c r="O71" s="5197">
        <f>년간!G83</f>
        <v>1.2859751549600061E-4</v>
      </c>
      <c r="P71" s="5197">
        <f>년간!H83</f>
        <v>1.4044943820224719E-3</v>
      </c>
      <c r="Q71" s="5197">
        <f>년간!I83</f>
        <v>0</v>
      </c>
      <c r="R71" s="5197">
        <f>년간!J83</f>
        <v>0</v>
      </c>
      <c r="S71" s="5197">
        <f>년간!K83</f>
        <v>2.4572649572649572E-3</v>
      </c>
      <c r="T71" s="5197">
        <f>년간!L83</f>
        <v>3.3602150537634411E-4</v>
      </c>
      <c r="U71" s="5197">
        <f>년간!M83</f>
        <v>0</v>
      </c>
      <c r="V71" s="5197">
        <f>년간!N83</f>
        <v>2.6773110061821548E-4</v>
      </c>
      <c r="W71" s="5197">
        <f>년간!O83</f>
        <v>0</v>
      </c>
      <c r="X71" s="4935">
        <f>년간!P83</f>
        <v>0</v>
      </c>
      <c r="Y71" s="4643" t="e">
        <f>년간!Q83</f>
        <v>#DIV/0!</v>
      </c>
      <c r="Z71" s="6974">
        <f>년간!V83</f>
        <v>4.5258604699475444E-4</v>
      </c>
      <c r="AA71" s="7533">
        <f>년간!D184/1000</f>
        <v>5194.1707909971092</v>
      </c>
      <c r="AB71" s="7509">
        <f>년간!F184/1000</f>
        <v>5019.7178691611789</v>
      </c>
      <c r="AC71" s="7509">
        <f>년간!G184/1000</f>
        <v>5007.9705813542414</v>
      </c>
      <c r="AD71" s="7509">
        <f>년간!H184/1000</f>
        <v>3536.6637131764305</v>
      </c>
      <c r="AE71" s="7509">
        <f>년간!I184/1000</f>
        <v>4750.344239123574</v>
      </c>
      <c r="AF71" s="7509">
        <f>년간!J184/1000</f>
        <v>4849.1279918428945</v>
      </c>
      <c r="AG71" s="7509">
        <f>년간!K184/1000</f>
        <v>1654.2893824620428</v>
      </c>
      <c r="AH71" s="7509">
        <f>년간!L184/1000</f>
        <v>5441.5915733672673</v>
      </c>
      <c r="AI71" s="7509">
        <f>년간!M184/1000</f>
        <v>5616.1784630262146</v>
      </c>
      <c r="AJ71" s="7509">
        <f>년간!N184/1000</f>
        <v>5111.1854540280201</v>
      </c>
      <c r="AK71" s="7509">
        <f>년간!O184/1000</f>
        <v>5979.369814736111</v>
      </c>
      <c r="AL71" s="7509">
        <v>0</v>
      </c>
      <c r="AM71" s="7509">
        <v>0</v>
      </c>
      <c r="AN71" s="7529">
        <f>AB71+AC71+AD71+AE71+AF71+AG71+AH71+AI71+AJ71+AK71+AL71</f>
        <v>46966.439082277975</v>
      </c>
      <c r="AO71" s="7531">
        <f>AN71/AA71</f>
        <v>9.0421437746489595</v>
      </c>
      <c r="AP71" s="7511"/>
    </row>
    <row r="72" spans="1:42" ht="15.75" customHeight="1">
      <c r="A72" s="7537"/>
      <c r="B72" s="1255" t="s">
        <v>412</v>
      </c>
      <c r="C72" s="418"/>
      <c r="D72" s="418"/>
      <c r="E72" s="418">
        <f>350/60</f>
        <v>5.833333333333333</v>
      </c>
      <c r="F72" s="418">
        <f>1655/60</f>
        <v>27.583333333333332</v>
      </c>
      <c r="G72" s="420">
        <v>7.5666666666666664</v>
      </c>
      <c r="H72" s="418">
        <v>19</v>
      </c>
      <c r="I72" s="418">
        <v>35.1</v>
      </c>
      <c r="J72" s="3114">
        <v>19.516666666666666</v>
      </c>
      <c r="K72" s="3003">
        <f>년간!C57/60</f>
        <v>27.916666666666668</v>
      </c>
      <c r="L72" s="1785">
        <f>년간!D57/60</f>
        <v>22.840909090909026</v>
      </c>
      <c r="M72" s="4626">
        <f>L72/10</f>
        <v>2.2840909090909025</v>
      </c>
      <c r="N72" s="5198">
        <f>년간!F57/60</f>
        <v>0</v>
      </c>
      <c r="O72" s="5198">
        <f>년간!G57/60</f>
        <v>8.3333333333333329E-2</v>
      </c>
      <c r="P72" s="5198">
        <f>년간!H57/60</f>
        <v>1</v>
      </c>
      <c r="Q72" s="5198">
        <f>년간!I57/60</f>
        <v>0</v>
      </c>
      <c r="R72" s="5198">
        <f>년간!J57/60</f>
        <v>0</v>
      </c>
      <c r="S72" s="5198">
        <f>년간!K57/60</f>
        <v>1.5333333333333334</v>
      </c>
      <c r="T72" s="5198">
        <f>년간!L57/60</f>
        <v>0.25</v>
      </c>
      <c r="U72" s="5198">
        <f>년간!M57/60</f>
        <v>0</v>
      </c>
      <c r="V72" s="5198">
        <f>년간!N57/60</f>
        <v>0.18333333333333332</v>
      </c>
      <c r="W72" s="5198">
        <f>년간!O57/60</f>
        <v>0</v>
      </c>
      <c r="X72" s="4936">
        <f>년간!P57/60</f>
        <v>0</v>
      </c>
      <c r="Y72" s="4644">
        <f>년간!Q57/60</f>
        <v>0</v>
      </c>
      <c r="Z72" s="6685">
        <f>년간!V57/60</f>
        <v>3.05</v>
      </c>
      <c r="AA72" s="7534"/>
      <c r="AB72" s="7510"/>
      <c r="AC72" s="7510"/>
      <c r="AD72" s="7510"/>
      <c r="AE72" s="7510"/>
      <c r="AF72" s="7510"/>
      <c r="AG72" s="7510"/>
      <c r="AH72" s="7510"/>
      <c r="AI72" s="7510"/>
      <c r="AJ72" s="7510"/>
      <c r="AK72" s="7510"/>
      <c r="AL72" s="7510"/>
      <c r="AM72" s="7510"/>
      <c r="AN72" s="7530"/>
      <c r="AO72" s="7468"/>
      <c r="AP72" s="7512"/>
    </row>
    <row r="73" spans="1:42" ht="15.75" customHeight="1">
      <c r="A73" s="7537" t="s">
        <v>193</v>
      </c>
      <c r="B73" s="1255" t="s">
        <v>69</v>
      </c>
      <c r="C73" s="417"/>
      <c r="D73" s="417"/>
      <c r="E73" s="417">
        <v>1.8E-3</v>
      </c>
      <c r="F73" s="417">
        <v>2.8E-3</v>
      </c>
      <c r="G73" s="417">
        <v>2.5269975648005306E-3</v>
      </c>
      <c r="H73" s="417">
        <v>2.1192099761809628E-3</v>
      </c>
      <c r="I73" s="417">
        <v>6.3725739005275166E-3</v>
      </c>
      <c r="J73" s="3113">
        <v>6.885626487330215E-4</v>
      </c>
      <c r="K73" s="3001">
        <f>년간!C84</f>
        <v>1.0210417686979641E-3</v>
      </c>
      <c r="L73" s="1757">
        <f>년간!D84</f>
        <v>8.8522243713733085E-4</v>
      </c>
      <c r="M73" s="4625">
        <f>L73</f>
        <v>8.8522243713733085E-4</v>
      </c>
      <c r="N73" s="5197">
        <f>년간!F84</f>
        <v>0</v>
      </c>
      <c r="O73" s="5197">
        <f>년간!G84</f>
        <v>0</v>
      </c>
      <c r="P73" s="5415">
        <f>년간!H84</f>
        <v>0</v>
      </c>
      <c r="Q73" s="5197">
        <f>년간!I84</f>
        <v>0</v>
      </c>
      <c r="R73" s="5197">
        <f>년간!J84</f>
        <v>3.472222222222222E-3</v>
      </c>
      <c r="S73" s="5197">
        <f>년간!K84</f>
        <v>0</v>
      </c>
      <c r="T73" s="5197">
        <f>년간!L84</f>
        <v>0</v>
      </c>
      <c r="U73" s="5197">
        <f>년간!M84</f>
        <v>0</v>
      </c>
      <c r="V73" s="5197">
        <f>년간!N84</f>
        <v>0</v>
      </c>
      <c r="W73" s="5197">
        <f>년간!O84</f>
        <v>0</v>
      </c>
      <c r="X73" s="4935">
        <f>년간!P84</f>
        <v>0</v>
      </c>
      <c r="Y73" s="4643">
        <f>년간!Q84</f>
        <v>9.7762073027090699E-3</v>
      </c>
      <c r="Z73" s="6974">
        <f>년간!V84</f>
        <v>1.1482600239996689E-3</v>
      </c>
      <c r="AA73" s="7533">
        <f>년간!D185/1000</f>
        <v>974.64682545275377</v>
      </c>
      <c r="AB73" s="7509">
        <f>년간!F185/1000</f>
        <v>635.08586338698319</v>
      </c>
      <c r="AC73" s="7509">
        <f>년간!G185/1000</f>
        <v>546.71707275549761</v>
      </c>
      <c r="AD73" s="7509">
        <f>년간!H185/1000</f>
        <v>587.45040036750163</v>
      </c>
      <c r="AE73" s="7509">
        <f>년간!I185/1000</f>
        <v>603.50769983878331</v>
      </c>
      <c r="AF73" s="7509">
        <f>년간!J185/1000</f>
        <v>-1536.6486487698917</v>
      </c>
      <c r="AG73" s="7509">
        <f>년간!K185/1000</f>
        <v>655.45252719298514</v>
      </c>
      <c r="AH73" s="7509">
        <f>년간!L185/1000</f>
        <v>695.29179581438348</v>
      </c>
      <c r="AI73" s="7509">
        <f>년간!M185/1000</f>
        <v>579.90454248678816</v>
      </c>
      <c r="AJ73" s="7509">
        <f>년간!N185/1000</f>
        <v>608.78264788335821</v>
      </c>
      <c r="AK73" s="7509">
        <f>년간!O185/1000</f>
        <v>662.7838109159535</v>
      </c>
      <c r="AL73" s="7509">
        <f>년간!P185/1000</f>
        <v>658.84995135728764</v>
      </c>
      <c r="AM73" s="7509">
        <f>년간!Q185/1000</f>
        <v>-5425.3023964572358</v>
      </c>
      <c r="AN73" s="7529">
        <f>AB73+AC73+AD73+AE73+AF73+AG73+AH73+AI73+AJ73+AK73+AL73</f>
        <v>4697.1776632296296</v>
      </c>
      <c r="AO73" s="7531">
        <f>AN73/AA73</f>
        <v>4.8193638357644515</v>
      </c>
      <c r="AP73" s="7511"/>
    </row>
    <row r="74" spans="1:42" ht="15.75" customHeight="1">
      <c r="A74" s="7537"/>
      <c r="B74" s="1255" t="s">
        <v>412</v>
      </c>
      <c r="C74" s="418"/>
      <c r="D74" s="418"/>
      <c r="E74" s="418">
        <f>715/60</f>
        <v>11.916666666666666</v>
      </c>
      <c r="F74" s="418">
        <f>1177/60</f>
        <v>19.616666666666667</v>
      </c>
      <c r="G74" s="420">
        <v>16.516666666666666</v>
      </c>
      <c r="H74" s="418">
        <v>16</v>
      </c>
      <c r="I74" s="418">
        <v>37.033333333333331</v>
      </c>
      <c r="J74" s="3114">
        <v>4.9333333333333336</v>
      </c>
      <c r="K74" s="3003">
        <f>년간!C58/60</f>
        <v>7.7833333333333332</v>
      </c>
      <c r="L74" s="1785">
        <f>년간!D58/60</f>
        <v>6.7927272727272729</v>
      </c>
      <c r="M74" s="4626">
        <f>L74/12</f>
        <v>0.56606060606060604</v>
      </c>
      <c r="N74" s="5198">
        <f>년간!F58/60</f>
        <v>0</v>
      </c>
      <c r="O74" s="5198">
        <f>년간!G58/60</f>
        <v>0</v>
      </c>
      <c r="P74" s="5416">
        <f>년간!H58/60</f>
        <v>0</v>
      </c>
      <c r="Q74" s="5198">
        <f>년간!I58/60</f>
        <v>0</v>
      </c>
      <c r="R74" s="5198">
        <f>년간!J58/60</f>
        <v>2.3333333333333335</v>
      </c>
      <c r="S74" s="5198">
        <f>년간!K58/60</f>
        <v>0</v>
      </c>
      <c r="T74" s="5198">
        <f>년간!L58/60</f>
        <v>0</v>
      </c>
      <c r="U74" s="5198">
        <f>년간!M58/60</f>
        <v>0</v>
      </c>
      <c r="V74" s="5198">
        <f>년간!N58/60</f>
        <v>0</v>
      </c>
      <c r="W74" s="5198">
        <f>년간!O58/60</f>
        <v>0</v>
      </c>
      <c r="X74" s="4936">
        <f>년간!P58/60</f>
        <v>0</v>
      </c>
      <c r="Y74" s="4644">
        <f>년간!Q58/60</f>
        <v>6.916666666666667</v>
      </c>
      <c r="Z74" s="6685">
        <f>년간!V58/60</f>
        <v>9.25</v>
      </c>
      <c r="AA74" s="7534"/>
      <c r="AB74" s="7510"/>
      <c r="AC74" s="7510"/>
      <c r="AD74" s="7510"/>
      <c r="AE74" s="7510"/>
      <c r="AF74" s="7510"/>
      <c r="AG74" s="7510"/>
      <c r="AH74" s="7510"/>
      <c r="AI74" s="7510"/>
      <c r="AJ74" s="7510"/>
      <c r="AK74" s="7510"/>
      <c r="AL74" s="7510"/>
      <c r="AM74" s="7510"/>
      <c r="AN74" s="7530"/>
      <c r="AO74" s="7468"/>
      <c r="AP74" s="7512"/>
    </row>
    <row r="75" spans="1:42" ht="15.75" customHeight="1">
      <c r="A75" s="7537" t="s">
        <v>17</v>
      </c>
      <c r="B75" s="1255" t="s">
        <v>69</v>
      </c>
      <c r="C75" s="417"/>
      <c r="D75" s="417"/>
      <c r="E75" s="417">
        <v>1.1999999999999999E-3</v>
      </c>
      <c r="F75" s="417">
        <v>5.0000000000000001E-4</v>
      </c>
      <c r="G75" s="417">
        <v>2.6140904248493765E-3</v>
      </c>
      <c r="H75" s="417">
        <v>5.0413659096827613E-3</v>
      </c>
      <c r="I75" s="417">
        <v>2.1233349795022885E-3</v>
      </c>
      <c r="J75" s="3113">
        <v>8.5322316276354492E-5</v>
      </c>
      <c r="K75" s="3001">
        <f>년간!C85</f>
        <v>1.5578340402096712E-4</v>
      </c>
      <c r="L75" s="1757">
        <f>년간!D85</f>
        <v>1.4921032261002308E-4</v>
      </c>
      <c r="M75" s="4625">
        <f>L75</f>
        <v>1.4921032261002308E-4</v>
      </c>
      <c r="N75" s="5197">
        <f>년간!F85</f>
        <v>2.4666387114279369E-4</v>
      </c>
      <c r="O75" s="5197">
        <f>년간!G85</f>
        <v>0</v>
      </c>
      <c r="P75" s="5415">
        <f>년간!H85</f>
        <v>1.4595131064276958E-4</v>
      </c>
      <c r="Q75" s="5197">
        <f>년간!I85</f>
        <v>0</v>
      </c>
      <c r="R75" s="5197">
        <f>년간!J85</f>
        <v>3.7757274662881474E-3</v>
      </c>
      <c r="S75" s="5197">
        <f>년간!K85</f>
        <v>0</v>
      </c>
      <c r="T75" s="5197">
        <f>년간!L85</f>
        <v>0</v>
      </c>
      <c r="U75" s="5197">
        <f>년간!M85</f>
        <v>0</v>
      </c>
      <c r="V75" s="5197">
        <f>년간!N85</f>
        <v>1.0935957963244512E-2</v>
      </c>
      <c r="W75" s="5197">
        <f>년간!O85</f>
        <v>0</v>
      </c>
      <c r="X75" s="4935">
        <f>년간!P85</f>
        <v>0</v>
      </c>
      <c r="Y75" s="4643">
        <f>년간!Q85</f>
        <v>0</v>
      </c>
      <c r="Z75" s="6974">
        <f>년간!V85</f>
        <v>1.2012193021733889E-3</v>
      </c>
      <c r="AA75" s="7533">
        <f>년간!D186/1000</f>
        <v>58.514405749291079</v>
      </c>
      <c r="AB75" s="7513">
        <f>년간!F186/1000</f>
        <v>-62.475388798938205</v>
      </c>
      <c r="AC75" s="7513">
        <f>년간!G186/1000</f>
        <v>102.19879001865229</v>
      </c>
      <c r="AD75" s="7513">
        <f>년간!H186/1000</f>
        <v>5.4195279811098693</v>
      </c>
      <c r="AE75" s="7513">
        <f>년간!I186/1000</f>
        <v>94.966322744755544</v>
      </c>
      <c r="AF75" s="7513">
        <f>년간!J186/1000</f>
        <v>-2088.849002448525</v>
      </c>
      <c r="AG75" s="7513">
        <f>년간!K186/1000</f>
        <v>109.43125729254903</v>
      </c>
      <c r="AH75" s="7513">
        <f>년간!L186/1000</f>
        <v>104.53064306110191</v>
      </c>
      <c r="AI75" s="7513">
        <f>년간!M186/1000</f>
        <v>90.346613887072323</v>
      </c>
      <c r="AJ75" s="7513">
        <f>년간!N186/1000</f>
        <v>-6469.7700569852805</v>
      </c>
      <c r="AK75" s="7513">
        <f>년간!O186/1000</f>
        <v>103.33256471998847</v>
      </c>
      <c r="AL75" s="7513">
        <f>년간!P186/1000</f>
        <v>107.67475260600133</v>
      </c>
      <c r="AM75" s="7513">
        <f>년간!Q186/1000</f>
        <v>107.89812314417505</v>
      </c>
      <c r="AN75" s="7529">
        <f>AB75+AC75+AD75+AE75+AF75+AG75+AH75+AI75+AJ75+AK75+AL75</f>
        <v>-7903.1939759215129</v>
      </c>
      <c r="AO75" s="7531">
        <f>AN75/AA75</f>
        <v>-135.06407310677102</v>
      </c>
      <c r="AP75" s="7511"/>
    </row>
    <row r="76" spans="1:42" ht="15.75" customHeight="1">
      <c r="A76" s="7537"/>
      <c r="B76" s="1255" t="s">
        <v>412</v>
      </c>
      <c r="C76" s="419"/>
      <c r="D76" s="419"/>
      <c r="E76" s="419">
        <f>463/60</f>
        <v>7.7166666666666668</v>
      </c>
      <c r="F76" s="419">
        <f>186/60</f>
        <v>3.1</v>
      </c>
      <c r="G76" s="420">
        <v>14.6</v>
      </c>
      <c r="H76" s="418">
        <v>12.583333333333334</v>
      </c>
      <c r="I76" s="418">
        <v>14.466666666666669</v>
      </c>
      <c r="J76" s="3114">
        <v>0.6333333333333333</v>
      </c>
      <c r="K76" s="3003">
        <f>년간!C59/60</f>
        <v>1.1833333333333333</v>
      </c>
      <c r="L76" s="1785">
        <f>년간!D59/60</f>
        <v>1.1224242424242499</v>
      </c>
      <c r="M76" s="4626">
        <f>L76/12</f>
        <v>9.3535353535354152E-2</v>
      </c>
      <c r="N76" s="5198">
        <f>년간!F59/60</f>
        <v>0.16666666666666666</v>
      </c>
      <c r="O76" s="5198">
        <f>년간!G59/60</f>
        <v>0</v>
      </c>
      <c r="P76" s="5416">
        <f>년간!H59/60</f>
        <v>8.3333333333333329E-2</v>
      </c>
      <c r="Q76" s="5198">
        <f>년간!I59/60</f>
        <v>0</v>
      </c>
      <c r="R76" s="5198">
        <f>년간!J59/60</f>
        <v>2.2166666666666668</v>
      </c>
      <c r="S76" s="5198">
        <f>년간!K59/60</f>
        <v>0</v>
      </c>
      <c r="T76" s="5198">
        <f>년간!L59/60</f>
        <v>0</v>
      </c>
      <c r="U76" s="5198">
        <f>년간!M59/60</f>
        <v>0</v>
      </c>
      <c r="V76" s="5198">
        <f>년간!N59/60</f>
        <v>6.833333333333333</v>
      </c>
      <c r="W76" s="5198">
        <f>년간!O59/60</f>
        <v>0</v>
      </c>
      <c r="X76" s="4936">
        <f>년간!P59/60</f>
        <v>0</v>
      </c>
      <c r="Y76" s="4644">
        <f>년간!Q59/60</f>
        <v>0</v>
      </c>
      <c r="Z76" s="6685">
        <f>년간!V59/60</f>
        <v>9.3000000000000007</v>
      </c>
      <c r="AA76" s="7534"/>
      <c r="AB76" s="7514"/>
      <c r="AC76" s="7514"/>
      <c r="AD76" s="7514"/>
      <c r="AE76" s="7514"/>
      <c r="AF76" s="7514"/>
      <c r="AG76" s="7514"/>
      <c r="AH76" s="7514"/>
      <c r="AI76" s="7514"/>
      <c r="AJ76" s="7514"/>
      <c r="AK76" s="7514"/>
      <c r="AL76" s="7514"/>
      <c r="AM76" s="7514"/>
      <c r="AN76" s="7530"/>
      <c r="AO76" s="7468"/>
      <c r="AP76" s="7512"/>
    </row>
    <row r="77" spans="1:42" ht="15.75" customHeight="1" thickBot="1">
      <c r="A77" s="7508" t="s">
        <v>31</v>
      </c>
      <c r="B77" s="7508"/>
      <c r="C77" s="1181"/>
      <c r="D77" s="1181"/>
      <c r="E77" s="1181"/>
      <c r="F77" s="1257">
        <f>F76+F74+F72+F70+F68</f>
        <v>74.699999999999989</v>
      </c>
      <c r="G77" s="1257">
        <v>169.38333333333333</v>
      </c>
      <c r="H77" s="1257">
        <v>111.58333333333334</v>
      </c>
      <c r="I77" s="1257">
        <f t="shared" ref="I77:N77" si="49">I76+I74+I72+I70+I68</f>
        <v>136.56666666666666</v>
      </c>
      <c r="J77" s="1691">
        <f t="shared" si="49"/>
        <v>70.083333333333329</v>
      </c>
      <c r="K77" s="1691">
        <f t="shared" si="49"/>
        <v>51.383333333333333</v>
      </c>
      <c r="L77" s="1758">
        <f t="shared" si="49"/>
        <v>41.748484848484786</v>
      </c>
      <c r="M77" s="2334">
        <f t="shared" si="49"/>
        <v>4.0429292929292862</v>
      </c>
      <c r="N77" s="5202">
        <f t="shared" si="49"/>
        <v>4</v>
      </c>
      <c r="O77" s="5202">
        <f t="shared" ref="O77:Y77" si="50">O76+O74+O72+O70+O68</f>
        <v>1.0833333333333333</v>
      </c>
      <c r="P77" s="5202">
        <f t="shared" si="50"/>
        <v>2.083333333333333</v>
      </c>
      <c r="Q77" s="5202">
        <f t="shared" si="50"/>
        <v>4.916666666666667</v>
      </c>
      <c r="R77" s="5202">
        <f t="shared" si="50"/>
        <v>4.5500000000000007</v>
      </c>
      <c r="S77" s="5894">
        <f>S76+S74+S72+S70+S68</f>
        <v>8.3666666666666671</v>
      </c>
      <c r="T77" s="5202">
        <f t="shared" si="50"/>
        <v>14.333333333333334</v>
      </c>
      <c r="U77" s="5202">
        <f t="shared" si="50"/>
        <v>17.416666666666668</v>
      </c>
      <c r="V77" s="5202">
        <f t="shared" si="50"/>
        <v>15.850000000000001</v>
      </c>
      <c r="W77" s="5202">
        <f t="shared" si="50"/>
        <v>7.833333333333333</v>
      </c>
      <c r="X77" s="5896">
        <f t="shared" si="50"/>
        <v>0</v>
      </c>
      <c r="Y77" s="4647">
        <f t="shared" si="50"/>
        <v>6.916666666666667</v>
      </c>
      <c r="Z77" s="6688"/>
      <c r="AA77" s="5225">
        <f>SUM(AA67:AA76)</f>
        <v>8322.5725576991372</v>
      </c>
      <c r="AB77" s="5226">
        <f>SUM(AB67:AB76)</f>
        <v>2812.3822383144015</v>
      </c>
      <c r="AC77" s="5226">
        <f>SUM(AC67:AC76)</f>
        <v>6038.2287236324828</v>
      </c>
      <c r="AD77" s="5226">
        <f t="shared" ref="AD77:AM77" si="51">SUM(AD67:AD75)</f>
        <v>4212.8635379196276</v>
      </c>
      <c r="AE77" s="5226">
        <f t="shared" si="51"/>
        <v>1428.6610563538911</v>
      </c>
      <c r="AF77" s="5226">
        <f t="shared" si="51"/>
        <v>2558.8517994586532</v>
      </c>
      <c r="AG77" s="5901">
        <f t="shared" si="51"/>
        <v>-3486.632726996696</v>
      </c>
      <c r="AH77" s="5901">
        <f t="shared" si="51"/>
        <v>-7240.0790648463608</v>
      </c>
      <c r="AI77" s="5901">
        <f t="shared" si="51"/>
        <v>-10909.205549494109</v>
      </c>
      <c r="AJ77" s="5901">
        <f t="shared" si="51"/>
        <v>-8843.5435302015721</v>
      </c>
      <c r="AK77" s="5901">
        <f t="shared" si="51"/>
        <v>28.23603579982138</v>
      </c>
      <c r="AL77" s="5901">
        <f t="shared" si="51"/>
        <v>766.52470396328897</v>
      </c>
      <c r="AM77" s="5901">
        <f t="shared" si="51"/>
        <v>-5317.4042733130609</v>
      </c>
      <c r="AN77" s="5901">
        <f>SUM(AN67:AN76)</f>
        <v>-12633.712776096565</v>
      </c>
      <c r="AO77" s="5902">
        <f>AN77/AA77</f>
        <v>-1.5180057234117148</v>
      </c>
      <c r="AP77" s="1181"/>
    </row>
    <row r="78" spans="1:42" ht="15.75" customHeight="1">
      <c r="A78" s="424"/>
      <c r="B78" s="424"/>
      <c r="C78" s="425"/>
      <c r="D78" s="425"/>
      <c r="E78" s="425"/>
      <c r="F78" s="438">
        <f>F77+F41</f>
        <v>175.0333333333333</v>
      </c>
      <c r="G78" s="536"/>
      <c r="H78" s="439"/>
      <c r="I78" s="439"/>
      <c r="J78" s="439"/>
      <c r="K78" s="439"/>
      <c r="L78" s="439"/>
      <c r="M78" s="439"/>
      <c r="N78" s="439"/>
      <c r="O78" s="439">
        <f t="shared" ref="O78:Y78" si="52">O77+O41</f>
        <v>15.416666666666668</v>
      </c>
      <c r="P78" s="439">
        <f t="shared" si="52"/>
        <v>2.083333333333333</v>
      </c>
      <c r="Q78" s="439">
        <f t="shared" si="52"/>
        <v>9.1833333333333336</v>
      </c>
      <c r="R78" s="439">
        <f t="shared" si="52"/>
        <v>10.3</v>
      </c>
      <c r="S78" s="439">
        <f t="shared" si="52"/>
        <v>9.75</v>
      </c>
      <c r="T78" s="439">
        <f t="shared" si="52"/>
        <v>15.333333333333334</v>
      </c>
      <c r="U78" s="439">
        <f t="shared" si="52"/>
        <v>27.583333333333336</v>
      </c>
      <c r="V78" s="439">
        <f t="shared" si="52"/>
        <v>23.35</v>
      </c>
      <c r="W78" s="439">
        <f t="shared" si="52"/>
        <v>10</v>
      </c>
      <c r="X78" s="439">
        <f t="shared" si="52"/>
        <v>3.15</v>
      </c>
      <c r="Y78" s="439">
        <f t="shared" si="52"/>
        <v>11.833333333333334</v>
      </c>
      <c r="Z78" s="439"/>
      <c r="AA78" s="439">
        <f>AA77+AA41</f>
        <v>25473.960056459495</v>
      </c>
      <c r="AB78" s="439">
        <f>AB77+AB41</f>
        <v>12435.040570717376</v>
      </c>
      <c r="AC78" s="439">
        <f>AC77+AC41</f>
        <v>4563.8508626053799</v>
      </c>
      <c r="AD78" s="439"/>
    </row>
    <row r="79" spans="1:42" ht="15.75" customHeight="1" thickBot="1">
      <c r="A79" s="304" t="s">
        <v>634</v>
      </c>
      <c r="F79" s="440">
        <f>F78/12</f>
        <v>14.586111111111109</v>
      </c>
      <c r="G79" s="440"/>
    </row>
    <row r="80" spans="1:42" ht="15.75" customHeight="1" thickBot="1">
      <c r="A80" s="7132" t="s">
        <v>0</v>
      </c>
      <c r="B80" s="7220"/>
      <c r="C80" s="7229" t="s">
        <v>408</v>
      </c>
      <c r="D80" s="7229" t="s">
        <v>409</v>
      </c>
      <c r="E80" s="7229" t="s">
        <v>410</v>
      </c>
      <c r="F80" s="7229" t="s">
        <v>411</v>
      </c>
      <c r="G80" s="7229" t="s">
        <v>407</v>
      </c>
      <c r="H80" s="7229" t="s">
        <v>1165</v>
      </c>
      <c r="I80" s="7229" t="s">
        <v>1166</v>
      </c>
      <c r="J80" s="7567" t="s">
        <v>1167</v>
      </c>
      <c r="K80" s="7567" t="s">
        <v>1181</v>
      </c>
      <c r="L80" s="7516" t="s">
        <v>1280</v>
      </c>
      <c r="M80" s="7337" t="s">
        <v>916</v>
      </c>
      <c r="N80" s="7552" t="s">
        <v>1342</v>
      </c>
      <c r="O80" s="7355"/>
      <c r="P80" s="7355"/>
      <c r="Q80" s="7355"/>
      <c r="R80" s="7355"/>
      <c r="S80" s="7355"/>
      <c r="T80" s="7355"/>
      <c r="U80" s="7355"/>
      <c r="V80" s="7355"/>
      <c r="W80" s="7355"/>
      <c r="X80" s="7355"/>
      <c r="Y80" s="7355"/>
      <c r="Z80" s="7355"/>
      <c r="AA80" s="7220"/>
      <c r="AB80" s="7220"/>
      <c r="AC80" s="7220"/>
      <c r="AD80" s="7220"/>
      <c r="AE80" s="7220"/>
      <c r="AF80" s="7220"/>
      <c r="AG80" s="7220"/>
      <c r="AH80" s="7220"/>
      <c r="AI80" s="7220"/>
      <c r="AJ80" s="7220"/>
      <c r="AK80" s="7220"/>
      <c r="AL80" s="7220"/>
      <c r="AM80" s="7220"/>
      <c r="AN80" s="7229" t="s">
        <v>461</v>
      </c>
      <c r="AO80" s="7229" t="s">
        <v>365</v>
      </c>
      <c r="AP80" s="7223" t="s">
        <v>344</v>
      </c>
    </row>
    <row r="81" spans="1:42" ht="15.75" customHeight="1" thickBot="1">
      <c r="A81" s="7544"/>
      <c r="B81" s="7545"/>
      <c r="C81" s="7515"/>
      <c r="D81" s="7515"/>
      <c r="E81" s="7515"/>
      <c r="F81" s="7515"/>
      <c r="G81" s="7515"/>
      <c r="H81" s="7515"/>
      <c r="I81" s="7515"/>
      <c r="J81" s="7587"/>
      <c r="K81" s="7587"/>
      <c r="L81" s="7517"/>
      <c r="M81" s="7335"/>
      <c r="N81" s="5195" t="s">
        <v>413</v>
      </c>
      <c r="O81" s="5250" t="s">
        <v>372</v>
      </c>
      <c r="P81" s="5293" t="s">
        <v>373</v>
      </c>
      <c r="Q81" s="5459" t="s">
        <v>374</v>
      </c>
      <c r="R81" s="5700" t="s">
        <v>375</v>
      </c>
      <c r="S81" s="5877" t="s">
        <v>376</v>
      </c>
      <c r="T81" s="6089" t="s">
        <v>377</v>
      </c>
      <c r="U81" s="6604" t="s">
        <v>378</v>
      </c>
      <c r="V81" s="6834" t="s">
        <v>379</v>
      </c>
      <c r="W81" s="6965" t="s">
        <v>380</v>
      </c>
      <c r="X81" s="4941" t="s">
        <v>381</v>
      </c>
      <c r="Y81" s="4942" t="s">
        <v>382</v>
      </c>
      <c r="Z81" s="4943" t="s">
        <v>1268</v>
      </c>
      <c r="AA81" s="4943" t="s">
        <v>195</v>
      </c>
      <c r="AB81" s="4895" t="s">
        <v>414</v>
      </c>
      <c r="AC81" s="4895" t="s">
        <v>383</v>
      </c>
      <c r="AD81" s="4895" t="s">
        <v>384</v>
      </c>
      <c r="AE81" s="4895" t="s">
        <v>385</v>
      </c>
      <c r="AF81" s="4895" t="s">
        <v>386</v>
      </c>
      <c r="AG81" s="4895" t="s">
        <v>387</v>
      </c>
      <c r="AH81" s="4895" t="s">
        <v>388</v>
      </c>
      <c r="AI81" s="4895" t="s">
        <v>389</v>
      </c>
      <c r="AJ81" s="4895" t="s">
        <v>390</v>
      </c>
      <c r="AK81" s="7037" t="s">
        <v>391</v>
      </c>
      <c r="AL81" s="7037" t="s">
        <v>392</v>
      </c>
      <c r="AM81" s="7037" t="s">
        <v>393</v>
      </c>
      <c r="AN81" s="7515"/>
      <c r="AO81" s="7515"/>
      <c r="AP81" s="7551"/>
    </row>
    <row r="82" spans="1:42" ht="15.75" customHeight="1">
      <c r="A82" s="7542" t="s">
        <v>2</v>
      </c>
      <c r="B82" s="7543"/>
      <c r="C82" s="2824"/>
      <c r="D82" s="2824">
        <v>23</v>
      </c>
      <c r="E82" s="2824">
        <v>13</v>
      </c>
      <c r="F82" s="2824">
        <v>14</v>
      </c>
      <c r="G82" s="2824">
        <v>31</v>
      </c>
      <c r="H82" s="2824">
        <v>18</v>
      </c>
      <c r="I82" s="2824">
        <v>7</v>
      </c>
      <c r="J82" s="4893">
        <v>4</v>
      </c>
      <c r="K82" s="2825">
        <f>년간!C45</f>
        <v>3</v>
      </c>
      <c r="L82" s="4938">
        <f>년간!D45</f>
        <v>3</v>
      </c>
      <c r="M82" s="4939">
        <f>L82/10</f>
        <v>0.3</v>
      </c>
      <c r="N82" s="2825">
        <f>년간!F45</f>
        <v>0</v>
      </c>
      <c r="O82" s="2825">
        <f>년간!G45</f>
        <v>1</v>
      </c>
      <c r="P82" s="5413">
        <f>년간!H45</f>
        <v>0</v>
      </c>
      <c r="Q82" s="2825">
        <f>년간!I45</f>
        <v>0</v>
      </c>
      <c r="R82" s="2825">
        <f>년간!J45</f>
        <v>0</v>
      </c>
      <c r="S82" s="2825">
        <f>년간!K45</f>
        <v>1</v>
      </c>
      <c r="T82" s="2825">
        <f>년간!L45</f>
        <v>0</v>
      </c>
      <c r="U82" s="2825">
        <f>년간!M45</f>
        <v>1</v>
      </c>
      <c r="V82" s="2825">
        <f>년간!N45</f>
        <v>0</v>
      </c>
      <c r="W82" s="2825">
        <f>년간!O45</f>
        <v>0</v>
      </c>
      <c r="X82" s="5418">
        <f>년간!P45</f>
        <v>0</v>
      </c>
      <c r="Y82" s="5251">
        <f>년간!Q45</f>
        <v>0</v>
      </c>
      <c r="Z82" s="6976">
        <f>년간!V45</f>
        <v>3</v>
      </c>
      <c r="AA82" s="4940"/>
      <c r="AB82" s="4893"/>
      <c r="AC82" s="4893"/>
      <c r="AD82" s="4893"/>
      <c r="AE82" s="4893"/>
      <c r="AF82" s="4893"/>
      <c r="AG82" s="4893"/>
      <c r="AH82" s="4893"/>
      <c r="AI82" s="4893"/>
      <c r="AJ82" s="4893"/>
      <c r="AK82" s="4893"/>
      <c r="AL82" s="4893"/>
      <c r="AM82" s="4893"/>
      <c r="AN82" s="2824"/>
      <c r="AO82" s="4894"/>
      <c r="AP82" s="896"/>
    </row>
    <row r="83" spans="1:42" ht="15.75" customHeight="1">
      <c r="A83" s="7535" t="s">
        <v>3</v>
      </c>
      <c r="B83" s="7536"/>
      <c r="C83" s="427"/>
      <c r="D83" s="427"/>
      <c r="E83" s="427">
        <v>14</v>
      </c>
      <c r="F83" s="427">
        <v>21</v>
      </c>
      <c r="G83" s="524">
        <v>41</v>
      </c>
      <c r="H83" s="532">
        <v>24</v>
      </c>
      <c r="I83" s="532">
        <v>14</v>
      </c>
      <c r="J83" s="2822">
        <v>25</v>
      </c>
      <c r="K83" s="1690">
        <f>년간!C46</f>
        <v>6</v>
      </c>
      <c r="L83" s="2820">
        <f>년간!D46</f>
        <v>6</v>
      </c>
      <c r="M83" s="4624">
        <f>L83/10</f>
        <v>0.6</v>
      </c>
      <c r="N83" s="5199">
        <f>년간!F46</f>
        <v>2</v>
      </c>
      <c r="O83" s="5199">
        <f>년간!G46</f>
        <v>1</v>
      </c>
      <c r="P83" s="5414">
        <f>년간!H46</f>
        <v>1</v>
      </c>
      <c r="Q83" s="5199">
        <f>년간!I46</f>
        <v>2</v>
      </c>
      <c r="R83" s="5199">
        <f>년간!J46</f>
        <v>0</v>
      </c>
      <c r="S83" s="5199">
        <f>년간!K46</f>
        <v>2</v>
      </c>
      <c r="T83" s="5199">
        <f>년간!L46</f>
        <v>4</v>
      </c>
      <c r="U83" s="5199">
        <f>년간!M46</f>
        <v>5</v>
      </c>
      <c r="V83" s="5199">
        <f>년간!N46</f>
        <v>5</v>
      </c>
      <c r="W83" s="5199">
        <f>년간!O46</f>
        <v>3</v>
      </c>
      <c r="X83" s="4933">
        <f>년간!P46</f>
        <v>0</v>
      </c>
      <c r="Y83" s="4645">
        <f>년간!Q46</f>
        <v>0</v>
      </c>
      <c r="Z83" s="6977">
        <f>년간!V46</f>
        <v>25</v>
      </c>
      <c r="AA83" s="1306"/>
      <c r="AB83" s="416"/>
      <c r="AC83" s="416"/>
      <c r="AD83" s="416"/>
      <c r="AE83" s="416"/>
      <c r="AF83" s="416"/>
      <c r="AG83" s="416"/>
      <c r="AH83" s="416"/>
      <c r="AI83" s="416"/>
      <c r="AJ83" s="416"/>
      <c r="AK83" s="416"/>
      <c r="AL83" s="416"/>
      <c r="AM83" s="416"/>
      <c r="AN83" s="748"/>
      <c r="AO83" s="366"/>
      <c r="AP83" s="348"/>
    </row>
    <row r="84" spans="1:42" ht="15.75" customHeight="1">
      <c r="A84" s="7535" t="s">
        <v>4</v>
      </c>
      <c r="B84" s="7536"/>
      <c r="C84" s="427"/>
      <c r="D84" s="427"/>
      <c r="E84" s="427">
        <v>16</v>
      </c>
      <c r="F84" s="427">
        <v>36</v>
      </c>
      <c r="G84" s="524">
        <v>20</v>
      </c>
      <c r="H84" s="532">
        <v>21</v>
      </c>
      <c r="I84" s="532">
        <v>17</v>
      </c>
      <c r="J84" s="2822">
        <v>22</v>
      </c>
      <c r="K84" s="1690">
        <f>년간!C47</f>
        <v>14</v>
      </c>
      <c r="L84" s="2820">
        <f>년간!D47</f>
        <v>8</v>
      </c>
      <c r="M84" s="4624">
        <f>L84/10</f>
        <v>0.8</v>
      </c>
      <c r="N84" s="5199">
        <f>년간!F47</f>
        <v>0</v>
      </c>
      <c r="O84" s="5199">
        <f>년간!G47</f>
        <v>1</v>
      </c>
      <c r="P84" s="5199">
        <f>년간!H47</f>
        <v>1</v>
      </c>
      <c r="Q84" s="5199">
        <f>년간!I47</f>
        <v>0</v>
      </c>
      <c r="R84" s="5199">
        <f>년간!J47</f>
        <v>0</v>
      </c>
      <c r="S84" s="5199">
        <f>년간!K47</f>
        <v>2</v>
      </c>
      <c r="T84" s="5199">
        <f>년간!L47</f>
        <v>1</v>
      </c>
      <c r="U84" s="5199">
        <f>년간!M47</f>
        <v>0</v>
      </c>
      <c r="V84" s="5199">
        <f>년간!N47</f>
        <v>2</v>
      </c>
      <c r="W84" s="5199">
        <f>년간!O47</f>
        <v>0</v>
      </c>
      <c r="X84" s="4933">
        <f>년간!P47</f>
        <v>0</v>
      </c>
      <c r="Y84" s="4645">
        <f>년간!Q47</f>
        <v>0</v>
      </c>
      <c r="Z84" s="6977">
        <f>년간!V47</f>
        <v>7</v>
      </c>
      <c r="AA84" s="1499">
        <f>년간!D192/1000</f>
        <v>17959.688999686859</v>
      </c>
      <c r="AB84" s="387">
        <f>년간!F192/1000</f>
        <v>3492.1617499391118</v>
      </c>
      <c r="AC84" s="387">
        <f>년간!G192/1000</f>
        <v>498.88024999130192</v>
      </c>
      <c r="AD84" s="387">
        <f>년간!H192/1000</f>
        <v>498.88024999130192</v>
      </c>
      <c r="AE84" s="387">
        <f>년간!I192/1000</f>
        <v>3492.1617499391118</v>
      </c>
      <c r="AF84" s="387">
        <f>년간!J192/1000</f>
        <v>3492.1617499391118</v>
      </c>
      <c r="AG84" s="387">
        <f>년간!K192/1000</f>
        <v>-2494.4012499565083</v>
      </c>
      <c r="AH84" s="387">
        <f>년간!L192/1000</f>
        <v>498.88024999130192</v>
      </c>
      <c r="AI84" s="387">
        <f>년간!M192/1000</f>
        <v>3492.1617499391118</v>
      </c>
      <c r="AJ84" s="387">
        <f>년간!N192/1000</f>
        <v>-2494.4012499565083</v>
      </c>
      <c r="AK84" s="387">
        <f>년간!O192/1000</f>
        <v>3492.1617499391118</v>
      </c>
      <c r="AL84" s="387">
        <v>0</v>
      </c>
      <c r="AM84" s="387">
        <f>년간!Q192/1000</f>
        <v>3492.1617499391118</v>
      </c>
      <c r="AN84" s="894">
        <f>AB84+AC84+AD84+AE84+AF84+AG84+AH84+AI84+AJ84+AK84+AL84</f>
        <v>13968.646999756449</v>
      </c>
      <c r="AO84" s="366">
        <f>AN84/AA84</f>
        <v>0.7777777777777779</v>
      </c>
      <c r="AP84" s="348"/>
    </row>
    <row r="85" spans="1:42" ht="15.75" customHeight="1">
      <c r="A85" s="7535" t="s">
        <v>193</v>
      </c>
      <c r="B85" s="7536"/>
      <c r="C85" s="427"/>
      <c r="D85" s="427"/>
      <c r="E85" s="427">
        <v>23</v>
      </c>
      <c r="F85" s="427">
        <v>21</v>
      </c>
      <c r="G85" s="524">
        <v>13</v>
      </c>
      <c r="H85" s="532">
        <v>14</v>
      </c>
      <c r="I85" s="532">
        <v>19</v>
      </c>
      <c r="J85" s="2822">
        <v>6</v>
      </c>
      <c r="K85" s="1690">
        <f>년간!C48</f>
        <v>6</v>
      </c>
      <c r="L85" s="2820">
        <f>년간!D48</f>
        <v>6</v>
      </c>
      <c r="M85" s="4624">
        <f>L85/12</f>
        <v>0.5</v>
      </c>
      <c r="N85" s="5199">
        <f>년간!F48</f>
        <v>0</v>
      </c>
      <c r="O85" s="5199">
        <f>년간!G48</f>
        <v>0</v>
      </c>
      <c r="P85" s="5414">
        <f>년간!H48</f>
        <v>0</v>
      </c>
      <c r="Q85" s="5199">
        <f>년간!I48</f>
        <v>0</v>
      </c>
      <c r="R85" s="5199">
        <f>년간!J48</f>
        <v>1</v>
      </c>
      <c r="S85" s="5199">
        <f>년간!K48</f>
        <v>0</v>
      </c>
      <c r="T85" s="5199">
        <f>년간!L48</f>
        <v>0</v>
      </c>
      <c r="U85" s="5199">
        <f>년간!M48</f>
        <v>0</v>
      </c>
      <c r="V85" s="5199">
        <f>년간!N48</f>
        <v>0</v>
      </c>
      <c r="W85" s="5199">
        <f>년간!O48</f>
        <v>0</v>
      </c>
      <c r="X85" s="4933">
        <f>년간!P48</f>
        <v>0</v>
      </c>
      <c r="Y85" s="4645">
        <f>년간!Q48</f>
        <v>1</v>
      </c>
      <c r="Z85" s="6977">
        <f>년간!V48</f>
        <v>2</v>
      </c>
      <c r="AA85" s="1499">
        <f>년간!D193/1000</f>
        <v>0</v>
      </c>
      <c r="AB85" s="387">
        <f>년간!F193/1000</f>
        <v>615.99574902017991</v>
      </c>
      <c r="AC85" s="387">
        <f>년간!G193/1000</f>
        <v>615.99574902017991</v>
      </c>
      <c r="AD85" s="387">
        <f>년간!H193/1000</f>
        <v>615.99574902017991</v>
      </c>
      <c r="AE85" s="387">
        <f>년간!I193/1000</f>
        <v>615.99574902017991</v>
      </c>
      <c r="AF85" s="387">
        <f>년간!J193/1000</f>
        <v>-615.99574902017991</v>
      </c>
      <c r="AG85" s="387">
        <f>년간!K193/1000</f>
        <v>615.99574902017991</v>
      </c>
      <c r="AH85" s="387">
        <f>년간!L193/1000</f>
        <v>615.99574902017991</v>
      </c>
      <c r="AI85" s="387">
        <f>년간!M193/1000</f>
        <v>615.99574902017991</v>
      </c>
      <c r="AJ85" s="387">
        <f>년간!N193/1000</f>
        <v>615.99574902017991</v>
      </c>
      <c r="AK85" s="387">
        <f>년간!O193/1000</f>
        <v>615.99574902017991</v>
      </c>
      <c r="AL85" s="387">
        <f>년간!P193/1000</f>
        <v>615.99574902017991</v>
      </c>
      <c r="AM85" s="387">
        <f>년간!Q193/1000</f>
        <v>-615.99574902017991</v>
      </c>
      <c r="AN85" s="894">
        <f>AB85+AC85+AD85+AE85+AF85+AG85+AH85+AI85+AJ85+AK85+AL85</f>
        <v>5543.9617411816189</v>
      </c>
      <c r="AO85" s="366" t="e">
        <f>AN85/AA85</f>
        <v>#DIV/0!</v>
      </c>
      <c r="AP85" s="348"/>
    </row>
    <row r="86" spans="1:42" ht="15.75" customHeight="1">
      <c r="A86" s="7535" t="s">
        <v>17</v>
      </c>
      <c r="B86" s="7536"/>
      <c r="C86" s="427"/>
      <c r="D86" s="427"/>
      <c r="E86" s="427">
        <v>9</v>
      </c>
      <c r="F86" s="427">
        <v>6</v>
      </c>
      <c r="G86" s="524">
        <v>11</v>
      </c>
      <c r="H86" s="532">
        <v>11</v>
      </c>
      <c r="I86" s="532">
        <v>14</v>
      </c>
      <c r="J86" s="2822">
        <v>2</v>
      </c>
      <c r="K86" s="1690">
        <f>년간!C49</f>
        <v>2</v>
      </c>
      <c r="L86" s="2820">
        <f>년간!D49</f>
        <v>3</v>
      </c>
      <c r="M86" s="4624">
        <f>L86/12</f>
        <v>0.25</v>
      </c>
      <c r="N86" s="5199">
        <f>년간!F49</f>
        <v>1</v>
      </c>
      <c r="O86" s="5199">
        <f>년간!G49</f>
        <v>0</v>
      </c>
      <c r="P86" s="5414">
        <f>년간!H49</f>
        <v>1</v>
      </c>
      <c r="Q86" s="5199">
        <f>년간!I49</f>
        <v>0</v>
      </c>
      <c r="R86" s="5199">
        <f>년간!J49</f>
        <v>1</v>
      </c>
      <c r="S86" s="5199">
        <f>년간!K49</f>
        <v>0</v>
      </c>
      <c r="T86" s="5199">
        <f>년간!L49</f>
        <v>0</v>
      </c>
      <c r="U86" s="5199">
        <f>년간!M49</f>
        <v>0</v>
      </c>
      <c r="V86" s="5199">
        <f>년간!N49</f>
        <v>2</v>
      </c>
      <c r="W86" s="5199">
        <f>년간!O49</f>
        <v>0</v>
      </c>
      <c r="X86" s="4933">
        <f>년간!P49</f>
        <v>0</v>
      </c>
      <c r="Y86" s="4645">
        <f>년간!Q49</f>
        <v>0</v>
      </c>
      <c r="Z86" s="6977">
        <f>년간!V49</f>
        <v>5</v>
      </c>
      <c r="AA86" s="4735">
        <f>년간!D194/1000</f>
        <v>-732.56022913971992</v>
      </c>
      <c r="AB86" s="387">
        <f>년간!F194/1000</f>
        <v>-610.46685761643334</v>
      </c>
      <c r="AC86" s="387">
        <f>년간!G194/1000</f>
        <v>122.09337152328665</v>
      </c>
      <c r="AD86" s="387">
        <f>년간!H194/1000</f>
        <v>-610.46685761643334</v>
      </c>
      <c r="AE86" s="387">
        <f>년간!I194/1000</f>
        <v>122.09337152328665</v>
      </c>
      <c r="AF86" s="387">
        <f>년간!J194/1000</f>
        <v>-610.46685761643334</v>
      </c>
      <c r="AG86" s="387">
        <f>년간!K194/1000</f>
        <v>122.09337152328665</v>
      </c>
      <c r="AH86" s="387">
        <f>년간!L194/1000</f>
        <v>122.09337152328665</v>
      </c>
      <c r="AI86" s="387">
        <f>년간!M194/1000</f>
        <v>122.09337152328665</v>
      </c>
      <c r="AJ86" s="387">
        <f>년간!N194/1000</f>
        <v>-1343.0270867561533</v>
      </c>
      <c r="AK86" s="387">
        <f>년간!O194/1000</f>
        <v>122.09337152328665</v>
      </c>
      <c r="AL86" s="387">
        <f>년간!P194/1000</f>
        <v>122.09337152328665</v>
      </c>
      <c r="AM86" s="535">
        <f>년간!Q194/1000</f>
        <v>122.09337152328665</v>
      </c>
      <c r="AN86" s="894">
        <f>AB86+AC86+AD86+AE86+AF86+AG86+AH86+AI86+AJ86+AK86+AL86</f>
        <v>-2319.7740589424466</v>
      </c>
      <c r="AO86" s="366"/>
      <c r="AP86" s="348"/>
    </row>
    <row r="87" spans="1:42" ht="15.75" customHeight="1" thickBot="1">
      <c r="A87" s="7508" t="s">
        <v>31</v>
      </c>
      <c r="B87" s="7508"/>
      <c r="C87" s="1181">
        <f>SUM(C82:C86)</f>
        <v>0</v>
      </c>
      <c r="D87" s="1181">
        <f t="shared" ref="D87:AA87" si="53">SUM(D82:D86)</f>
        <v>23</v>
      </c>
      <c r="E87" s="1181">
        <f t="shared" si="53"/>
        <v>75</v>
      </c>
      <c r="F87" s="1181">
        <f t="shared" si="53"/>
        <v>98</v>
      </c>
      <c r="G87" s="1181">
        <f t="shared" si="53"/>
        <v>116</v>
      </c>
      <c r="H87" s="1181">
        <v>88</v>
      </c>
      <c r="I87" s="1181">
        <f>SUM(I82:I86)</f>
        <v>71</v>
      </c>
      <c r="J87" s="1575">
        <f>SUM(J82:J86)</f>
        <v>59</v>
      </c>
      <c r="K87" s="1575">
        <f>SUM(K82:K86)</f>
        <v>31</v>
      </c>
      <c r="L87" s="2821">
        <f t="shared" si="53"/>
        <v>26</v>
      </c>
      <c r="M87" s="4631">
        <f t="shared" si="53"/>
        <v>2.4500000000000002</v>
      </c>
      <c r="N87" s="5200">
        <f t="shared" si="53"/>
        <v>3</v>
      </c>
      <c r="O87" s="5200">
        <f t="shared" si="53"/>
        <v>3</v>
      </c>
      <c r="P87" s="5200">
        <f t="shared" si="53"/>
        <v>3</v>
      </c>
      <c r="Q87" s="5200">
        <f t="shared" si="53"/>
        <v>2</v>
      </c>
      <c r="R87" s="5200">
        <f t="shared" si="53"/>
        <v>2</v>
      </c>
      <c r="S87" s="5281">
        <f t="shared" si="53"/>
        <v>5</v>
      </c>
      <c r="T87" s="5200">
        <f t="shared" si="53"/>
        <v>5</v>
      </c>
      <c r="U87" s="5200">
        <f t="shared" si="53"/>
        <v>6</v>
      </c>
      <c r="V87" s="5200">
        <f t="shared" si="53"/>
        <v>9</v>
      </c>
      <c r="W87" s="5200">
        <f t="shared" si="53"/>
        <v>3</v>
      </c>
      <c r="X87" s="5895">
        <f t="shared" si="53"/>
        <v>0</v>
      </c>
      <c r="Y87" s="4646">
        <f t="shared" si="53"/>
        <v>1</v>
      </c>
      <c r="Z87" s="4623">
        <f t="shared" si="53"/>
        <v>42</v>
      </c>
      <c r="AA87" s="1500">
        <f t="shared" si="53"/>
        <v>17227.12877054714</v>
      </c>
      <c r="AB87" s="1253">
        <f>SUM(AB82:AB86)</f>
        <v>3497.6906413428587</v>
      </c>
      <c r="AC87" s="1253">
        <f t="shared" ref="AC87:AM87" si="54">SUM(AC82:AC85)</f>
        <v>1114.8759990114818</v>
      </c>
      <c r="AD87" s="1253">
        <f t="shared" si="54"/>
        <v>1114.8759990114818</v>
      </c>
      <c r="AE87" s="1253">
        <f t="shared" si="54"/>
        <v>4108.1574989592918</v>
      </c>
      <c r="AF87" s="1253">
        <f t="shared" si="54"/>
        <v>2876.1660009189318</v>
      </c>
      <c r="AG87" s="1253">
        <f t="shared" si="54"/>
        <v>-1878.4055009363283</v>
      </c>
      <c r="AH87" s="1253">
        <f t="shared" si="54"/>
        <v>1114.8759990114818</v>
      </c>
      <c r="AI87" s="1253">
        <f t="shared" si="54"/>
        <v>4108.1574989592918</v>
      </c>
      <c r="AJ87" s="1253">
        <f t="shared" si="54"/>
        <v>-1878.4055009363283</v>
      </c>
      <c r="AK87" s="1253">
        <f t="shared" si="54"/>
        <v>4108.1574989592918</v>
      </c>
      <c r="AL87" s="1253">
        <f t="shared" si="54"/>
        <v>615.99574902017991</v>
      </c>
      <c r="AM87" s="1253">
        <f t="shared" si="54"/>
        <v>2876.1660009189318</v>
      </c>
      <c r="AN87" s="1253">
        <f>SUM(AN82:AN86)</f>
        <v>17192.83468199562</v>
      </c>
      <c r="AO87" s="1254">
        <f>AN87/AA87</f>
        <v>0.9980092974860586</v>
      </c>
      <c r="AP87" s="1181"/>
    </row>
    <row r="88" spans="1:42" ht="15.75" customHeight="1">
      <c r="F88" s="445" t="e">
        <f>AS102=AN</f>
        <v>#NAME?</v>
      </c>
      <c r="G88" s="445">
        <f>G87+G51</f>
        <v>311</v>
      </c>
      <c r="H88" s="441"/>
      <c r="I88" s="441"/>
      <c r="J88" s="441"/>
      <c r="K88" s="441"/>
      <c r="L88" s="441"/>
      <c r="M88" s="441"/>
      <c r="N88" s="445">
        <f t="shared" ref="N88:T88" si="55">N87+N51</f>
        <v>5</v>
      </c>
      <c r="O88" s="445">
        <f t="shared" si="55"/>
        <v>9</v>
      </c>
      <c r="P88" s="445">
        <f t="shared" si="55"/>
        <v>3</v>
      </c>
      <c r="Q88" s="445">
        <f t="shared" si="55"/>
        <v>6</v>
      </c>
      <c r="R88" s="445">
        <f t="shared" si="55"/>
        <v>4</v>
      </c>
      <c r="S88" s="445">
        <f t="shared" si="55"/>
        <v>7</v>
      </c>
      <c r="T88" s="445">
        <f t="shared" si="55"/>
        <v>6</v>
      </c>
      <c r="W88" s="313">
        <f>W87+W51</f>
        <v>4</v>
      </c>
      <c r="X88" s="313">
        <f>X87+X51</f>
        <v>1</v>
      </c>
      <c r="Y88" s="313">
        <f>Y87+Y51</f>
        <v>4</v>
      </c>
    </row>
    <row r="89" spans="1:42" ht="15.75" customHeight="1" thickBot="1">
      <c r="A89" s="304" t="s">
        <v>635</v>
      </c>
      <c r="C89" s="105"/>
      <c r="D89" s="105"/>
      <c r="E89" s="105"/>
      <c r="F89" s="442" t="e">
        <f>F88/12</f>
        <v>#NAME?</v>
      </c>
      <c r="G89" s="442">
        <f>G88/12</f>
        <v>25.916666666666668</v>
      </c>
      <c r="H89" s="443"/>
      <c r="I89" s="443"/>
      <c r="J89" s="443"/>
      <c r="K89" s="443"/>
      <c r="L89" s="443"/>
      <c r="M89" s="443"/>
      <c r="N89" s="443"/>
      <c r="O89" s="443"/>
      <c r="P89" s="444"/>
      <c r="Q89" s="444"/>
      <c r="R89" s="444"/>
      <c r="S89" s="444"/>
      <c r="T89" s="444"/>
      <c r="U89" s="105"/>
      <c r="V89" s="105"/>
      <c r="W89" s="105"/>
      <c r="X89" s="105"/>
      <c r="Y89" s="105"/>
      <c r="Z89" s="105"/>
      <c r="AA89" s="431"/>
      <c r="AB89" s="432"/>
      <c r="AC89" s="432"/>
      <c r="AD89" s="432"/>
      <c r="AE89" s="432"/>
      <c r="AF89" s="432"/>
      <c r="AG89" s="432"/>
      <c r="AH89" s="432"/>
      <c r="AI89" s="432"/>
      <c r="AJ89" s="432"/>
      <c r="AK89" s="432"/>
      <c r="AL89" s="432"/>
      <c r="AM89" s="432"/>
      <c r="AN89" s="432"/>
      <c r="AO89" s="331"/>
      <c r="AP89" s="433"/>
    </row>
    <row r="90" spans="1:42" ht="15.75" customHeight="1" thickBot="1">
      <c r="A90" s="7526" t="s">
        <v>0</v>
      </c>
      <c r="B90" s="7526"/>
      <c r="C90" s="7508" t="s">
        <v>408</v>
      </c>
      <c r="D90" s="7508" t="s">
        <v>409</v>
      </c>
      <c r="E90" s="7508" t="s">
        <v>410</v>
      </c>
      <c r="F90" s="7508" t="s">
        <v>411</v>
      </c>
      <c r="G90" s="7508" t="s">
        <v>407</v>
      </c>
      <c r="H90" s="7546" t="s">
        <v>555</v>
      </c>
      <c r="I90" s="7546" t="s">
        <v>733</v>
      </c>
      <c r="J90" s="7586" t="s">
        <v>1000</v>
      </c>
      <c r="K90" s="7589" t="s">
        <v>1181</v>
      </c>
      <c r="L90" s="7339" t="s">
        <v>1281</v>
      </c>
      <c r="M90" s="7337" t="s">
        <v>917</v>
      </c>
      <c r="N90" s="7547" t="s">
        <v>1337</v>
      </c>
      <c r="O90" s="7548"/>
      <c r="P90" s="7548"/>
      <c r="Q90" s="7548"/>
      <c r="R90" s="7548"/>
      <c r="S90" s="7548"/>
      <c r="T90" s="7548"/>
      <c r="U90" s="7548"/>
      <c r="V90" s="7548"/>
      <c r="W90" s="7548"/>
      <c r="X90" s="7548"/>
      <c r="Y90" s="7548"/>
      <c r="Z90" s="7549"/>
      <c r="AA90" s="7549"/>
      <c r="AB90" s="7549"/>
      <c r="AC90" s="7549"/>
      <c r="AD90" s="7549"/>
      <c r="AE90" s="7549"/>
      <c r="AF90" s="7549"/>
      <c r="AG90" s="7549"/>
      <c r="AH90" s="7549"/>
      <c r="AI90" s="7549"/>
      <c r="AJ90" s="7549"/>
      <c r="AK90" s="7549"/>
      <c r="AL90" s="7549"/>
      <c r="AM90" s="7550"/>
      <c r="AN90" s="7508" t="s">
        <v>461</v>
      </c>
      <c r="AO90" s="7508" t="s">
        <v>365</v>
      </c>
      <c r="AP90" s="7526" t="s">
        <v>287</v>
      </c>
    </row>
    <row r="91" spans="1:42" ht="15.75" customHeight="1">
      <c r="A91" s="7526"/>
      <c r="B91" s="7526"/>
      <c r="C91" s="7508"/>
      <c r="D91" s="7508"/>
      <c r="E91" s="7508"/>
      <c r="F91" s="7508"/>
      <c r="G91" s="7508"/>
      <c r="H91" s="7546"/>
      <c r="I91" s="7546"/>
      <c r="J91" s="7586"/>
      <c r="K91" s="7589"/>
      <c r="L91" s="7507"/>
      <c r="M91" s="7585"/>
      <c r="N91" s="5196" t="s">
        <v>419</v>
      </c>
      <c r="O91" s="5196" t="s">
        <v>477</v>
      </c>
      <c r="P91" s="5292" t="s">
        <v>478</v>
      </c>
      <c r="Q91" s="5458" t="s">
        <v>479</v>
      </c>
      <c r="R91" s="5699" t="s">
        <v>480</v>
      </c>
      <c r="S91" s="5876" t="s">
        <v>481</v>
      </c>
      <c r="T91" s="6088" t="s">
        <v>482</v>
      </c>
      <c r="U91" s="6603" t="s">
        <v>483</v>
      </c>
      <c r="V91" s="6833" t="s">
        <v>484</v>
      </c>
      <c r="W91" s="6964" t="s">
        <v>485</v>
      </c>
      <c r="X91" s="4934" t="s">
        <v>486</v>
      </c>
      <c r="Y91" s="4642" t="s">
        <v>487</v>
      </c>
      <c r="Z91" s="4621" t="s">
        <v>1268</v>
      </c>
      <c r="AA91" s="3153" t="s">
        <v>195</v>
      </c>
      <c r="AB91" s="3153" t="s">
        <v>414</v>
      </c>
      <c r="AC91" s="3153" t="s">
        <v>383</v>
      </c>
      <c r="AD91" s="3153" t="s">
        <v>384</v>
      </c>
      <c r="AE91" s="3153" t="s">
        <v>385</v>
      </c>
      <c r="AF91" s="3153" t="s">
        <v>386</v>
      </c>
      <c r="AG91" s="3153" t="s">
        <v>387</v>
      </c>
      <c r="AH91" s="3153" t="s">
        <v>388</v>
      </c>
      <c r="AI91" s="3153" t="s">
        <v>389</v>
      </c>
      <c r="AJ91" s="3153" t="s">
        <v>390</v>
      </c>
      <c r="AK91" s="7036" t="s">
        <v>391</v>
      </c>
      <c r="AL91" s="7036" t="s">
        <v>392</v>
      </c>
      <c r="AM91" s="7036" t="s">
        <v>393</v>
      </c>
      <c r="AN91" s="7508"/>
      <c r="AO91" s="7508"/>
      <c r="AP91" s="7526"/>
    </row>
    <row r="92" spans="1:42" ht="15.75" customHeight="1">
      <c r="A92" s="7535" t="s">
        <v>2</v>
      </c>
      <c r="B92" s="7536"/>
      <c r="C92" s="427"/>
      <c r="D92" s="427">
        <v>23</v>
      </c>
      <c r="E92" s="427">
        <v>19</v>
      </c>
      <c r="F92" s="427"/>
      <c r="G92" s="859"/>
      <c r="H92" s="427">
        <v>1</v>
      </c>
      <c r="I92" s="532">
        <v>6</v>
      </c>
      <c r="J92" s="1690">
        <v>6</v>
      </c>
      <c r="K92" s="2231">
        <v>6</v>
      </c>
      <c r="L92" s="2780">
        <f>L103+L114</f>
        <v>2</v>
      </c>
      <c r="M92" s="4632">
        <f>L92/12</f>
        <v>0.16666666666666666</v>
      </c>
      <c r="N92" s="5203">
        <f>N103+N114</f>
        <v>0</v>
      </c>
      <c r="O92" s="5203">
        <f t="shared" ref="O92:Y92" si="56">O103+O114</f>
        <v>1</v>
      </c>
      <c r="P92" s="5203">
        <f t="shared" si="56"/>
        <v>3</v>
      </c>
      <c r="Q92" s="5203">
        <f t="shared" si="56"/>
        <v>0</v>
      </c>
      <c r="R92" s="5203">
        <f t="shared" si="56"/>
        <v>0</v>
      </c>
      <c r="S92" s="5203">
        <f t="shared" si="56"/>
        <v>1</v>
      </c>
      <c r="T92" s="5203">
        <f t="shared" si="56"/>
        <v>0</v>
      </c>
      <c r="U92" s="5203">
        <f t="shared" si="56"/>
        <v>0</v>
      </c>
      <c r="V92" s="5203">
        <f t="shared" si="56"/>
        <v>0</v>
      </c>
      <c r="W92" s="5203">
        <f t="shared" si="56"/>
        <v>0</v>
      </c>
      <c r="X92" s="4937">
        <f t="shared" si="56"/>
        <v>0</v>
      </c>
      <c r="Y92" s="4648">
        <f t="shared" si="56"/>
        <v>0</v>
      </c>
      <c r="Z92" s="4622">
        <f>SUM(N92:Y92)</f>
        <v>5</v>
      </c>
      <c r="AA92" s="796">
        <v>0</v>
      </c>
      <c r="AB92" s="387">
        <f>AB114+AB103</f>
        <v>0</v>
      </c>
      <c r="AC92" s="387">
        <f t="shared" ref="AC92:AM92" si="57">AC114+AC103</f>
        <v>9920</v>
      </c>
      <c r="AD92" s="387">
        <f t="shared" si="57"/>
        <v>370</v>
      </c>
      <c r="AE92" s="387">
        <f t="shared" si="57"/>
        <v>0</v>
      </c>
      <c r="AF92" s="387">
        <f t="shared" si="57"/>
        <v>0</v>
      </c>
      <c r="AG92" s="387">
        <f t="shared" si="57"/>
        <v>19872</v>
      </c>
      <c r="AH92" s="387">
        <f t="shared" si="57"/>
        <v>0</v>
      </c>
      <c r="AI92" s="387">
        <f t="shared" si="57"/>
        <v>0</v>
      </c>
      <c r="AJ92" s="387">
        <f t="shared" si="57"/>
        <v>0</v>
      </c>
      <c r="AK92" s="387">
        <f t="shared" si="57"/>
        <v>0</v>
      </c>
      <c r="AL92" s="387">
        <f t="shared" si="57"/>
        <v>0</v>
      </c>
      <c r="AM92" s="387">
        <f t="shared" si="57"/>
        <v>0</v>
      </c>
      <c r="AN92" s="428">
        <f>SUM(AB92:AM92)</f>
        <v>30162</v>
      </c>
      <c r="AO92" s="366" t="e">
        <f t="shared" ref="AO92:AO97" si="58">AN92/AA92</f>
        <v>#DIV/0!</v>
      </c>
      <c r="AP92" s="348"/>
    </row>
    <row r="93" spans="1:42" ht="15.75" customHeight="1">
      <c r="A93" s="7535" t="s">
        <v>3</v>
      </c>
      <c r="B93" s="7536"/>
      <c r="C93" s="427"/>
      <c r="D93" s="427"/>
      <c r="E93" s="427">
        <v>21</v>
      </c>
      <c r="F93" s="427"/>
      <c r="G93" s="859"/>
      <c r="H93" s="427">
        <v>2</v>
      </c>
      <c r="I93" s="532">
        <v>4</v>
      </c>
      <c r="J93" s="1690">
        <v>9</v>
      </c>
      <c r="K93" s="2231">
        <v>6</v>
      </c>
      <c r="L93" s="2780">
        <f>L104+L115</f>
        <v>1</v>
      </c>
      <c r="M93" s="4632">
        <f>L93/12</f>
        <v>8.3333333333333329E-2</v>
      </c>
      <c r="N93" s="5203">
        <f t="shared" ref="N93:Y96" si="59">N104+N115</f>
        <v>0</v>
      </c>
      <c r="O93" s="5203">
        <f t="shared" si="59"/>
        <v>0</v>
      </c>
      <c r="P93" s="5203">
        <f t="shared" si="59"/>
        <v>0</v>
      </c>
      <c r="Q93" s="5203">
        <f t="shared" si="59"/>
        <v>2</v>
      </c>
      <c r="R93" s="5203">
        <f t="shared" si="59"/>
        <v>0</v>
      </c>
      <c r="S93" s="5203">
        <f t="shared" si="59"/>
        <v>0</v>
      </c>
      <c r="T93" s="5203">
        <f t="shared" si="59"/>
        <v>0</v>
      </c>
      <c r="U93" s="5203">
        <f t="shared" si="59"/>
        <v>0</v>
      </c>
      <c r="V93" s="5203">
        <f t="shared" si="59"/>
        <v>0</v>
      </c>
      <c r="W93" s="5203">
        <f t="shared" si="59"/>
        <v>0</v>
      </c>
      <c r="X93" s="4937">
        <f t="shared" si="59"/>
        <v>0</v>
      </c>
      <c r="Y93" s="4648">
        <f t="shared" si="59"/>
        <v>0</v>
      </c>
      <c r="Z93" s="4622">
        <f>SUM(N93:Y93)</f>
        <v>2</v>
      </c>
      <c r="AA93" s="861">
        <v>0</v>
      </c>
      <c r="AB93" s="387">
        <f t="shared" ref="AB93:AM93" si="60">AB115+AB104</f>
        <v>0</v>
      </c>
      <c r="AC93" s="387">
        <f t="shared" si="60"/>
        <v>0</v>
      </c>
      <c r="AD93" s="387">
        <f t="shared" si="60"/>
        <v>0</v>
      </c>
      <c r="AE93" s="387">
        <f t="shared" si="60"/>
        <v>0</v>
      </c>
      <c r="AF93" s="387">
        <f t="shared" si="60"/>
        <v>0</v>
      </c>
      <c r="AG93" s="387">
        <f t="shared" si="60"/>
        <v>0</v>
      </c>
      <c r="AH93" s="387">
        <f t="shared" si="60"/>
        <v>0</v>
      </c>
      <c r="AI93" s="387">
        <f t="shared" si="60"/>
        <v>0</v>
      </c>
      <c r="AJ93" s="387">
        <f t="shared" si="60"/>
        <v>0</v>
      </c>
      <c r="AK93" s="387">
        <f t="shared" si="60"/>
        <v>0</v>
      </c>
      <c r="AL93" s="387">
        <f t="shared" si="60"/>
        <v>0</v>
      </c>
      <c r="AM93" s="387">
        <f t="shared" si="60"/>
        <v>0</v>
      </c>
      <c r="AN93" s="428">
        <f>SUM(AB93:AM93)</f>
        <v>0</v>
      </c>
      <c r="AO93" s="366" t="e">
        <f t="shared" si="58"/>
        <v>#DIV/0!</v>
      </c>
      <c r="AP93" s="348"/>
    </row>
    <row r="94" spans="1:42" ht="15.75" customHeight="1">
      <c r="A94" s="7535" t="s">
        <v>4</v>
      </c>
      <c r="B94" s="7536"/>
      <c r="C94" s="427"/>
      <c r="D94" s="427"/>
      <c r="E94" s="427">
        <v>14</v>
      </c>
      <c r="F94" s="427"/>
      <c r="G94" s="859"/>
      <c r="H94" s="427">
        <v>1</v>
      </c>
      <c r="I94" s="532">
        <v>7</v>
      </c>
      <c r="J94" s="1690">
        <v>11</v>
      </c>
      <c r="K94" s="2231">
        <v>8</v>
      </c>
      <c r="L94" s="2780">
        <f>L105+L116</f>
        <v>5</v>
      </c>
      <c r="M94" s="4632">
        <f>L94/12</f>
        <v>0.41666666666666669</v>
      </c>
      <c r="N94" s="5203">
        <f t="shared" si="59"/>
        <v>0</v>
      </c>
      <c r="O94" s="5203">
        <f t="shared" si="59"/>
        <v>0</v>
      </c>
      <c r="P94" s="5203">
        <f t="shared" si="59"/>
        <v>0</v>
      </c>
      <c r="Q94" s="5203">
        <f t="shared" si="59"/>
        <v>1</v>
      </c>
      <c r="R94" s="5203">
        <f t="shared" si="59"/>
        <v>2</v>
      </c>
      <c r="S94" s="5203">
        <f t="shared" si="59"/>
        <v>0</v>
      </c>
      <c r="T94" s="5203">
        <f t="shared" si="59"/>
        <v>1</v>
      </c>
      <c r="U94" s="5203">
        <f t="shared" si="59"/>
        <v>2.8</v>
      </c>
      <c r="V94" s="5203">
        <f t="shared" si="59"/>
        <v>1</v>
      </c>
      <c r="W94" s="5203">
        <f t="shared" si="59"/>
        <v>0</v>
      </c>
      <c r="X94" s="4937">
        <f t="shared" si="59"/>
        <v>0</v>
      </c>
      <c r="Y94" s="4648">
        <f t="shared" si="59"/>
        <v>0</v>
      </c>
      <c r="Z94" s="4622">
        <f>SUM(N94:Y94)</f>
        <v>7.8</v>
      </c>
      <c r="AA94" s="861">
        <v>0</v>
      </c>
      <c r="AB94" s="387">
        <f t="shared" ref="AB94:AM94" si="61">AB116+AB105</f>
        <v>0</v>
      </c>
      <c r="AC94" s="387">
        <f t="shared" si="61"/>
        <v>0</v>
      </c>
      <c r="AD94" s="387">
        <f t="shared" si="61"/>
        <v>0</v>
      </c>
      <c r="AE94" s="387">
        <f t="shared" si="61"/>
        <v>43180</v>
      </c>
      <c r="AF94" s="387">
        <f t="shared" si="61"/>
        <v>0</v>
      </c>
      <c r="AG94" s="387">
        <f t="shared" si="61"/>
        <v>0</v>
      </c>
      <c r="AH94" s="387">
        <f t="shared" si="61"/>
        <v>631</v>
      </c>
      <c r="AI94" s="387">
        <f t="shared" si="61"/>
        <v>0</v>
      </c>
      <c r="AJ94" s="387">
        <f t="shared" si="61"/>
        <v>22000</v>
      </c>
      <c r="AK94" s="387">
        <f t="shared" si="61"/>
        <v>27000</v>
      </c>
      <c r="AL94" s="387">
        <f t="shared" si="61"/>
        <v>0</v>
      </c>
      <c r="AM94" s="387">
        <f t="shared" si="61"/>
        <v>0</v>
      </c>
      <c r="AN94" s="428">
        <f>SUM(AB94:AM94)</f>
        <v>92811</v>
      </c>
      <c r="AO94" s="366" t="e">
        <f t="shared" si="58"/>
        <v>#DIV/0!</v>
      </c>
      <c r="AP94" s="348"/>
    </row>
    <row r="95" spans="1:42" ht="15.75" customHeight="1">
      <c r="A95" s="7535" t="s">
        <v>193</v>
      </c>
      <c r="B95" s="7536"/>
      <c r="C95" s="427"/>
      <c r="D95" s="427"/>
      <c r="E95" s="427">
        <v>10</v>
      </c>
      <c r="F95" s="427"/>
      <c r="G95" s="859"/>
      <c r="H95" s="427">
        <v>3</v>
      </c>
      <c r="I95" s="532">
        <v>7</v>
      </c>
      <c r="J95" s="1690">
        <v>6</v>
      </c>
      <c r="K95" s="2231">
        <v>7</v>
      </c>
      <c r="L95" s="2780">
        <f>L106+L117</f>
        <v>3</v>
      </c>
      <c r="M95" s="4632">
        <f>L95/12</f>
        <v>0.25</v>
      </c>
      <c r="N95" s="5203">
        <f t="shared" si="59"/>
        <v>0</v>
      </c>
      <c r="O95" s="5203">
        <f t="shared" si="59"/>
        <v>0.5</v>
      </c>
      <c r="P95" s="5203">
        <f t="shared" si="59"/>
        <v>0</v>
      </c>
      <c r="Q95" s="5203">
        <f t="shared" si="59"/>
        <v>0</v>
      </c>
      <c r="R95" s="5203">
        <f t="shared" si="59"/>
        <v>0</v>
      </c>
      <c r="S95" s="5203">
        <f t="shared" si="59"/>
        <v>2</v>
      </c>
      <c r="T95" s="5203">
        <v>1</v>
      </c>
      <c r="U95" s="5203">
        <f t="shared" si="59"/>
        <v>1</v>
      </c>
      <c r="V95" s="5203">
        <f t="shared" si="59"/>
        <v>0</v>
      </c>
      <c r="W95" s="5203">
        <f t="shared" si="59"/>
        <v>0</v>
      </c>
      <c r="X95" s="4937">
        <f t="shared" si="59"/>
        <v>0</v>
      </c>
      <c r="Y95" s="4648">
        <f t="shared" si="59"/>
        <v>0</v>
      </c>
      <c r="Z95" s="4622">
        <f>SUM(N95:Y95)</f>
        <v>4.5</v>
      </c>
      <c r="AA95" s="796">
        <v>0</v>
      </c>
      <c r="AB95" s="387">
        <f t="shared" ref="AB95:AM95" si="62">AB117+AB106</f>
        <v>0</v>
      </c>
      <c r="AC95" s="387">
        <f t="shared" si="62"/>
        <v>18894</v>
      </c>
      <c r="AD95" s="387">
        <f t="shared" si="62"/>
        <v>0</v>
      </c>
      <c r="AE95" s="387">
        <f t="shared" si="62"/>
        <v>0</v>
      </c>
      <c r="AF95" s="387">
        <f t="shared" si="62"/>
        <v>0</v>
      </c>
      <c r="AG95" s="387">
        <f t="shared" si="62"/>
        <v>2500</v>
      </c>
      <c r="AH95" s="387">
        <f t="shared" si="62"/>
        <v>0</v>
      </c>
      <c r="AI95" s="387">
        <f t="shared" si="62"/>
        <v>0</v>
      </c>
      <c r="AJ95" s="387">
        <f t="shared" si="62"/>
        <v>0</v>
      </c>
      <c r="AK95" s="387">
        <f t="shared" si="62"/>
        <v>0</v>
      </c>
      <c r="AL95" s="387">
        <f t="shared" si="62"/>
        <v>0</v>
      </c>
      <c r="AM95" s="387">
        <f t="shared" si="62"/>
        <v>0</v>
      </c>
      <c r="AN95" s="428">
        <f>SUM(AB95:AM95)</f>
        <v>21394</v>
      </c>
      <c r="AO95" s="366" t="e">
        <f t="shared" si="58"/>
        <v>#DIV/0!</v>
      </c>
      <c r="AP95" s="348"/>
    </row>
    <row r="96" spans="1:42" ht="15.75" customHeight="1">
      <c r="A96" s="7535" t="s">
        <v>17</v>
      </c>
      <c r="B96" s="7536"/>
      <c r="C96" s="427"/>
      <c r="D96" s="427"/>
      <c r="E96" s="427">
        <v>7</v>
      </c>
      <c r="F96" s="427"/>
      <c r="G96" s="859"/>
      <c r="H96" s="436">
        <v>3</v>
      </c>
      <c r="I96" s="532">
        <v>3</v>
      </c>
      <c r="J96" s="1690">
        <v>13</v>
      </c>
      <c r="K96" s="2231">
        <v>10</v>
      </c>
      <c r="L96" s="2780">
        <f>L107+L118</f>
        <v>6</v>
      </c>
      <c r="M96" s="4632">
        <f>L96/12</f>
        <v>0.5</v>
      </c>
      <c r="N96" s="5203">
        <f t="shared" si="59"/>
        <v>0</v>
      </c>
      <c r="O96" s="5203">
        <f t="shared" si="59"/>
        <v>0.5</v>
      </c>
      <c r="P96" s="5203">
        <f t="shared" si="59"/>
        <v>2</v>
      </c>
      <c r="Q96" s="5203">
        <f t="shared" si="59"/>
        <v>0</v>
      </c>
      <c r="R96" s="5203">
        <f t="shared" si="59"/>
        <v>0</v>
      </c>
      <c r="S96" s="5203">
        <f t="shared" si="59"/>
        <v>1</v>
      </c>
      <c r="T96" s="5203">
        <v>1</v>
      </c>
      <c r="U96" s="5203">
        <f t="shared" si="59"/>
        <v>1</v>
      </c>
      <c r="V96" s="5203">
        <f t="shared" si="59"/>
        <v>0</v>
      </c>
      <c r="W96" s="5203">
        <f t="shared" si="59"/>
        <v>0</v>
      </c>
      <c r="X96" s="4937">
        <f t="shared" si="59"/>
        <v>0</v>
      </c>
      <c r="Y96" s="4648">
        <f t="shared" si="59"/>
        <v>0</v>
      </c>
      <c r="Z96" s="4622">
        <f>SUM(N96:Y96)</f>
        <v>5.5</v>
      </c>
      <c r="AA96" s="796">
        <v>0</v>
      </c>
      <c r="AB96" s="387">
        <f t="shared" ref="AB96:AM96" si="63">AB118+AB107</f>
        <v>0</v>
      </c>
      <c r="AC96" s="387">
        <f t="shared" si="63"/>
        <v>18894</v>
      </c>
      <c r="AD96" s="387">
        <f t="shared" si="63"/>
        <v>453</v>
      </c>
      <c r="AE96" s="387">
        <f t="shared" si="63"/>
        <v>0</v>
      </c>
      <c r="AF96" s="387">
        <f t="shared" si="63"/>
        <v>0</v>
      </c>
      <c r="AG96" s="387">
        <f t="shared" si="63"/>
        <v>0</v>
      </c>
      <c r="AH96" s="387">
        <f t="shared" si="63"/>
        <v>100</v>
      </c>
      <c r="AI96" s="387">
        <f t="shared" si="63"/>
        <v>0</v>
      </c>
      <c r="AJ96" s="387">
        <f t="shared" si="63"/>
        <v>0</v>
      </c>
      <c r="AK96" s="387">
        <f t="shared" si="63"/>
        <v>0</v>
      </c>
      <c r="AL96" s="387">
        <f t="shared" si="63"/>
        <v>0</v>
      </c>
      <c r="AM96" s="387">
        <f t="shared" si="63"/>
        <v>0</v>
      </c>
      <c r="AN96" s="428">
        <f>SUM(AB96:AM96)</f>
        <v>19447</v>
      </c>
      <c r="AO96" s="366" t="e">
        <f t="shared" si="58"/>
        <v>#DIV/0!</v>
      </c>
      <c r="AP96" s="348"/>
    </row>
    <row r="97" spans="1:45" s="313" customFormat="1" ht="15.75" customHeight="1" thickBot="1">
      <c r="A97" s="7508" t="s">
        <v>16</v>
      </c>
      <c r="B97" s="7508"/>
      <c r="C97" s="3154"/>
      <c r="D97" s="3154"/>
      <c r="E97" s="3154"/>
      <c r="F97" s="3154"/>
      <c r="G97" s="3154"/>
      <c r="H97" s="3154">
        <f t="shared" ref="H97:AA97" si="64">SUM(H92:H96)</f>
        <v>10</v>
      </c>
      <c r="I97" s="3154">
        <f t="shared" si="64"/>
        <v>27</v>
      </c>
      <c r="J97" s="3154">
        <f t="shared" si="64"/>
        <v>45</v>
      </c>
      <c r="K97" s="3154">
        <f t="shared" si="64"/>
        <v>37</v>
      </c>
      <c r="L97" s="3156">
        <f t="shared" si="64"/>
        <v>17</v>
      </c>
      <c r="M97" s="2333">
        <f t="shared" si="64"/>
        <v>1.4166666666666667</v>
      </c>
      <c r="N97" s="5200">
        <f t="shared" si="64"/>
        <v>0</v>
      </c>
      <c r="O97" s="5200">
        <f t="shared" si="64"/>
        <v>2</v>
      </c>
      <c r="P97" s="5200">
        <f t="shared" si="64"/>
        <v>5</v>
      </c>
      <c r="Q97" s="5200">
        <f t="shared" si="64"/>
        <v>3</v>
      </c>
      <c r="R97" s="5200">
        <f t="shared" si="64"/>
        <v>2</v>
      </c>
      <c r="S97" s="5281">
        <f t="shared" si="64"/>
        <v>4</v>
      </c>
      <c r="T97" s="5200">
        <f t="shared" si="64"/>
        <v>3</v>
      </c>
      <c r="U97" s="5200">
        <f t="shared" si="64"/>
        <v>4.8</v>
      </c>
      <c r="V97" s="5200">
        <f t="shared" si="64"/>
        <v>1</v>
      </c>
      <c r="W97" s="5200">
        <f t="shared" si="64"/>
        <v>0</v>
      </c>
      <c r="X97" s="5895">
        <f t="shared" si="64"/>
        <v>0</v>
      </c>
      <c r="Y97" s="4646">
        <f t="shared" si="64"/>
        <v>0</v>
      </c>
      <c r="Z97" s="4623">
        <f t="shared" si="64"/>
        <v>24.8</v>
      </c>
      <c r="AA97" s="3176">
        <f t="shared" si="64"/>
        <v>0</v>
      </c>
      <c r="AB97" s="1253">
        <f>SUM(AB92:AB96)</f>
        <v>0</v>
      </c>
      <c r="AC97" s="1253">
        <f t="shared" ref="AC97:AJ97" si="65">SUM(AC92:AC96)</f>
        <v>47708</v>
      </c>
      <c r="AD97" s="1253">
        <f t="shared" si="65"/>
        <v>823</v>
      </c>
      <c r="AE97" s="1253">
        <f t="shared" si="65"/>
        <v>43180</v>
      </c>
      <c r="AF97" s="1253">
        <f t="shared" si="65"/>
        <v>0</v>
      </c>
      <c r="AG97" s="1253">
        <f t="shared" si="65"/>
        <v>22372</v>
      </c>
      <c r="AH97" s="1253">
        <f t="shared" si="65"/>
        <v>731</v>
      </c>
      <c r="AI97" s="1253">
        <f t="shared" si="65"/>
        <v>0</v>
      </c>
      <c r="AJ97" s="1253">
        <f t="shared" si="65"/>
        <v>22000</v>
      </c>
      <c r="AK97" s="1253">
        <f>SUM(AK94:AK96)</f>
        <v>27000</v>
      </c>
      <c r="AL97" s="1253">
        <f>SUM(AL94:AL96)</f>
        <v>0</v>
      </c>
      <c r="AM97" s="1253">
        <f>SUM(AM94:AM96)</f>
        <v>0</v>
      </c>
      <c r="AN97" s="1253">
        <f>SUM(AN92:AN96)</f>
        <v>163814</v>
      </c>
      <c r="AO97" s="1254" t="e">
        <f t="shared" si="58"/>
        <v>#DIV/0!</v>
      </c>
      <c r="AP97" s="3154"/>
    </row>
    <row r="98" spans="1:45">
      <c r="A98" s="784" t="s">
        <v>948</v>
      </c>
    </row>
    <row r="99" spans="1:45">
      <c r="AN99" s="740"/>
    </row>
    <row r="100" spans="1:45" s="1534" customFormat="1" ht="15.75" customHeight="1" thickBot="1">
      <c r="A100" s="304" t="s">
        <v>1443</v>
      </c>
      <c r="C100" s="105"/>
      <c r="D100" s="105"/>
      <c r="E100" s="105"/>
      <c r="F100" s="442">
        <f>F99/12</f>
        <v>0</v>
      </c>
      <c r="G100" s="442">
        <f>G99/12</f>
        <v>0</v>
      </c>
      <c r="H100" s="443"/>
      <c r="I100" s="443"/>
      <c r="J100" s="443"/>
      <c r="K100" s="443"/>
      <c r="L100" s="443"/>
      <c r="M100" s="443"/>
      <c r="N100" s="443"/>
      <c r="O100" s="443"/>
      <c r="P100" s="444"/>
      <c r="Q100" s="444"/>
      <c r="R100" s="444"/>
      <c r="S100" s="444"/>
      <c r="T100" s="444"/>
      <c r="U100" s="105"/>
      <c r="V100" s="105"/>
      <c r="W100" s="105"/>
      <c r="X100" s="105"/>
      <c r="Y100" s="105"/>
      <c r="Z100" s="105"/>
      <c r="AA100" s="431"/>
      <c r="AB100" s="432"/>
      <c r="AC100" s="432"/>
      <c r="AD100" s="432"/>
      <c r="AE100" s="432"/>
      <c r="AF100" s="432"/>
      <c r="AG100" s="432"/>
      <c r="AH100" s="432"/>
      <c r="AI100" s="432"/>
      <c r="AJ100" s="432"/>
      <c r="AK100" s="432"/>
      <c r="AL100" s="432"/>
      <c r="AM100" s="432"/>
      <c r="AN100" s="432"/>
      <c r="AO100" s="331"/>
      <c r="AP100" s="433"/>
    </row>
    <row r="101" spans="1:45" s="1534" customFormat="1" ht="15.75" customHeight="1">
      <c r="A101" s="7600" t="s">
        <v>0</v>
      </c>
      <c r="B101" s="7600"/>
      <c r="C101" s="7601" t="s">
        <v>408</v>
      </c>
      <c r="D101" s="7601" t="s">
        <v>409</v>
      </c>
      <c r="E101" s="7601" t="s">
        <v>410</v>
      </c>
      <c r="F101" s="7601" t="s">
        <v>411</v>
      </c>
      <c r="G101" s="7601" t="s">
        <v>407</v>
      </c>
      <c r="H101" s="7577" t="s">
        <v>555</v>
      </c>
      <c r="I101" s="7577" t="s">
        <v>733</v>
      </c>
      <c r="J101" s="7588" t="s">
        <v>1000</v>
      </c>
      <c r="K101" s="7583" t="s">
        <v>1181</v>
      </c>
      <c r="L101" s="7590" t="s">
        <v>1280</v>
      </c>
      <c r="M101" s="7581" t="s">
        <v>823</v>
      </c>
      <c r="N101" s="7592" t="s">
        <v>1337</v>
      </c>
      <c r="O101" s="7593"/>
      <c r="P101" s="7594"/>
      <c r="Q101" s="7594"/>
      <c r="R101" s="7594"/>
      <c r="S101" s="7594"/>
      <c r="T101" s="7594"/>
      <c r="U101" s="7594"/>
      <c r="V101" s="7594"/>
      <c r="W101" s="7594"/>
      <c r="X101" s="7594"/>
      <c r="Y101" s="7594"/>
      <c r="Z101" s="7594"/>
      <c r="AA101" s="7594"/>
      <c r="AB101" s="7594"/>
      <c r="AC101" s="7594"/>
      <c r="AD101" s="7594"/>
      <c r="AE101" s="7594"/>
      <c r="AF101" s="7594"/>
      <c r="AG101" s="7594"/>
      <c r="AH101" s="7594"/>
      <c r="AI101" s="7594"/>
      <c r="AJ101" s="7594"/>
      <c r="AK101" s="7594"/>
      <c r="AL101" s="7594"/>
      <c r="AM101" s="7595"/>
      <c r="AN101" s="7596" t="s">
        <v>461</v>
      </c>
      <c r="AO101" s="7596" t="s">
        <v>365</v>
      </c>
      <c r="AP101" s="7597" t="s">
        <v>287</v>
      </c>
    </row>
    <row r="102" spans="1:45" s="1534" customFormat="1" ht="15.75" customHeight="1">
      <c r="A102" s="7600"/>
      <c r="B102" s="7600"/>
      <c r="C102" s="7601"/>
      <c r="D102" s="7601"/>
      <c r="E102" s="7601"/>
      <c r="F102" s="7601"/>
      <c r="G102" s="7601"/>
      <c r="H102" s="7577"/>
      <c r="I102" s="7577"/>
      <c r="J102" s="7588"/>
      <c r="K102" s="7583"/>
      <c r="L102" s="7591"/>
      <c r="M102" s="7582"/>
      <c r="N102" s="5204" t="s">
        <v>419</v>
      </c>
      <c r="O102" s="5206" t="s">
        <v>477</v>
      </c>
      <c r="P102" s="4640" t="s">
        <v>478</v>
      </c>
      <c r="Q102" s="3155" t="s">
        <v>479</v>
      </c>
      <c r="R102" s="3155" t="s">
        <v>480</v>
      </c>
      <c r="S102" s="3155" t="s">
        <v>481</v>
      </c>
      <c r="T102" s="3155" t="s">
        <v>482</v>
      </c>
      <c r="U102" s="3155" t="s">
        <v>483</v>
      </c>
      <c r="V102" s="3155" t="s">
        <v>484</v>
      </c>
      <c r="W102" s="3155" t="s">
        <v>485</v>
      </c>
      <c r="X102" s="3155" t="s">
        <v>486</v>
      </c>
      <c r="Y102" s="3155" t="s">
        <v>487</v>
      </c>
      <c r="Z102" s="2781" t="s">
        <v>894</v>
      </c>
      <c r="AA102" s="3155" t="s">
        <v>195</v>
      </c>
      <c r="AB102" s="3155" t="s">
        <v>414</v>
      </c>
      <c r="AC102" s="3155" t="s">
        <v>383</v>
      </c>
      <c r="AD102" s="3155" t="s">
        <v>384</v>
      </c>
      <c r="AE102" s="3155" t="s">
        <v>385</v>
      </c>
      <c r="AF102" s="3155" t="s">
        <v>386</v>
      </c>
      <c r="AG102" s="3155" t="s">
        <v>387</v>
      </c>
      <c r="AH102" s="3155" t="s">
        <v>388</v>
      </c>
      <c r="AI102" s="3155" t="s">
        <v>389</v>
      </c>
      <c r="AJ102" s="3155" t="s">
        <v>390</v>
      </c>
      <c r="AK102" s="7038" t="s">
        <v>391</v>
      </c>
      <c r="AL102" s="7038" t="s">
        <v>392</v>
      </c>
      <c r="AM102" s="7038" t="s">
        <v>393</v>
      </c>
      <c r="AN102" s="7596"/>
      <c r="AO102" s="7596"/>
      <c r="AP102" s="7597"/>
      <c r="AQ102" s="314" t="s">
        <v>1423</v>
      </c>
      <c r="AR102" s="314" t="s">
        <v>1417</v>
      </c>
      <c r="AS102" s="314" t="s">
        <v>1422</v>
      </c>
    </row>
    <row r="103" spans="1:45" s="1534" customFormat="1" ht="15.75" customHeight="1">
      <c r="A103" s="7598" t="s">
        <v>2</v>
      </c>
      <c r="B103" s="7599"/>
      <c r="C103" s="883"/>
      <c r="D103" s="883">
        <v>23</v>
      </c>
      <c r="E103" s="883">
        <v>19</v>
      </c>
      <c r="F103" s="883"/>
      <c r="G103" s="859"/>
      <c r="H103" s="883">
        <v>1</v>
      </c>
      <c r="I103" s="532">
        <v>6</v>
      </c>
      <c r="J103" s="1690">
        <v>6</v>
      </c>
      <c r="K103" s="2231">
        <v>6</v>
      </c>
      <c r="L103" s="2780">
        <v>1</v>
      </c>
      <c r="M103" s="4632">
        <f>L103/12</f>
        <v>8.3333333333333329E-2</v>
      </c>
      <c r="N103" s="5203">
        <v>0</v>
      </c>
      <c r="O103" s="3976">
        <v>0</v>
      </c>
      <c r="P103" s="4639">
        <v>2</v>
      </c>
      <c r="Q103" s="795">
        <v>0</v>
      </c>
      <c r="R103" s="795">
        <v>0</v>
      </c>
      <c r="S103" s="795">
        <v>1</v>
      </c>
      <c r="T103" s="532">
        <v>0</v>
      </c>
      <c r="U103" s="532">
        <v>0</v>
      </c>
      <c r="V103" s="532">
        <v>0</v>
      </c>
      <c r="W103" s="532">
        <v>0</v>
      </c>
      <c r="X103" s="532">
        <v>0</v>
      </c>
      <c r="Y103" s="532">
        <v>0</v>
      </c>
      <c r="Z103" s="2732">
        <f>SUM(N103:Y103)</f>
        <v>3</v>
      </c>
      <c r="AA103" s="796">
        <f>631+9920</f>
        <v>10551</v>
      </c>
      <c r="AB103" s="4890">
        <v>0</v>
      </c>
      <c r="AC103" s="4890">
        <v>0</v>
      </c>
      <c r="AD103" s="4890">
        <v>0</v>
      </c>
      <c r="AE103" s="4890">
        <v>0</v>
      </c>
      <c r="AF103" s="4890">
        <v>0</v>
      </c>
      <c r="AG103" s="4890">
        <v>19872</v>
      </c>
      <c r="AH103" s="4890">
        <v>0</v>
      </c>
      <c r="AI103" s="4890">
        <v>0</v>
      </c>
      <c r="AJ103" s="4890">
        <v>0</v>
      </c>
      <c r="AK103" s="4890">
        <v>0</v>
      </c>
      <c r="AL103" s="4890">
        <v>0</v>
      </c>
      <c r="AM103" s="4890">
        <v>0</v>
      </c>
      <c r="AN103" s="428">
        <f>SUM(AB103:AM103)</f>
        <v>19872</v>
      </c>
      <c r="AO103" s="366">
        <f t="shared" ref="AO103:AO108" si="66">AN103/AA103</f>
        <v>1.8834233721922093</v>
      </c>
      <c r="AP103" s="348"/>
      <c r="AQ103" s="314" t="s">
        <v>1416</v>
      </c>
      <c r="AR103" s="730">
        <v>333213</v>
      </c>
      <c r="AS103" s="7506" t="s">
        <v>1421</v>
      </c>
    </row>
    <row r="104" spans="1:45" s="1534" customFormat="1" ht="15.75" customHeight="1">
      <c r="A104" s="7598" t="s">
        <v>3</v>
      </c>
      <c r="B104" s="7599"/>
      <c r="C104" s="883"/>
      <c r="D104" s="883"/>
      <c r="E104" s="883">
        <v>21</v>
      </c>
      <c r="F104" s="883"/>
      <c r="G104" s="859"/>
      <c r="H104" s="883">
        <v>2</v>
      </c>
      <c r="I104" s="532">
        <v>4</v>
      </c>
      <c r="J104" s="1690">
        <v>9</v>
      </c>
      <c r="K104" s="2231">
        <v>6</v>
      </c>
      <c r="L104" s="2780">
        <v>0</v>
      </c>
      <c r="M104" s="4632">
        <f>L104/12</f>
        <v>0</v>
      </c>
      <c r="N104" s="5203">
        <v>0</v>
      </c>
      <c r="O104" s="3976">
        <v>0</v>
      </c>
      <c r="P104" s="4639">
        <v>0</v>
      </c>
      <c r="Q104" s="795">
        <v>1</v>
      </c>
      <c r="R104" s="795">
        <v>0</v>
      </c>
      <c r="S104" s="795">
        <v>0</v>
      </c>
      <c r="T104" s="532">
        <v>0</v>
      </c>
      <c r="U104" s="532">
        <v>0</v>
      </c>
      <c r="V104" s="532">
        <v>0</v>
      </c>
      <c r="W104" s="532">
        <v>0</v>
      </c>
      <c r="X104" s="532">
        <v>0</v>
      </c>
      <c r="Y104" s="532">
        <v>0</v>
      </c>
      <c r="Z104" s="2732">
        <f>SUM(N104:Y104)</f>
        <v>1</v>
      </c>
      <c r="AA104" s="861">
        <v>0</v>
      </c>
      <c r="AB104" s="4890">
        <v>0</v>
      </c>
      <c r="AC104" s="4890">
        <v>0</v>
      </c>
      <c r="AD104" s="4890">
        <v>0</v>
      </c>
      <c r="AE104" s="4890">
        <v>0</v>
      </c>
      <c r="AF104" s="4890">
        <v>0</v>
      </c>
      <c r="AG104" s="4890">
        <v>0</v>
      </c>
      <c r="AH104" s="4890">
        <v>0</v>
      </c>
      <c r="AI104" s="4890">
        <v>0</v>
      </c>
      <c r="AJ104" s="4890">
        <v>0</v>
      </c>
      <c r="AK104" s="4890">
        <v>0</v>
      </c>
      <c r="AL104" s="4890">
        <v>0</v>
      </c>
      <c r="AM104" s="4890">
        <v>0</v>
      </c>
      <c r="AN104" s="428">
        <f>SUM(AB104:AM104)</f>
        <v>0</v>
      </c>
      <c r="AO104" s="366" t="e">
        <f t="shared" si="66"/>
        <v>#DIV/0!</v>
      </c>
      <c r="AP104" s="348"/>
      <c r="AQ104" s="314" t="s">
        <v>1418</v>
      </c>
      <c r="AR104" s="730">
        <v>49796</v>
      </c>
      <c r="AS104" s="7506"/>
    </row>
    <row r="105" spans="1:45" s="1534" customFormat="1" ht="15.75" customHeight="1">
      <c r="A105" s="7598" t="s">
        <v>4</v>
      </c>
      <c r="B105" s="7599"/>
      <c r="C105" s="883"/>
      <c r="D105" s="883"/>
      <c r="E105" s="883">
        <v>14</v>
      </c>
      <c r="F105" s="883"/>
      <c r="G105" s="859"/>
      <c r="H105" s="883">
        <v>1</v>
      </c>
      <c r="I105" s="532">
        <v>7</v>
      </c>
      <c r="J105" s="1690">
        <v>11</v>
      </c>
      <c r="K105" s="2231">
        <v>8</v>
      </c>
      <c r="L105" s="2780">
        <v>1</v>
      </c>
      <c r="M105" s="4632">
        <f>L105/12</f>
        <v>8.3333333333333329E-2</v>
      </c>
      <c r="N105" s="5203">
        <v>0</v>
      </c>
      <c r="O105" s="3976">
        <v>0</v>
      </c>
      <c r="P105" s="4639">
        <v>0</v>
      </c>
      <c r="Q105" s="795">
        <v>0</v>
      </c>
      <c r="R105" s="795">
        <v>0</v>
      </c>
      <c r="S105" s="795">
        <v>0</v>
      </c>
      <c r="T105" s="532">
        <v>1</v>
      </c>
      <c r="U105" s="532">
        <v>1.8</v>
      </c>
      <c r="V105" s="532">
        <v>1</v>
      </c>
      <c r="W105" s="532">
        <v>0</v>
      </c>
      <c r="X105" s="532">
        <v>0</v>
      </c>
      <c r="Y105" s="532">
        <v>0</v>
      </c>
      <c r="Z105" s="2732">
        <f>SUM(N105:Y105)</f>
        <v>3.8</v>
      </c>
      <c r="AA105" s="861">
        <v>0</v>
      </c>
      <c r="AB105" s="4890">
        <v>0</v>
      </c>
      <c r="AC105" s="4890">
        <v>0</v>
      </c>
      <c r="AD105" s="4890">
        <v>0</v>
      </c>
      <c r="AE105" s="4890">
        <v>0</v>
      </c>
      <c r="AF105" s="4890">
        <v>0</v>
      </c>
      <c r="AG105" s="4890">
        <v>0</v>
      </c>
      <c r="AH105" s="4890">
        <v>631</v>
      </c>
      <c r="AI105" s="4890">
        <v>0</v>
      </c>
      <c r="AJ105" s="4890">
        <v>22000</v>
      </c>
      <c r="AK105" s="4890">
        <v>27000</v>
      </c>
      <c r="AL105" s="4890">
        <v>0</v>
      </c>
      <c r="AM105" s="4890">
        <v>0</v>
      </c>
      <c r="AN105" s="428">
        <f>SUM(AB105:AM105)</f>
        <v>49631</v>
      </c>
      <c r="AO105" s="366" t="e">
        <f t="shared" si="66"/>
        <v>#DIV/0!</v>
      </c>
      <c r="AP105" s="348"/>
      <c r="AQ105" s="1534" t="s">
        <v>1423</v>
      </c>
      <c r="AR105" s="1534" t="s">
        <v>1417</v>
      </c>
      <c r="AS105" s="1534" t="s">
        <v>1422</v>
      </c>
    </row>
    <row r="106" spans="1:45" s="1534" customFormat="1" ht="15.75" customHeight="1">
      <c r="A106" s="7598" t="s">
        <v>193</v>
      </c>
      <c r="B106" s="7599"/>
      <c r="C106" s="883"/>
      <c r="D106" s="883"/>
      <c r="E106" s="883">
        <v>10</v>
      </c>
      <c r="F106" s="883"/>
      <c r="G106" s="859"/>
      <c r="H106" s="883">
        <v>3</v>
      </c>
      <c r="I106" s="532">
        <v>7</v>
      </c>
      <c r="J106" s="1690">
        <v>6</v>
      </c>
      <c r="K106" s="2231">
        <v>7</v>
      </c>
      <c r="L106" s="2780">
        <v>3</v>
      </c>
      <c r="M106" s="4632">
        <f>L106/12</f>
        <v>0.25</v>
      </c>
      <c r="N106" s="5203">
        <v>0</v>
      </c>
      <c r="O106" s="3976">
        <v>0.5</v>
      </c>
      <c r="P106" s="4639">
        <v>0</v>
      </c>
      <c r="Q106" s="795">
        <v>0</v>
      </c>
      <c r="R106" s="795">
        <v>0</v>
      </c>
      <c r="S106" s="795">
        <v>2</v>
      </c>
      <c r="T106" s="532">
        <v>0</v>
      </c>
      <c r="U106" s="532">
        <v>0</v>
      </c>
      <c r="V106" s="532">
        <v>0</v>
      </c>
      <c r="W106" s="532">
        <v>0</v>
      </c>
      <c r="X106" s="532">
        <v>0</v>
      </c>
      <c r="Y106" s="532">
        <v>0</v>
      </c>
      <c r="Z106" s="2732">
        <f>SUM(N106:Y106)</f>
        <v>2.5</v>
      </c>
      <c r="AA106" s="796">
        <f>37788</f>
        <v>37788</v>
      </c>
      <c r="AB106" s="4890">
        <v>0</v>
      </c>
      <c r="AC106" s="4890">
        <v>18894</v>
      </c>
      <c r="AD106" s="4890">
        <v>0</v>
      </c>
      <c r="AE106" s="4890">
        <v>0</v>
      </c>
      <c r="AF106" s="4890">
        <v>0</v>
      </c>
      <c r="AG106" s="4890">
        <v>2500</v>
      </c>
      <c r="AH106" s="4890">
        <v>0</v>
      </c>
      <c r="AI106" s="4890">
        <v>0</v>
      </c>
      <c r="AJ106" s="4890">
        <v>0</v>
      </c>
      <c r="AK106" s="4890">
        <v>0</v>
      </c>
      <c r="AL106" s="4890">
        <v>0</v>
      </c>
      <c r="AM106" s="4890">
        <v>0</v>
      </c>
      <c r="AN106" s="428">
        <f>SUM(AB106:AM106)</f>
        <v>21394</v>
      </c>
      <c r="AO106" s="366">
        <f t="shared" si="66"/>
        <v>0.56615856885783844</v>
      </c>
      <c r="AP106" s="348"/>
      <c r="AQ106" s="314" t="s">
        <v>1419</v>
      </c>
      <c r="AR106" s="730">
        <v>512362</v>
      </c>
      <c r="AS106" s="7506" t="s">
        <v>1421</v>
      </c>
    </row>
    <row r="107" spans="1:45" s="1534" customFormat="1" ht="15.75" customHeight="1">
      <c r="A107" s="7598" t="s">
        <v>17</v>
      </c>
      <c r="B107" s="7599"/>
      <c r="C107" s="883"/>
      <c r="D107" s="883"/>
      <c r="E107" s="883">
        <v>7</v>
      </c>
      <c r="F107" s="883"/>
      <c r="G107" s="859"/>
      <c r="H107" s="436">
        <v>3</v>
      </c>
      <c r="I107" s="532">
        <v>3</v>
      </c>
      <c r="J107" s="1690">
        <v>13</v>
      </c>
      <c r="K107" s="2231">
        <v>10</v>
      </c>
      <c r="L107" s="2780">
        <v>5</v>
      </c>
      <c r="M107" s="4632">
        <f>L107/12</f>
        <v>0.41666666666666669</v>
      </c>
      <c r="N107" s="5203">
        <v>0</v>
      </c>
      <c r="O107" s="3976">
        <v>0.5</v>
      </c>
      <c r="P107" s="4639">
        <v>1</v>
      </c>
      <c r="Q107" s="795">
        <v>0</v>
      </c>
      <c r="R107" s="795">
        <v>0</v>
      </c>
      <c r="S107" s="795">
        <v>1</v>
      </c>
      <c r="T107" s="532">
        <v>0</v>
      </c>
      <c r="U107" s="532">
        <v>1</v>
      </c>
      <c r="V107" s="532">
        <v>0</v>
      </c>
      <c r="W107" s="532">
        <v>0</v>
      </c>
      <c r="X107" s="532">
        <v>0</v>
      </c>
      <c r="Y107" s="532">
        <v>0</v>
      </c>
      <c r="Z107" s="2732">
        <f>SUM(N107:Y107)</f>
        <v>3.5</v>
      </c>
      <c r="AA107" s="796">
        <v>220000</v>
      </c>
      <c r="AB107" s="4890">
        <v>0</v>
      </c>
      <c r="AC107" s="4890">
        <v>18894</v>
      </c>
      <c r="AD107" s="4890">
        <v>0</v>
      </c>
      <c r="AE107" s="4891">
        <v>0</v>
      </c>
      <c r="AF107" s="4892">
        <v>0</v>
      </c>
      <c r="AG107" s="4890">
        <v>0</v>
      </c>
      <c r="AH107" s="4890">
        <v>0</v>
      </c>
      <c r="AI107" s="4890">
        <v>0</v>
      </c>
      <c r="AJ107" s="4890">
        <v>0</v>
      </c>
      <c r="AK107" s="4890">
        <v>0</v>
      </c>
      <c r="AL107" s="4890">
        <v>0</v>
      </c>
      <c r="AM107" s="4890">
        <v>0</v>
      </c>
      <c r="AN107" s="428">
        <f>SUM(AB107:AM107)</f>
        <v>18894</v>
      </c>
      <c r="AO107" s="366">
        <f t="shared" si="66"/>
        <v>8.5881818181818184E-2</v>
      </c>
      <c r="AP107" s="348"/>
      <c r="AQ107" s="314" t="s">
        <v>1420</v>
      </c>
      <c r="AR107" s="730">
        <v>52998</v>
      </c>
      <c r="AS107" s="7506"/>
    </row>
    <row r="108" spans="1:45" s="3157" customFormat="1" ht="15.75" customHeight="1" thickBot="1">
      <c r="A108" s="7602" t="s">
        <v>16</v>
      </c>
      <c r="B108" s="7602"/>
      <c r="C108" s="421"/>
      <c r="D108" s="421"/>
      <c r="E108" s="421"/>
      <c r="F108" s="421"/>
      <c r="G108" s="421"/>
      <c r="H108" s="421">
        <f t="shared" ref="H108:AA108" si="67">SUM(H103:H107)</f>
        <v>10</v>
      </c>
      <c r="I108" s="421">
        <f t="shared" si="67"/>
        <v>27</v>
      </c>
      <c r="J108" s="421">
        <f t="shared" si="67"/>
        <v>45</v>
      </c>
      <c r="K108" s="421">
        <f t="shared" si="67"/>
        <v>37</v>
      </c>
      <c r="L108" s="2819">
        <f t="shared" si="67"/>
        <v>10</v>
      </c>
      <c r="M108" s="4633">
        <f t="shared" si="67"/>
        <v>0.83333333333333326</v>
      </c>
      <c r="N108" s="5205">
        <f t="shared" si="67"/>
        <v>0</v>
      </c>
      <c r="O108" s="5207">
        <f t="shared" si="67"/>
        <v>1</v>
      </c>
      <c r="P108" s="4641">
        <f t="shared" si="67"/>
        <v>3</v>
      </c>
      <c r="Q108" s="421">
        <f t="shared" si="67"/>
        <v>1</v>
      </c>
      <c r="R108" s="421">
        <f t="shared" si="67"/>
        <v>0</v>
      </c>
      <c r="S108" s="421">
        <f t="shared" si="67"/>
        <v>4</v>
      </c>
      <c r="T108" s="421">
        <f t="shared" si="67"/>
        <v>1</v>
      </c>
      <c r="U108" s="421">
        <f t="shared" si="67"/>
        <v>2.8</v>
      </c>
      <c r="V108" s="421">
        <f t="shared" si="67"/>
        <v>1</v>
      </c>
      <c r="W108" s="421">
        <f t="shared" si="67"/>
        <v>0</v>
      </c>
      <c r="X108" s="421">
        <f t="shared" si="67"/>
        <v>0</v>
      </c>
      <c r="Y108" s="421">
        <f t="shared" si="67"/>
        <v>0</v>
      </c>
      <c r="Z108" s="421">
        <f t="shared" si="67"/>
        <v>13.8</v>
      </c>
      <c r="AA108" s="856">
        <f t="shared" si="67"/>
        <v>268339</v>
      </c>
      <c r="AB108" s="386">
        <f>SUM(AB103:AB107)</f>
        <v>0</v>
      </c>
      <c r="AC108" s="386">
        <f t="shared" ref="AC108:AJ108" si="68">SUM(AC103:AC107)</f>
        <v>37788</v>
      </c>
      <c r="AD108" s="386">
        <f t="shared" si="68"/>
        <v>0</v>
      </c>
      <c r="AE108" s="386">
        <f t="shared" si="68"/>
        <v>0</v>
      </c>
      <c r="AF108" s="386">
        <f t="shared" si="68"/>
        <v>0</v>
      </c>
      <c r="AG108" s="386">
        <f t="shared" si="68"/>
        <v>22372</v>
      </c>
      <c r="AH108" s="386">
        <f t="shared" si="68"/>
        <v>631</v>
      </c>
      <c r="AI108" s="386">
        <f t="shared" si="68"/>
        <v>0</v>
      </c>
      <c r="AJ108" s="386">
        <f t="shared" si="68"/>
        <v>22000</v>
      </c>
      <c r="AK108" s="386">
        <f>SUM(AK105:AK107)</f>
        <v>27000</v>
      </c>
      <c r="AL108" s="386">
        <f>SUM(AL105:AL107)</f>
        <v>0</v>
      </c>
      <c r="AM108" s="386">
        <f>SUM(AM105:AM107)</f>
        <v>0</v>
      </c>
      <c r="AN108" s="386">
        <f>SUM(AN103:AN107)</f>
        <v>109791</v>
      </c>
      <c r="AO108" s="422">
        <f t="shared" si="66"/>
        <v>0.4091503657686732</v>
      </c>
      <c r="AP108" s="423"/>
    </row>
    <row r="109" spans="1:45" s="1534" customFormat="1">
      <c r="A109" s="784" t="s">
        <v>948</v>
      </c>
      <c r="C109" s="3157"/>
      <c r="D109" s="3157"/>
      <c r="E109" s="3157"/>
      <c r="F109" s="3157"/>
      <c r="G109" s="3157"/>
      <c r="P109" s="3157"/>
      <c r="Q109" s="3157"/>
      <c r="R109" s="3157"/>
      <c r="S109" s="3157"/>
      <c r="T109" s="3157"/>
      <c r="U109" s="3157"/>
      <c r="V109" s="3157"/>
      <c r="W109" s="3157"/>
      <c r="X109" s="3157"/>
      <c r="Y109" s="3157"/>
      <c r="Z109" s="3157"/>
      <c r="AA109" s="3157"/>
      <c r="AB109" s="3157"/>
      <c r="AC109" s="3157"/>
      <c r="AD109" s="3157"/>
      <c r="AE109" s="3157"/>
      <c r="AF109" s="3157"/>
      <c r="AG109" s="3157"/>
      <c r="AH109" s="3157"/>
      <c r="AI109" s="3157"/>
      <c r="AJ109" s="3157"/>
      <c r="AK109" s="3157"/>
      <c r="AL109" s="3157"/>
      <c r="AM109" s="3157"/>
      <c r="AN109" s="3157"/>
      <c r="AO109" s="1535"/>
      <c r="AP109" s="1536"/>
    </row>
    <row r="110" spans="1:45">
      <c r="AK110" s="437"/>
      <c r="AN110" s="740"/>
    </row>
    <row r="111" spans="1:45" s="1534" customFormat="1" ht="15.75" customHeight="1" thickBot="1">
      <c r="A111" s="304" t="s">
        <v>1444</v>
      </c>
      <c r="C111" s="105"/>
      <c r="D111" s="105"/>
      <c r="E111" s="105"/>
      <c r="F111" s="442">
        <f>F110/12</f>
        <v>0</v>
      </c>
      <c r="G111" s="442">
        <f>G110/12</f>
        <v>0</v>
      </c>
      <c r="H111" s="443"/>
      <c r="I111" s="443"/>
      <c r="J111" s="443"/>
      <c r="K111" s="443"/>
      <c r="L111" s="443"/>
      <c r="M111" s="443"/>
      <c r="N111" s="443"/>
      <c r="O111" s="443"/>
      <c r="P111" s="444"/>
      <c r="Q111" s="444"/>
      <c r="R111" s="444"/>
      <c r="S111" s="444"/>
      <c r="T111" s="444"/>
      <c r="U111" s="105"/>
      <c r="V111" s="105"/>
      <c r="W111" s="105"/>
      <c r="X111" s="105"/>
      <c r="Y111" s="105"/>
      <c r="Z111" s="105"/>
      <c r="AA111" s="431"/>
      <c r="AB111" s="432"/>
      <c r="AC111" s="432"/>
      <c r="AD111" s="432"/>
      <c r="AE111" s="432"/>
      <c r="AF111" s="432"/>
      <c r="AG111" s="432"/>
      <c r="AH111" s="432"/>
      <c r="AI111" s="432"/>
      <c r="AJ111" s="432"/>
      <c r="AK111" s="432"/>
      <c r="AL111" s="432"/>
      <c r="AM111" s="432"/>
      <c r="AN111" s="432"/>
      <c r="AO111" s="331"/>
      <c r="AP111" s="433"/>
    </row>
    <row r="112" spans="1:45" s="1534" customFormat="1" ht="15.75" customHeight="1">
      <c r="A112" s="7600" t="s">
        <v>0</v>
      </c>
      <c r="B112" s="7600"/>
      <c r="C112" s="7601" t="s">
        <v>408</v>
      </c>
      <c r="D112" s="7601" t="s">
        <v>409</v>
      </c>
      <c r="E112" s="7601" t="s">
        <v>410</v>
      </c>
      <c r="F112" s="7601" t="s">
        <v>411</v>
      </c>
      <c r="G112" s="7601" t="s">
        <v>407</v>
      </c>
      <c r="H112" s="7577" t="s">
        <v>555</v>
      </c>
      <c r="I112" s="7577" t="s">
        <v>733</v>
      </c>
      <c r="J112" s="7588" t="s">
        <v>1000</v>
      </c>
      <c r="K112" s="7583" t="s">
        <v>1181</v>
      </c>
      <c r="L112" s="7590" t="s">
        <v>1280</v>
      </c>
      <c r="M112" s="7581" t="s">
        <v>823</v>
      </c>
      <c r="N112" s="7592" t="s">
        <v>1337</v>
      </c>
      <c r="O112" s="7593"/>
      <c r="P112" s="7594"/>
      <c r="Q112" s="7594"/>
      <c r="R112" s="7594"/>
      <c r="S112" s="7594"/>
      <c r="T112" s="7594"/>
      <c r="U112" s="7594"/>
      <c r="V112" s="7594"/>
      <c r="W112" s="7594"/>
      <c r="X112" s="7594"/>
      <c r="Y112" s="7594"/>
      <c r="Z112" s="7594"/>
      <c r="AA112" s="7594"/>
      <c r="AB112" s="7594"/>
      <c r="AC112" s="7594"/>
      <c r="AD112" s="7594"/>
      <c r="AE112" s="7594"/>
      <c r="AF112" s="7594"/>
      <c r="AG112" s="7594"/>
      <c r="AH112" s="7594"/>
      <c r="AI112" s="7594"/>
      <c r="AJ112" s="7594"/>
      <c r="AK112" s="7594"/>
      <c r="AL112" s="7594"/>
      <c r="AM112" s="7595"/>
      <c r="AN112" s="7596" t="s">
        <v>461</v>
      </c>
      <c r="AO112" s="7596" t="s">
        <v>365</v>
      </c>
      <c r="AP112" s="7597" t="s">
        <v>287</v>
      </c>
    </row>
    <row r="113" spans="1:42" s="1534" customFormat="1" ht="15.75" customHeight="1">
      <c r="A113" s="7600"/>
      <c r="B113" s="7600"/>
      <c r="C113" s="7601"/>
      <c r="D113" s="7601"/>
      <c r="E113" s="7601"/>
      <c r="F113" s="7601"/>
      <c r="G113" s="7601"/>
      <c r="H113" s="7577"/>
      <c r="I113" s="7577"/>
      <c r="J113" s="7588"/>
      <c r="K113" s="7583"/>
      <c r="L113" s="7591"/>
      <c r="M113" s="7582"/>
      <c r="N113" s="5204" t="s">
        <v>419</v>
      </c>
      <c r="O113" s="5206" t="s">
        <v>477</v>
      </c>
      <c r="P113" s="4640" t="s">
        <v>478</v>
      </c>
      <c r="Q113" s="3155" t="s">
        <v>479</v>
      </c>
      <c r="R113" s="3155" t="s">
        <v>480</v>
      </c>
      <c r="S113" s="3155" t="s">
        <v>481</v>
      </c>
      <c r="T113" s="3155" t="s">
        <v>482</v>
      </c>
      <c r="U113" s="3155" t="s">
        <v>483</v>
      </c>
      <c r="V113" s="3155" t="s">
        <v>484</v>
      </c>
      <c r="W113" s="3155" t="s">
        <v>485</v>
      </c>
      <c r="X113" s="3155" t="s">
        <v>486</v>
      </c>
      <c r="Y113" s="3155" t="s">
        <v>487</v>
      </c>
      <c r="Z113" s="2781" t="s">
        <v>894</v>
      </c>
      <c r="AA113" s="3155" t="s">
        <v>195</v>
      </c>
      <c r="AB113" s="3155" t="s">
        <v>414</v>
      </c>
      <c r="AC113" s="3155" t="s">
        <v>383</v>
      </c>
      <c r="AD113" s="3155" t="s">
        <v>384</v>
      </c>
      <c r="AE113" s="3155" t="s">
        <v>385</v>
      </c>
      <c r="AF113" s="3155" t="s">
        <v>386</v>
      </c>
      <c r="AG113" s="3155" t="s">
        <v>387</v>
      </c>
      <c r="AH113" s="3155" t="s">
        <v>388</v>
      </c>
      <c r="AI113" s="3155" t="s">
        <v>389</v>
      </c>
      <c r="AJ113" s="3155" t="s">
        <v>390</v>
      </c>
      <c r="AK113" s="7038" t="s">
        <v>391</v>
      </c>
      <c r="AL113" s="7038" t="s">
        <v>392</v>
      </c>
      <c r="AM113" s="7038" t="s">
        <v>393</v>
      </c>
      <c r="AN113" s="7596"/>
      <c r="AO113" s="7596"/>
      <c r="AP113" s="7597"/>
    </row>
    <row r="114" spans="1:42" s="1534" customFormat="1" ht="15.75" customHeight="1">
      <c r="A114" s="7598" t="s">
        <v>2</v>
      </c>
      <c r="B114" s="7599"/>
      <c r="C114" s="883"/>
      <c r="D114" s="883">
        <v>23</v>
      </c>
      <c r="E114" s="883">
        <v>19</v>
      </c>
      <c r="F114" s="883"/>
      <c r="G114" s="859"/>
      <c r="H114" s="883">
        <v>1</v>
      </c>
      <c r="I114" s="532">
        <v>6</v>
      </c>
      <c r="J114" s="1690">
        <v>6</v>
      </c>
      <c r="K114" s="2231">
        <v>6</v>
      </c>
      <c r="L114" s="2780">
        <v>1</v>
      </c>
      <c r="M114" s="4632">
        <f>L114/12</f>
        <v>8.3333333333333329E-2</v>
      </c>
      <c r="N114" s="5203">
        <v>0</v>
      </c>
      <c r="O114" s="3976">
        <v>1</v>
      </c>
      <c r="P114" s="4639">
        <v>1</v>
      </c>
      <c r="Q114" s="795">
        <v>0</v>
      </c>
      <c r="R114" s="795">
        <v>0</v>
      </c>
      <c r="S114" s="795">
        <v>0</v>
      </c>
      <c r="T114" s="532">
        <v>0</v>
      </c>
      <c r="U114" s="532">
        <v>0</v>
      </c>
      <c r="V114" s="532">
        <v>0</v>
      </c>
      <c r="W114" s="532">
        <v>0</v>
      </c>
      <c r="X114" s="532">
        <v>0</v>
      </c>
      <c r="Y114" s="532">
        <v>0</v>
      </c>
      <c r="Z114" s="2732">
        <f>SUM(N114:Y114)</f>
        <v>2</v>
      </c>
      <c r="AA114" s="796">
        <f>1623</f>
        <v>1623</v>
      </c>
      <c r="AB114" s="387">
        <v>0</v>
      </c>
      <c r="AC114" s="4917">
        <v>9920</v>
      </c>
      <c r="AD114" s="416">
        <v>370</v>
      </c>
      <c r="AE114" s="416">
        <v>0</v>
      </c>
      <c r="AF114" s="416">
        <v>0</v>
      </c>
      <c r="AG114" s="416">
        <v>0</v>
      </c>
      <c r="AH114" s="416">
        <v>0</v>
      </c>
      <c r="AI114" s="416">
        <v>0</v>
      </c>
      <c r="AJ114" s="416">
        <v>0</v>
      </c>
      <c r="AK114" s="416">
        <v>0</v>
      </c>
      <c r="AL114" s="416">
        <v>0</v>
      </c>
      <c r="AM114" s="416">
        <v>0</v>
      </c>
      <c r="AN114" s="428">
        <f>SUM(AB114:AM114)</f>
        <v>10290</v>
      </c>
      <c r="AO114" s="366">
        <f t="shared" ref="AO114:AO119" si="69">AN114/AA114</f>
        <v>6.3401109057301293</v>
      </c>
      <c r="AP114" s="348"/>
    </row>
    <row r="115" spans="1:42" s="1534" customFormat="1" ht="15.75" customHeight="1">
      <c r="A115" s="7598" t="s">
        <v>3</v>
      </c>
      <c r="B115" s="7599"/>
      <c r="C115" s="883"/>
      <c r="D115" s="883"/>
      <c r="E115" s="883">
        <v>21</v>
      </c>
      <c r="F115" s="883"/>
      <c r="G115" s="859"/>
      <c r="H115" s="883">
        <v>2</v>
      </c>
      <c r="I115" s="532">
        <v>4</v>
      </c>
      <c r="J115" s="1690">
        <v>9</v>
      </c>
      <c r="K115" s="2231">
        <v>6</v>
      </c>
      <c r="L115" s="2780">
        <v>1</v>
      </c>
      <c r="M115" s="4632">
        <f>L115/12</f>
        <v>8.3333333333333329E-2</v>
      </c>
      <c r="N115" s="5203">
        <v>0</v>
      </c>
      <c r="O115" s="3976">
        <v>0</v>
      </c>
      <c r="P115" s="4639">
        <v>0</v>
      </c>
      <c r="Q115" s="795">
        <v>1</v>
      </c>
      <c r="R115" s="795">
        <v>0</v>
      </c>
      <c r="S115" s="795">
        <v>0</v>
      </c>
      <c r="T115" s="532">
        <v>0</v>
      </c>
      <c r="U115" s="532">
        <v>0</v>
      </c>
      <c r="V115" s="532">
        <v>0</v>
      </c>
      <c r="W115" s="532">
        <v>0</v>
      </c>
      <c r="X115" s="532">
        <v>0</v>
      </c>
      <c r="Y115" s="532">
        <v>0</v>
      </c>
      <c r="Z115" s="2732">
        <f>SUM(N115:Y115)</f>
        <v>1</v>
      </c>
      <c r="AA115" s="861">
        <v>0</v>
      </c>
      <c r="AB115" s="387">
        <v>0</v>
      </c>
      <c r="AC115" s="387">
        <v>0</v>
      </c>
      <c r="AD115" s="387">
        <v>0</v>
      </c>
      <c r="AE115" s="387">
        <v>0</v>
      </c>
      <c r="AF115" s="387">
        <v>0</v>
      </c>
      <c r="AG115" s="387">
        <v>0</v>
      </c>
      <c r="AH115" s="387">
        <v>0</v>
      </c>
      <c r="AI115" s="387">
        <v>0</v>
      </c>
      <c r="AJ115" s="387">
        <v>0</v>
      </c>
      <c r="AK115" s="387">
        <v>0</v>
      </c>
      <c r="AL115" s="416">
        <v>0</v>
      </c>
      <c r="AM115" s="416">
        <v>0</v>
      </c>
      <c r="AN115" s="428">
        <f>SUM(AB115:AM115)</f>
        <v>0</v>
      </c>
      <c r="AO115" s="366" t="e">
        <f t="shared" si="69"/>
        <v>#DIV/0!</v>
      </c>
      <c r="AP115" s="348"/>
    </row>
    <row r="116" spans="1:42" s="1534" customFormat="1" ht="15.75" customHeight="1">
      <c r="A116" s="7598" t="s">
        <v>4</v>
      </c>
      <c r="B116" s="7599"/>
      <c r="C116" s="883"/>
      <c r="D116" s="883"/>
      <c r="E116" s="883">
        <v>14</v>
      </c>
      <c r="F116" s="883"/>
      <c r="G116" s="859"/>
      <c r="H116" s="883">
        <v>1</v>
      </c>
      <c r="I116" s="532">
        <v>7</v>
      </c>
      <c r="J116" s="1690">
        <v>11</v>
      </c>
      <c r="K116" s="2231">
        <v>8</v>
      </c>
      <c r="L116" s="2780">
        <v>4</v>
      </c>
      <c r="M116" s="4632">
        <f>L116/12</f>
        <v>0.33333333333333331</v>
      </c>
      <c r="N116" s="5203">
        <v>0</v>
      </c>
      <c r="O116" s="3976">
        <v>0</v>
      </c>
      <c r="P116" s="4639">
        <v>0</v>
      </c>
      <c r="Q116" s="795">
        <v>1</v>
      </c>
      <c r="R116" s="795">
        <v>2</v>
      </c>
      <c r="S116" s="795">
        <v>0</v>
      </c>
      <c r="T116" s="532">
        <v>0</v>
      </c>
      <c r="U116" s="532">
        <v>1</v>
      </c>
      <c r="V116" s="532">
        <v>0</v>
      </c>
      <c r="W116" s="532">
        <v>0</v>
      </c>
      <c r="X116" s="532">
        <v>0</v>
      </c>
      <c r="Y116" s="532">
        <v>0</v>
      </c>
      <c r="Z116" s="2732">
        <f>SUM(N116:Y116)</f>
        <v>4</v>
      </c>
      <c r="AA116" s="861">
        <f>43180+14320+4015</f>
        <v>61515</v>
      </c>
      <c r="AB116" s="387">
        <v>0</v>
      </c>
      <c r="AC116" s="387">
        <v>0</v>
      </c>
      <c r="AD116" s="387">
        <v>0</v>
      </c>
      <c r="AE116" s="387">
        <v>43180</v>
      </c>
      <c r="AF116" s="387">
        <v>0</v>
      </c>
      <c r="AG116" s="387">
        <v>0</v>
      </c>
      <c r="AH116" s="387">
        <v>0</v>
      </c>
      <c r="AI116" s="387">
        <v>0</v>
      </c>
      <c r="AJ116" s="387">
        <v>0</v>
      </c>
      <c r="AK116" s="387">
        <v>0</v>
      </c>
      <c r="AL116" s="387">
        <v>0</v>
      </c>
      <c r="AM116" s="387">
        <v>0</v>
      </c>
      <c r="AN116" s="428">
        <f>SUM(AB116:AM116)</f>
        <v>43180</v>
      </c>
      <c r="AO116" s="366">
        <f t="shared" si="69"/>
        <v>0.70194261562220595</v>
      </c>
      <c r="AP116" s="348"/>
    </row>
    <row r="117" spans="1:42" s="1534" customFormat="1" ht="15.75" customHeight="1">
      <c r="A117" s="7598" t="s">
        <v>193</v>
      </c>
      <c r="B117" s="7599"/>
      <c r="C117" s="883"/>
      <c r="D117" s="883"/>
      <c r="E117" s="883">
        <v>10</v>
      </c>
      <c r="F117" s="883"/>
      <c r="G117" s="859"/>
      <c r="H117" s="883">
        <v>3</v>
      </c>
      <c r="I117" s="532">
        <v>7</v>
      </c>
      <c r="J117" s="1690">
        <v>6</v>
      </c>
      <c r="K117" s="2231">
        <v>7</v>
      </c>
      <c r="L117" s="2780">
        <v>0</v>
      </c>
      <c r="M117" s="4632">
        <f>L117/12</f>
        <v>0</v>
      </c>
      <c r="N117" s="5203">
        <v>0</v>
      </c>
      <c r="O117" s="3976">
        <v>0</v>
      </c>
      <c r="P117" s="4639">
        <v>0</v>
      </c>
      <c r="Q117" s="795">
        <v>0</v>
      </c>
      <c r="R117" s="795">
        <v>0</v>
      </c>
      <c r="S117" s="795">
        <v>0</v>
      </c>
      <c r="T117" s="532">
        <v>0</v>
      </c>
      <c r="U117" s="532">
        <v>1</v>
      </c>
      <c r="V117" s="532">
        <v>0</v>
      </c>
      <c r="W117" s="532">
        <v>0</v>
      </c>
      <c r="X117" s="532">
        <v>0</v>
      </c>
      <c r="Y117" s="532">
        <v>0</v>
      </c>
      <c r="Z117" s="2732">
        <f>SUM(N117:Y117)</f>
        <v>1</v>
      </c>
      <c r="AA117" s="796">
        <f>978</f>
        <v>978</v>
      </c>
      <c r="AB117" s="387">
        <v>0</v>
      </c>
      <c r="AC117" s="387">
        <v>0</v>
      </c>
      <c r="AD117" s="387">
        <v>0</v>
      </c>
      <c r="AE117" s="387">
        <v>0</v>
      </c>
      <c r="AF117" s="387">
        <v>0</v>
      </c>
      <c r="AG117" s="387">
        <v>0</v>
      </c>
      <c r="AH117" s="387">
        <v>0</v>
      </c>
      <c r="AI117" s="387">
        <v>0</v>
      </c>
      <c r="AJ117" s="387">
        <v>0</v>
      </c>
      <c r="AK117" s="387">
        <v>0</v>
      </c>
      <c r="AL117" s="387">
        <v>0</v>
      </c>
      <c r="AM117" s="387">
        <v>0</v>
      </c>
      <c r="AN117" s="428">
        <f>SUM(AB117:AM117)</f>
        <v>0</v>
      </c>
      <c r="AO117" s="366">
        <f t="shared" si="69"/>
        <v>0</v>
      </c>
      <c r="AP117" s="348"/>
    </row>
    <row r="118" spans="1:42" s="1534" customFormat="1" ht="15.75" customHeight="1">
      <c r="A118" s="7598" t="s">
        <v>17</v>
      </c>
      <c r="B118" s="7599"/>
      <c r="C118" s="883"/>
      <c r="D118" s="883"/>
      <c r="E118" s="883">
        <v>7</v>
      </c>
      <c r="F118" s="883"/>
      <c r="G118" s="859"/>
      <c r="H118" s="436">
        <v>3</v>
      </c>
      <c r="I118" s="532">
        <v>3</v>
      </c>
      <c r="J118" s="1690">
        <v>13</v>
      </c>
      <c r="K118" s="2231">
        <v>10</v>
      </c>
      <c r="L118" s="2780">
        <v>1</v>
      </c>
      <c r="M118" s="4632">
        <f>L118/12</f>
        <v>8.3333333333333329E-2</v>
      </c>
      <c r="N118" s="5203">
        <v>0</v>
      </c>
      <c r="O118" s="3976">
        <v>0</v>
      </c>
      <c r="P118" s="4639">
        <v>1</v>
      </c>
      <c r="Q118" s="795">
        <v>0</v>
      </c>
      <c r="R118" s="795">
        <v>0</v>
      </c>
      <c r="S118" s="795">
        <v>0</v>
      </c>
      <c r="T118" s="532">
        <v>1</v>
      </c>
      <c r="U118" s="532">
        <v>0</v>
      </c>
      <c r="V118" s="532">
        <v>0</v>
      </c>
      <c r="W118" s="532">
        <v>0</v>
      </c>
      <c r="X118" s="532">
        <v>0</v>
      </c>
      <c r="Y118" s="532">
        <v>0</v>
      </c>
      <c r="Z118" s="2732">
        <f>SUM(N118:Y118)</f>
        <v>2</v>
      </c>
      <c r="AA118" s="796">
        <v>0</v>
      </c>
      <c r="AB118" s="387">
        <v>0</v>
      </c>
      <c r="AC118" s="387">
        <v>0</v>
      </c>
      <c r="AD118" s="387">
        <v>453</v>
      </c>
      <c r="AE118" s="447">
        <v>0</v>
      </c>
      <c r="AF118" s="446">
        <v>0</v>
      </c>
      <c r="AG118" s="387">
        <v>0</v>
      </c>
      <c r="AH118" s="387">
        <v>100</v>
      </c>
      <c r="AI118" s="387">
        <v>0</v>
      </c>
      <c r="AJ118" s="387">
        <v>0</v>
      </c>
      <c r="AK118" s="387">
        <v>0</v>
      </c>
      <c r="AL118" s="387">
        <v>0</v>
      </c>
      <c r="AM118" s="387">
        <v>0</v>
      </c>
      <c r="AN118" s="428">
        <f>SUM(AB118:AM118)</f>
        <v>553</v>
      </c>
      <c r="AO118" s="366" t="e">
        <f t="shared" si="69"/>
        <v>#DIV/0!</v>
      </c>
      <c r="AP118" s="348"/>
    </row>
    <row r="119" spans="1:42" s="3157" customFormat="1" ht="15.75" customHeight="1" thickBot="1">
      <c r="A119" s="7602" t="s">
        <v>16</v>
      </c>
      <c r="B119" s="7602"/>
      <c r="C119" s="421"/>
      <c r="D119" s="421"/>
      <c r="E119" s="421"/>
      <c r="F119" s="421"/>
      <c r="G119" s="421"/>
      <c r="H119" s="421">
        <f t="shared" ref="H119:AA119" si="70">SUM(H114:H118)</f>
        <v>10</v>
      </c>
      <c r="I119" s="421">
        <f t="shared" si="70"/>
        <v>27</v>
      </c>
      <c r="J119" s="421">
        <f t="shared" si="70"/>
        <v>45</v>
      </c>
      <c r="K119" s="421">
        <f t="shared" si="70"/>
        <v>37</v>
      </c>
      <c r="L119" s="2819">
        <f t="shared" si="70"/>
        <v>7</v>
      </c>
      <c r="M119" s="4633">
        <f t="shared" si="70"/>
        <v>0.58333333333333337</v>
      </c>
      <c r="N119" s="5205">
        <f t="shared" si="70"/>
        <v>0</v>
      </c>
      <c r="O119" s="5207">
        <f t="shared" si="70"/>
        <v>1</v>
      </c>
      <c r="P119" s="4641">
        <f t="shared" si="70"/>
        <v>2</v>
      </c>
      <c r="Q119" s="421">
        <f t="shared" si="70"/>
        <v>2</v>
      </c>
      <c r="R119" s="421">
        <f t="shared" si="70"/>
        <v>2</v>
      </c>
      <c r="S119" s="421">
        <f t="shared" si="70"/>
        <v>0</v>
      </c>
      <c r="T119" s="421">
        <f t="shared" si="70"/>
        <v>1</v>
      </c>
      <c r="U119" s="421">
        <f t="shared" si="70"/>
        <v>2</v>
      </c>
      <c r="V119" s="421">
        <f t="shared" si="70"/>
        <v>0</v>
      </c>
      <c r="W119" s="421">
        <f t="shared" si="70"/>
        <v>0</v>
      </c>
      <c r="X119" s="421">
        <f t="shared" si="70"/>
        <v>0</v>
      </c>
      <c r="Y119" s="421">
        <f t="shared" si="70"/>
        <v>0</v>
      </c>
      <c r="Z119" s="421">
        <f t="shared" si="70"/>
        <v>10</v>
      </c>
      <c r="AA119" s="856">
        <f t="shared" si="70"/>
        <v>64116</v>
      </c>
      <c r="AB119" s="386">
        <f>SUM(AB114:AB118)</f>
        <v>0</v>
      </c>
      <c r="AC119" s="386">
        <f t="shared" ref="AC119:AJ119" si="71">SUM(AC114:AC118)</f>
        <v>9920</v>
      </c>
      <c r="AD119" s="386">
        <f t="shared" si="71"/>
        <v>823</v>
      </c>
      <c r="AE119" s="386">
        <f t="shared" si="71"/>
        <v>43180</v>
      </c>
      <c r="AF119" s="386">
        <f t="shared" si="71"/>
        <v>0</v>
      </c>
      <c r="AG119" s="386">
        <f t="shared" si="71"/>
        <v>0</v>
      </c>
      <c r="AH119" s="386">
        <f t="shared" si="71"/>
        <v>100</v>
      </c>
      <c r="AI119" s="386">
        <f t="shared" si="71"/>
        <v>0</v>
      </c>
      <c r="AJ119" s="386">
        <f t="shared" si="71"/>
        <v>0</v>
      </c>
      <c r="AK119" s="386">
        <f>SUM(AK116:AK118)</f>
        <v>0</v>
      </c>
      <c r="AL119" s="386">
        <f>SUM(AL116:AL118)</f>
        <v>0</v>
      </c>
      <c r="AM119" s="386">
        <f>SUM(AM116:AM118)</f>
        <v>0</v>
      </c>
      <c r="AN119" s="386">
        <f>SUM(AN114:AN118)</f>
        <v>54023</v>
      </c>
      <c r="AO119" s="422">
        <f t="shared" si="69"/>
        <v>0.84258219477197582</v>
      </c>
      <c r="AP119" s="423"/>
    </row>
    <row r="120" spans="1:42" s="1534" customFormat="1">
      <c r="A120" s="784" t="s">
        <v>948</v>
      </c>
      <c r="C120" s="3157"/>
      <c r="D120" s="3157"/>
      <c r="E120" s="3157"/>
      <c r="F120" s="3157"/>
      <c r="G120" s="3157"/>
      <c r="P120" s="3157"/>
      <c r="Q120" s="3157"/>
      <c r="R120" s="3157"/>
      <c r="S120" s="3157"/>
      <c r="T120" s="3157"/>
      <c r="U120" s="3157"/>
      <c r="V120" s="3157"/>
      <c r="W120" s="3157"/>
      <c r="X120" s="3157"/>
      <c r="Y120" s="3157"/>
      <c r="Z120" s="3157"/>
      <c r="AA120" s="3157"/>
      <c r="AB120" s="3157"/>
      <c r="AC120" s="3157"/>
      <c r="AD120" s="3157"/>
      <c r="AE120" s="3157"/>
      <c r="AF120" s="3157"/>
      <c r="AG120" s="3157"/>
      <c r="AH120" s="3157"/>
      <c r="AI120" s="3157"/>
      <c r="AJ120" s="3157"/>
      <c r="AK120" s="3157"/>
      <c r="AL120" s="3157"/>
      <c r="AM120" s="3157"/>
      <c r="AN120" s="3157"/>
      <c r="AO120" s="1535"/>
      <c r="AP120" s="1536"/>
    </row>
    <row r="121" spans="1:42" s="1534" customFormat="1">
      <c r="C121" s="3157"/>
      <c r="D121" s="3157"/>
      <c r="E121" s="3157"/>
      <c r="F121" s="3157"/>
      <c r="G121" s="3157"/>
      <c r="P121" s="3157"/>
      <c r="Q121" s="3157"/>
      <c r="R121" s="3157"/>
      <c r="S121" s="3157"/>
      <c r="T121" s="3157"/>
      <c r="U121" s="3157"/>
      <c r="V121" s="3157"/>
      <c r="W121" s="3157"/>
      <c r="X121" s="3157"/>
      <c r="Y121" s="3157"/>
      <c r="Z121" s="3157"/>
      <c r="AA121" s="3157"/>
      <c r="AB121" s="3157"/>
      <c r="AC121" s="3157"/>
      <c r="AD121" s="3157"/>
      <c r="AE121" s="3157"/>
      <c r="AF121" s="3157"/>
      <c r="AG121" s="3157"/>
      <c r="AH121" s="3157"/>
      <c r="AI121" s="3157"/>
      <c r="AJ121" s="3157"/>
      <c r="AK121" s="437"/>
      <c r="AL121" s="3157"/>
      <c r="AM121" s="3157"/>
      <c r="AN121" s="3157"/>
      <c r="AO121" s="1535"/>
      <c r="AP121" s="1536"/>
    </row>
    <row r="122" spans="1:42" ht="18" thickBot="1">
      <c r="A122" s="304" t="s">
        <v>815</v>
      </c>
      <c r="C122" s="105"/>
      <c r="D122" s="105"/>
      <c r="E122" s="105"/>
      <c r="F122" s="105"/>
      <c r="G122" s="105"/>
      <c r="H122" s="430"/>
      <c r="I122" s="430"/>
      <c r="J122" s="430"/>
      <c r="K122" s="430"/>
      <c r="L122" s="430"/>
      <c r="M122" s="430"/>
      <c r="N122" s="430"/>
      <c r="O122" s="430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431"/>
      <c r="AB122" s="432"/>
      <c r="AC122" s="432"/>
      <c r="AD122" s="432"/>
      <c r="AE122" s="432"/>
      <c r="AF122" s="432"/>
      <c r="AG122" s="432"/>
      <c r="AH122" s="432"/>
      <c r="AI122" s="432"/>
      <c r="AJ122" s="432"/>
      <c r="AK122" s="432"/>
      <c r="AL122" s="432"/>
      <c r="AM122" s="432"/>
      <c r="AN122" s="830"/>
      <c r="AO122" s="331"/>
      <c r="AP122" s="433"/>
    </row>
    <row r="123" spans="1:42" ht="16.5" customHeight="1">
      <c r="A123" s="7571" t="s">
        <v>0</v>
      </c>
      <c r="B123" s="7571"/>
      <c r="C123" s="7577" t="s">
        <v>408</v>
      </c>
      <c r="D123" s="7577" t="s">
        <v>409</v>
      </c>
      <c r="E123" s="7577" t="s">
        <v>410</v>
      </c>
      <c r="F123" s="7577" t="s">
        <v>411</v>
      </c>
      <c r="G123" s="7577" t="s">
        <v>407</v>
      </c>
      <c r="H123" s="7577" t="s">
        <v>555</v>
      </c>
      <c r="I123" s="7577" t="s">
        <v>733</v>
      </c>
      <c r="J123" s="7588" t="s">
        <v>1000</v>
      </c>
      <c r="K123" s="7583" t="s">
        <v>1181</v>
      </c>
      <c r="L123" s="7578" t="s">
        <v>1281</v>
      </c>
      <c r="M123" s="7581" t="s">
        <v>917</v>
      </c>
      <c r="N123" s="7569" t="s">
        <v>1337</v>
      </c>
      <c r="O123" s="7570"/>
      <c r="P123" s="7571"/>
      <c r="Q123" s="7571"/>
      <c r="R123" s="7571"/>
      <c r="S123" s="7571"/>
      <c r="T123" s="7571"/>
      <c r="U123" s="7571"/>
      <c r="V123" s="7571"/>
      <c r="W123" s="7571"/>
      <c r="X123" s="7571"/>
      <c r="Y123" s="7571"/>
      <c r="Z123" s="7572"/>
      <c r="AA123" s="7571"/>
      <c r="AB123" s="7571"/>
      <c r="AC123" s="7571"/>
      <c r="AD123" s="7571"/>
      <c r="AE123" s="7571"/>
      <c r="AF123" s="7571"/>
      <c r="AG123" s="7571"/>
      <c r="AH123" s="7571"/>
      <c r="AI123" s="7571"/>
      <c r="AJ123" s="7571"/>
      <c r="AK123" s="7571"/>
      <c r="AL123" s="7571"/>
      <c r="AM123" s="7571"/>
      <c r="AN123" s="7573" t="s">
        <v>461</v>
      </c>
      <c r="AO123" s="7573" t="s">
        <v>816</v>
      </c>
      <c r="AP123" s="7574"/>
    </row>
    <row r="124" spans="1:42">
      <c r="A124" s="7571"/>
      <c r="B124" s="7571"/>
      <c r="C124" s="7577"/>
      <c r="D124" s="7577"/>
      <c r="E124" s="7577"/>
      <c r="F124" s="7577"/>
      <c r="G124" s="7577"/>
      <c r="H124" s="7577"/>
      <c r="I124" s="7577"/>
      <c r="J124" s="7588"/>
      <c r="K124" s="7583"/>
      <c r="L124" s="7579"/>
      <c r="M124" s="7582"/>
      <c r="N124" s="5204" t="s">
        <v>419</v>
      </c>
      <c r="O124" s="5206" t="s">
        <v>372</v>
      </c>
      <c r="P124" s="4640" t="s">
        <v>373</v>
      </c>
      <c r="Q124" s="772" t="s">
        <v>374</v>
      </c>
      <c r="R124" s="772" t="s">
        <v>375</v>
      </c>
      <c r="S124" s="772" t="s">
        <v>376</v>
      </c>
      <c r="T124" s="772" t="s">
        <v>377</v>
      </c>
      <c r="U124" s="772" t="s">
        <v>378</v>
      </c>
      <c r="V124" s="772" t="s">
        <v>379</v>
      </c>
      <c r="W124" s="772" t="s">
        <v>380</v>
      </c>
      <c r="X124" s="772" t="s">
        <v>381</v>
      </c>
      <c r="Y124" s="772" t="s">
        <v>382</v>
      </c>
      <c r="Z124" s="2731" t="s">
        <v>1277</v>
      </c>
      <c r="AA124" s="772" t="s">
        <v>195</v>
      </c>
      <c r="AB124" s="772" t="s">
        <v>414</v>
      </c>
      <c r="AC124" s="772" t="s">
        <v>383</v>
      </c>
      <c r="AD124" s="772" t="s">
        <v>384</v>
      </c>
      <c r="AE124" s="772" t="s">
        <v>385</v>
      </c>
      <c r="AF124" s="772" t="s">
        <v>386</v>
      </c>
      <c r="AG124" s="772" t="s">
        <v>387</v>
      </c>
      <c r="AH124" s="772" t="s">
        <v>388</v>
      </c>
      <c r="AI124" s="772" t="s">
        <v>389</v>
      </c>
      <c r="AJ124" s="772" t="s">
        <v>390</v>
      </c>
      <c r="AK124" s="7039" t="s">
        <v>391</v>
      </c>
      <c r="AL124" s="7039" t="s">
        <v>392</v>
      </c>
      <c r="AM124" s="7039" t="s">
        <v>393</v>
      </c>
      <c r="AN124" s="7573"/>
      <c r="AO124" s="7573"/>
      <c r="AP124" s="7574"/>
    </row>
    <row r="125" spans="1:42">
      <c r="A125" s="7575" t="s">
        <v>2</v>
      </c>
      <c r="B125" s="7576"/>
      <c r="C125" s="532"/>
      <c r="D125" s="532">
        <v>23</v>
      </c>
      <c r="E125" s="532">
        <v>19</v>
      </c>
      <c r="F125" s="532"/>
      <c r="G125" s="532"/>
      <c r="H125" s="532">
        <v>4</v>
      </c>
      <c r="I125" s="532">
        <v>1</v>
      </c>
      <c r="J125" s="1690">
        <v>3</v>
      </c>
      <c r="K125" s="2231">
        <v>4</v>
      </c>
      <c r="L125" s="2780">
        <v>1</v>
      </c>
      <c r="M125" s="4632">
        <f>L125/12</f>
        <v>8.3333333333333329E-2</v>
      </c>
      <c r="N125" s="5199">
        <v>0</v>
      </c>
      <c r="O125" s="4733">
        <v>0</v>
      </c>
      <c r="P125" s="4622">
        <v>0</v>
      </c>
      <c r="Q125" s="532">
        <v>0</v>
      </c>
      <c r="R125" s="532">
        <v>0</v>
      </c>
      <c r="S125" s="532">
        <v>1</v>
      </c>
      <c r="T125" s="532">
        <v>0</v>
      </c>
      <c r="U125" s="532">
        <v>2</v>
      </c>
      <c r="V125" s="532">
        <v>0</v>
      </c>
      <c r="W125" s="532">
        <v>0</v>
      </c>
      <c r="X125" s="532">
        <v>0</v>
      </c>
      <c r="Y125" s="532">
        <v>0</v>
      </c>
      <c r="Z125" s="2732">
        <f>SUM(N125:Y125)</f>
        <v>3</v>
      </c>
      <c r="AA125" s="854">
        <f>6565</f>
        <v>6565</v>
      </c>
      <c r="AB125" s="387">
        <v>0</v>
      </c>
      <c r="AC125" s="387">
        <v>0</v>
      </c>
      <c r="AD125" s="387">
        <v>0</v>
      </c>
      <c r="AE125" s="387">
        <v>0</v>
      </c>
      <c r="AF125" s="387">
        <v>0</v>
      </c>
      <c r="AG125" s="387">
        <v>0</v>
      </c>
      <c r="AH125" s="387">
        <v>0</v>
      </c>
      <c r="AI125" s="387">
        <v>8200</v>
      </c>
      <c r="AJ125" s="387">
        <v>0</v>
      </c>
      <c r="AK125" s="387">
        <v>0</v>
      </c>
      <c r="AL125" s="387">
        <v>0</v>
      </c>
      <c r="AM125" s="1581">
        <v>0</v>
      </c>
      <c r="AN125" s="855">
        <f>SUM(AB125:AM125)</f>
        <v>8200</v>
      </c>
      <c r="AO125" s="653">
        <f t="shared" ref="AO125:AO130" si="72">AN125/AA125</f>
        <v>1.249047981721249</v>
      </c>
      <c r="AP125" s="831"/>
    </row>
    <row r="126" spans="1:42">
      <c r="A126" s="7575" t="s">
        <v>3</v>
      </c>
      <c r="B126" s="7576"/>
      <c r="C126" s="532"/>
      <c r="D126" s="532"/>
      <c r="E126" s="532">
        <v>21</v>
      </c>
      <c r="F126" s="532"/>
      <c r="G126" s="532"/>
      <c r="H126" s="532">
        <v>4</v>
      </c>
      <c r="I126" s="532">
        <v>3</v>
      </c>
      <c r="J126" s="1690">
        <v>4</v>
      </c>
      <c r="K126" s="2231">
        <v>5</v>
      </c>
      <c r="L126" s="2780">
        <v>2</v>
      </c>
      <c r="M126" s="4632">
        <f>L126/12</f>
        <v>0.16666666666666666</v>
      </c>
      <c r="N126" s="5199">
        <v>0</v>
      </c>
      <c r="O126" s="4733">
        <v>0</v>
      </c>
      <c r="P126" s="4622">
        <v>0</v>
      </c>
      <c r="Q126" s="532">
        <v>1</v>
      </c>
      <c r="R126" s="532">
        <v>0</v>
      </c>
      <c r="S126" s="532">
        <v>0</v>
      </c>
      <c r="T126" s="532">
        <v>0</v>
      </c>
      <c r="U126" s="532">
        <v>0</v>
      </c>
      <c r="V126" s="532">
        <v>0</v>
      </c>
      <c r="W126" s="532">
        <v>0</v>
      </c>
      <c r="X126" s="532">
        <v>0</v>
      </c>
      <c r="Y126" s="532">
        <v>0</v>
      </c>
      <c r="Z126" s="2732">
        <f>SUM(N126:Y126)</f>
        <v>1</v>
      </c>
      <c r="AA126" s="854">
        <f>17390+9739</f>
        <v>27129</v>
      </c>
      <c r="AB126" s="387">
        <v>0</v>
      </c>
      <c r="AC126" s="387">
        <v>0</v>
      </c>
      <c r="AD126" s="387">
        <v>0</v>
      </c>
      <c r="AE126" s="387">
        <v>9739</v>
      </c>
      <c r="AF126" s="387">
        <v>0</v>
      </c>
      <c r="AG126" s="387">
        <v>0</v>
      </c>
      <c r="AH126" s="387">
        <v>0</v>
      </c>
      <c r="AI126" s="387">
        <v>0</v>
      </c>
      <c r="AJ126" s="387">
        <v>0</v>
      </c>
      <c r="AK126" s="387">
        <v>0</v>
      </c>
      <c r="AL126" s="387">
        <v>0</v>
      </c>
      <c r="AM126" s="1581">
        <v>0</v>
      </c>
      <c r="AN126" s="855">
        <f>SUM(AB126:AM126)</f>
        <v>9739</v>
      </c>
      <c r="AO126" s="653">
        <f t="shared" si="72"/>
        <v>0.35898853625271848</v>
      </c>
      <c r="AP126" s="831"/>
    </row>
    <row r="127" spans="1:42">
      <c r="A127" s="7575" t="s">
        <v>4</v>
      </c>
      <c r="B127" s="7576"/>
      <c r="C127" s="532"/>
      <c r="D127" s="532"/>
      <c r="E127" s="532">
        <v>14</v>
      </c>
      <c r="F127" s="532"/>
      <c r="G127" s="532"/>
      <c r="H127" s="532">
        <v>6</v>
      </c>
      <c r="I127" s="532">
        <v>1</v>
      </c>
      <c r="J127" s="1690">
        <v>4</v>
      </c>
      <c r="K127" s="2231">
        <v>6</v>
      </c>
      <c r="L127" s="2780">
        <v>2</v>
      </c>
      <c r="M127" s="4632">
        <f>L127/12</f>
        <v>0.16666666666666666</v>
      </c>
      <c r="N127" s="5199">
        <v>0</v>
      </c>
      <c r="O127" s="4733">
        <v>0</v>
      </c>
      <c r="P127" s="4622">
        <v>1</v>
      </c>
      <c r="Q127" s="532">
        <v>0</v>
      </c>
      <c r="R127" s="532">
        <v>0</v>
      </c>
      <c r="S127" s="532">
        <v>2</v>
      </c>
      <c r="T127" s="532">
        <v>0</v>
      </c>
      <c r="U127" s="532">
        <v>0</v>
      </c>
      <c r="V127" s="532">
        <v>0</v>
      </c>
      <c r="W127" s="532">
        <v>0</v>
      </c>
      <c r="X127" s="532">
        <v>0</v>
      </c>
      <c r="Y127" s="532">
        <v>0</v>
      </c>
      <c r="Z127" s="2732">
        <f>SUM(N127:Y127)</f>
        <v>3</v>
      </c>
      <c r="AA127" s="854">
        <f>70840+6485</f>
        <v>77325</v>
      </c>
      <c r="AB127" s="387">
        <v>0</v>
      </c>
      <c r="AC127" s="387">
        <v>0</v>
      </c>
      <c r="AD127" s="387">
        <v>6485</v>
      </c>
      <c r="AE127" s="387">
        <v>0</v>
      </c>
      <c r="AF127" s="387">
        <v>0</v>
      </c>
      <c r="AG127" s="387">
        <v>0</v>
      </c>
      <c r="AH127" s="387">
        <v>0</v>
      </c>
      <c r="AI127" s="387">
        <v>0</v>
      </c>
      <c r="AJ127" s="387">
        <v>0</v>
      </c>
      <c r="AK127" s="387">
        <v>0</v>
      </c>
      <c r="AL127" s="387">
        <v>0</v>
      </c>
      <c r="AM127" s="855">
        <v>0</v>
      </c>
      <c r="AN127" s="855">
        <f>SUM(AB127:AM127)</f>
        <v>6485</v>
      </c>
      <c r="AO127" s="653">
        <f t="shared" si="72"/>
        <v>8.3866795990947304E-2</v>
      </c>
      <c r="AP127" s="831"/>
    </row>
    <row r="128" spans="1:42">
      <c r="A128" s="7575" t="s">
        <v>193</v>
      </c>
      <c r="B128" s="7576"/>
      <c r="C128" s="532"/>
      <c r="D128" s="532"/>
      <c r="E128" s="532">
        <v>10</v>
      </c>
      <c r="F128" s="532"/>
      <c r="G128" s="532"/>
      <c r="H128" s="532">
        <v>2</v>
      </c>
      <c r="I128" s="532">
        <v>3</v>
      </c>
      <c r="J128" s="1690">
        <v>5</v>
      </c>
      <c r="K128" s="2231">
        <v>6</v>
      </c>
      <c r="L128" s="2780">
        <v>1</v>
      </c>
      <c r="M128" s="4632">
        <f>L128/12</f>
        <v>8.3333333333333329E-2</v>
      </c>
      <c r="N128" s="5199">
        <v>0</v>
      </c>
      <c r="O128" s="4733">
        <v>0</v>
      </c>
      <c r="P128" s="4622">
        <v>0</v>
      </c>
      <c r="Q128" s="532">
        <v>0</v>
      </c>
      <c r="R128" s="532">
        <v>2</v>
      </c>
      <c r="S128" s="532">
        <v>1</v>
      </c>
      <c r="T128" s="532">
        <v>1</v>
      </c>
      <c r="U128" s="532">
        <v>3</v>
      </c>
      <c r="V128" s="532">
        <v>0</v>
      </c>
      <c r="W128" s="532">
        <v>0</v>
      </c>
      <c r="X128" s="532">
        <v>0</v>
      </c>
      <c r="Y128" s="532">
        <v>0</v>
      </c>
      <c r="Z128" s="2732">
        <f>SUM(N128:Y128)</f>
        <v>7</v>
      </c>
      <c r="AA128" s="854">
        <f>29611</f>
        <v>29611</v>
      </c>
      <c r="AB128" s="387">
        <v>0</v>
      </c>
      <c r="AC128" s="387">
        <v>0</v>
      </c>
      <c r="AD128" s="387">
        <v>0</v>
      </c>
      <c r="AE128" s="387">
        <v>0</v>
      </c>
      <c r="AF128" s="387">
        <v>4433</v>
      </c>
      <c r="AG128" s="387">
        <v>0</v>
      </c>
      <c r="AH128" s="387">
        <v>0</v>
      </c>
      <c r="AI128" s="387">
        <v>3000</v>
      </c>
      <c r="AJ128" s="387">
        <v>0</v>
      </c>
      <c r="AK128" s="387">
        <v>0</v>
      </c>
      <c r="AL128" s="387">
        <v>0</v>
      </c>
      <c r="AM128" s="855">
        <v>0</v>
      </c>
      <c r="AN128" s="855">
        <f>SUM(AB128:AM128)</f>
        <v>7433</v>
      </c>
      <c r="AO128" s="653">
        <f t="shared" si="72"/>
        <v>0.25102157981831075</v>
      </c>
      <c r="AP128" s="831"/>
    </row>
    <row r="129" spans="1:42">
      <c r="A129" s="7575" t="s">
        <v>17</v>
      </c>
      <c r="B129" s="7576"/>
      <c r="C129" s="532"/>
      <c r="D129" s="532"/>
      <c r="E129" s="532">
        <v>7</v>
      </c>
      <c r="F129" s="532"/>
      <c r="G129" s="532"/>
      <c r="H129" s="532">
        <v>1</v>
      </c>
      <c r="I129" s="532">
        <v>0</v>
      </c>
      <c r="J129" s="1690">
        <v>13</v>
      </c>
      <c r="K129" s="2231">
        <v>5</v>
      </c>
      <c r="L129" s="2780">
        <v>6</v>
      </c>
      <c r="M129" s="4632">
        <f>L129/12</f>
        <v>0.5</v>
      </c>
      <c r="N129" s="5199">
        <v>0</v>
      </c>
      <c r="O129" s="4733">
        <v>0</v>
      </c>
      <c r="P129" s="4622">
        <v>0</v>
      </c>
      <c r="Q129" s="532">
        <v>0</v>
      </c>
      <c r="R129" s="532">
        <v>1</v>
      </c>
      <c r="S129" s="532">
        <v>1.3</v>
      </c>
      <c r="T129" s="532">
        <v>1</v>
      </c>
      <c r="U129" s="532">
        <v>0</v>
      </c>
      <c r="V129" s="532">
        <v>1</v>
      </c>
      <c r="W129" s="532">
        <v>0</v>
      </c>
      <c r="X129" s="532">
        <v>0</v>
      </c>
      <c r="Y129" s="532">
        <v>0</v>
      </c>
      <c r="Z129" s="2732">
        <f>SUM(N129:Y129)</f>
        <v>4.3</v>
      </c>
      <c r="AA129" s="854">
        <f>4242+37788+268800+23113</f>
        <v>333943</v>
      </c>
      <c r="AB129" s="387">
        <v>0</v>
      </c>
      <c r="AC129" s="387">
        <v>0</v>
      </c>
      <c r="AD129" s="387">
        <v>0</v>
      </c>
      <c r="AE129" s="387">
        <v>0</v>
      </c>
      <c r="AF129" s="387">
        <v>4242</v>
      </c>
      <c r="AG129" s="387">
        <v>0</v>
      </c>
      <c r="AH129" s="387">
        <v>1221</v>
      </c>
      <c r="AI129" s="387">
        <v>0</v>
      </c>
      <c r="AJ129" s="387">
        <v>0</v>
      </c>
      <c r="AK129" s="387">
        <v>0</v>
      </c>
      <c r="AL129" s="387">
        <v>0</v>
      </c>
      <c r="AM129" s="855">
        <v>0</v>
      </c>
      <c r="AN129" s="855">
        <f>SUM(AB129:AM129)</f>
        <v>5463</v>
      </c>
      <c r="AO129" s="653">
        <f t="shared" si="72"/>
        <v>1.6359079244062609E-2</v>
      </c>
      <c r="AP129" s="831"/>
    </row>
    <row r="130" spans="1:42" ht="18" thickBot="1">
      <c r="A130" s="7580" t="s">
        <v>57</v>
      </c>
      <c r="B130" s="7580"/>
      <c r="C130" s="533"/>
      <c r="D130" s="533"/>
      <c r="E130" s="533"/>
      <c r="F130" s="533"/>
      <c r="G130" s="533"/>
      <c r="H130" s="533">
        <v>17</v>
      </c>
      <c r="I130" s="533">
        <f>SUM(I125:I129)</f>
        <v>8</v>
      </c>
      <c r="J130" s="533">
        <f>SUM(J125:J129)</f>
        <v>29</v>
      </c>
      <c r="K130" s="533">
        <f>SUM(K125:K129)</f>
        <v>26</v>
      </c>
      <c r="L130" s="2819">
        <f>SUM(L125:L129)</f>
        <v>12</v>
      </c>
      <c r="M130" s="4633">
        <f>SUM(M125:M129)</f>
        <v>1</v>
      </c>
      <c r="N130" s="5205">
        <f t="shared" ref="N130:AA130" si="73">SUM(N125:N129)</f>
        <v>0</v>
      </c>
      <c r="O130" s="5207">
        <f t="shared" si="73"/>
        <v>0</v>
      </c>
      <c r="P130" s="4641">
        <f t="shared" si="73"/>
        <v>1</v>
      </c>
      <c r="Q130" s="533">
        <f t="shared" si="73"/>
        <v>1</v>
      </c>
      <c r="R130" s="533">
        <f t="shared" si="73"/>
        <v>3</v>
      </c>
      <c r="S130" s="533">
        <f t="shared" si="73"/>
        <v>5.3</v>
      </c>
      <c r="T130" s="533">
        <f t="shared" si="73"/>
        <v>2</v>
      </c>
      <c r="U130" s="533">
        <f t="shared" si="73"/>
        <v>5</v>
      </c>
      <c r="V130" s="533">
        <f t="shared" si="73"/>
        <v>1</v>
      </c>
      <c r="W130" s="533">
        <f t="shared" si="73"/>
        <v>0</v>
      </c>
      <c r="X130" s="533">
        <f t="shared" si="73"/>
        <v>0</v>
      </c>
      <c r="Y130" s="533">
        <f t="shared" si="73"/>
        <v>0</v>
      </c>
      <c r="Z130" s="421">
        <f t="shared" si="73"/>
        <v>18.3</v>
      </c>
      <c r="AA130" s="856">
        <f t="shared" si="73"/>
        <v>474573</v>
      </c>
      <c r="AB130" s="856">
        <f>SUM(AB125:AB129)</f>
        <v>0</v>
      </c>
      <c r="AC130" s="856">
        <f t="shared" ref="AC130:AM130" si="74">SUM(AC125:AC129)</f>
        <v>0</v>
      </c>
      <c r="AD130" s="856">
        <f t="shared" si="74"/>
        <v>6485</v>
      </c>
      <c r="AE130" s="856">
        <f>SUM(AE125:AE129)</f>
        <v>9739</v>
      </c>
      <c r="AF130" s="856">
        <f>SUM(AF125:AF129)</f>
        <v>8675</v>
      </c>
      <c r="AG130" s="856">
        <f t="shared" si="74"/>
        <v>0</v>
      </c>
      <c r="AH130" s="856">
        <f t="shared" si="74"/>
        <v>1221</v>
      </c>
      <c r="AI130" s="856">
        <f t="shared" si="74"/>
        <v>11200</v>
      </c>
      <c r="AJ130" s="856">
        <f t="shared" si="74"/>
        <v>0</v>
      </c>
      <c r="AK130" s="856">
        <f t="shared" si="74"/>
        <v>0</v>
      </c>
      <c r="AL130" s="856">
        <f t="shared" si="74"/>
        <v>0</v>
      </c>
      <c r="AM130" s="856">
        <f t="shared" si="74"/>
        <v>0</v>
      </c>
      <c r="AN130" s="856">
        <f>SUM(AN125:AN129)</f>
        <v>37320</v>
      </c>
      <c r="AO130" s="857">
        <f t="shared" si="72"/>
        <v>7.8639113476746458E-2</v>
      </c>
      <c r="AP130" s="858">
        <f>SUM(AP125:AP129)</f>
        <v>0</v>
      </c>
    </row>
    <row r="131" spans="1:42">
      <c r="C131" s="830"/>
      <c r="D131" s="830"/>
      <c r="E131" s="830"/>
      <c r="F131" s="830"/>
      <c r="G131" s="830"/>
      <c r="P131" s="830"/>
      <c r="Q131" s="830"/>
      <c r="R131" s="830"/>
      <c r="S131" s="830"/>
      <c r="T131" s="830"/>
      <c r="U131" s="830"/>
      <c r="V131" s="830"/>
      <c r="W131" s="830"/>
      <c r="X131" s="830"/>
      <c r="Y131" s="830"/>
      <c r="AA131" s="830"/>
      <c r="AB131" s="830"/>
      <c r="AC131" s="830"/>
      <c r="AD131" s="830"/>
      <c r="AE131" s="830"/>
      <c r="AF131" s="830"/>
      <c r="AG131" s="830"/>
      <c r="AH131" s="830"/>
      <c r="AI131" s="830"/>
      <c r="AJ131" s="830"/>
      <c r="AK131" s="830"/>
      <c r="AL131" s="830"/>
      <c r="AM131" s="830"/>
      <c r="AN131" s="830"/>
    </row>
    <row r="132" spans="1:42" ht="16.5" customHeight="1" thickBot="1">
      <c r="A132" s="304" t="s">
        <v>817</v>
      </c>
      <c r="C132" s="105"/>
      <c r="D132" s="105"/>
      <c r="E132" s="105"/>
      <c r="F132" s="105"/>
      <c r="G132" s="105"/>
      <c r="H132" s="430"/>
      <c r="I132" s="430"/>
      <c r="J132" s="430"/>
      <c r="K132" s="430"/>
      <c r="L132" s="430"/>
      <c r="M132" s="430"/>
      <c r="N132" s="430"/>
      <c r="O132" s="430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431"/>
      <c r="AB132" s="432"/>
      <c r="AC132" s="432"/>
      <c r="AD132" s="432"/>
      <c r="AE132" s="432"/>
      <c r="AF132" s="432"/>
      <c r="AG132" s="432"/>
      <c r="AH132" s="432"/>
      <c r="AI132" s="432"/>
      <c r="AJ132" s="432"/>
      <c r="AK132" s="432"/>
      <c r="AL132" s="432"/>
      <c r="AM132" s="432"/>
      <c r="AN132" s="432"/>
      <c r="AO132" s="331"/>
      <c r="AP132" s="433"/>
    </row>
    <row r="133" spans="1:42" ht="16.5" customHeight="1">
      <c r="A133" s="7571" t="s">
        <v>0</v>
      </c>
      <c r="B133" s="7571"/>
      <c r="C133" s="7577" t="s">
        <v>408</v>
      </c>
      <c r="D133" s="7577" t="s">
        <v>409</v>
      </c>
      <c r="E133" s="7577" t="s">
        <v>410</v>
      </c>
      <c r="F133" s="7577" t="s">
        <v>411</v>
      </c>
      <c r="G133" s="7577" t="s">
        <v>407</v>
      </c>
      <c r="H133" s="7577" t="s">
        <v>555</v>
      </c>
      <c r="I133" s="7577" t="s">
        <v>733</v>
      </c>
      <c r="J133" s="7583" t="s">
        <v>1000</v>
      </c>
      <c r="K133" s="7583" t="s">
        <v>1181</v>
      </c>
      <c r="L133" s="7578" t="s">
        <v>1282</v>
      </c>
      <c r="M133" s="7581" t="s">
        <v>917</v>
      </c>
      <c r="N133" s="7569" t="s">
        <v>1337</v>
      </c>
      <c r="O133" s="7570"/>
      <c r="P133" s="7571"/>
      <c r="Q133" s="7571"/>
      <c r="R133" s="7571"/>
      <c r="S133" s="7571"/>
      <c r="T133" s="7571"/>
      <c r="U133" s="7571"/>
      <c r="V133" s="7571"/>
      <c r="W133" s="7571"/>
      <c r="X133" s="7571"/>
      <c r="Y133" s="7571"/>
      <c r="Z133" s="7572"/>
      <c r="AA133" s="7571"/>
      <c r="AB133" s="7571"/>
      <c r="AC133" s="7571"/>
      <c r="AD133" s="7571"/>
      <c r="AE133" s="7571"/>
      <c r="AF133" s="7571"/>
      <c r="AG133" s="7571"/>
      <c r="AH133" s="7571"/>
      <c r="AI133" s="7571"/>
      <c r="AJ133" s="7571"/>
      <c r="AK133" s="7571"/>
      <c r="AL133" s="7571"/>
      <c r="AM133" s="7571"/>
      <c r="AN133" s="7573" t="s">
        <v>461</v>
      </c>
      <c r="AO133" s="7573" t="s">
        <v>816</v>
      </c>
      <c r="AP133" s="7574" t="s">
        <v>818</v>
      </c>
    </row>
    <row r="134" spans="1:42">
      <c r="A134" s="7571"/>
      <c r="B134" s="7571"/>
      <c r="C134" s="7577"/>
      <c r="D134" s="7577"/>
      <c r="E134" s="7577"/>
      <c r="F134" s="7577"/>
      <c r="G134" s="7577"/>
      <c r="H134" s="7577"/>
      <c r="I134" s="7577"/>
      <c r="J134" s="7583"/>
      <c r="K134" s="7583"/>
      <c r="L134" s="7579"/>
      <c r="M134" s="7582"/>
      <c r="N134" s="5204" t="s">
        <v>419</v>
      </c>
      <c r="O134" s="5206" t="s">
        <v>372</v>
      </c>
      <c r="P134" s="4640" t="s">
        <v>373</v>
      </c>
      <c r="Q134" s="772" t="s">
        <v>374</v>
      </c>
      <c r="R134" s="772" t="s">
        <v>375</v>
      </c>
      <c r="S134" s="772" t="s">
        <v>376</v>
      </c>
      <c r="T134" s="772" t="s">
        <v>377</v>
      </c>
      <c r="U134" s="772" t="s">
        <v>378</v>
      </c>
      <c r="V134" s="772" t="s">
        <v>379</v>
      </c>
      <c r="W134" s="772" t="s">
        <v>380</v>
      </c>
      <c r="X134" s="772" t="s">
        <v>381</v>
      </c>
      <c r="Y134" s="772" t="s">
        <v>382</v>
      </c>
      <c r="Z134" s="2731" t="s">
        <v>1278</v>
      </c>
      <c r="AA134" s="772" t="s">
        <v>195</v>
      </c>
      <c r="AB134" s="772" t="s">
        <v>414</v>
      </c>
      <c r="AC134" s="772" t="s">
        <v>383</v>
      </c>
      <c r="AD134" s="772" t="s">
        <v>384</v>
      </c>
      <c r="AE134" s="772" t="s">
        <v>385</v>
      </c>
      <c r="AF134" s="772" t="s">
        <v>386</v>
      </c>
      <c r="AG134" s="772" t="s">
        <v>387</v>
      </c>
      <c r="AH134" s="772" t="s">
        <v>388</v>
      </c>
      <c r="AI134" s="772" t="s">
        <v>389</v>
      </c>
      <c r="AJ134" s="772" t="s">
        <v>390</v>
      </c>
      <c r="AK134" s="7039" t="s">
        <v>391</v>
      </c>
      <c r="AL134" s="7039" t="s">
        <v>392</v>
      </c>
      <c r="AM134" s="7039" t="s">
        <v>393</v>
      </c>
      <c r="AN134" s="7573"/>
      <c r="AO134" s="7573"/>
      <c r="AP134" s="7574"/>
    </row>
    <row r="135" spans="1:42">
      <c r="A135" s="7575" t="s">
        <v>2</v>
      </c>
      <c r="B135" s="7576"/>
      <c r="C135" s="532"/>
      <c r="D135" s="532">
        <v>23</v>
      </c>
      <c r="E135" s="532">
        <v>19</v>
      </c>
      <c r="F135" s="532"/>
      <c r="G135" s="532"/>
      <c r="H135" s="532">
        <v>4</v>
      </c>
      <c r="I135" s="532">
        <v>0</v>
      </c>
      <c r="J135" s="2231">
        <v>3</v>
      </c>
      <c r="K135" s="2231">
        <v>2</v>
      </c>
      <c r="L135" s="2780">
        <v>3</v>
      </c>
      <c r="M135" s="4632">
        <f>L135/12</f>
        <v>0.25</v>
      </c>
      <c r="N135" s="5199">
        <v>1</v>
      </c>
      <c r="O135" s="4733">
        <v>1</v>
      </c>
      <c r="P135" s="4622">
        <v>2</v>
      </c>
      <c r="Q135" s="532">
        <v>0</v>
      </c>
      <c r="R135" s="532">
        <v>0</v>
      </c>
      <c r="S135" s="532">
        <v>1</v>
      </c>
      <c r="T135" s="532">
        <v>1</v>
      </c>
      <c r="U135" s="532">
        <v>0</v>
      </c>
      <c r="V135" s="532">
        <v>0</v>
      </c>
      <c r="W135" s="532">
        <v>0</v>
      </c>
      <c r="X135" s="532">
        <v>0</v>
      </c>
      <c r="Y135" s="532">
        <v>0</v>
      </c>
      <c r="Z135" s="2732">
        <f>SUM(N135:Y135)</f>
        <v>6</v>
      </c>
      <c r="AA135" s="854">
        <f>6910</f>
        <v>6910</v>
      </c>
      <c r="AB135" s="387">
        <v>0</v>
      </c>
      <c r="AC135" s="387">
        <v>2000</v>
      </c>
      <c r="AD135" s="387">
        <v>0</v>
      </c>
      <c r="AE135" s="387">
        <v>0</v>
      </c>
      <c r="AF135" s="387">
        <v>0</v>
      </c>
      <c r="AG135" s="387">
        <v>0</v>
      </c>
      <c r="AH135" s="387">
        <v>0</v>
      </c>
      <c r="AI135" s="387">
        <v>0</v>
      </c>
      <c r="AJ135" s="387">
        <v>0</v>
      </c>
      <c r="AK135" s="387">
        <v>0</v>
      </c>
      <c r="AL135" s="387">
        <v>0</v>
      </c>
      <c r="AM135" s="1581">
        <v>0</v>
      </c>
      <c r="AN135" s="855">
        <f>SUM(AB135:AM135)</f>
        <v>2000</v>
      </c>
      <c r="AO135" s="653">
        <f t="shared" ref="AO135:AO140" si="75">AN135/AA135</f>
        <v>0.28943560057887119</v>
      </c>
      <c r="AP135" s="831"/>
    </row>
    <row r="136" spans="1:42">
      <c r="A136" s="7575" t="s">
        <v>3</v>
      </c>
      <c r="B136" s="7576"/>
      <c r="C136" s="532"/>
      <c r="D136" s="532"/>
      <c r="E136" s="532">
        <v>21</v>
      </c>
      <c r="F136" s="532"/>
      <c r="G136" s="532"/>
      <c r="H136" s="532">
        <v>4</v>
      </c>
      <c r="I136" s="532">
        <v>2</v>
      </c>
      <c r="J136" s="2231">
        <v>3</v>
      </c>
      <c r="K136" s="2231">
        <v>3</v>
      </c>
      <c r="L136" s="2780">
        <v>2</v>
      </c>
      <c r="M136" s="4632">
        <f>L136/12</f>
        <v>0.16666666666666666</v>
      </c>
      <c r="N136" s="5199">
        <v>0</v>
      </c>
      <c r="O136" s="4733">
        <v>0</v>
      </c>
      <c r="P136" s="4622">
        <v>0</v>
      </c>
      <c r="Q136" s="532">
        <v>0</v>
      </c>
      <c r="R136" s="532">
        <v>0</v>
      </c>
      <c r="S136" s="532">
        <v>1</v>
      </c>
      <c r="T136" s="532">
        <v>0</v>
      </c>
      <c r="U136" s="532">
        <v>0</v>
      </c>
      <c r="V136" s="532">
        <v>1</v>
      </c>
      <c r="W136" s="532">
        <v>0</v>
      </c>
      <c r="X136" s="532">
        <v>0</v>
      </c>
      <c r="Y136" s="532">
        <v>0</v>
      </c>
      <c r="Z136" s="2732">
        <f>SUM(N136:Y136)</f>
        <v>2</v>
      </c>
      <c r="AA136" s="854">
        <f>35239</f>
        <v>35239</v>
      </c>
      <c r="AB136" s="387">
        <v>0</v>
      </c>
      <c r="AC136" s="387">
        <v>0</v>
      </c>
      <c r="AD136" s="387">
        <v>0</v>
      </c>
      <c r="AE136" s="387">
        <v>0</v>
      </c>
      <c r="AF136" s="387">
        <v>0</v>
      </c>
      <c r="AG136" s="387">
        <v>0</v>
      </c>
      <c r="AH136" s="387">
        <v>0</v>
      </c>
      <c r="AI136" s="387">
        <v>0</v>
      </c>
      <c r="AJ136" s="387">
        <v>35239</v>
      </c>
      <c r="AK136" s="387">
        <v>0</v>
      </c>
      <c r="AL136" s="387">
        <v>0</v>
      </c>
      <c r="AM136" s="1581">
        <v>0</v>
      </c>
      <c r="AN136" s="855">
        <f>SUM(AB136:AM136)</f>
        <v>35239</v>
      </c>
      <c r="AO136" s="653">
        <f t="shared" si="75"/>
        <v>1</v>
      </c>
      <c r="AP136" s="831"/>
    </row>
    <row r="137" spans="1:42">
      <c r="A137" s="7575" t="s">
        <v>4</v>
      </c>
      <c r="B137" s="7576"/>
      <c r="C137" s="532"/>
      <c r="D137" s="532"/>
      <c r="E137" s="532">
        <v>14</v>
      </c>
      <c r="F137" s="532"/>
      <c r="G137" s="532"/>
      <c r="H137" s="532">
        <v>6</v>
      </c>
      <c r="I137" s="532">
        <v>2</v>
      </c>
      <c r="J137" s="2231">
        <v>4</v>
      </c>
      <c r="K137" s="2231">
        <v>2</v>
      </c>
      <c r="L137" s="2780">
        <v>5</v>
      </c>
      <c r="M137" s="4632">
        <f>L137/12</f>
        <v>0.41666666666666669</v>
      </c>
      <c r="N137" s="5199">
        <v>0</v>
      </c>
      <c r="O137" s="4733">
        <v>0</v>
      </c>
      <c r="P137" s="4622">
        <v>0</v>
      </c>
      <c r="Q137" s="532">
        <v>1</v>
      </c>
      <c r="R137" s="532">
        <v>2</v>
      </c>
      <c r="S137" s="532">
        <v>1</v>
      </c>
      <c r="T137" s="532">
        <v>0</v>
      </c>
      <c r="U137" s="532">
        <v>1</v>
      </c>
      <c r="V137" s="532">
        <v>0</v>
      </c>
      <c r="W137" s="532">
        <v>0</v>
      </c>
      <c r="X137" s="532">
        <v>0</v>
      </c>
      <c r="Y137" s="532">
        <v>0</v>
      </c>
      <c r="Z137" s="2732">
        <f>SUM(N137:Y137)</f>
        <v>5</v>
      </c>
      <c r="AA137" s="854">
        <f>10849</f>
        <v>10849</v>
      </c>
      <c r="AB137" s="387">
        <v>0</v>
      </c>
      <c r="AC137" s="387">
        <v>0</v>
      </c>
      <c r="AD137" s="387">
        <v>0</v>
      </c>
      <c r="AE137" s="387">
        <v>0</v>
      </c>
      <c r="AF137" s="387">
        <v>12679</v>
      </c>
      <c r="AG137" s="387">
        <v>0</v>
      </c>
      <c r="AH137" s="387">
        <v>0</v>
      </c>
      <c r="AI137" s="387">
        <v>0</v>
      </c>
      <c r="AJ137" s="387">
        <v>0</v>
      </c>
      <c r="AK137" s="387">
        <v>0</v>
      </c>
      <c r="AL137" s="387">
        <v>0</v>
      </c>
      <c r="AM137" s="855">
        <v>0</v>
      </c>
      <c r="AN137" s="855">
        <f>SUM(AB137:AM137)</f>
        <v>12679</v>
      </c>
      <c r="AO137" s="653">
        <f t="shared" si="75"/>
        <v>1.1686791409346484</v>
      </c>
      <c r="AP137" s="831"/>
    </row>
    <row r="138" spans="1:42">
      <c r="A138" s="7575" t="s">
        <v>193</v>
      </c>
      <c r="B138" s="7576"/>
      <c r="C138" s="532"/>
      <c r="D138" s="532"/>
      <c r="E138" s="532">
        <v>10</v>
      </c>
      <c r="F138" s="532"/>
      <c r="G138" s="532"/>
      <c r="H138" s="532">
        <v>2</v>
      </c>
      <c r="I138" s="532">
        <v>0</v>
      </c>
      <c r="J138" s="2231">
        <v>3</v>
      </c>
      <c r="K138" s="2231">
        <v>1</v>
      </c>
      <c r="L138" s="2780">
        <v>0</v>
      </c>
      <c r="M138" s="4632">
        <f>L138/12</f>
        <v>0</v>
      </c>
      <c r="N138" s="5199">
        <v>0</v>
      </c>
      <c r="O138" s="4733">
        <v>0</v>
      </c>
      <c r="P138" s="4622">
        <v>0</v>
      </c>
      <c r="Q138" s="532">
        <v>0</v>
      </c>
      <c r="R138" s="532">
        <v>0</v>
      </c>
      <c r="S138" s="532">
        <v>0</v>
      </c>
      <c r="T138" s="532">
        <v>0</v>
      </c>
      <c r="U138" s="532">
        <v>0</v>
      </c>
      <c r="V138" s="532">
        <v>0</v>
      </c>
      <c r="W138" s="532">
        <v>0</v>
      </c>
      <c r="X138" s="532">
        <v>0</v>
      </c>
      <c r="Y138" s="532">
        <v>0</v>
      </c>
      <c r="Z138" s="2732">
        <f>SUM(N138:Y138)</f>
        <v>0</v>
      </c>
      <c r="AA138" s="854">
        <v>0</v>
      </c>
      <c r="AB138" s="387">
        <v>0</v>
      </c>
      <c r="AC138" s="387">
        <v>0</v>
      </c>
      <c r="AD138" s="387">
        <v>0</v>
      </c>
      <c r="AE138" s="387">
        <v>0</v>
      </c>
      <c r="AF138" s="387">
        <v>0</v>
      </c>
      <c r="AG138" s="387">
        <v>0</v>
      </c>
      <c r="AH138" s="387">
        <v>0</v>
      </c>
      <c r="AI138" s="387">
        <v>0</v>
      </c>
      <c r="AJ138" s="387">
        <v>0</v>
      </c>
      <c r="AK138" s="387">
        <v>0</v>
      </c>
      <c r="AL138" s="387">
        <v>0</v>
      </c>
      <c r="AM138" s="855">
        <v>0</v>
      </c>
      <c r="AN138" s="855">
        <f>SUM(AB138:AM138)</f>
        <v>0</v>
      </c>
      <c r="AO138" s="653" t="e">
        <f t="shared" si="75"/>
        <v>#DIV/0!</v>
      </c>
      <c r="AP138" s="831"/>
    </row>
    <row r="139" spans="1:42">
      <c r="A139" s="7575" t="s">
        <v>17</v>
      </c>
      <c r="B139" s="7576"/>
      <c r="C139" s="532"/>
      <c r="D139" s="532"/>
      <c r="E139" s="532">
        <v>7</v>
      </c>
      <c r="F139" s="532"/>
      <c r="G139" s="532"/>
      <c r="H139" s="532">
        <v>1</v>
      </c>
      <c r="I139" s="532">
        <v>0</v>
      </c>
      <c r="J139" s="2231">
        <v>15</v>
      </c>
      <c r="K139" s="2231">
        <v>1</v>
      </c>
      <c r="L139" s="2828">
        <v>2</v>
      </c>
      <c r="M139" s="4634">
        <f>L139/12</f>
        <v>0.16666666666666666</v>
      </c>
      <c r="N139" s="5199">
        <v>0</v>
      </c>
      <c r="O139" s="4733">
        <v>0</v>
      </c>
      <c r="P139" s="4622">
        <v>0</v>
      </c>
      <c r="Q139" s="532">
        <v>0</v>
      </c>
      <c r="R139" s="532">
        <v>0</v>
      </c>
      <c r="S139" s="532">
        <v>1</v>
      </c>
      <c r="T139" s="532">
        <v>0</v>
      </c>
      <c r="U139" s="532">
        <v>0</v>
      </c>
      <c r="V139" s="532">
        <v>0</v>
      </c>
      <c r="W139" s="532">
        <v>0</v>
      </c>
      <c r="X139" s="532">
        <v>0</v>
      </c>
      <c r="Y139" s="532">
        <v>0</v>
      </c>
      <c r="Z139" s="2732">
        <f>SUM(N139:Y139)</f>
        <v>1</v>
      </c>
      <c r="AA139" s="854">
        <v>0</v>
      </c>
      <c r="AB139" s="855">
        <v>0</v>
      </c>
      <c r="AC139" s="855">
        <v>0</v>
      </c>
      <c r="AD139" s="855">
        <v>0</v>
      </c>
      <c r="AE139" s="532">
        <v>0</v>
      </c>
      <c r="AF139" s="855">
        <v>0</v>
      </c>
      <c r="AG139" s="855">
        <v>0</v>
      </c>
      <c r="AH139" s="855">
        <v>0</v>
      </c>
      <c r="AI139" s="855">
        <v>0</v>
      </c>
      <c r="AJ139" s="855">
        <v>0</v>
      </c>
      <c r="AK139" s="855">
        <v>0</v>
      </c>
      <c r="AL139" s="855">
        <v>0</v>
      </c>
      <c r="AM139" s="855">
        <v>0</v>
      </c>
      <c r="AN139" s="855">
        <f>SUM(AB139:AM139)</f>
        <v>0</v>
      </c>
      <c r="AO139" s="653" t="e">
        <f t="shared" si="75"/>
        <v>#DIV/0!</v>
      </c>
      <c r="AP139" s="831"/>
    </row>
    <row r="140" spans="1:42" ht="18" thickBot="1">
      <c r="A140" s="7580" t="s">
        <v>57</v>
      </c>
      <c r="B140" s="7580"/>
      <c r="C140" s="533"/>
      <c r="D140" s="533"/>
      <c r="E140" s="533"/>
      <c r="F140" s="533"/>
      <c r="G140" s="533"/>
      <c r="H140" s="533">
        <v>17</v>
      </c>
      <c r="I140" s="533">
        <f>SUM(I135:I139)</f>
        <v>4</v>
      </c>
      <c r="J140" s="533">
        <f>SUM(J135:J139)</f>
        <v>28</v>
      </c>
      <c r="K140" s="533">
        <f>SUM(K135:K139)</f>
        <v>9</v>
      </c>
      <c r="L140" s="2819">
        <f>SUM(L135:L139)</f>
        <v>12</v>
      </c>
      <c r="M140" s="4633">
        <f>SUM(M135:M139)</f>
        <v>0.99999999999999989</v>
      </c>
      <c r="N140" s="5205">
        <f t="shared" ref="N140:AB140" si="76">SUM(N135:N139)</f>
        <v>1</v>
      </c>
      <c r="O140" s="5207">
        <f t="shared" si="76"/>
        <v>1</v>
      </c>
      <c r="P140" s="4641">
        <f t="shared" si="76"/>
        <v>2</v>
      </c>
      <c r="Q140" s="533">
        <f t="shared" si="76"/>
        <v>1</v>
      </c>
      <c r="R140" s="533">
        <f t="shared" si="76"/>
        <v>2</v>
      </c>
      <c r="S140" s="533">
        <f t="shared" si="76"/>
        <v>4</v>
      </c>
      <c r="T140" s="533">
        <f t="shared" si="76"/>
        <v>1</v>
      </c>
      <c r="U140" s="533">
        <f t="shared" si="76"/>
        <v>1</v>
      </c>
      <c r="V140" s="533">
        <f t="shared" si="76"/>
        <v>1</v>
      </c>
      <c r="W140" s="533">
        <f t="shared" si="76"/>
        <v>0</v>
      </c>
      <c r="X140" s="533">
        <f t="shared" si="76"/>
        <v>0</v>
      </c>
      <c r="Y140" s="533">
        <f t="shared" si="76"/>
        <v>0</v>
      </c>
      <c r="Z140" s="421">
        <f t="shared" si="76"/>
        <v>14</v>
      </c>
      <c r="AA140" s="856">
        <f t="shared" si="76"/>
        <v>52998</v>
      </c>
      <c r="AB140" s="856">
        <f t="shared" si="76"/>
        <v>0</v>
      </c>
      <c r="AC140" s="856">
        <f>SUM(AC135:AC139)</f>
        <v>2000</v>
      </c>
      <c r="AD140" s="856">
        <f>SUM(AD135:AD139)</f>
        <v>0</v>
      </c>
      <c r="AE140" s="856">
        <f t="shared" ref="AE140:AM140" si="77">SUM(AE135:AE139)</f>
        <v>0</v>
      </c>
      <c r="AF140" s="856">
        <f t="shared" si="77"/>
        <v>12679</v>
      </c>
      <c r="AG140" s="856">
        <f t="shared" si="77"/>
        <v>0</v>
      </c>
      <c r="AH140" s="856">
        <f t="shared" si="77"/>
        <v>0</v>
      </c>
      <c r="AI140" s="856">
        <f t="shared" si="77"/>
        <v>0</v>
      </c>
      <c r="AJ140" s="856">
        <f t="shared" si="77"/>
        <v>35239</v>
      </c>
      <c r="AK140" s="856">
        <f t="shared" si="77"/>
        <v>0</v>
      </c>
      <c r="AL140" s="856">
        <f t="shared" si="77"/>
        <v>0</v>
      </c>
      <c r="AM140" s="856">
        <f t="shared" si="77"/>
        <v>0</v>
      </c>
      <c r="AN140" s="856">
        <f>SUM(AN135:AN139)</f>
        <v>49918</v>
      </c>
      <c r="AO140" s="857">
        <f t="shared" si="75"/>
        <v>0.94188459941884595</v>
      </c>
      <c r="AP140" s="858">
        <f>SUM(AP135:AP139)</f>
        <v>0</v>
      </c>
    </row>
    <row r="141" spans="1:42">
      <c r="A141" s="784" t="s">
        <v>948</v>
      </c>
      <c r="C141" s="780"/>
      <c r="D141" s="780"/>
      <c r="E141" s="780"/>
      <c r="F141" s="780"/>
      <c r="G141" s="780"/>
      <c r="P141" s="780"/>
      <c r="Q141" s="780"/>
      <c r="R141" s="780"/>
      <c r="S141" s="780"/>
      <c r="T141" s="780"/>
      <c r="U141" s="780"/>
      <c r="V141" s="780"/>
      <c r="W141" s="780"/>
      <c r="X141" s="780"/>
      <c r="Y141" s="780"/>
      <c r="AA141" s="780"/>
      <c r="AB141" s="780"/>
      <c r="AC141" s="780"/>
      <c r="AD141" s="780"/>
      <c r="AE141" s="780"/>
      <c r="AF141" s="780"/>
      <c r="AG141" s="780"/>
      <c r="AH141" s="780"/>
      <c r="AI141" s="780"/>
      <c r="AJ141" s="780"/>
      <c r="AK141" s="437"/>
      <c r="AL141" s="780"/>
      <c r="AM141" s="780"/>
      <c r="AN141" s="780"/>
    </row>
    <row r="148" spans="40:42">
      <c r="AN148" s="314"/>
      <c r="AO148" s="314"/>
      <c r="AP148" s="314"/>
    </row>
  </sheetData>
  <mergeCells count="506">
    <mergeCell ref="AO112:AO113"/>
    <mergeCell ref="AP112:AP113"/>
    <mergeCell ref="A114:B114"/>
    <mergeCell ref="A115:B115"/>
    <mergeCell ref="A116:B116"/>
    <mergeCell ref="A117:B117"/>
    <mergeCell ref="A118:B118"/>
    <mergeCell ref="A119:B119"/>
    <mergeCell ref="G112:G113"/>
    <mergeCell ref="H112:H113"/>
    <mergeCell ref="I112:I113"/>
    <mergeCell ref="J112:J113"/>
    <mergeCell ref="K112:K113"/>
    <mergeCell ref="L112:L113"/>
    <mergeCell ref="M112:M113"/>
    <mergeCell ref="N112:AM112"/>
    <mergeCell ref="AN112:AN113"/>
    <mergeCell ref="A105:B105"/>
    <mergeCell ref="A106:B106"/>
    <mergeCell ref="A107:B107"/>
    <mergeCell ref="A108:B108"/>
    <mergeCell ref="A112:B113"/>
    <mergeCell ref="C112:C113"/>
    <mergeCell ref="D112:D113"/>
    <mergeCell ref="E112:E113"/>
    <mergeCell ref="F112:F113"/>
    <mergeCell ref="L101:L102"/>
    <mergeCell ref="M101:M102"/>
    <mergeCell ref="N101:AM101"/>
    <mergeCell ref="AN101:AN102"/>
    <mergeCell ref="AO101:AO102"/>
    <mergeCell ref="AP101:AP102"/>
    <mergeCell ref="A103:B103"/>
    <mergeCell ref="A104:B104"/>
    <mergeCell ref="A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4:K5"/>
    <mergeCell ref="K19:K20"/>
    <mergeCell ref="K29:K30"/>
    <mergeCell ref="K44:K45"/>
    <mergeCell ref="K54:K55"/>
    <mergeCell ref="K65:K66"/>
    <mergeCell ref="K80:K81"/>
    <mergeCell ref="K90:K91"/>
    <mergeCell ref="K123:K124"/>
    <mergeCell ref="K101:K102"/>
    <mergeCell ref="J29:J30"/>
    <mergeCell ref="J44:J45"/>
    <mergeCell ref="J54:J55"/>
    <mergeCell ref="J65:J66"/>
    <mergeCell ref="J80:J81"/>
    <mergeCell ref="J90:J91"/>
    <mergeCell ref="J123:J124"/>
    <mergeCell ref="J133:J134"/>
    <mergeCell ref="J4:J5"/>
    <mergeCell ref="M4:M5"/>
    <mergeCell ref="M19:M20"/>
    <mergeCell ref="M29:M30"/>
    <mergeCell ref="M44:M45"/>
    <mergeCell ref="M54:M55"/>
    <mergeCell ref="M65:M66"/>
    <mergeCell ref="M80:M81"/>
    <mergeCell ref="M90:M91"/>
    <mergeCell ref="M123:M124"/>
    <mergeCell ref="A139:B139"/>
    <mergeCell ref="A140:B140"/>
    <mergeCell ref="L133:L134"/>
    <mergeCell ref="N133:AM133"/>
    <mergeCell ref="AP133:AP134"/>
    <mergeCell ref="A136:B136"/>
    <mergeCell ref="A137:B137"/>
    <mergeCell ref="A138:B138"/>
    <mergeCell ref="A130:B130"/>
    <mergeCell ref="A133:B134"/>
    <mergeCell ref="C133:C134"/>
    <mergeCell ref="D133:D134"/>
    <mergeCell ref="E133:E134"/>
    <mergeCell ref="F133:F134"/>
    <mergeCell ref="G133:G134"/>
    <mergeCell ref="H133:H134"/>
    <mergeCell ref="I133:I134"/>
    <mergeCell ref="AN133:AN134"/>
    <mergeCell ref="AO133:AO134"/>
    <mergeCell ref="A135:B135"/>
    <mergeCell ref="M133:M134"/>
    <mergeCell ref="K133:K134"/>
    <mergeCell ref="N123:AM123"/>
    <mergeCell ref="AN123:AN124"/>
    <mergeCell ref="AO123:AO124"/>
    <mergeCell ref="AP123:AP124"/>
    <mergeCell ref="A125:B125"/>
    <mergeCell ref="A126:B126"/>
    <mergeCell ref="A127:B127"/>
    <mergeCell ref="A128:B128"/>
    <mergeCell ref="A129:B129"/>
    <mergeCell ref="A123:B124"/>
    <mergeCell ref="C123:C124"/>
    <mergeCell ref="D123:D124"/>
    <mergeCell ref="E123:E124"/>
    <mergeCell ref="F123:F124"/>
    <mergeCell ref="G123:G124"/>
    <mergeCell ref="H123:H124"/>
    <mergeCell ref="I123:I124"/>
    <mergeCell ref="L123:L124"/>
    <mergeCell ref="I4:I5"/>
    <mergeCell ref="I19:I20"/>
    <mergeCell ref="I29:I30"/>
    <mergeCell ref="I44:I45"/>
    <mergeCell ref="AN19:AN20"/>
    <mergeCell ref="AO19:AO20"/>
    <mergeCell ref="AI14:AI15"/>
    <mergeCell ref="AJ14:AJ15"/>
    <mergeCell ref="AK14:AK15"/>
    <mergeCell ref="AL14:AL15"/>
    <mergeCell ref="AM14:AM15"/>
    <mergeCell ref="AN14:AN15"/>
    <mergeCell ref="AO14:AO15"/>
    <mergeCell ref="AI8:AI9"/>
    <mergeCell ref="AJ8:AJ9"/>
    <mergeCell ref="AK8:AK9"/>
    <mergeCell ref="AL8:AL9"/>
    <mergeCell ref="AM8:AM9"/>
    <mergeCell ref="AN8:AN9"/>
    <mergeCell ref="AO8:AO9"/>
    <mergeCell ref="AG8:AG9"/>
    <mergeCell ref="AH8:AH9"/>
    <mergeCell ref="AN4:AN5"/>
    <mergeCell ref="AO4:AO5"/>
    <mergeCell ref="AP19:AP20"/>
    <mergeCell ref="A21:B21"/>
    <mergeCell ref="A22:B22"/>
    <mergeCell ref="A23:B23"/>
    <mergeCell ref="A24:B24"/>
    <mergeCell ref="A25:B25"/>
    <mergeCell ref="A26:B26"/>
    <mergeCell ref="A19:B20"/>
    <mergeCell ref="C19:C20"/>
    <mergeCell ref="D19:D20"/>
    <mergeCell ref="E19:E20"/>
    <mergeCell ref="F19:F20"/>
    <mergeCell ref="G19:G20"/>
    <mergeCell ref="H19:H20"/>
    <mergeCell ref="L19:L20"/>
    <mergeCell ref="N19:AM19"/>
    <mergeCell ref="J19:J20"/>
    <mergeCell ref="AP14:AP15"/>
    <mergeCell ref="A16:B16"/>
    <mergeCell ref="A14:A15"/>
    <mergeCell ref="AA14:AA15"/>
    <mergeCell ref="AB14:AB15"/>
    <mergeCell ref="AC14:AC15"/>
    <mergeCell ref="AD14:AD15"/>
    <mergeCell ref="AE14:AE15"/>
    <mergeCell ref="AF14:AF15"/>
    <mergeCell ref="AG14:AG15"/>
    <mergeCell ref="AH14:AH15"/>
    <mergeCell ref="AP10:AP11"/>
    <mergeCell ref="A12:A13"/>
    <mergeCell ref="AA12:AA13"/>
    <mergeCell ref="AB12:AB13"/>
    <mergeCell ref="AC12:AC13"/>
    <mergeCell ref="AD12:AD13"/>
    <mergeCell ref="AE12:AE13"/>
    <mergeCell ref="AF12:AF13"/>
    <mergeCell ref="AG12:AG13"/>
    <mergeCell ref="AH12:AH13"/>
    <mergeCell ref="AI12:AI13"/>
    <mergeCell ref="AJ12:AJ13"/>
    <mergeCell ref="AK12:AK13"/>
    <mergeCell ref="AL12:AL13"/>
    <mergeCell ref="AM12:AM13"/>
    <mergeCell ref="AN12:AN13"/>
    <mergeCell ref="AO12:AO13"/>
    <mergeCell ref="AP12:AP13"/>
    <mergeCell ref="AP8:AP9"/>
    <mergeCell ref="A10:A11"/>
    <mergeCell ref="AA10:AA11"/>
    <mergeCell ref="AB10:AB11"/>
    <mergeCell ref="AC10:AC11"/>
    <mergeCell ref="AD10:AD11"/>
    <mergeCell ref="AE10:AE11"/>
    <mergeCell ref="AF10:AF11"/>
    <mergeCell ref="AG10:AG11"/>
    <mergeCell ref="AH10:AH11"/>
    <mergeCell ref="AI10:AI11"/>
    <mergeCell ref="AJ10:AJ11"/>
    <mergeCell ref="AK10:AK11"/>
    <mergeCell ref="AL10:AL11"/>
    <mergeCell ref="AM10:AM11"/>
    <mergeCell ref="AN10:AN11"/>
    <mergeCell ref="AO10:AO11"/>
    <mergeCell ref="A8:A9"/>
    <mergeCell ref="AA8:AA9"/>
    <mergeCell ref="AB8:AB9"/>
    <mergeCell ref="AC8:AC9"/>
    <mergeCell ref="AD8:AD9"/>
    <mergeCell ref="AE8:AE9"/>
    <mergeCell ref="AF8:AF9"/>
    <mergeCell ref="AP4:AP5"/>
    <mergeCell ref="A6:A7"/>
    <mergeCell ref="AA6:AA7"/>
    <mergeCell ref="AB6:AB7"/>
    <mergeCell ref="AC6:AC7"/>
    <mergeCell ref="AD6:AD7"/>
    <mergeCell ref="AE6:AE7"/>
    <mergeCell ref="AF6:AF7"/>
    <mergeCell ref="AG6:AG7"/>
    <mergeCell ref="AH6:AH7"/>
    <mergeCell ref="AI6:AI7"/>
    <mergeCell ref="AJ6:AJ7"/>
    <mergeCell ref="AK6:AK7"/>
    <mergeCell ref="AL6:AL7"/>
    <mergeCell ref="AM6:AM7"/>
    <mergeCell ref="AN6:AN7"/>
    <mergeCell ref="AO6:AO7"/>
    <mergeCell ref="AP6:AP7"/>
    <mergeCell ref="A4:B5"/>
    <mergeCell ref="C4:C5"/>
    <mergeCell ref="D4:D5"/>
    <mergeCell ref="E4:E5"/>
    <mergeCell ref="F4:F5"/>
    <mergeCell ref="G4:G5"/>
    <mergeCell ref="H4:H5"/>
    <mergeCell ref="L4:L5"/>
    <mergeCell ref="N4:AM4"/>
    <mergeCell ref="A83:B83"/>
    <mergeCell ref="G65:G66"/>
    <mergeCell ref="H65:H66"/>
    <mergeCell ref="N65:AM65"/>
    <mergeCell ref="AC71:AC72"/>
    <mergeCell ref="AD71:AD72"/>
    <mergeCell ref="AE71:AE72"/>
    <mergeCell ref="AF71:AF72"/>
    <mergeCell ref="AB69:AB70"/>
    <mergeCell ref="AC69:AC70"/>
    <mergeCell ref="AF69:AF70"/>
    <mergeCell ref="AK71:AK72"/>
    <mergeCell ref="AG69:AG70"/>
    <mergeCell ref="AM31:AM32"/>
    <mergeCell ref="AC33:AC34"/>
    <mergeCell ref="AD33:AD34"/>
    <mergeCell ref="AE33:AE34"/>
    <mergeCell ref="AF33:AF34"/>
    <mergeCell ref="AL33:AL34"/>
    <mergeCell ref="AJ35:AJ36"/>
    <mergeCell ref="AK35:AK36"/>
    <mergeCell ref="A96:B96"/>
    <mergeCell ref="A97:B97"/>
    <mergeCell ref="AP54:AP55"/>
    <mergeCell ref="A90:B91"/>
    <mergeCell ref="C90:C91"/>
    <mergeCell ref="D90:D91"/>
    <mergeCell ref="E90:E91"/>
    <mergeCell ref="F90:F91"/>
    <mergeCell ref="G90:G91"/>
    <mergeCell ref="H90:H91"/>
    <mergeCell ref="N90:AM90"/>
    <mergeCell ref="AO90:AO91"/>
    <mergeCell ref="AP90:AP91"/>
    <mergeCell ref="AO80:AO81"/>
    <mergeCell ref="AP80:AP81"/>
    <mergeCell ref="H80:H81"/>
    <mergeCell ref="N80:AM80"/>
    <mergeCell ref="A87:B87"/>
    <mergeCell ref="A82:B82"/>
    <mergeCell ref="AE69:AE70"/>
    <mergeCell ref="I65:I66"/>
    <mergeCell ref="I80:I81"/>
    <mergeCell ref="I90:I91"/>
    <mergeCell ref="N54:AM54"/>
    <mergeCell ref="A95:B95"/>
    <mergeCell ref="A85:B85"/>
    <mergeCell ref="A86:B86"/>
    <mergeCell ref="A80:B81"/>
    <mergeCell ref="C80:C81"/>
    <mergeCell ref="D80:D81"/>
    <mergeCell ref="E80:E81"/>
    <mergeCell ref="F80:F81"/>
    <mergeCell ref="G80:G81"/>
    <mergeCell ref="A84:B84"/>
    <mergeCell ref="A92:B92"/>
    <mergeCell ref="A93:B93"/>
    <mergeCell ref="A94:B94"/>
    <mergeCell ref="AA31:AA32"/>
    <mergeCell ref="E65:E66"/>
    <mergeCell ref="F65:F66"/>
    <mergeCell ref="A58:B58"/>
    <mergeCell ref="A59:B59"/>
    <mergeCell ref="A73:A74"/>
    <mergeCell ref="L54:L55"/>
    <mergeCell ref="AA33:AA34"/>
    <mergeCell ref="AA35:AA36"/>
    <mergeCell ref="AA37:AA38"/>
    <mergeCell ref="A49:B49"/>
    <mergeCell ref="A65:B66"/>
    <mergeCell ref="C65:C66"/>
    <mergeCell ref="D65:D66"/>
    <mergeCell ref="A47:B47"/>
    <mergeCell ref="A56:B56"/>
    <mergeCell ref="A57:B57"/>
    <mergeCell ref="A51:B51"/>
    <mergeCell ref="A54:B55"/>
    <mergeCell ref="A35:A36"/>
    <mergeCell ref="A37:A38"/>
    <mergeCell ref="A39:A40"/>
    <mergeCell ref="A75:A76"/>
    <mergeCell ref="A77:B77"/>
    <mergeCell ref="A69:A70"/>
    <mergeCell ref="A71:A72"/>
    <mergeCell ref="E54:E55"/>
    <mergeCell ref="G29:G30"/>
    <mergeCell ref="H29:H30"/>
    <mergeCell ref="A44:B45"/>
    <mergeCell ref="C44:C45"/>
    <mergeCell ref="D44:D45"/>
    <mergeCell ref="E44:E45"/>
    <mergeCell ref="F44:F45"/>
    <mergeCell ref="G44:G45"/>
    <mergeCell ref="A31:A32"/>
    <mergeCell ref="A29:B30"/>
    <mergeCell ref="C29:C30"/>
    <mergeCell ref="D29:D30"/>
    <mergeCell ref="E29:E30"/>
    <mergeCell ref="F29:F30"/>
    <mergeCell ref="A33:A34"/>
    <mergeCell ref="A60:B60"/>
    <mergeCell ref="A61:B61"/>
    <mergeCell ref="A67:A68"/>
    <mergeCell ref="A48:B48"/>
    <mergeCell ref="AB35:AB36"/>
    <mergeCell ref="AB37:AB38"/>
    <mergeCell ref="A50:B50"/>
    <mergeCell ref="I54:I55"/>
    <mergeCell ref="C54:C55"/>
    <mergeCell ref="D54:D55"/>
    <mergeCell ref="H44:H45"/>
    <mergeCell ref="A41:B41"/>
    <mergeCell ref="F54:F55"/>
    <mergeCell ref="A46:B46"/>
    <mergeCell ref="G54:G55"/>
    <mergeCell ref="H54:H55"/>
    <mergeCell ref="AA75:AA76"/>
    <mergeCell ref="AG75:AG76"/>
    <mergeCell ref="AH75:AH76"/>
    <mergeCell ref="AI75:AI76"/>
    <mergeCell ref="AC39:AC40"/>
    <mergeCell ref="AD39:AD40"/>
    <mergeCell ref="AE39:AE40"/>
    <mergeCell ref="AF39:AF40"/>
    <mergeCell ref="AG39:AG40"/>
    <mergeCell ref="AA67:AA68"/>
    <mergeCell ref="AA69:AA70"/>
    <mergeCell ref="AB71:AB72"/>
    <mergeCell ref="AB67:AB68"/>
    <mergeCell ref="AC67:AC68"/>
    <mergeCell ref="AD67:AD68"/>
    <mergeCell ref="AE67:AE68"/>
    <mergeCell ref="AA71:AA72"/>
    <mergeCell ref="AA73:AA74"/>
    <mergeCell ref="AF67:AF68"/>
    <mergeCell ref="AI37:AI38"/>
    <mergeCell ref="AC37:AC38"/>
    <mergeCell ref="AP67:AP68"/>
    <mergeCell ref="AJ73:AJ74"/>
    <mergeCell ref="AM73:AM74"/>
    <mergeCell ref="AP73:AP74"/>
    <mergeCell ref="AG67:AG68"/>
    <mergeCell ref="AH37:AH38"/>
    <mergeCell ref="AH31:AH32"/>
    <mergeCell ref="AH35:AH36"/>
    <mergeCell ref="AI35:AI36"/>
    <mergeCell ref="AE31:AE32"/>
    <mergeCell ref="AF31:AF32"/>
    <mergeCell ref="AG31:AG32"/>
    <mergeCell ref="AG35:AG36"/>
    <mergeCell ref="AD37:AD38"/>
    <mergeCell ref="AE37:AE38"/>
    <mergeCell ref="AF37:AF38"/>
    <mergeCell ref="AG37:AG38"/>
    <mergeCell ref="AB31:AB32"/>
    <mergeCell ref="AC35:AC36"/>
    <mergeCell ref="AD35:AD36"/>
    <mergeCell ref="AE35:AE36"/>
    <mergeCell ref="AF35:AF36"/>
    <mergeCell ref="AM75:AM76"/>
    <mergeCell ref="AO67:AO68"/>
    <mergeCell ref="AO69:AO70"/>
    <mergeCell ref="AO71:AO72"/>
    <mergeCell ref="AO73:AO74"/>
    <mergeCell ref="AO75:AO76"/>
    <mergeCell ref="AJ75:AJ76"/>
    <mergeCell ref="AN67:AN68"/>
    <mergeCell ref="AN69:AN70"/>
    <mergeCell ref="AN71:AN72"/>
    <mergeCell ref="AJ71:AJ72"/>
    <mergeCell ref="AJ67:AJ68"/>
    <mergeCell ref="AK73:AK74"/>
    <mergeCell ref="AM67:AM68"/>
    <mergeCell ref="AK69:AK70"/>
    <mergeCell ref="AL69:AL70"/>
    <mergeCell ref="AL71:AL72"/>
    <mergeCell ref="AC31:AC32"/>
    <mergeCell ref="AD31:AD32"/>
    <mergeCell ref="AP75:AP76"/>
    <mergeCell ref="AM71:AM72"/>
    <mergeCell ref="AN73:AN74"/>
    <mergeCell ref="AN75:AN76"/>
    <mergeCell ref="AM69:AM70"/>
    <mergeCell ref="AK67:AK68"/>
    <mergeCell ref="AO29:AO30"/>
    <mergeCell ref="AH71:AH72"/>
    <mergeCell ref="AI71:AI72"/>
    <mergeCell ref="AH67:AH68"/>
    <mergeCell ref="AI67:AI68"/>
    <mergeCell ref="AO31:AO32"/>
    <mergeCell ref="AO33:AO34"/>
    <mergeCell ref="AO35:AO36"/>
    <mergeCell ref="AO37:AO38"/>
    <mergeCell ref="AO39:AO40"/>
    <mergeCell ref="AH39:AH40"/>
    <mergeCell ref="AI39:AI40"/>
    <mergeCell ref="AJ39:AJ40"/>
    <mergeCell ref="AK39:AK40"/>
    <mergeCell ref="AL39:AL40"/>
    <mergeCell ref="AM35:AM36"/>
    <mergeCell ref="AI31:AI32"/>
    <mergeCell ref="AL67:AL68"/>
    <mergeCell ref="AP29:AP30"/>
    <mergeCell ref="AO44:AO45"/>
    <mergeCell ref="AP44:AP45"/>
    <mergeCell ref="AP31:AP32"/>
    <mergeCell ref="AP33:AP34"/>
    <mergeCell ref="AP35:AP36"/>
    <mergeCell ref="L65:L66"/>
    <mergeCell ref="AN65:AN66"/>
    <mergeCell ref="AO65:AO66"/>
    <mergeCell ref="AP65:AP66"/>
    <mergeCell ref="AP37:AP38"/>
    <mergeCell ref="AP39:AP40"/>
    <mergeCell ref="AO54:AO55"/>
    <mergeCell ref="N29:AM29"/>
    <mergeCell ref="AM33:AM34"/>
    <mergeCell ref="AG33:AG34"/>
    <mergeCell ref="N44:AM44"/>
    <mergeCell ref="AH33:AH34"/>
    <mergeCell ref="AI33:AI34"/>
    <mergeCell ref="AJ33:AJ34"/>
    <mergeCell ref="AJ37:AJ38"/>
    <mergeCell ref="AK37:AK38"/>
    <mergeCell ref="L29:L30"/>
    <mergeCell ref="AL35:AL36"/>
    <mergeCell ref="L80:L81"/>
    <mergeCell ref="AN29:AN30"/>
    <mergeCell ref="AN31:AN32"/>
    <mergeCell ref="AN33:AN34"/>
    <mergeCell ref="AN35:AN36"/>
    <mergeCell ref="AN37:AN38"/>
    <mergeCell ref="AN39:AN40"/>
    <mergeCell ref="AN44:AN45"/>
    <mergeCell ref="AN54:AN55"/>
    <mergeCell ref="AJ31:AJ32"/>
    <mergeCell ref="AK31:AK32"/>
    <mergeCell ref="AL31:AL32"/>
    <mergeCell ref="AM39:AM40"/>
    <mergeCell ref="AL37:AL38"/>
    <mergeCell ref="AK33:AK34"/>
    <mergeCell ref="AM37:AM38"/>
    <mergeCell ref="AB75:AB76"/>
    <mergeCell ref="AH73:AH74"/>
    <mergeCell ref="AI73:AI74"/>
    <mergeCell ref="AB39:AB40"/>
    <mergeCell ref="AA39:AA40"/>
    <mergeCell ref="AB33:AB34"/>
    <mergeCell ref="L44:L45"/>
    <mergeCell ref="AL75:AL76"/>
    <mergeCell ref="AS103:AS104"/>
    <mergeCell ref="AS106:AS107"/>
    <mergeCell ref="L90:L91"/>
    <mergeCell ref="AN90:AN91"/>
    <mergeCell ref="AH69:AH70"/>
    <mergeCell ref="AI69:AI70"/>
    <mergeCell ref="AJ69:AJ70"/>
    <mergeCell ref="AD69:AD70"/>
    <mergeCell ref="AP69:AP70"/>
    <mergeCell ref="AP71:AP72"/>
    <mergeCell ref="AK75:AK76"/>
    <mergeCell ref="AC75:AC76"/>
    <mergeCell ref="AD75:AD76"/>
    <mergeCell ref="AE75:AE76"/>
    <mergeCell ref="AF75:AF76"/>
    <mergeCell ref="AL73:AL74"/>
    <mergeCell ref="AG71:AG72"/>
    <mergeCell ref="AN80:AN81"/>
    <mergeCell ref="AB73:AB74"/>
    <mergeCell ref="AC73:AC74"/>
    <mergeCell ref="AD73:AD74"/>
    <mergeCell ref="AE73:AE74"/>
    <mergeCell ref="AF73:AF74"/>
    <mergeCell ref="AG73:AG74"/>
  </mergeCells>
  <phoneticPr fontId="22" type="noConversion"/>
  <pageMargins left="0" right="0" top="0.35433070866141736" bottom="0" header="0.31496062992125984" footer="0.31496062992125984"/>
  <pageSetup paperSize="9" scale="6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"/>
  <sheetViews>
    <sheetView topLeftCell="A16" workbookViewId="0">
      <selection activeCell="D15" sqref="D15"/>
    </sheetView>
  </sheetViews>
  <sheetFormatPr defaultColWidth="8.8984375" defaultRowHeight="14.4"/>
  <cols>
    <col min="1" max="1" width="11.5" style="300" customWidth="1"/>
    <col min="2" max="2" width="7.69921875" style="380" customWidth="1"/>
    <col min="3" max="3" width="8.59765625" style="380" customWidth="1"/>
    <col min="4" max="16" width="7.69921875" style="380" customWidth="1"/>
    <col min="17" max="17" width="34.796875" style="380" customWidth="1"/>
    <col min="18" max="18" width="9" style="380" bestFit="1" customWidth="1"/>
    <col min="19" max="16384" width="8.8984375" style="380"/>
  </cols>
  <sheetData>
    <row r="1" spans="1:18" s="104" customFormat="1" ht="17.399999999999999">
      <c r="A1" s="7603" t="s">
        <v>1778</v>
      </c>
      <c r="B1" s="7603"/>
      <c r="C1" s="7603"/>
      <c r="D1" s="7603"/>
      <c r="E1" s="7603"/>
      <c r="F1" s="7603"/>
      <c r="G1" s="7603"/>
      <c r="H1" s="7603"/>
    </row>
    <row r="2" spans="1:18" s="104" customFormat="1" ht="17.399999999999999">
      <c r="B2" s="5640" t="s">
        <v>1793</v>
      </c>
      <c r="C2" s="383" t="s">
        <v>0</v>
      </c>
      <c r="D2" s="384" t="s">
        <v>111</v>
      </c>
      <c r="E2" s="384" t="s">
        <v>5</v>
      </c>
      <c r="F2" s="384" t="s">
        <v>6</v>
      </c>
      <c r="G2" s="384" t="s">
        <v>88</v>
      </c>
      <c r="H2" s="384" t="s">
        <v>8</v>
      </c>
      <c r="I2" s="384" t="s">
        <v>9</v>
      </c>
      <c r="J2" s="384" t="s">
        <v>91</v>
      </c>
      <c r="K2" s="384" t="s">
        <v>11</v>
      </c>
      <c r="L2" s="384" t="s">
        <v>12</v>
      </c>
      <c r="M2" s="384" t="s">
        <v>94</v>
      </c>
      <c r="N2" s="384" t="s">
        <v>14</v>
      </c>
      <c r="O2" s="384" t="s">
        <v>15</v>
      </c>
      <c r="P2" s="384" t="s">
        <v>197</v>
      </c>
    </row>
    <row r="3" spans="1:18" s="104" customFormat="1" ht="17.399999999999999">
      <c r="B3" s="4834">
        <v>703832.22304679058</v>
      </c>
      <c r="C3" s="385" t="s">
        <v>205</v>
      </c>
      <c r="D3" s="4834">
        <f>$P$3/12</f>
        <v>41715.024249999995</v>
      </c>
      <c r="E3" s="4834">
        <f t="shared" ref="E3:O3" si="0">$C$13/12+$C$17/12+$C$24/12+$C$31/12+$C$44/12+$C$48/12+$C$55/12</f>
        <v>41715.024250000002</v>
      </c>
      <c r="F3" s="4834">
        <f t="shared" si="0"/>
        <v>41715.024250000002</v>
      </c>
      <c r="G3" s="4834">
        <f t="shared" si="0"/>
        <v>41715.024250000002</v>
      </c>
      <c r="H3" s="4834">
        <f t="shared" si="0"/>
        <v>41715.024250000002</v>
      </c>
      <c r="I3" s="4834">
        <f t="shared" si="0"/>
        <v>41715.024250000002</v>
      </c>
      <c r="J3" s="4834">
        <f t="shared" si="0"/>
        <v>41715.024250000002</v>
      </c>
      <c r="K3" s="4834">
        <f t="shared" si="0"/>
        <v>41715.024250000002</v>
      </c>
      <c r="L3" s="4834">
        <f t="shared" si="0"/>
        <v>41715.024250000002</v>
      </c>
      <c r="M3" s="4834">
        <f t="shared" si="0"/>
        <v>41715.024250000002</v>
      </c>
      <c r="N3" s="4834">
        <f t="shared" si="0"/>
        <v>41715.024250000002</v>
      </c>
      <c r="O3" s="4834">
        <f t="shared" si="0"/>
        <v>41715.024250000002</v>
      </c>
      <c r="P3" s="4834">
        <f>C13+C17+C24+C31+C44+C48+C55+C61</f>
        <v>500580.29099999997</v>
      </c>
    </row>
    <row r="4" spans="1:18" ht="17.399999999999999">
      <c r="B4" s="4835">
        <v>770398.26275869005</v>
      </c>
      <c r="C4" s="387" t="s">
        <v>1762</v>
      </c>
      <c r="D4" s="4835">
        <f>D13+D17+D24+D31+D44+D48+D55</f>
        <v>41191.28191256529</v>
      </c>
      <c r="E4" s="4835">
        <f t="shared" ref="E4:O4" si="1">E13+E17+E24+E31+E44+E48+E55</f>
        <v>34329.175215418189</v>
      </c>
      <c r="F4" s="4835">
        <f t="shared" si="1"/>
        <v>27768.47308986168</v>
      </c>
      <c r="G4" s="4835">
        <f t="shared" si="1"/>
        <v>16107.409377246531</v>
      </c>
      <c r="H4" s="4835">
        <f t="shared" si="1"/>
        <v>40432.910917327346</v>
      </c>
      <c r="I4" s="4835">
        <f t="shared" si="1"/>
        <v>68694.977829608179</v>
      </c>
      <c r="J4" s="4835">
        <f t="shared" si="1"/>
        <v>60493.841459585048</v>
      </c>
      <c r="K4" s="4835">
        <f t="shared" si="1"/>
        <v>48531.89646665132</v>
      </c>
      <c r="L4" s="4835">
        <f t="shared" si="1"/>
        <v>51000.132313157083</v>
      </c>
      <c r="M4" s="4835">
        <f t="shared" si="1"/>
        <v>47876.001804628089</v>
      </c>
      <c r="N4" s="4835">
        <f t="shared" si="1"/>
        <v>57480.629553624123</v>
      </c>
      <c r="O4" s="4835">
        <f t="shared" si="1"/>
        <v>21189.17526478682</v>
      </c>
      <c r="P4" s="4835">
        <f>SUM(D4:O4)</f>
        <v>515095.90520445973</v>
      </c>
    </row>
    <row r="5" spans="1:18" ht="17.399999999999999">
      <c r="B5" s="4836">
        <v>1.0945765731266814</v>
      </c>
      <c r="C5" s="388" t="s">
        <v>224</v>
      </c>
      <c r="D5" s="4836">
        <f>D4/D3</f>
        <v>0.98744475529258013</v>
      </c>
      <c r="E5" s="4836">
        <f t="shared" ref="E5:P5" si="2">E4/E3</f>
        <v>0.82294510988851188</v>
      </c>
      <c r="F5" s="4836">
        <f t="shared" si="2"/>
        <v>0.66567078862148044</v>
      </c>
      <c r="G5" s="4836">
        <f t="shared" si="2"/>
        <v>0.38612968988616925</v>
      </c>
      <c r="H5" s="4836">
        <f t="shared" si="2"/>
        <v>0.96926495056100426</v>
      </c>
      <c r="I5" s="4836">
        <f t="shared" si="2"/>
        <v>1.6467682583118282</v>
      </c>
      <c r="J5" s="4836">
        <f t="shared" si="2"/>
        <v>1.450169154812011</v>
      </c>
      <c r="K5" s="4836">
        <f t="shared" si="2"/>
        <v>1.1634152763713501</v>
      </c>
      <c r="L5" s="4836">
        <f t="shared" si="2"/>
        <v>1.2225842662229085</v>
      </c>
      <c r="M5" s="4836">
        <f t="shared" si="2"/>
        <v>1.1476920525733145</v>
      </c>
      <c r="N5" s="4836">
        <f t="shared" si="2"/>
        <v>1.3779359016823327</v>
      </c>
      <c r="O5" s="4836">
        <f t="shared" si="2"/>
        <v>0.50795068792958498</v>
      </c>
      <c r="P5" s="4836">
        <f t="shared" si="2"/>
        <v>1.0289975743460897</v>
      </c>
    </row>
    <row r="7" spans="1:18" s="104" customFormat="1" ht="17.399999999999999">
      <c r="A7" s="7604" t="s">
        <v>213</v>
      </c>
      <c r="B7" s="7604"/>
      <c r="C7" s="7604"/>
      <c r="D7" s="380"/>
      <c r="E7" s="380"/>
      <c r="F7" s="380"/>
      <c r="H7" s="389"/>
    </row>
    <row r="8" spans="1:18" s="104" customFormat="1" ht="17.399999999999999">
      <c r="A8" s="383" t="s">
        <v>204</v>
      </c>
      <c r="B8" s="5640" t="s">
        <v>1793</v>
      </c>
      <c r="C8" s="383" t="s">
        <v>110</v>
      </c>
      <c r="D8" s="384" t="s">
        <v>111</v>
      </c>
      <c r="E8" s="384" t="s">
        <v>5</v>
      </c>
      <c r="F8" s="384" t="s">
        <v>6</v>
      </c>
      <c r="G8" s="384" t="s">
        <v>206</v>
      </c>
      <c r="H8" s="384" t="s">
        <v>8</v>
      </c>
      <c r="I8" s="384" t="s">
        <v>9</v>
      </c>
      <c r="J8" s="384" t="s">
        <v>207</v>
      </c>
      <c r="K8" s="384" t="s">
        <v>11</v>
      </c>
      <c r="L8" s="384" t="s">
        <v>12</v>
      </c>
      <c r="M8" s="384" t="s">
        <v>208</v>
      </c>
      <c r="N8" s="384" t="s">
        <v>14</v>
      </c>
      <c r="O8" s="384" t="s">
        <v>15</v>
      </c>
      <c r="P8" s="384" t="s">
        <v>209</v>
      </c>
    </row>
    <row r="9" spans="1:18" s="104" customFormat="1" ht="17.399999999999999">
      <c r="A9" s="390" t="s">
        <v>225</v>
      </c>
      <c r="B9" s="5641">
        <v>64.347499999999997</v>
      </c>
      <c r="C9" s="3035">
        <v>61.8</v>
      </c>
      <c r="D9" s="391">
        <v>67.400000000000006</v>
      </c>
      <c r="E9" s="392">
        <v>63.9</v>
      </c>
      <c r="F9" s="392">
        <v>65.400000000000006</v>
      </c>
      <c r="G9" s="391">
        <v>63.8</v>
      </c>
      <c r="H9" s="391">
        <v>61.95</v>
      </c>
      <c r="I9" s="391">
        <v>62.27</v>
      </c>
      <c r="J9" s="391">
        <v>63.62</v>
      </c>
      <c r="K9" s="391">
        <v>63.96</v>
      </c>
      <c r="L9" s="391">
        <v>63.7</v>
      </c>
      <c r="M9" s="391">
        <v>61.94</v>
      </c>
      <c r="N9" s="391"/>
      <c r="O9" s="391"/>
      <c r="P9" s="391">
        <f>AVERAGE(D9:O9)</f>
        <v>63.794000000000004</v>
      </c>
      <c r="Q9" s="104" t="s">
        <v>1288</v>
      </c>
    </row>
    <row r="10" spans="1:18" s="104" customFormat="1" ht="17.399999999999999">
      <c r="A10" s="1402" t="s">
        <v>971</v>
      </c>
      <c r="B10" s="5642">
        <v>13394.227999999999</v>
      </c>
      <c r="C10" s="3036">
        <v>17330</v>
      </c>
      <c r="D10" s="395">
        <v>-1974.482</v>
      </c>
      <c r="E10" s="396">
        <v>157.28399999999999</v>
      </c>
      <c r="F10" s="396">
        <v>-755.88499999999999</v>
      </c>
      <c r="G10" s="395">
        <v>187.102</v>
      </c>
      <c r="H10" s="395">
        <v>1837.33</v>
      </c>
      <c r="I10" s="395">
        <v>1310.723</v>
      </c>
      <c r="J10" s="395">
        <v>413.98099999999999</v>
      </c>
      <c r="K10" s="395">
        <v>104.22</v>
      </c>
      <c r="L10" s="395">
        <v>322.61900000000003</v>
      </c>
      <c r="M10" s="395">
        <v>1790.251</v>
      </c>
      <c r="N10" s="395"/>
      <c r="O10" s="395"/>
      <c r="P10" s="395">
        <f>SUM(D10:O10)</f>
        <v>3393.143</v>
      </c>
      <c r="Q10" s="104" t="s">
        <v>1138</v>
      </c>
    </row>
    <row r="11" spans="1:18" s="104" customFormat="1" ht="18" customHeight="1">
      <c r="A11" s="1403" t="s">
        <v>970</v>
      </c>
      <c r="B11" s="5642">
        <v>61146</v>
      </c>
      <c r="C11" s="3036">
        <v>15642</v>
      </c>
      <c r="D11" s="395">
        <v>1270</v>
      </c>
      <c r="E11" s="396">
        <v>1933</v>
      </c>
      <c r="F11" s="396">
        <v>1749</v>
      </c>
      <c r="G11" s="395">
        <v>1023</v>
      </c>
      <c r="H11" s="395">
        <v>1404</v>
      </c>
      <c r="I11" s="395">
        <v>1493</v>
      </c>
      <c r="J11" s="395">
        <v>1951</v>
      </c>
      <c r="K11" s="395">
        <v>6362</v>
      </c>
      <c r="L11" s="395">
        <v>5403</v>
      </c>
      <c r="M11" s="395">
        <v>4613</v>
      </c>
      <c r="N11" s="395"/>
      <c r="O11" s="395"/>
      <c r="P11" s="395">
        <f>SUM(D11:O11)</f>
        <v>27201</v>
      </c>
    </row>
    <row r="12" spans="1:18" s="2444" customFormat="1" ht="18" customHeight="1">
      <c r="A12" s="2445" t="s">
        <v>2035</v>
      </c>
      <c r="B12" s="5642">
        <v>20583</v>
      </c>
      <c r="C12" s="3037">
        <v>0</v>
      </c>
      <c r="D12" s="2798"/>
      <c r="E12" s="2798"/>
      <c r="F12" s="2798"/>
      <c r="G12" s="2798"/>
      <c r="H12" s="2798"/>
      <c r="I12" s="2798"/>
      <c r="J12" s="2798"/>
      <c r="K12" s="2798"/>
      <c r="L12" s="2798"/>
      <c r="M12" s="2798"/>
      <c r="N12" s="2798"/>
      <c r="O12" s="2798"/>
      <c r="P12" s="395">
        <f>SUM(D12:O12)</f>
        <v>0</v>
      </c>
    </row>
    <row r="13" spans="1:18" s="104" customFormat="1" ht="17.399999999999999">
      <c r="A13" s="1404" t="s">
        <v>972</v>
      </c>
      <c r="B13" s="5643">
        <v>95123.228000000003</v>
      </c>
      <c r="C13" s="3034">
        <f>C10+C11+C12</f>
        <v>32972</v>
      </c>
      <c r="D13" s="5428">
        <f t="shared" ref="D13:I13" si="3">D10+D11</f>
        <v>-704.48199999999997</v>
      </c>
      <c r="E13" s="1405">
        <f t="shared" si="3"/>
        <v>2090.2840000000001</v>
      </c>
      <c r="F13" s="1405">
        <f t="shared" si="3"/>
        <v>993.11500000000001</v>
      </c>
      <c r="G13" s="1405">
        <f t="shared" si="3"/>
        <v>1210.1020000000001</v>
      </c>
      <c r="H13" s="1405">
        <f t="shared" si="3"/>
        <v>3241.33</v>
      </c>
      <c r="I13" s="1405">
        <f t="shared" si="3"/>
        <v>2803.723</v>
      </c>
      <c r="J13" s="1405">
        <f t="shared" ref="J13:P13" si="4">J10+J11+J12</f>
        <v>2364.9809999999998</v>
      </c>
      <c r="K13" s="1405">
        <f t="shared" si="4"/>
        <v>6466.22</v>
      </c>
      <c r="L13" s="1405">
        <f t="shared" si="4"/>
        <v>5725.6189999999997</v>
      </c>
      <c r="M13" s="1405">
        <f t="shared" si="4"/>
        <v>6403.2510000000002</v>
      </c>
      <c r="N13" s="1405">
        <f t="shared" si="4"/>
        <v>0</v>
      </c>
      <c r="O13" s="1405">
        <f t="shared" si="4"/>
        <v>0</v>
      </c>
      <c r="P13" s="1405">
        <f t="shared" si="4"/>
        <v>30594.143</v>
      </c>
    </row>
    <row r="14" spans="1:18" ht="17.399999999999999">
      <c r="G14" s="397"/>
      <c r="Q14" s="104"/>
      <c r="R14" s="104"/>
    </row>
    <row r="15" spans="1:18" s="104" customFormat="1" ht="17.399999999999999">
      <c r="A15" s="7604" t="s">
        <v>215</v>
      </c>
      <c r="B15" s="7604"/>
      <c r="C15" s="7604"/>
      <c r="D15" s="380"/>
      <c r="E15" s="380"/>
      <c r="F15" s="380"/>
    </row>
    <row r="16" spans="1:18" s="104" customFormat="1" ht="17.399999999999999">
      <c r="A16" s="383" t="s">
        <v>204</v>
      </c>
      <c r="B16" s="5640" t="s">
        <v>1793</v>
      </c>
      <c r="C16" s="383" t="s">
        <v>110</v>
      </c>
      <c r="D16" s="384" t="s">
        <v>111</v>
      </c>
      <c r="E16" s="384" t="s">
        <v>5</v>
      </c>
      <c r="F16" s="384" t="s">
        <v>6</v>
      </c>
      <c r="G16" s="384" t="s">
        <v>206</v>
      </c>
      <c r="H16" s="384" t="s">
        <v>8</v>
      </c>
      <c r="I16" s="384" t="s">
        <v>9</v>
      </c>
      <c r="J16" s="384" t="s">
        <v>207</v>
      </c>
      <c r="K16" s="384" t="s">
        <v>11</v>
      </c>
      <c r="L16" s="384" t="s">
        <v>12</v>
      </c>
      <c r="M16" s="384" t="s">
        <v>208</v>
      </c>
      <c r="N16" s="384" t="s">
        <v>14</v>
      </c>
      <c r="O16" s="384" t="s">
        <v>15</v>
      </c>
      <c r="P16" s="384" t="s">
        <v>209</v>
      </c>
    </row>
    <row r="17" spans="1:31" s="104" customFormat="1" ht="17.399999999999999">
      <c r="A17" s="393" t="s">
        <v>214</v>
      </c>
      <c r="B17" s="5642">
        <v>8538.0949999999975</v>
      </c>
      <c r="C17" s="5651">
        <v>42735.756000000001</v>
      </c>
      <c r="D17" s="395">
        <v>2805</v>
      </c>
      <c r="E17" s="395">
        <v>3644</v>
      </c>
      <c r="F17" s="395">
        <v>2805</v>
      </c>
      <c r="G17" s="395">
        <v>4485</v>
      </c>
      <c r="H17" s="395">
        <v>3644</v>
      </c>
      <c r="I17" s="395">
        <v>4485</v>
      </c>
      <c r="J17" s="395">
        <v>2805</v>
      </c>
      <c r="K17" s="395">
        <v>3644</v>
      </c>
      <c r="L17" s="395">
        <v>3644</v>
      </c>
      <c r="M17" s="395">
        <v>2805</v>
      </c>
      <c r="N17" s="395">
        <v>4485</v>
      </c>
      <c r="O17" s="395">
        <v>0</v>
      </c>
      <c r="P17" s="395">
        <f>SUM(D17:O17)</f>
        <v>39251</v>
      </c>
    </row>
    <row r="18" spans="1:31" ht="17.399999999999999">
      <c r="C18" s="5652"/>
      <c r="D18" s="300"/>
      <c r="E18" s="300"/>
      <c r="F18" s="300"/>
      <c r="G18" s="300"/>
      <c r="H18" s="729"/>
      <c r="Q18" s="104"/>
      <c r="R18" s="104"/>
    </row>
    <row r="19" spans="1:31" s="104" customFormat="1" ht="17.399999999999999">
      <c r="A19" s="7604" t="s">
        <v>216</v>
      </c>
      <c r="B19" s="7604"/>
      <c r="C19" s="7604"/>
    </row>
    <row r="20" spans="1:31" s="104" customFormat="1" ht="17.399999999999999">
      <c r="A20" s="383" t="s">
        <v>204</v>
      </c>
      <c r="B20" s="5640" t="s">
        <v>1793</v>
      </c>
      <c r="C20" s="383" t="s">
        <v>110</v>
      </c>
      <c r="D20" s="384" t="s">
        <v>111</v>
      </c>
      <c r="E20" s="384" t="s">
        <v>5</v>
      </c>
      <c r="F20" s="384" t="s">
        <v>6</v>
      </c>
      <c r="G20" s="384" t="s">
        <v>206</v>
      </c>
      <c r="H20" s="384" t="s">
        <v>8</v>
      </c>
      <c r="I20" s="384" t="s">
        <v>9</v>
      </c>
      <c r="J20" s="384" t="s">
        <v>207</v>
      </c>
      <c r="K20" s="384" t="s">
        <v>11</v>
      </c>
      <c r="L20" s="384" t="s">
        <v>12</v>
      </c>
      <c r="M20" s="384" t="s">
        <v>208</v>
      </c>
      <c r="N20" s="384" t="s">
        <v>14</v>
      </c>
      <c r="O20" s="384" t="s">
        <v>15</v>
      </c>
      <c r="P20" s="384" t="s">
        <v>209</v>
      </c>
    </row>
    <row r="21" spans="1:31" s="104" customFormat="1" ht="17.399999999999999">
      <c r="A21" s="332" t="s">
        <v>470</v>
      </c>
      <c r="B21" s="5644">
        <v>16864</v>
      </c>
      <c r="C21" s="332" t="s">
        <v>471</v>
      </c>
      <c r="D21" s="398">
        <v>1860</v>
      </c>
      <c r="E21" s="398">
        <v>539</v>
      </c>
      <c r="F21" s="398">
        <v>845</v>
      </c>
      <c r="G21" s="398">
        <v>1202</v>
      </c>
      <c r="H21" s="398">
        <v>2367</v>
      </c>
      <c r="I21" s="398">
        <v>2026</v>
      </c>
      <c r="J21" s="398">
        <v>1547</v>
      </c>
      <c r="K21" s="398">
        <v>1036</v>
      </c>
      <c r="L21" s="2486">
        <v>1765</v>
      </c>
      <c r="M21" s="398">
        <v>1795</v>
      </c>
      <c r="N21" s="398">
        <v>1682</v>
      </c>
      <c r="O21" s="398">
        <v>1912</v>
      </c>
      <c r="P21" s="2300">
        <f>SUM(D21:O21)</f>
        <v>18576</v>
      </c>
    </row>
    <row r="22" spans="1:31" s="401" customFormat="1" ht="17.399999999999999">
      <c r="A22" s="390" t="s">
        <v>220</v>
      </c>
      <c r="B22" s="4246">
        <v>101.16376724655071</v>
      </c>
      <c r="C22" s="383" t="s">
        <v>472</v>
      </c>
      <c r="D22" s="399">
        <f>D21/166.7</f>
        <v>11.157768446310738</v>
      </c>
      <c r="E22" s="399">
        <f>E21/166.7</f>
        <v>3.2333533293341334</v>
      </c>
      <c r="F22" s="399">
        <f t="shared" ref="F22:O22" si="5">F21/166.7</f>
        <v>5.0689862027594481</v>
      </c>
      <c r="G22" s="399">
        <f t="shared" si="5"/>
        <v>7.2105578884223158</v>
      </c>
      <c r="H22" s="399">
        <f t="shared" si="5"/>
        <v>14.199160167966408</v>
      </c>
      <c r="I22" s="399">
        <f t="shared" si="5"/>
        <v>12.153569286142773</v>
      </c>
      <c r="J22" s="399">
        <f t="shared" si="5"/>
        <v>9.2801439712057601</v>
      </c>
      <c r="K22" s="399">
        <f t="shared" si="5"/>
        <v>6.2147570485902826</v>
      </c>
      <c r="L22" s="399">
        <f t="shared" si="5"/>
        <v>10.587882423515298</v>
      </c>
      <c r="M22" s="399">
        <f t="shared" si="5"/>
        <v>10.767846430713858</v>
      </c>
      <c r="N22" s="399">
        <f t="shared" si="5"/>
        <v>10.08998200359928</v>
      </c>
      <c r="O22" s="399">
        <f t="shared" si="5"/>
        <v>11.469706058788244</v>
      </c>
      <c r="P22" s="400">
        <f>SUM(D22:O22)</f>
        <v>111.43371325734854</v>
      </c>
      <c r="Q22" s="104"/>
      <c r="R22" s="104"/>
      <c r="S22" s="104"/>
      <c r="T22" s="104"/>
      <c r="U22" s="104"/>
    </row>
    <row r="23" spans="1:31" s="401" customFormat="1" ht="17.399999999999999">
      <c r="A23" s="4243" t="s">
        <v>1636</v>
      </c>
      <c r="B23" s="5645"/>
      <c r="C23" s="4244" t="s">
        <v>1637</v>
      </c>
      <c r="D23" s="4245">
        <v>0.78</v>
      </c>
      <c r="E23" s="4245">
        <v>2</v>
      </c>
      <c r="F23" s="4245">
        <v>0</v>
      </c>
      <c r="G23" s="4245">
        <v>0</v>
      </c>
      <c r="H23" s="4245">
        <v>3.4</v>
      </c>
      <c r="I23" s="4245">
        <v>2.7</v>
      </c>
      <c r="J23" s="4245">
        <v>6.7</v>
      </c>
      <c r="K23" s="4245">
        <v>2.2000000000000002</v>
      </c>
      <c r="L23" s="4245">
        <v>4.5</v>
      </c>
      <c r="M23" s="4245">
        <v>1.5</v>
      </c>
      <c r="N23" s="4245">
        <v>10.95</v>
      </c>
      <c r="O23" s="4245">
        <v>0.95</v>
      </c>
      <c r="P23" s="400">
        <f>SUM(D23:O23)</f>
        <v>35.68</v>
      </c>
      <c r="Q23" s="4227"/>
      <c r="R23" s="4227"/>
      <c r="S23" s="4227"/>
      <c r="T23" s="4227"/>
      <c r="U23" s="4227"/>
    </row>
    <row r="24" spans="1:31" s="104" customFormat="1" ht="17.399999999999999">
      <c r="A24" s="393" t="s">
        <v>214</v>
      </c>
      <c r="B24" s="5645">
        <v>45220.203959208164</v>
      </c>
      <c r="C24" s="394">
        <f>144*703.178</f>
        <v>101257.632</v>
      </c>
      <c r="D24" s="395">
        <f>(D22+D23)*703.178</f>
        <v>8394.3761405398927</v>
      </c>
      <c r="E24" s="395">
        <f t="shared" ref="E24:O24" si="6">(E22+E23)*703.178</f>
        <v>3679.9789274145173</v>
      </c>
      <c r="F24" s="395">
        <f t="shared" si="6"/>
        <v>3564.399580083983</v>
      </c>
      <c r="G24" s="395">
        <f t="shared" si="6"/>
        <v>5070.305674865027</v>
      </c>
      <c r="H24" s="395">
        <f t="shared" si="6"/>
        <v>12375.342248590281</v>
      </c>
      <c r="I24" s="395">
        <f t="shared" si="6"/>
        <v>10444.703143491302</v>
      </c>
      <c r="J24" s="395">
        <f t="shared" si="6"/>
        <v>11236.885677384524</v>
      </c>
      <c r="K24" s="395">
        <f t="shared" si="6"/>
        <v>5917.0720319136171</v>
      </c>
      <c r="L24" s="395">
        <f t="shared" si="6"/>
        <v>10609.466986802639</v>
      </c>
      <c r="M24" s="395">
        <f t="shared" si="6"/>
        <v>8626.4797174565083</v>
      </c>
      <c r="N24" s="395">
        <f t="shared" si="6"/>
        <v>14794.852465326932</v>
      </c>
      <c r="O24" s="395">
        <f t="shared" si="6"/>
        <v>8733.2640670065994</v>
      </c>
      <c r="P24" s="402">
        <f>SUM(D24:O24)</f>
        <v>103447.12666087582</v>
      </c>
      <c r="Q24" s="3762" t="s">
        <v>1545</v>
      </c>
    </row>
    <row r="25" spans="1:31" s="104" customFormat="1" ht="17.399999999999999">
      <c r="A25" s="403"/>
      <c r="B25" s="5639"/>
      <c r="C25" s="403"/>
      <c r="D25" s="403"/>
      <c r="E25" s="404"/>
      <c r="F25" s="404"/>
      <c r="G25" s="404"/>
      <c r="H25" s="404"/>
      <c r="I25" s="404"/>
      <c r="J25" s="404"/>
      <c r="K25" s="404"/>
      <c r="L25" s="404"/>
      <c r="M25" s="404"/>
      <c r="N25" s="404"/>
      <c r="O25" s="404"/>
      <c r="P25" s="405"/>
    </row>
    <row r="26" spans="1:31" s="104" customFormat="1" ht="13.5" customHeight="1">
      <c r="A26" s="7604" t="s">
        <v>217</v>
      </c>
      <c r="B26" s="7604"/>
      <c r="C26" s="7604"/>
      <c r="D26" s="380"/>
      <c r="E26" s="380"/>
      <c r="F26" s="380"/>
    </row>
    <row r="27" spans="1:31" s="104" customFormat="1" ht="17.399999999999999">
      <c r="A27" s="383" t="s">
        <v>204</v>
      </c>
      <c r="B27" s="5640" t="s">
        <v>1793</v>
      </c>
      <c r="C27" s="383" t="s">
        <v>110</v>
      </c>
      <c r="D27" s="384" t="s">
        <v>111</v>
      </c>
      <c r="E27" s="384" t="s">
        <v>5</v>
      </c>
      <c r="F27" s="384" t="s">
        <v>6</v>
      </c>
      <c r="G27" s="384" t="s">
        <v>206</v>
      </c>
      <c r="H27" s="384" t="s">
        <v>8</v>
      </c>
      <c r="I27" s="384" t="s">
        <v>9</v>
      </c>
      <c r="J27" s="384" t="s">
        <v>207</v>
      </c>
      <c r="K27" s="384" t="s">
        <v>11</v>
      </c>
      <c r="L27" s="384" t="s">
        <v>12</v>
      </c>
      <c r="M27" s="384" t="s">
        <v>208</v>
      </c>
      <c r="N27" s="384" t="s">
        <v>14</v>
      </c>
      <c r="O27" s="384" t="s">
        <v>15</v>
      </c>
      <c r="P27" s="384" t="s">
        <v>209</v>
      </c>
    </row>
    <row r="28" spans="1:31" s="104" customFormat="1" ht="17.399999999999999">
      <c r="A28" s="332" t="s">
        <v>1638</v>
      </c>
      <c r="B28" s="4246"/>
      <c r="C28" s="332" t="s">
        <v>1761</v>
      </c>
      <c r="D28" s="5565">
        <v>4.4770000000000003</v>
      </c>
      <c r="E28" s="5565">
        <v>3.3849999999999998</v>
      </c>
      <c r="F28" s="5565">
        <v>2.4500000000000002</v>
      </c>
      <c r="G28" s="5565">
        <v>2.74</v>
      </c>
      <c r="H28" s="5565">
        <v>2.6</v>
      </c>
      <c r="I28" s="5565">
        <v>2.355</v>
      </c>
      <c r="J28" s="5565">
        <v>2.7629999999999999</v>
      </c>
      <c r="K28" s="5565">
        <v>0.622</v>
      </c>
      <c r="L28" s="5565">
        <v>2.21</v>
      </c>
      <c r="M28" s="5565">
        <v>1.42</v>
      </c>
      <c r="N28" s="5565">
        <v>3.052</v>
      </c>
      <c r="O28" s="5565">
        <v>3.4780000000000002</v>
      </c>
      <c r="P28" s="5567">
        <f>SUM(D28:O28)</f>
        <v>31.552000000000007</v>
      </c>
    </row>
    <row r="29" spans="1:31" s="4235" customFormat="1" ht="17.399999999999999">
      <c r="A29" s="4243" t="s">
        <v>1639</v>
      </c>
      <c r="B29" s="5648">
        <v>5808</v>
      </c>
      <c r="C29" s="4243" t="s">
        <v>1761</v>
      </c>
      <c r="D29" s="5566">
        <v>0.53800000000000003</v>
      </c>
      <c r="E29" s="5566">
        <v>1.038</v>
      </c>
      <c r="F29" s="5566">
        <v>0.95</v>
      </c>
      <c r="G29" s="5566">
        <v>0.32100000000000001</v>
      </c>
      <c r="H29" s="5566">
        <v>0.45</v>
      </c>
      <c r="I29" s="5566">
        <v>1.89</v>
      </c>
      <c r="J29" s="5566">
        <v>0.53</v>
      </c>
      <c r="K29" s="5566">
        <v>0.122</v>
      </c>
      <c r="L29" s="5566">
        <v>0.38200000000000001</v>
      </c>
      <c r="M29" s="5566">
        <v>0.224</v>
      </c>
      <c r="N29" s="5566">
        <v>0.105</v>
      </c>
      <c r="O29" s="5566">
        <v>0.33</v>
      </c>
      <c r="P29" s="5567">
        <f>SUM(D29:O29)</f>
        <v>6.8800000000000008</v>
      </c>
    </row>
    <row r="30" spans="1:31" s="401" customFormat="1" ht="17.399999999999999">
      <c r="A30" s="390" t="s">
        <v>220</v>
      </c>
      <c r="B30" s="5649">
        <v>34.843950128893148</v>
      </c>
      <c r="C30" s="383" t="s">
        <v>472</v>
      </c>
      <c r="D30" s="399">
        <f>D28+D29</f>
        <v>5.0150000000000006</v>
      </c>
      <c r="E30" s="399">
        <f t="shared" ref="E30:O30" si="7">E28+E29</f>
        <v>4.423</v>
      </c>
      <c r="F30" s="399">
        <f t="shared" si="7"/>
        <v>3.4000000000000004</v>
      </c>
      <c r="G30" s="399">
        <f t="shared" si="7"/>
        <v>3.0610000000000004</v>
      </c>
      <c r="H30" s="399">
        <f t="shared" si="7"/>
        <v>3.0500000000000003</v>
      </c>
      <c r="I30" s="399">
        <f t="shared" si="7"/>
        <v>4.2450000000000001</v>
      </c>
      <c r="J30" s="399">
        <f t="shared" si="7"/>
        <v>3.2930000000000001</v>
      </c>
      <c r="K30" s="399">
        <f t="shared" si="7"/>
        <v>0.74399999999999999</v>
      </c>
      <c r="L30" s="399">
        <f t="shared" si="7"/>
        <v>2.5920000000000001</v>
      </c>
      <c r="M30" s="399">
        <f t="shared" si="7"/>
        <v>1.6439999999999999</v>
      </c>
      <c r="N30" s="399">
        <f t="shared" si="7"/>
        <v>3.157</v>
      </c>
      <c r="O30" s="399">
        <f t="shared" si="7"/>
        <v>3.8080000000000003</v>
      </c>
      <c r="P30" s="400">
        <f>SUM(D30:O30)</f>
        <v>38.431999999999995</v>
      </c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</row>
    <row r="31" spans="1:31" s="104" customFormat="1" ht="17.399999999999999">
      <c r="A31" s="393" t="s">
        <v>214</v>
      </c>
      <c r="B31" s="5648">
        <v>15575.245707615235</v>
      </c>
      <c r="C31" s="394">
        <v>21456.000000000004</v>
      </c>
      <c r="D31" s="395">
        <f>D30*864.348</f>
        <v>4334.7052199999998</v>
      </c>
      <c r="E31" s="395">
        <f t="shared" ref="E31:O31" si="8">E30*864.348</f>
        <v>3823.0112039999999</v>
      </c>
      <c r="F31" s="395">
        <f t="shared" si="8"/>
        <v>2938.7832000000003</v>
      </c>
      <c r="G31" s="395">
        <f t="shared" si="8"/>
        <v>2645.7692280000001</v>
      </c>
      <c r="H31" s="395">
        <f t="shared" si="8"/>
        <v>2636.2614000000003</v>
      </c>
      <c r="I31" s="395">
        <f t="shared" si="8"/>
        <v>3669.15726</v>
      </c>
      <c r="J31" s="395">
        <f t="shared" si="8"/>
        <v>2846.2979639999999</v>
      </c>
      <c r="K31" s="395">
        <f t="shared" si="8"/>
        <v>643.07491199999993</v>
      </c>
      <c r="L31" s="395">
        <f t="shared" si="8"/>
        <v>2240.3900159999998</v>
      </c>
      <c r="M31" s="395">
        <f t="shared" si="8"/>
        <v>1420.9881119999998</v>
      </c>
      <c r="N31" s="395">
        <f t="shared" si="8"/>
        <v>2728.7466359999999</v>
      </c>
      <c r="O31" s="395">
        <f t="shared" si="8"/>
        <v>3291.4371839999999</v>
      </c>
      <c r="P31" s="395">
        <f>SUM(D31:O31)</f>
        <v>33218.622336</v>
      </c>
      <c r="Q31" s="1060" t="s">
        <v>1522</v>
      </c>
    </row>
    <row r="32" spans="1:31" ht="17.399999999999999">
      <c r="B32" s="4680"/>
      <c r="D32" s="380">
        <f>D28/12</f>
        <v>0.37308333333333338</v>
      </c>
      <c r="P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</row>
    <row r="33" spans="1:21" s="104" customFormat="1" ht="17.399999999999999">
      <c r="A33" s="7604" t="s">
        <v>218</v>
      </c>
      <c r="B33" s="7604"/>
      <c r="C33" s="7604"/>
      <c r="D33" s="380"/>
      <c r="E33" s="380"/>
      <c r="F33" s="380"/>
    </row>
    <row r="34" spans="1:21" s="104" customFormat="1" ht="17.399999999999999">
      <c r="A34" s="383" t="s">
        <v>204</v>
      </c>
      <c r="B34" s="5640" t="s">
        <v>1793</v>
      </c>
      <c r="C34" s="383" t="s">
        <v>110</v>
      </c>
      <c r="D34" s="384" t="s">
        <v>111</v>
      </c>
      <c r="E34" s="384" t="s">
        <v>5</v>
      </c>
      <c r="F34" s="384" t="s">
        <v>6</v>
      </c>
      <c r="G34" s="384" t="s">
        <v>206</v>
      </c>
      <c r="H34" s="384" t="s">
        <v>8</v>
      </c>
      <c r="I34" s="384" t="s">
        <v>9</v>
      </c>
      <c r="J34" s="384" t="s">
        <v>207</v>
      </c>
      <c r="K34" s="384" t="s">
        <v>11</v>
      </c>
      <c r="L34" s="384" t="s">
        <v>12</v>
      </c>
      <c r="M34" s="384" t="s">
        <v>208</v>
      </c>
      <c r="N34" s="384" t="s">
        <v>14</v>
      </c>
      <c r="O34" s="384" t="s">
        <v>15</v>
      </c>
      <c r="P34" s="384" t="s">
        <v>209</v>
      </c>
    </row>
    <row r="35" spans="1:21" s="5936" customFormat="1" ht="17.399999999999999">
      <c r="A35" s="7033" t="s">
        <v>1842</v>
      </c>
      <c r="B35" s="5957"/>
      <c r="C35" s="5956"/>
      <c r="D35" s="6966">
        <f>SSCL!R7</f>
        <v>1396465.8697704528</v>
      </c>
      <c r="E35" s="6966">
        <f>SSCL!S7</f>
        <v>-452684.94029958028</v>
      </c>
      <c r="F35" s="6966">
        <f>SSCL!T7</f>
        <v>-4496503.5544000007</v>
      </c>
      <c r="G35" s="6966">
        <f>SSCL!U7</f>
        <v>-1397961.2357532785</v>
      </c>
      <c r="H35" s="6966">
        <f>SSCL!V7</f>
        <v>-5540985.2801669138</v>
      </c>
      <c r="I35" s="6966">
        <f>SSCL!W7</f>
        <v>4372893.6303723603</v>
      </c>
      <c r="J35" s="6966">
        <f>SSCL!X7</f>
        <v>4668705.3490150487</v>
      </c>
      <c r="K35" s="6966">
        <f>SSCL!Y7</f>
        <v>5222255.6838110955</v>
      </c>
      <c r="L35" s="6966">
        <f>SSCL!Z7</f>
        <v>5832082.5077174595</v>
      </c>
      <c r="M35" s="6966">
        <f>SSCL!AA7</f>
        <v>5744229.8539803168</v>
      </c>
      <c r="N35" s="6966">
        <f>SSCL!AB7</f>
        <v>10185909.408281928</v>
      </c>
      <c r="O35" s="6966">
        <f>SSCL!AC7</f>
        <v>2453091.1503566722</v>
      </c>
      <c r="P35" s="6966">
        <f>SUM(D35:O35)</f>
        <v>27987498.442685559</v>
      </c>
    </row>
    <row r="36" spans="1:21" s="5936" customFormat="1" ht="17.399999999999999">
      <c r="A36" s="7033" t="s">
        <v>1843</v>
      </c>
      <c r="B36" s="5957"/>
      <c r="C36" s="5956"/>
      <c r="D36" s="6966">
        <f>SSCL!R8</f>
        <v>236092.05900000097</v>
      </c>
      <c r="E36" s="6966">
        <f>SSCL!S8</f>
        <v>498123.74163999781</v>
      </c>
      <c r="F36" s="6966">
        <f>SSCL!T8</f>
        <v>-176622.39537499996</v>
      </c>
      <c r="G36" s="6966">
        <f>SSCL!U8</f>
        <v>-54894.671880002083</v>
      </c>
      <c r="H36" s="6966">
        <f>SSCL!V8</f>
        <v>273803.74921666778</v>
      </c>
      <c r="I36" s="6966">
        <f>SSCL!W8</f>
        <v>136289.78408499857</v>
      </c>
      <c r="J36" s="6966">
        <f>SSCL!X8</f>
        <v>126307.07278999913</v>
      </c>
      <c r="K36" s="6966">
        <f>SSCL!Y8</f>
        <v>70605.382649999636</v>
      </c>
      <c r="L36" s="6966">
        <f>SSCL!Z8</f>
        <v>-237663.10102666717</v>
      </c>
      <c r="M36" s="6966">
        <f>SSCL!AA8</f>
        <v>-211526.08037166583</v>
      </c>
      <c r="N36" s="6966">
        <f>SSCL!AB8</f>
        <v>-517093.75455833582</v>
      </c>
      <c r="O36" s="6966">
        <f>SSCL!AC8</f>
        <v>162416.34661999918</v>
      </c>
      <c r="P36" s="6966">
        <f t="shared" ref="P36:P43" si="9">SUM(D36:O36)</f>
        <v>305838.13278999215</v>
      </c>
    </row>
    <row r="37" spans="1:21" s="5936" customFormat="1" ht="17.399999999999999">
      <c r="A37" s="7033" t="s">
        <v>1844</v>
      </c>
      <c r="B37" s="5957"/>
      <c r="C37" s="5956"/>
      <c r="D37" s="6966">
        <f>SSCL!R12</f>
        <v>11417808.854173761</v>
      </c>
      <c r="E37" s="6966">
        <f>SSCL!S12</f>
        <v>5801585.4395458158</v>
      </c>
      <c r="F37" s="6966">
        <f>SSCL!T12</f>
        <v>4753295.959183176</v>
      </c>
      <c r="G37" s="6966">
        <f>SSCL!U12</f>
        <v>2141954.1491398276</v>
      </c>
      <c r="H37" s="6966">
        <f>SSCL!V12</f>
        <v>7596982.9605669212</v>
      </c>
      <c r="I37" s="6966">
        <f>SSCL!W12</f>
        <v>12879613.08641281</v>
      </c>
      <c r="J37" s="6966">
        <f>SSCL!X12</f>
        <v>11019951.591479838</v>
      </c>
      <c r="K37" s="6966">
        <f>SSCL!Y12</f>
        <v>8770328.0530735739</v>
      </c>
      <c r="L37" s="6966">
        <f>SSCL!Z12</f>
        <v>7768035.5545778936</v>
      </c>
      <c r="M37" s="6966">
        <f>SSCL!AA12</f>
        <v>7644008.2144762697</v>
      </c>
      <c r="N37" s="6966">
        <f>SSCL!AB12</f>
        <v>15011961.218986927</v>
      </c>
      <c r="O37" s="6966">
        <f>SSCL!AC12</f>
        <v>-3678958.4151138631</v>
      </c>
      <c r="P37" s="6966">
        <f t="shared" si="9"/>
        <v>91126566.666502938</v>
      </c>
    </row>
    <row r="38" spans="1:21" s="5936" customFormat="1" ht="17.399999999999999">
      <c r="A38" s="7033" t="s">
        <v>1856</v>
      </c>
      <c r="B38" s="5957"/>
      <c r="C38" s="5956"/>
      <c r="D38" s="6966">
        <f>SSCL!R13</f>
        <v>392685.4316666667</v>
      </c>
      <c r="E38" s="6966">
        <f>SSCL!S13</f>
        <v>392685.4316666667</v>
      </c>
      <c r="F38" s="6966">
        <f>SSCL!T13</f>
        <v>392685.4316666667</v>
      </c>
      <c r="G38" s="6966">
        <f>SSCL!U13</f>
        <v>392685.4316666667</v>
      </c>
      <c r="H38" s="6966">
        <f>SSCL!V13</f>
        <v>392685.4316666667</v>
      </c>
      <c r="I38" s="6966">
        <f>SSCL!W13</f>
        <v>392685.4316666667</v>
      </c>
      <c r="J38" s="6966">
        <f>SSCL!X13</f>
        <v>392685.4316666667</v>
      </c>
      <c r="K38" s="6966">
        <f>SSCL!Y13</f>
        <v>392685.4316666667</v>
      </c>
      <c r="L38" s="6966">
        <f>SSCL!Z13</f>
        <v>392685.4316666667</v>
      </c>
      <c r="M38" s="6966">
        <f>SSCL!AA13</f>
        <v>392685.4316666667</v>
      </c>
      <c r="N38" s="6966">
        <f>SSCL!AB13</f>
        <v>392685.4316666667</v>
      </c>
      <c r="O38" s="6966">
        <f>SSCL!AC13</f>
        <v>392685.4316666667</v>
      </c>
      <c r="P38" s="6966">
        <f t="shared" si="9"/>
        <v>4712225.1800000006</v>
      </c>
    </row>
    <row r="39" spans="1:21" s="5936" customFormat="1" ht="17.399999999999999">
      <c r="A39" s="7033" t="s">
        <v>1860</v>
      </c>
      <c r="B39" s="5957"/>
      <c r="C39" s="5956"/>
      <c r="D39" s="6966">
        <f>SSCL!R14</f>
        <v>-3848186.1166666658</v>
      </c>
      <c r="E39" s="6966">
        <f>SSCL!S14</f>
        <v>-787993.13666666544</v>
      </c>
      <c r="F39" s="6966">
        <f>SSCL!T14</f>
        <v>8793793.6233333349</v>
      </c>
      <c r="G39" s="6966">
        <f>SSCL!U14</f>
        <v>-6806110.4366666647</v>
      </c>
      <c r="H39" s="6966">
        <f>SSCL!V14</f>
        <v>10194087.583333336</v>
      </c>
      <c r="I39" s="6966">
        <f>SSCL!W14</f>
        <v>7314831.4633333348</v>
      </c>
      <c r="J39" s="6966">
        <f>SSCL!X14</f>
        <v>9195001.4433333334</v>
      </c>
      <c r="K39" s="6966">
        <f>SSCL!Y14</f>
        <v>7078826.8633333342</v>
      </c>
      <c r="L39" s="6966">
        <f>SSCL!Z14</f>
        <v>7645237.9033333333</v>
      </c>
      <c r="M39" s="6966">
        <f>SSCL!AA14</f>
        <v>3420755.5633333358</v>
      </c>
      <c r="N39" s="6966">
        <f>SSCL!AB14</f>
        <v>-8450275.8166666664</v>
      </c>
      <c r="O39" s="6966">
        <f>SSCL!AC14</f>
        <v>-6869044.9966666689</v>
      </c>
      <c r="P39" s="6966">
        <f t="shared" si="9"/>
        <v>26880923.940000013</v>
      </c>
    </row>
    <row r="40" spans="1:21" s="5936" customFormat="1" ht="17.399999999999999">
      <c r="A40" s="7033" t="s">
        <v>1861</v>
      </c>
      <c r="B40" s="5957"/>
      <c r="C40" s="5956"/>
      <c r="D40" s="6966">
        <f>SSCL!R15</f>
        <v>338273.25999999978</v>
      </c>
      <c r="E40" s="6966">
        <f>SSCL!S15</f>
        <v>1392427.1399999997</v>
      </c>
      <c r="F40" s="6966">
        <f>SSCL!T15</f>
        <v>739481.07999999961</v>
      </c>
      <c r="G40" s="6966">
        <f>SSCL!U15</f>
        <v>-5207834.8400000008</v>
      </c>
      <c r="H40" s="6966">
        <f>SSCL!V15</f>
        <v>-1014819.7800000007</v>
      </c>
      <c r="I40" s="6966">
        <f>SSCL!W15</f>
        <v>-220270.9599999995</v>
      </c>
      <c r="J40" s="6966">
        <f>SSCL!X15</f>
        <v>3681671.76</v>
      </c>
      <c r="K40" s="6966">
        <f>SSCL!Y15</f>
        <v>2588183.7800000003</v>
      </c>
      <c r="L40" s="6966">
        <f>SSCL!Z15</f>
        <v>1832969.06</v>
      </c>
      <c r="M40" s="6966">
        <f>SSCL!AA15</f>
        <v>-826016.10000000056</v>
      </c>
      <c r="N40" s="6966">
        <f>SSCL!AB15</f>
        <v>3532202.18</v>
      </c>
      <c r="O40" s="6966">
        <f>SSCL!AC15</f>
        <v>4232349.16</v>
      </c>
      <c r="P40" s="6966">
        <f t="shared" si="9"/>
        <v>11068615.739999998</v>
      </c>
    </row>
    <row r="41" spans="1:21" s="5936" customFormat="1" ht="17.399999999999999">
      <c r="A41" s="7033" t="s">
        <v>1857</v>
      </c>
      <c r="B41" s="5957"/>
      <c r="C41" s="5956"/>
      <c r="D41" s="6966">
        <f>SSCL!R17</f>
        <v>-83493.356585482703</v>
      </c>
      <c r="E41" s="6966">
        <f>SSCL!S17</f>
        <v>74478.761450767401</v>
      </c>
      <c r="F41" s="6966">
        <f>SSCL!T17</f>
        <v>142526.53070285131</v>
      </c>
      <c r="G41" s="6966">
        <f>SSCL!U17</f>
        <v>53526.511208288124</v>
      </c>
      <c r="H41" s="6966">
        <f>SSCL!V17</f>
        <v>-5213.9225462813665</v>
      </c>
      <c r="I41" s="6966">
        <f>SSCL!W17</f>
        <v>-302600.82782474853</v>
      </c>
      <c r="J41" s="6966">
        <f>SSCL!X17</f>
        <v>-513623.04325843626</v>
      </c>
      <c r="K41" s="6966">
        <f>SSCL!Y17</f>
        <v>-232637.21089442121</v>
      </c>
      <c r="L41" s="6966">
        <f>SSCL!Z17</f>
        <v>91145.272900000069</v>
      </c>
      <c r="M41" s="6966">
        <f>SSCL!AA17</f>
        <v>309648.60941999994</v>
      </c>
      <c r="N41" s="6966">
        <f>SSCL!AB17</f>
        <v>-80276.418080000163</v>
      </c>
      <c r="O41" s="6966">
        <f>SSCL!AC17</f>
        <v>-928584.44771821809</v>
      </c>
      <c r="P41" s="6966">
        <f t="shared" si="9"/>
        <v>-1475103.5412256815</v>
      </c>
    </row>
    <row r="42" spans="1:21" s="5936" customFormat="1" ht="17.399999999999999">
      <c r="A42" s="7033" t="s">
        <v>1858</v>
      </c>
      <c r="B42" s="5957"/>
      <c r="C42" s="5956"/>
      <c r="D42" s="6966">
        <f>SSCL!R18</f>
        <v>1699596.4879999999</v>
      </c>
      <c r="E42" s="6966">
        <f>SSCL!S18</f>
        <v>1032588.3600000001</v>
      </c>
      <c r="F42" s="6966">
        <f>SSCL!T18</f>
        <v>-320574.62400000007</v>
      </c>
      <c r="G42" s="6966">
        <f>SSCL!U18</f>
        <v>1593331.7999999998</v>
      </c>
      <c r="H42" s="6966">
        <f>SSCL!V18</f>
        <v>-937581.4800000001</v>
      </c>
      <c r="I42" s="6966">
        <f>SSCL!W18</f>
        <v>1960965.5171819883</v>
      </c>
      <c r="J42" s="6966">
        <f>SSCL!X18</f>
        <v>1397355.2000000002</v>
      </c>
      <c r="K42" s="6966">
        <f>SSCL!Y18</f>
        <v>-8102761.639359314</v>
      </c>
      <c r="L42" s="6966">
        <f>SSCL!Z18</f>
        <v>-11896133.167697733</v>
      </c>
      <c r="M42" s="6966">
        <f>SSCL!AA18</f>
        <v>1825848.912</v>
      </c>
      <c r="N42" s="6966">
        <f>SSCL!AB18</f>
        <v>-1681650.0479999997</v>
      </c>
      <c r="O42" s="6966">
        <f>SSCL!AC18</f>
        <v>1521292.6640000001</v>
      </c>
      <c r="P42" s="6966">
        <f t="shared" si="9"/>
        <v>-11907722.017875057</v>
      </c>
    </row>
    <row r="43" spans="1:21" s="5936" customFormat="1" ht="17.399999999999999">
      <c r="A43" s="7033" t="s">
        <v>1859</v>
      </c>
      <c r="B43" s="5957"/>
      <c r="C43" s="5956"/>
      <c r="D43" s="6966">
        <f>SSCL!R19</f>
        <v>3356523.3959999993</v>
      </c>
      <c r="E43" s="6966">
        <f>SSCL!S19</f>
        <v>2362773.62</v>
      </c>
      <c r="F43" s="6966">
        <f>SSCL!T19</f>
        <v>-3108823.4079999994</v>
      </c>
      <c r="G43" s="6966">
        <f>SSCL!U19</f>
        <v>-3142380.9000000004</v>
      </c>
      <c r="H43" s="6966">
        <f>SSCL!V19</f>
        <v>-3752898.6599999988</v>
      </c>
      <c r="I43" s="6966">
        <f>SSCL!W19</f>
        <v>5747070.6342228008</v>
      </c>
      <c r="J43" s="6966">
        <f>SSCL!X19</f>
        <v>-850294.65349259193</v>
      </c>
      <c r="K43" s="6966">
        <f>SSCL!Y19</f>
        <v>2531126.5117901056</v>
      </c>
      <c r="L43" s="6966">
        <f>SSCL!Z19</f>
        <v>4155380.1822168198</v>
      </c>
      <c r="M43" s="6966">
        <f>SSCL!AA19</f>
        <v>-2963268.0959999994</v>
      </c>
      <c r="N43" s="6966">
        <f>SSCL!AB19</f>
        <v>4405651.5840000007</v>
      </c>
      <c r="O43" s="6966">
        <f>SSCL!AC19</f>
        <v>163310.45396896306</v>
      </c>
      <c r="P43" s="6966">
        <f t="shared" si="9"/>
        <v>8904170.6647060998</v>
      </c>
    </row>
    <row r="44" spans="1:21" s="104" customFormat="1" ht="17.399999999999999">
      <c r="A44" s="393" t="s">
        <v>214</v>
      </c>
      <c r="B44" s="5649">
        <v>9576.7700918666778</v>
      </c>
      <c r="C44" s="394">
        <v>159247.853</v>
      </c>
      <c r="D44" s="5966">
        <f>SUM(D35:D43)/1000</f>
        <v>14905.765885358735</v>
      </c>
      <c r="E44" s="5966">
        <f t="shared" ref="E44:N44" si="10">SUM(E35:E43)/1000</f>
        <v>10313.984417337002</v>
      </c>
      <c r="F44" s="5966">
        <f t="shared" si="10"/>
        <v>6719.2586431110294</v>
      </c>
      <c r="G44" s="5966">
        <f t="shared" si="10"/>
        <v>-12427.684192285164</v>
      </c>
      <c r="H44" s="5966">
        <f t="shared" si="10"/>
        <v>7206.0606020703972</v>
      </c>
      <c r="I44" s="5966">
        <f t="shared" si="10"/>
        <v>32281.477759450212</v>
      </c>
      <c r="J44" s="5966">
        <f t="shared" si="10"/>
        <v>29117.760151533854</v>
      </c>
      <c r="K44" s="5966">
        <f t="shared" si="10"/>
        <v>18318.612856071039</v>
      </c>
      <c r="L44" s="5966">
        <f t="shared" si="10"/>
        <v>15583.739643687772</v>
      </c>
      <c r="M44" s="5966">
        <f t="shared" si="10"/>
        <v>15336.366308504919</v>
      </c>
      <c r="N44" s="5966">
        <f t="shared" si="10"/>
        <v>22799.113785630525</v>
      </c>
      <c r="O44" s="5966">
        <f>SUM(O35:O43)/1000</f>
        <v>-2551.4426528864487</v>
      </c>
      <c r="P44" s="407">
        <f>SUM(D44:O44)</f>
        <v>157603.01320758389</v>
      </c>
      <c r="Q44" s="5637" t="s">
        <v>1791</v>
      </c>
    </row>
    <row r="45" spans="1:21" ht="17.399999999999999">
      <c r="B45" s="5650"/>
      <c r="R45" s="104"/>
      <c r="S45" s="104"/>
      <c r="T45" s="104"/>
      <c r="U45" s="104"/>
    </row>
    <row r="46" spans="1:21" s="104" customFormat="1" ht="17.399999999999999">
      <c r="A46" s="7604" t="s">
        <v>219</v>
      </c>
      <c r="B46" s="7604"/>
      <c r="C46" s="7604"/>
      <c r="D46" s="380"/>
      <c r="E46" s="380"/>
      <c r="F46" s="380"/>
    </row>
    <row r="47" spans="1:21" s="104" customFormat="1" ht="17.399999999999999">
      <c r="A47" s="383" t="s">
        <v>204</v>
      </c>
      <c r="B47" s="5640" t="s">
        <v>1793</v>
      </c>
      <c r="C47" s="383" t="s">
        <v>110</v>
      </c>
      <c r="D47" s="384" t="s">
        <v>111</v>
      </c>
      <c r="E47" s="384" t="s">
        <v>5</v>
      </c>
      <c r="F47" s="384" t="s">
        <v>6</v>
      </c>
      <c r="G47" s="384" t="s">
        <v>206</v>
      </c>
      <c r="H47" s="384" t="s">
        <v>8</v>
      </c>
      <c r="I47" s="384" t="s">
        <v>9</v>
      </c>
      <c r="J47" s="384" t="s">
        <v>207</v>
      </c>
      <c r="K47" s="384" t="s">
        <v>11</v>
      </c>
      <c r="L47" s="384" t="s">
        <v>12</v>
      </c>
      <c r="M47" s="384" t="s">
        <v>208</v>
      </c>
      <c r="N47" s="384" t="s">
        <v>14</v>
      </c>
      <c r="O47" s="384" t="s">
        <v>15</v>
      </c>
      <c r="P47" s="384" t="s">
        <v>209</v>
      </c>
    </row>
    <row r="48" spans="1:21" s="104" customFormat="1" ht="17.399999999999999">
      <c r="A48" s="393" t="s">
        <v>214</v>
      </c>
      <c r="B48" s="5649">
        <v>53290.400000000001</v>
      </c>
      <c r="C48" s="3033">
        <v>27736.05</v>
      </c>
      <c r="D48" s="395">
        <v>1858</v>
      </c>
      <c r="E48" s="395">
        <v>1180</v>
      </c>
      <c r="F48" s="395">
        <v>1150</v>
      </c>
      <c r="G48" s="395">
        <v>5526</v>
      </c>
      <c r="H48" s="395">
        <v>1732</v>
      </c>
      <c r="I48" s="395">
        <v>5413</v>
      </c>
      <c r="J48" s="395">
        <v>2525</v>
      </c>
      <c r="K48" s="395">
        <v>3945</v>
      </c>
      <c r="L48" s="395">
        <v>3599</v>
      </c>
      <c r="M48" s="395">
        <v>3686</v>
      </c>
      <c r="N48" s="395">
        <v>3075</v>
      </c>
      <c r="O48" s="395">
        <v>2118</v>
      </c>
      <c r="P48" s="395">
        <f>SUM(D48:O48)</f>
        <v>35807</v>
      </c>
      <c r="R48" s="406"/>
    </row>
    <row r="49" spans="1:20" ht="17.399999999999999">
      <c r="A49" s="7015" t="s">
        <v>2028</v>
      </c>
      <c r="B49" s="5958"/>
      <c r="C49" s="7016"/>
      <c r="D49" s="7016">
        <v>360</v>
      </c>
      <c r="E49" s="7016">
        <v>295</v>
      </c>
      <c r="F49" s="7016">
        <v>332</v>
      </c>
      <c r="G49" s="7016">
        <v>272</v>
      </c>
      <c r="H49" s="7016">
        <v>317</v>
      </c>
      <c r="I49" s="7016">
        <v>268</v>
      </c>
      <c r="J49" s="7016">
        <v>365</v>
      </c>
      <c r="K49" s="7016">
        <v>237</v>
      </c>
      <c r="L49" s="7016">
        <v>334</v>
      </c>
      <c r="M49" s="7016">
        <v>403</v>
      </c>
      <c r="N49" s="7016">
        <v>266</v>
      </c>
      <c r="O49" s="7016">
        <v>263</v>
      </c>
      <c r="P49" s="7016">
        <f>AVERAGE(D49:O49)</f>
        <v>309.33333333333331</v>
      </c>
      <c r="Q49" s="104"/>
      <c r="R49" s="401"/>
      <c r="S49" s="104"/>
    </row>
    <row r="50" spans="1:20" ht="17.399999999999999">
      <c r="A50" s="7017"/>
      <c r="B50" s="5957"/>
      <c r="C50" s="7018"/>
      <c r="D50" s="7018"/>
      <c r="E50" s="7018"/>
      <c r="F50" s="7018"/>
      <c r="G50" s="7018"/>
      <c r="H50" s="7018"/>
      <c r="I50" s="7018"/>
      <c r="J50" s="7018"/>
      <c r="K50" s="7018"/>
      <c r="L50" s="7018"/>
      <c r="M50" s="7018"/>
      <c r="N50" s="7018"/>
      <c r="O50" s="7018"/>
      <c r="P50" s="7018"/>
      <c r="Q50" s="6978"/>
      <c r="R50" s="401"/>
      <c r="S50" s="6978"/>
    </row>
    <row r="51" spans="1:20" s="104" customFormat="1" ht="30" customHeight="1" thickBot="1">
      <c r="A51" s="7604" t="s">
        <v>221</v>
      </c>
      <c r="B51" s="7604"/>
      <c r="C51" s="7604"/>
      <c r="D51" s="380"/>
      <c r="E51" s="380"/>
      <c r="F51" s="380"/>
      <c r="R51" s="401"/>
    </row>
    <row r="52" spans="1:20" s="104" customFormat="1" ht="60" customHeight="1">
      <c r="A52" s="6913" t="s">
        <v>204</v>
      </c>
      <c r="B52" s="6914" t="s">
        <v>1997</v>
      </c>
      <c r="C52" s="6915" t="s">
        <v>1996</v>
      </c>
      <c r="D52" s="6916" t="s">
        <v>111</v>
      </c>
      <c r="E52" s="6916" t="s">
        <v>5</v>
      </c>
      <c r="F52" s="6916" t="s">
        <v>6</v>
      </c>
      <c r="G52" s="6916" t="s">
        <v>206</v>
      </c>
      <c r="H52" s="6916" t="s">
        <v>8</v>
      </c>
      <c r="I52" s="6916" t="s">
        <v>9</v>
      </c>
      <c r="J52" s="6916" t="s">
        <v>207</v>
      </c>
      <c r="K52" s="6916" t="s">
        <v>11</v>
      </c>
      <c r="L52" s="6916" t="s">
        <v>12</v>
      </c>
      <c r="M52" s="6916" t="s">
        <v>208</v>
      </c>
      <c r="N52" s="6916" t="s">
        <v>14</v>
      </c>
      <c r="O52" s="6916" t="s">
        <v>15</v>
      </c>
      <c r="P52" s="6916" t="s">
        <v>209</v>
      </c>
      <c r="Q52" s="6917" t="s">
        <v>1083</v>
      </c>
      <c r="R52" s="406"/>
    </row>
    <row r="53" spans="1:20" s="104" customFormat="1" ht="52.2">
      <c r="A53" s="6918" t="s">
        <v>1999</v>
      </c>
      <c r="B53" s="5646">
        <v>532406</v>
      </c>
      <c r="C53" s="6919">
        <v>109150</v>
      </c>
      <c r="D53" s="5642">
        <f>$C$53/12</f>
        <v>9095.8333333333339</v>
      </c>
      <c r="E53" s="5642">
        <f>$C$53/12</f>
        <v>9095.8333333333339</v>
      </c>
      <c r="F53" s="5642">
        <v>9095.8333333333339</v>
      </c>
      <c r="G53" s="5642">
        <v>9095.8333333333339</v>
      </c>
      <c r="H53" s="5642">
        <v>9095.8333333333339</v>
      </c>
      <c r="I53" s="5642">
        <v>9095.8333333333339</v>
      </c>
      <c r="J53" s="5642">
        <v>9095.8333333333339</v>
      </c>
      <c r="K53" s="5642">
        <v>9095.8333333333339</v>
      </c>
      <c r="L53" s="5642">
        <v>9095.8333333333339</v>
      </c>
      <c r="M53" s="5642">
        <v>9095.8333333333339</v>
      </c>
      <c r="N53" s="5642">
        <v>9095.8333333333339</v>
      </c>
      <c r="O53" s="5642">
        <v>9095.8333333333339</v>
      </c>
      <c r="P53" s="5646">
        <f>SUM(D53:O53)</f>
        <v>109149.99999999999</v>
      </c>
      <c r="Q53" s="6920" t="s">
        <v>1640</v>
      </c>
      <c r="R53" s="406"/>
      <c r="T53" s="104">
        <f>59*1850000/1000</f>
        <v>109150</v>
      </c>
    </row>
    <row r="54" spans="1:20" s="2033" customFormat="1" ht="60" customHeight="1">
      <c r="A54" s="6918" t="s">
        <v>1998</v>
      </c>
      <c r="B54" s="5646">
        <v>1275.3200000000002</v>
      </c>
      <c r="C54" s="6919">
        <v>6025</v>
      </c>
      <c r="D54" s="5642">
        <f>$C$54/12</f>
        <v>502.08333333333331</v>
      </c>
      <c r="E54" s="5642">
        <f>$C$54/12</f>
        <v>502.08333333333331</v>
      </c>
      <c r="F54" s="5642">
        <v>502.08333333333331</v>
      </c>
      <c r="G54" s="5642">
        <v>502.08333333333331</v>
      </c>
      <c r="H54" s="5642">
        <v>502.08333333333331</v>
      </c>
      <c r="I54" s="5642">
        <v>502.08333333333331</v>
      </c>
      <c r="J54" s="5642">
        <v>502.08333333333331</v>
      </c>
      <c r="K54" s="5642">
        <v>502.08333333333331</v>
      </c>
      <c r="L54" s="5642">
        <v>502.08333333333331</v>
      </c>
      <c r="M54" s="5642">
        <v>502.08333333333331</v>
      </c>
      <c r="N54" s="5642">
        <v>502.08333333333331</v>
      </c>
      <c r="O54" s="5642">
        <v>502.08333333333331</v>
      </c>
      <c r="P54" s="5646">
        <f>SUM(D54:O54)</f>
        <v>6024.9999999999991</v>
      </c>
      <c r="Q54" s="6925" t="s">
        <v>2001</v>
      </c>
      <c r="R54" s="406"/>
    </row>
    <row r="55" spans="1:20" s="104" customFormat="1" ht="60" customHeight="1" thickBot="1">
      <c r="A55" s="6921" t="s">
        <v>214</v>
      </c>
      <c r="B55" s="6922">
        <f>SUM(B51:B54)</f>
        <v>533681.31999999995</v>
      </c>
      <c r="C55" s="6923">
        <v>115175</v>
      </c>
      <c r="D55" s="6922">
        <f t="shared" ref="D55:P55" si="11">SUM(D53:D54)</f>
        <v>9597.9166666666679</v>
      </c>
      <c r="E55" s="6922">
        <f t="shared" si="11"/>
        <v>9597.9166666666679</v>
      </c>
      <c r="F55" s="6922">
        <f t="shared" si="11"/>
        <v>9597.9166666666679</v>
      </c>
      <c r="G55" s="6922">
        <f t="shared" si="11"/>
        <v>9597.9166666666679</v>
      </c>
      <c r="H55" s="6922">
        <f t="shared" si="11"/>
        <v>9597.9166666666679</v>
      </c>
      <c r="I55" s="6922">
        <f t="shared" si="11"/>
        <v>9597.9166666666679</v>
      </c>
      <c r="J55" s="6922">
        <f t="shared" si="11"/>
        <v>9597.9166666666679</v>
      </c>
      <c r="K55" s="6922">
        <f t="shared" si="11"/>
        <v>9597.9166666666679</v>
      </c>
      <c r="L55" s="6922">
        <f t="shared" si="11"/>
        <v>9597.9166666666679</v>
      </c>
      <c r="M55" s="6922">
        <f t="shared" si="11"/>
        <v>9597.9166666666679</v>
      </c>
      <c r="N55" s="6922">
        <f t="shared" si="11"/>
        <v>9597.9166666666679</v>
      </c>
      <c r="O55" s="6922">
        <f t="shared" si="11"/>
        <v>9597.9166666666679</v>
      </c>
      <c r="P55" s="6922">
        <f t="shared" si="11"/>
        <v>115174.99999999999</v>
      </c>
      <c r="Q55" s="6924" t="s">
        <v>2000</v>
      </c>
      <c r="R55" s="401"/>
    </row>
    <row r="56" spans="1:20" ht="17.399999999999999">
      <c r="C56" s="380" t="s">
        <v>1385</v>
      </c>
      <c r="R56" s="401"/>
    </row>
    <row r="57" spans="1:20" s="104" customFormat="1" ht="17.399999999999999">
      <c r="A57" s="7605" t="s">
        <v>463</v>
      </c>
      <c r="B57" s="7605"/>
      <c r="C57" s="7605"/>
      <c r="D57" s="380"/>
      <c r="E57" s="380"/>
      <c r="F57" s="380"/>
      <c r="R57" s="401"/>
    </row>
    <row r="58" spans="1:20" s="104" customFormat="1" ht="17.399999999999999">
      <c r="A58" s="408" t="s">
        <v>464</v>
      </c>
      <c r="B58" s="5640" t="s">
        <v>1793</v>
      </c>
      <c r="C58" s="408" t="s">
        <v>491</v>
      </c>
      <c r="D58" s="409" t="s">
        <v>111</v>
      </c>
      <c r="E58" s="409" t="s">
        <v>5</v>
      </c>
      <c r="F58" s="409" t="s">
        <v>6</v>
      </c>
      <c r="G58" s="409" t="s">
        <v>465</v>
      </c>
      <c r="H58" s="409" t="s">
        <v>8</v>
      </c>
      <c r="I58" s="409" t="s">
        <v>9</v>
      </c>
      <c r="J58" s="409" t="s">
        <v>466</v>
      </c>
      <c r="K58" s="409" t="s">
        <v>11</v>
      </c>
      <c r="L58" s="409" t="s">
        <v>12</v>
      </c>
      <c r="M58" s="409" t="s">
        <v>467</v>
      </c>
      <c r="N58" s="409" t="s">
        <v>14</v>
      </c>
      <c r="O58" s="409" t="s">
        <v>15</v>
      </c>
      <c r="P58" s="409" t="s">
        <v>468</v>
      </c>
      <c r="R58" s="401"/>
    </row>
    <row r="59" spans="1:20" s="104" customFormat="1" ht="17.399999999999999">
      <c r="A59" s="332" t="s">
        <v>420</v>
      </c>
      <c r="B59" s="5646">
        <v>0</v>
      </c>
      <c r="C59" s="333"/>
      <c r="D59" s="410">
        <v>0</v>
      </c>
      <c r="E59" s="410"/>
      <c r="F59" s="410"/>
      <c r="G59" s="410"/>
      <c r="H59" s="410"/>
      <c r="I59" s="410"/>
      <c r="J59" s="410"/>
      <c r="K59" s="410"/>
      <c r="L59" s="410"/>
      <c r="M59" s="410"/>
      <c r="N59" s="410"/>
      <c r="O59" s="410"/>
      <c r="P59" s="411">
        <f>SUM(D59:O59)</f>
        <v>0</v>
      </c>
      <c r="R59" s="401"/>
    </row>
    <row r="60" spans="1:20" s="104" customFormat="1" ht="17.399999999999999">
      <c r="A60" s="332" t="s">
        <v>615</v>
      </c>
      <c r="B60" s="5646">
        <v>0</v>
      </c>
      <c r="C60" s="333"/>
      <c r="D60" s="410">
        <v>0</v>
      </c>
      <c r="E60" s="410"/>
      <c r="F60" s="410"/>
      <c r="G60" s="410"/>
      <c r="H60" s="410"/>
      <c r="I60" s="410"/>
      <c r="J60" s="410"/>
      <c r="K60" s="410"/>
      <c r="L60" s="410"/>
      <c r="M60" s="410"/>
      <c r="N60" s="410"/>
      <c r="O60" s="410"/>
      <c r="P60" s="411">
        <f>SUM(D60:J60)</f>
        <v>0</v>
      </c>
      <c r="R60" s="401"/>
    </row>
    <row r="61" spans="1:20" s="104" customFormat="1" ht="17.399999999999999">
      <c r="A61" s="408" t="s">
        <v>469</v>
      </c>
      <c r="B61" s="5647">
        <v>0</v>
      </c>
      <c r="C61" s="412">
        <f>SUM(C59:C60)</f>
        <v>0</v>
      </c>
      <c r="D61" s="412">
        <f>D59-D60</f>
        <v>0</v>
      </c>
      <c r="E61" s="412">
        <f t="shared" ref="E61:O61" si="12">E59-E60</f>
        <v>0</v>
      </c>
      <c r="F61" s="412">
        <f t="shared" si="12"/>
        <v>0</v>
      </c>
      <c r="G61" s="412">
        <f t="shared" si="12"/>
        <v>0</v>
      </c>
      <c r="H61" s="412">
        <f t="shared" si="12"/>
        <v>0</v>
      </c>
      <c r="I61" s="412">
        <f t="shared" si="12"/>
        <v>0</v>
      </c>
      <c r="J61" s="412">
        <f t="shared" si="12"/>
        <v>0</v>
      </c>
      <c r="K61" s="412">
        <f t="shared" si="12"/>
        <v>0</v>
      </c>
      <c r="L61" s="412">
        <f t="shared" si="12"/>
        <v>0</v>
      </c>
      <c r="M61" s="412">
        <f t="shared" si="12"/>
        <v>0</v>
      </c>
      <c r="N61" s="412">
        <f t="shared" si="12"/>
        <v>0</v>
      </c>
      <c r="O61" s="412">
        <f t="shared" si="12"/>
        <v>0</v>
      </c>
      <c r="P61" s="412">
        <f>SUM(P59:P60)</f>
        <v>0</v>
      </c>
      <c r="R61" s="401"/>
    </row>
    <row r="63" spans="1:20">
      <c r="C63" s="773"/>
    </row>
    <row r="64" spans="1:20">
      <c r="C64" s="773"/>
    </row>
    <row r="65" spans="3:3">
      <c r="C65" s="773"/>
    </row>
    <row r="66" spans="3:3">
      <c r="C66" s="773"/>
    </row>
    <row r="67" spans="3:3">
      <c r="C67" s="773"/>
    </row>
    <row r="68" spans="3:3">
      <c r="C68" s="773"/>
    </row>
  </sheetData>
  <mergeCells count="9">
    <mergeCell ref="A1:H1"/>
    <mergeCell ref="A51:C51"/>
    <mergeCell ref="A57:C57"/>
    <mergeCell ref="A26:C26"/>
    <mergeCell ref="A7:C7"/>
    <mergeCell ref="A15:C15"/>
    <mergeCell ref="A19:C19"/>
    <mergeCell ref="A33:C33"/>
    <mergeCell ref="A46:C46"/>
  </mergeCells>
  <phoneticPr fontId="22" type="noConversion"/>
  <pageMargins left="0.70866141732283472" right="0.70866141732283472" top="0.35433070866141736" bottom="0" header="0.31496062992125984" footer="0.31496062992125984"/>
  <pageSetup paperSize="9" scale="7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44"/>
  <sheetViews>
    <sheetView tabSelected="1" zoomScale="85" zoomScaleNormal="85" workbookViewId="0">
      <selection activeCell="AE25" sqref="AE25"/>
    </sheetView>
  </sheetViews>
  <sheetFormatPr defaultColWidth="8.8984375" defaultRowHeight="19.2"/>
  <cols>
    <col min="1" max="1" width="6.59765625" style="301" customWidth="1"/>
    <col min="2" max="2" width="11.09765625" style="301" customWidth="1"/>
    <col min="3" max="3" width="7.3984375" style="302" customWidth="1"/>
    <col min="4" max="5" width="8.19921875" style="301" hidden="1" customWidth="1"/>
    <col min="6" max="6" width="8.796875" style="301" hidden="1" customWidth="1"/>
    <col min="7" max="7" width="7.3984375" style="301" customWidth="1"/>
    <col min="8" max="8" width="7.59765625" style="301" customWidth="1"/>
    <col min="9" max="9" width="11.19921875" style="301" customWidth="1"/>
    <col min="10" max="10" width="11" style="301" customWidth="1"/>
    <col min="11" max="11" width="8.09765625" style="301" customWidth="1"/>
    <col min="12" max="15" width="10" style="301" hidden="1" customWidth="1"/>
    <col min="16" max="19" width="9.19921875" style="301" hidden="1" customWidth="1"/>
    <col min="20" max="21" width="10" style="301" customWidth="1"/>
    <col min="22" max="24" width="10.09765625" style="302" customWidth="1"/>
    <col min="25" max="25" width="8.796875" style="303" customWidth="1"/>
    <col min="26" max="26" width="39.296875" style="303" customWidth="1"/>
    <col min="27" max="27" width="10.69921875" style="301" bestFit="1" customWidth="1"/>
    <col min="28" max="28" width="8.8984375" style="301"/>
    <col min="29" max="29" width="10" style="301" bestFit="1" customWidth="1"/>
    <col min="30" max="30" width="10.8984375" style="301" customWidth="1"/>
    <col min="31" max="31" width="10" style="301" bestFit="1" customWidth="1"/>
    <col min="32" max="16384" width="8.8984375" style="301"/>
  </cols>
  <sheetData>
    <row r="1" spans="1:35" ht="21.75" customHeight="1" thickBot="1">
      <c r="A1" s="306" t="s">
        <v>1667</v>
      </c>
    </row>
    <row r="2" spans="1:35" s="314" customFormat="1" ht="38.4" customHeight="1" thickTop="1">
      <c r="A2" s="7610" t="s">
        <v>969</v>
      </c>
      <c r="B2" s="7611"/>
      <c r="C2" s="1200" t="s">
        <v>1087</v>
      </c>
      <c r="D2" s="1201" t="s">
        <v>501</v>
      </c>
      <c r="E2" s="1201" t="s">
        <v>506</v>
      </c>
      <c r="F2" s="1201" t="s">
        <v>507</v>
      </c>
      <c r="G2" s="1201" t="s">
        <v>1088</v>
      </c>
      <c r="H2" s="1202" t="s">
        <v>502</v>
      </c>
      <c r="I2" s="1202" t="s">
        <v>1089</v>
      </c>
      <c r="J2" s="1210" t="s">
        <v>1090</v>
      </c>
      <c r="K2" s="1203" t="s">
        <v>436</v>
      </c>
      <c r="L2" s="1203" t="s">
        <v>1796</v>
      </c>
      <c r="M2" s="1204" t="s">
        <v>424</v>
      </c>
      <c r="N2" s="1204" t="s">
        <v>425</v>
      </c>
      <c r="O2" s="1204" t="s">
        <v>426</v>
      </c>
      <c r="P2" s="1204" t="s">
        <v>427</v>
      </c>
      <c r="Q2" s="1204" t="s">
        <v>428</v>
      </c>
      <c r="R2" s="1204" t="s">
        <v>429</v>
      </c>
      <c r="S2" s="1204" t="s">
        <v>430</v>
      </c>
      <c r="T2" s="1204" t="s">
        <v>431</v>
      </c>
      <c r="U2" s="1204" t="s">
        <v>432</v>
      </c>
      <c r="V2" s="1204" t="s">
        <v>433</v>
      </c>
      <c r="W2" s="1204" t="s">
        <v>434</v>
      </c>
      <c r="X2" s="1204" t="s">
        <v>435</v>
      </c>
      <c r="Y2" s="1204" t="s">
        <v>1984</v>
      </c>
      <c r="Z2" s="1204" t="s">
        <v>473</v>
      </c>
      <c r="AA2" s="5663" t="s">
        <v>1797</v>
      </c>
    </row>
    <row r="3" spans="1:35" s="314" customFormat="1" ht="52.8" customHeight="1">
      <c r="A3" s="7612" t="s">
        <v>1084</v>
      </c>
      <c r="B3" s="1349" t="s">
        <v>1706</v>
      </c>
      <c r="C3" s="1350">
        <v>16</v>
      </c>
      <c r="D3" s="1350"/>
      <c r="E3" s="1350"/>
      <c r="F3" s="1350"/>
      <c r="G3" s="1786">
        <v>10</v>
      </c>
      <c r="H3" s="7030">
        <f>G3/C3</f>
        <v>0.625</v>
      </c>
      <c r="I3" s="310">
        <f>CPL!AM37</f>
        <v>717116.06146677514</v>
      </c>
      <c r="J3" s="2298">
        <f t="shared" ref="J3:J12" si="0">M3+N3+O3+P3+Q3+R3+S3+T3+U3+V3+W3+X3</f>
        <v>538006.45332628</v>
      </c>
      <c r="K3" s="7029">
        <f>J3/I3</f>
        <v>0.750236234042579</v>
      </c>
      <c r="L3" s="5987">
        <v>279723.97612545599</v>
      </c>
      <c r="M3" s="2133">
        <f>CPL!AA37</f>
        <v>1646.7486818687566</v>
      </c>
      <c r="N3" s="2133">
        <f>CPL!AB37</f>
        <v>69004.775236903457</v>
      </c>
      <c r="O3" s="2133">
        <f>CPL!AC37</f>
        <v>16118.305802256982</v>
      </c>
      <c r="P3" s="5289">
        <f>CPL!AD37</f>
        <v>90006.774902299891</v>
      </c>
      <c r="Q3" s="2133">
        <f>CPL!AE37</f>
        <v>10551.876089144704</v>
      </c>
      <c r="R3" s="2133">
        <f>CPL!AF37</f>
        <v>75283.124400871646</v>
      </c>
      <c r="S3" s="2133">
        <f>CPL!AG37</f>
        <v>93454.562254381744</v>
      </c>
      <c r="T3" s="2488">
        <f>CPL!AH37</f>
        <v>54362.07948238626</v>
      </c>
      <c r="U3" s="2488">
        <f>CPL!AI37</f>
        <v>106277.33949146541</v>
      </c>
      <c r="V3" s="5289">
        <f>CPL!AJ37</f>
        <v>21300.86698470117</v>
      </c>
      <c r="W3" s="2488">
        <v>0</v>
      </c>
      <c r="X3" s="307">
        <v>0</v>
      </c>
      <c r="Y3" s="315">
        <v>0</v>
      </c>
      <c r="Z3" s="2080"/>
      <c r="AA3" s="345">
        <f>CPL!AN7+CPL!AN8+CPL!AN17+CPL!AN24+CPL!AN26+CPL!AN33+CPL!AN34</f>
        <v>395544.68332409597</v>
      </c>
    </row>
    <row r="4" spans="1:35" s="314" customFormat="1" ht="18" customHeight="1">
      <c r="A4" s="7613"/>
      <c r="B4" s="1351" t="s">
        <v>228</v>
      </c>
      <c r="C4" s="1352">
        <v>4</v>
      </c>
      <c r="D4" s="1352"/>
      <c r="E4" s="1352"/>
      <c r="F4" s="1352"/>
      <c r="G4" s="1353">
        <v>4</v>
      </c>
      <c r="H4" s="1354">
        <f t="shared" ref="H4:H12" si="1">G4/C4</f>
        <v>1</v>
      </c>
      <c r="I4" s="311">
        <f>협력사!C13</f>
        <v>32972</v>
      </c>
      <c r="J4" s="2299">
        <f t="shared" si="0"/>
        <v>30594.143</v>
      </c>
      <c r="K4" s="2085">
        <f>J4/I4</f>
        <v>0.92788253669780418</v>
      </c>
      <c r="L4" s="5666">
        <v>18465.273000000001</v>
      </c>
      <c r="M4" s="2134">
        <f>협력사!D13</f>
        <v>-704.48199999999997</v>
      </c>
      <c r="N4" s="2134">
        <f>협력사!E13</f>
        <v>2090.2840000000001</v>
      </c>
      <c r="O4" s="2134">
        <f>협력사!F13</f>
        <v>993.11500000000001</v>
      </c>
      <c r="P4" s="308">
        <f>협력사!G13</f>
        <v>1210.1020000000001</v>
      </c>
      <c r="Q4" s="2134">
        <f>협력사!H13</f>
        <v>3241.33</v>
      </c>
      <c r="R4" s="2134">
        <f>협력사!I13</f>
        <v>2803.723</v>
      </c>
      <c r="S4" s="2134">
        <f>협력사!J13</f>
        <v>2364.9809999999998</v>
      </c>
      <c r="T4" s="2489">
        <f>협력사!K13</f>
        <v>6466.22</v>
      </c>
      <c r="U4" s="2489">
        <f>협력사!L13</f>
        <v>5725.6189999999997</v>
      </c>
      <c r="V4" s="308">
        <f>협력사!M13</f>
        <v>6403.2510000000002</v>
      </c>
      <c r="W4" s="308">
        <f>협력사!N13</f>
        <v>0</v>
      </c>
      <c r="X4" s="308">
        <f>협력사!O13</f>
        <v>0</v>
      </c>
      <c r="Y4" s="316">
        <v>0</v>
      </c>
      <c r="Z4" s="1338"/>
      <c r="AA4" s="345">
        <f>J4</f>
        <v>30594.143</v>
      </c>
    </row>
    <row r="5" spans="1:35" s="314" customFormat="1" ht="18" customHeight="1">
      <c r="A5" s="7613"/>
      <c r="B5" s="1351" t="s">
        <v>3</v>
      </c>
      <c r="C5" s="1352">
        <v>9</v>
      </c>
      <c r="D5" s="1352"/>
      <c r="E5" s="1352"/>
      <c r="F5" s="1352"/>
      <c r="G5" s="1353">
        <v>8</v>
      </c>
      <c r="H5" s="7031">
        <f t="shared" si="1"/>
        <v>0.88888888888888884</v>
      </c>
      <c r="I5" s="311">
        <f>CRM!AM38</f>
        <v>279756.20797548769</v>
      </c>
      <c r="J5" s="2299">
        <f t="shared" si="0"/>
        <v>577464.49944351148</v>
      </c>
      <c r="K5" s="5290">
        <f t="shared" ref="K5:K11" si="2">J5/I5</f>
        <v>2.0641704562070311</v>
      </c>
      <c r="L5" s="5666">
        <v>187234.67018017784</v>
      </c>
      <c r="M5" s="2134">
        <f>CRM!AA38</f>
        <v>-13764.490355299768</v>
      </c>
      <c r="N5" s="2134">
        <f>CRM!AB38</f>
        <v>13309.421845966652</v>
      </c>
      <c r="O5" s="2134">
        <f>CRM!AC38</f>
        <v>-2454.894200456125</v>
      </c>
      <c r="P5" s="308">
        <f>CRM!AD38</f>
        <v>92846.905926051622</v>
      </c>
      <c r="Q5" s="2134">
        <f>CRM!AE38</f>
        <v>523.87337842820489</v>
      </c>
      <c r="R5" s="2134">
        <f>CRM!AF38</f>
        <v>77655.401872931136</v>
      </c>
      <c r="S5" s="2134">
        <f>CRM!AG38</f>
        <v>130015.94249194587</v>
      </c>
      <c r="T5" s="2489">
        <f>CRM!AH38</f>
        <v>110022.54213349309</v>
      </c>
      <c r="U5" s="2489">
        <f>CRM!AI38</f>
        <v>115977.55049311201</v>
      </c>
      <c r="V5" s="308">
        <f>CRM!AJ38</f>
        <v>53332.245857338879</v>
      </c>
      <c r="W5" s="308">
        <v>0</v>
      </c>
      <c r="X5" s="308">
        <v>0</v>
      </c>
      <c r="Y5" s="316">
        <v>0</v>
      </c>
      <c r="Z5" s="1338"/>
      <c r="AA5" s="345">
        <f>CRM!AN7+CRM!AN8+CRM!AN9+CRM!AN24+CRM!AN26+CRM!AN34+CRM!AN35</f>
        <v>274484.31645610824</v>
      </c>
    </row>
    <row r="6" spans="1:35" s="314" customFormat="1" ht="53.4" customHeight="1">
      <c r="A6" s="7613"/>
      <c r="B6" s="1351" t="s">
        <v>421</v>
      </c>
      <c r="C6" s="1352">
        <v>5</v>
      </c>
      <c r="D6" s="1352"/>
      <c r="E6" s="1352"/>
      <c r="F6" s="1352"/>
      <c r="G6" s="1353">
        <v>5</v>
      </c>
      <c r="H6" s="7031">
        <f t="shared" si="1"/>
        <v>1</v>
      </c>
      <c r="I6" s="311">
        <f>협력사!C17</f>
        <v>42735.756000000001</v>
      </c>
      <c r="J6" s="2299">
        <f t="shared" si="0"/>
        <v>39251</v>
      </c>
      <c r="K6" s="2085">
        <f t="shared" si="2"/>
        <v>0.91845807056741902</v>
      </c>
      <c r="L6" s="5666">
        <v>31317</v>
      </c>
      <c r="M6" s="2134">
        <f>협력사!D17</f>
        <v>2805</v>
      </c>
      <c r="N6" s="2134">
        <f>협력사!E17</f>
        <v>3644</v>
      </c>
      <c r="O6" s="2134">
        <f>협력사!F17</f>
        <v>2805</v>
      </c>
      <c r="P6" s="308">
        <f>협력사!G17</f>
        <v>4485</v>
      </c>
      <c r="Q6" s="2134">
        <f>협력사!H17</f>
        <v>3644</v>
      </c>
      <c r="R6" s="2134">
        <f>협력사!I17</f>
        <v>4485</v>
      </c>
      <c r="S6" s="2134">
        <f>협력사!J17</f>
        <v>2805</v>
      </c>
      <c r="T6" s="2489">
        <f>협력사!K17</f>
        <v>3644</v>
      </c>
      <c r="U6" s="2489">
        <f>협력사!L17</f>
        <v>3644</v>
      </c>
      <c r="V6" s="6705">
        <f>협력사!M17</f>
        <v>2805</v>
      </c>
      <c r="W6" s="308">
        <f>협력사!N17</f>
        <v>4485</v>
      </c>
      <c r="X6" s="308">
        <f>협력사!O17</f>
        <v>0</v>
      </c>
      <c r="Y6" s="316">
        <v>0</v>
      </c>
      <c r="Z6" s="1338"/>
      <c r="AA6" s="345">
        <f>J6</f>
        <v>39251</v>
      </c>
    </row>
    <row r="7" spans="1:35" s="314" customFormat="1" ht="17.399999999999999">
      <c r="A7" s="7613"/>
      <c r="B7" s="1351" t="s">
        <v>4</v>
      </c>
      <c r="C7" s="1352">
        <v>18</v>
      </c>
      <c r="D7" s="1352"/>
      <c r="E7" s="1352"/>
      <c r="F7" s="1352"/>
      <c r="G7" s="1353">
        <v>12</v>
      </c>
      <c r="H7" s="7031">
        <f t="shared" si="1"/>
        <v>0.66666666666666663</v>
      </c>
      <c r="I7" s="311">
        <f>CGL!AM44</f>
        <v>1642794.5401776629</v>
      </c>
      <c r="J7" s="2299">
        <f t="shared" si="0"/>
        <v>1052964.4624756929</v>
      </c>
      <c r="K7" s="5288">
        <f t="shared" si="2"/>
        <v>0.64095931458465782</v>
      </c>
      <c r="L7" s="5666">
        <v>560131.54803857743</v>
      </c>
      <c r="M7" s="2134">
        <f>'CGL 보정'!AA44</f>
        <v>219288.60659620955</v>
      </c>
      <c r="N7" s="2134">
        <f>'CGL 보정'!AB44</f>
        <v>219817.79733685969</v>
      </c>
      <c r="O7" s="2134">
        <f>'CGL 보정'!AC44</f>
        <v>69047.283103698981</v>
      </c>
      <c r="P7" s="2134">
        <f>'CGL 보정'!AD44</f>
        <v>51032.265572962082</v>
      </c>
      <c r="Q7" s="2134">
        <f>'CGL 보정'!AE44</f>
        <v>239445.93615095725</v>
      </c>
      <c r="R7" s="2134">
        <f>'CGL 보정'!AF44</f>
        <v>35361.561543903888</v>
      </c>
      <c r="S7" s="2134">
        <f>'CGL 보정'!AG44</f>
        <v>171619.71947566466</v>
      </c>
      <c r="T7" s="2134">
        <f>'CGL 보정'!AH44</f>
        <v>-168990.68351541812</v>
      </c>
      <c r="U7" s="2134">
        <f>'CGL 보정'!AI44</f>
        <v>122299.81034360947</v>
      </c>
      <c r="V7" s="2134">
        <f>'CGL 보정'!AJ44</f>
        <v>94042.165867245436</v>
      </c>
      <c r="W7" s="2134">
        <v>0</v>
      </c>
      <c r="X7" s="2134">
        <v>0</v>
      </c>
      <c r="Y7" s="316">
        <v>0</v>
      </c>
      <c r="Z7" s="1338"/>
      <c r="AA7" s="345">
        <f>'CGL 보정'!AN7+'CGL 보정'!AN8+'CGL 보정'!AN24+'CGL 보정'!AN25+'CGL 보정'!AN26+'CGL 보정'!AN28+'CGL 보정'!AN30+'CGL 보정'!AN31+'CGL 보정'!AN32+'CGL 보정'!AN38+'CGL 보정'!AN39+'CGL 보정'!AN40+'CGL 보정'!AN41</f>
        <v>1180632.5201628942</v>
      </c>
    </row>
    <row r="8" spans="1:35" s="314" customFormat="1" ht="18" customHeight="1">
      <c r="A8" s="7613"/>
      <c r="B8" s="1351" t="s">
        <v>193</v>
      </c>
      <c r="C8" s="1352">
        <v>15</v>
      </c>
      <c r="D8" s="1352"/>
      <c r="E8" s="1352"/>
      <c r="F8" s="1352"/>
      <c r="G8" s="1353">
        <v>12</v>
      </c>
      <c r="H8" s="7031">
        <f t="shared" si="1"/>
        <v>0.8</v>
      </c>
      <c r="I8" s="311">
        <f>'#1CCL'!AM44</f>
        <v>1359952.6981217477</v>
      </c>
      <c r="J8" s="2299">
        <f t="shared" si="0"/>
        <v>792250.82699531515</v>
      </c>
      <c r="K8" s="5288">
        <f t="shared" si="2"/>
        <v>0.58255763460707521</v>
      </c>
      <c r="L8" s="5666">
        <v>460785.10261008114</v>
      </c>
      <c r="M8" s="2134">
        <f>'1CCL보정'!AA44</f>
        <v>104507.12045400287</v>
      </c>
      <c r="N8" s="2134">
        <f>'1CCL보정'!AB44</f>
        <v>-8467.3086631081351</v>
      </c>
      <c r="O8" s="2134">
        <f>'1CCL보정'!AC44</f>
        <v>103942.96154698817</v>
      </c>
      <c r="P8" s="2134">
        <f>'1CCL보정'!AD44</f>
        <v>132525.659650032</v>
      </c>
      <c r="Q8" s="2134">
        <f>'1CCL보정'!AE44</f>
        <v>65923.01284026941</v>
      </c>
      <c r="R8" s="2134">
        <f>'1CCL보정'!AF44</f>
        <v>111791.1080501948</v>
      </c>
      <c r="S8" s="2134">
        <f>'1CCL보정'!AG44</f>
        <v>148398.39316673591</v>
      </c>
      <c r="T8" s="2134">
        <f>'1CCL보정'!AH44</f>
        <v>62976.006230415427</v>
      </c>
      <c r="U8" s="2134">
        <f>'1CCL보정'!AI44</f>
        <v>74057.523813717446</v>
      </c>
      <c r="V8" s="2134">
        <f>'1CCL보정'!AJ44</f>
        <v>77451.425884978613</v>
      </c>
      <c r="W8" s="2134">
        <f>'1CCL보정'!AK44</f>
        <v>20923.07610516491</v>
      </c>
      <c r="X8" s="2134">
        <f>'1CCL보정'!AL44</f>
        <v>-101778.15208407633</v>
      </c>
      <c r="Y8" s="316">
        <v>0</v>
      </c>
      <c r="Z8" s="2482"/>
      <c r="AA8" s="345">
        <f>'1CCL보정'!AN7+'1CCL보정'!AN8+'1CCL보정'!AN9+'1CCL보정'!AN30+'1CCL보정'!AN37+'1CCL보정'!AN38+'1CCL보정'!AN40</f>
        <v>469416.96822052129</v>
      </c>
      <c r="AB8" s="1318" t="s">
        <v>1767</v>
      </c>
      <c r="AC8" s="1304"/>
      <c r="AD8" s="1304"/>
      <c r="AE8" s="1304"/>
      <c r="AF8" s="1304"/>
      <c r="AG8" s="1304"/>
      <c r="AH8" s="1304"/>
      <c r="AI8" s="1304"/>
    </row>
    <row r="9" spans="1:35" s="314" customFormat="1" ht="18" customHeight="1">
      <c r="A9" s="7613"/>
      <c r="B9" s="1351" t="s">
        <v>422</v>
      </c>
      <c r="C9" s="1352">
        <v>1</v>
      </c>
      <c r="D9" s="1352"/>
      <c r="E9" s="1352"/>
      <c r="F9" s="1352"/>
      <c r="G9" s="1353">
        <v>1</v>
      </c>
      <c r="H9" s="3410">
        <f t="shared" si="1"/>
        <v>1</v>
      </c>
      <c r="I9" s="311">
        <f>협력사!C24</f>
        <v>101257.632</v>
      </c>
      <c r="J9" s="2299">
        <f t="shared" si="0"/>
        <v>103447.12666087582</v>
      </c>
      <c r="K9" s="5290">
        <f t="shared" si="2"/>
        <v>1.021623008731587</v>
      </c>
      <c r="L9" s="5666">
        <v>60683.063424283144</v>
      </c>
      <c r="M9" s="2134">
        <f>협력사!D24</f>
        <v>8394.3761405398927</v>
      </c>
      <c r="N9" s="2134">
        <f>협력사!E24</f>
        <v>3679.9789274145173</v>
      </c>
      <c r="O9" s="2134">
        <f>협력사!F24</f>
        <v>3564.399580083983</v>
      </c>
      <c r="P9" s="308">
        <f>협력사!G24</f>
        <v>5070.305674865027</v>
      </c>
      <c r="Q9" s="2134">
        <f>협력사!H24</f>
        <v>12375.342248590281</v>
      </c>
      <c r="R9" s="2134">
        <f>협력사!I24</f>
        <v>10444.703143491302</v>
      </c>
      <c r="S9" s="2134">
        <f>협력사!J24</f>
        <v>11236.885677384524</v>
      </c>
      <c r="T9" s="2489">
        <f>협력사!K24</f>
        <v>5917.0720319136171</v>
      </c>
      <c r="U9" s="2489">
        <f>협력사!L24</f>
        <v>10609.466986802639</v>
      </c>
      <c r="V9" s="308">
        <f>협력사!M24</f>
        <v>8626.4797174565083</v>
      </c>
      <c r="W9" s="308">
        <f>협력사!N24</f>
        <v>14794.852465326932</v>
      </c>
      <c r="X9" s="308">
        <f>협력사!O24</f>
        <v>8733.2640670065994</v>
      </c>
      <c r="Y9" s="316">
        <v>0</v>
      </c>
      <c r="Z9" s="1340"/>
      <c r="AA9" s="345">
        <f>J9</f>
        <v>103447.12666087582</v>
      </c>
    </row>
    <row r="10" spans="1:35" s="314" customFormat="1" ht="18" customHeight="1">
      <c r="A10" s="7613"/>
      <c r="B10" s="1351" t="s">
        <v>17</v>
      </c>
      <c r="C10" s="1352">
        <v>12</v>
      </c>
      <c r="D10" s="1352"/>
      <c r="E10" s="1352"/>
      <c r="F10" s="1352"/>
      <c r="G10" s="1353">
        <v>12</v>
      </c>
      <c r="H10" s="3410">
        <f t="shared" si="1"/>
        <v>1</v>
      </c>
      <c r="I10" s="3064">
        <f>'#2CCL'!AM44</f>
        <v>408652.66550099157</v>
      </c>
      <c r="J10" s="2299">
        <f t="shared" si="0"/>
        <v>915745.62864473672</v>
      </c>
      <c r="K10" s="5290">
        <f t="shared" si="2"/>
        <v>2.2408898948990577</v>
      </c>
      <c r="L10" s="5667">
        <v>997015.42717807624</v>
      </c>
      <c r="M10" s="2134">
        <f>'2CCL보정'!AA44</f>
        <v>194322.83867523688</v>
      </c>
      <c r="N10" s="2134">
        <f>'2CCL보정'!AB44</f>
        <v>274488.20710764581</v>
      </c>
      <c r="O10" s="2134">
        <f>'2CCL보정'!AC44</f>
        <v>135557.44032438041</v>
      </c>
      <c r="P10" s="2134">
        <f>'2CCL보정'!AD44</f>
        <v>60578.720397022749</v>
      </c>
      <c r="Q10" s="2134">
        <f>'2CCL보정'!AE44</f>
        <v>53471.999913353997</v>
      </c>
      <c r="R10" s="2134">
        <f>'2CCL보정'!AF44</f>
        <v>284065.33748487884</v>
      </c>
      <c r="S10" s="2134">
        <f>'2CCL보정'!AG44</f>
        <v>125854.93767402865</v>
      </c>
      <c r="T10" s="2134">
        <f>'2CCL보정'!AH44</f>
        <v>252336.01937701454</v>
      </c>
      <c r="U10" s="2134">
        <f>'2CCL보정'!AI44</f>
        <v>-138704.62074410295</v>
      </c>
      <c r="V10" s="2134">
        <f>'2CCL보정'!AJ44</f>
        <v>-150228.09392008121</v>
      </c>
      <c r="W10" s="2134">
        <f>'2CCL보정'!AK44</f>
        <v>-34661.202998202105</v>
      </c>
      <c r="X10" s="2134">
        <f>'2CCL보정'!AL44</f>
        <v>-141335.95464643929</v>
      </c>
      <c r="Y10" s="316">
        <v>0</v>
      </c>
      <c r="Z10" s="2082"/>
      <c r="AA10" s="345">
        <f>'2CCL보정'!AN7+'2CCL보정'!AN8+'2CCL보정'!AN9+'2CCL보정'!AN30+'2CCL보정'!AN36+'2CCL보정'!AN38+'2CCL보정'!AN41</f>
        <v>662930.41620390152</v>
      </c>
    </row>
    <row r="11" spans="1:35" s="314" customFormat="1" ht="18" customHeight="1">
      <c r="A11" s="7613"/>
      <c r="B11" s="1351" t="s">
        <v>423</v>
      </c>
      <c r="C11" s="1352">
        <v>1</v>
      </c>
      <c r="D11" s="1352"/>
      <c r="E11" s="1352"/>
      <c r="F11" s="1352"/>
      <c r="G11" s="1353">
        <v>1</v>
      </c>
      <c r="H11" s="3410">
        <f t="shared" si="1"/>
        <v>1</v>
      </c>
      <c r="I11" s="311">
        <f>협력사!C31</f>
        <v>21456.000000000004</v>
      </c>
      <c r="J11" s="2299">
        <f t="shared" si="0"/>
        <v>33218.622336</v>
      </c>
      <c r="K11" s="5290">
        <f t="shared" si="2"/>
        <v>1.5482206532438476</v>
      </c>
      <c r="L11" s="5666">
        <v>23537.060388000002</v>
      </c>
      <c r="M11" s="2134">
        <f>협력사!D31</f>
        <v>4334.7052199999998</v>
      </c>
      <c r="N11" s="2134">
        <f>협력사!E31</f>
        <v>3823.0112039999999</v>
      </c>
      <c r="O11" s="2134">
        <f>협력사!F31</f>
        <v>2938.7832000000003</v>
      </c>
      <c r="P11" s="308">
        <f>협력사!G31</f>
        <v>2645.7692280000001</v>
      </c>
      <c r="Q11" s="2134">
        <f>협력사!H31</f>
        <v>2636.2614000000003</v>
      </c>
      <c r="R11" s="2134">
        <f>협력사!I31</f>
        <v>3669.15726</v>
      </c>
      <c r="S11" s="2134">
        <f>협력사!J31</f>
        <v>2846.2979639999999</v>
      </c>
      <c r="T11" s="2489">
        <f>협력사!K31</f>
        <v>643.07491199999993</v>
      </c>
      <c r="U11" s="2489">
        <f>협력사!L31</f>
        <v>2240.3900159999998</v>
      </c>
      <c r="V11" s="308">
        <f>협력사!M31</f>
        <v>1420.9881119999998</v>
      </c>
      <c r="W11" s="308">
        <f>협력사!N31</f>
        <v>2728.7466359999999</v>
      </c>
      <c r="X11" s="308">
        <f>협력사!O31</f>
        <v>3291.4371839999999</v>
      </c>
      <c r="Y11" s="316">
        <v>0</v>
      </c>
      <c r="Z11" s="1340"/>
      <c r="AA11" s="345">
        <f>J11</f>
        <v>33218.622336</v>
      </c>
    </row>
    <row r="12" spans="1:35" s="314" customFormat="1" ht="18" customHeight="1">
      <c r="A12" s="7613"/>
      <c r="B12" s="1351" t="s">
        <v>196</v>
      </c>
      <c r="C12" s="1352">
        <v>3</v>
      </c>
      <c r="D12" s="1352"/>
      <c r="E12" s="1352"/>
      <c r="F12" s="1352"/>
      <c r="G12" s="1353">
        <v>0</v>
      </c>
      <c r="H12" s="7031">
        <f t="shared" si="1"/>
        <v>0</v>
      </c>
      <c r="I12" s="311">
        <f>협력사!C44</f>
        <v>159247.853</v>
      </c>
      <c r="J12" s="2299">
        <f t="shared" si="0"/>
        <v>157603.01320758389</v>
      </c>
      <c r="K12" s="2085">
        <f t="shared" ref="K12:K19" si="3">J12/I12</f>
        <v>0.98967119643103685</v>
      </c>
      <c r="L12" s="5666">
        <v>106429.16837609126</v>
      </c>
      <c r="M12" s="2134">
        <f>협력사!D44</f>
        <v>14905.765885358735</v>
      </c>
      <c r="N12" s="2134">
        <f>협력사!E44</f>
        <v>10313.984417337002</v>
      </c>
      <c r="O12" s="2134">
        <f>협력사!F44</f>
        <v>6719.2586431110294</v>
      </c>
      <c r="P12" s="2489">
        <f>협력사!G44</f>
        <v>-12427.684192285164</v>
      </c>
      <c r="Q12" s="2134">
        <f>협력사!H44</f>
        <v>7206.0606020703972</v>
      </c>
      <c r="R12" s="2134">
        <f>협력사!I44</f>
        <v>32281.477759450212</v>
      </c>
      <c r="S12" s="2134">
        <f>협력사!J44</f>
        <v>29117.760151533854</v>
      </c>
      <c r="T12" s="2489">
        <f>협력사!K44</f>
        <v>18318.612856071039</v>
      </c>
      <c r="U12" s="2489">
        <f>협력사!L44</f>
        <v>15583.739643687772</v>
      </c>
      <c r="V12" s="308">
        <f>협력사!M44</f>
        <v>15336.366308504919</v>
      </c>
      <c r="W12" s="308">
        <f>협력사!N44</f>
        <v>22799.113785630525</v>
      </c>
      <c r="X12" s="2489">
        <f>협력사!O44</f>
        <v>-2551.4426528864487</v>
      </c>
      <c r="Y12" s="316">
        <v>0</v>
      </c>
      <c r="Z12" s="1339"/>
      <c r="AA12" s="345">
        <f>J12</f>
        <v>157603.01320758389</v>
      </c>
    </row>
    <row r="13" spans="1:35" s="314" customFormat="1" ht="21.75" customHeight="1">
      <c r="A13" s="7613"/>
      <c r="B13" s="1355" t="s">
        <v>200</v>
      </c>
      <c r="C13" s="1356">
        <f>SUM(C3:C12)</f>
        <v>84</v>
      </c>
      <c r="D13" s="1356">
        <f>SUM(D3:D12)</f>
        <v>0</v>
      </c>
      <c r="E13" s="1356">
        <f>SUM(E3:E12)</f>
        <v>0</v>
      </c>
      <c r="F13" s="1356">
        <f>SUM(F3:F12)</f>
        <v>0</v>
      </c>
      <c r="G13" s="1356">
        <f>SUM(G3:G12)</f>
        <v>65</v>
      </c>
      <c r="H13" s="1357">
        <f t="shared" ref="H13:H20" si="4">G13/C13</f>
        <v>0.77380952380952384</v>
      </c>
      <c r="I13" s="1368">
        <f>SUM(I3:I12)</f>
        <v>4765941.4142426662</v>
      </c>
      <c r="J13" s="1372">
        <f>SUM(J3:J12)</f>
        <v>4240545.7760899961</v>
      </c>
      <c r="K13" s="1370">
        <f t="shared" si="3"/>
        <v>0.88976036579414008</v>
      </c>
      <c r="L13" s="5668">
        <f>SUM(L3:L12)</f>
        <v>2725322.2893207436</v>
      </c>
      <c r="M13" s="1358">
        <f>SUM(M3:M12)</f>
        <v>535736.18929791683</v>
      </c>
      <c r="N13" s="1358">
        <f t="shared" ref="N13:X13" si="5">SUM(N3:N12)</f>
        <v>591704.15141301893</v>
      </c>
      <c r="O13" s="1358">
        <f t="shared" si="5"/>
        <v>339231.6530000635</v>
      </c>
      <c r="P13" s="1358">
        <f t="shared" si="5"/>
        <v>427973.8191589482</v>
      </c>
      <c r="Q13" s="2346">
        <f t="shared" si="5"/>
        <v>399019.69262281427</v>
      </c>
      <c r="R13" s="2346">
        <f t="shared" si="5"/>
        <v>637840.59451572178</v>
      </c>
      <c r="S13" s="2346">
        <f t="shared" si="5"/>
        <v>717714.47985567537</v>
      </c>
      <c r="T13" s="1358">
        <f t="shared" si="5"/>
        <v>345694.94350787584</v>
      </c>
      <c r="U13" s="2490">
        <f t="shared" si="5"/>
        <v>317710.8190442918</v>
      </c>
      <c r="V13" s="1358">
        <f t="shared" si="5"/>
        <v>130490.6958121443</v>
      </c>
      <c r="W13" s="2729">
        <f t="shared" si="5"/>
        <v>31069.585993920264</v>
      </c>
      <c r="X13" s="1358">
        <f t="shared" si="5"/>
        <v>-233640.84813239545</v>
      </c>
      <c r="Y13" s="1358">
        <f>SUM(Y3:Y12)</f>
        <v>0</v>
      </c>
      <c r="Z13" s="1359">
        <f>Y13/C13</f>
        <v>0</v>
      </c>
      <c r="AA13" s="5661"/>
    </row>
    <row r="14" spans="1:35" s="314" customFormat="1" ht="17.399999999999999">
      <c r="A14" s="7613" t="s">
        <v>1085</v>
      </c>
      <c r="B14" s="1351" t="s">
        <v>229</v>
      </c>
      <c r="C14" s="316">
        <v>12</v>
      </c>
      <c r="D14" s="1360"/>
      <c r="E14" s="1352"/>
      <c r="F14" s="1352"/>
      <c r="G14" s="1353">
        <v>18.3</v>
      </c>
      <c r="H14" s="7032">
        <f>G14/(C14+E14)</f>
        <v>1.5250000000000001</v>
      </c>
      <c r="I14" s="311">
        <f>년간!D168/1000-고장!AA140</f>
        <v>517868.32018576202</v>
      </c>
      <c r="J14" s="1211">
        <f>M14+N14+O14+P14+Q14+R14+S14+T14+U14+V14+W14+X14</f>
        <v>185074.11643943394</v>
      </c>
      <c r="K14" s="5288">
        <f t="shared" si="3"/>
        <v>0.35737678715903476</v>
      </c>
      <c r="L14" s="7606" t="s">
        <v>1798</v>
      </c>
      <c r="M14" s="2134">
        <f>고장!AB41+고장!AB51+고장!AB61</f>
        <v>15094.856445914729</v>
      </c>
      <c r="N14" s="2134">
        <f>고장!AC41+고장!AC51+고장!AC61</f>
        <v>4033.268525304572</v>
      </c>
      <c r="O14" s="2134">
        <f>고장!AD41+고장!AD51+고장!AD61</f>
        <v>25568.029707107151</v>
      </c>
      <c r="P14" s="308">
        <f>고장!AE41+고장!AE51+고장!AE61</f>
        <v>19463.744150962582</v>
      </c>
      <c r="Q14" s="2134">
        <f>고장!AF41+고장!AF51+고장!AF61</f>
        <v>19642.283383978247</v>
      </c>
      <c r="R14" s="2134">
        <f>고장!AG41+고장!AG51+고장!AG61</f>
        <v>17017.408694452686</v>
      </c>
      <c r="S14" s="2134">
        <f>고장!AH41+고장!AH51+고장!AH61</f>
        <v>20711.539118794368</v>
      </c>
      <c r="T14" s="2134">
        <f>고장!AI41+고장!AI51+고장!AI61</f>
        <v>951.95367497451844</v>
      </c>
      <c r="U14" s="2134">
        <f>고장!AJ41+고장!AJ51+고장!AJ61</f>
        <v>46394.896564078583</v>
      </c>
      <c r="V14" s="6705">
        <f>고장!AK41+고장!AK51+고장!AK61</f>
        <v>18184.74822442983</v>
      </c>
      <c r="W14" s="2489">
        <f>고장!AL41+고장!AL51+고장!AL61</f>
        <v>-1263.8485750295501</v>
      </c>
      <c r="X14" s="2489">
        <f>고장!AM41+고장!AM51+고장!AM61</f>
        <v>-724.76347553376581</v>
      </c>
      <c r="Y14" s="316">
        <v>0</v>
      </c>
      <c r="Z14" s="2483"/>
      <c r="AA14" s="5661"/>
      <c r="AB14" s="314" t="s">
        <v>1794</v>
      </c>
      <c r="AC14" s="730">
        <f>I3+I4+I5+I6+I7</f>
        <v>2715374.565619926</v>
      </c>
      <c r="AD14" s="730">
        <f>J3+J4+J5+J6+J7</f>
        <v>2238280.5582454843</v>
      </c>
      <c r="AE14" s="1504">
        <f>AD14/AC14</f>
        <v>0.8242990070633146</v>
      </c>
    </row>
    <row r="15" spans="1:35" s="314" customFormat="1" ht="18" customHeight="1">
      <c r="A15" s="7613"/>
      <c r="B15" s="1351" t="s">
        <v>230</v>
      </c>
      <c r="C15" s="1352">
        <v>16</v>
      </c>
      <c r="D15" s="1352"/>
      <c r="E15" s="1352"/>
      <c r="F15" s="1352"/>
      <c r="G15" s="1353">
        <v>24.8</v>
      </c>
      <c r="H15" s="7032">
        <f>G15/(C15+E15)</f>
        <v>1.55</v>
      </c>
      <c r="I15" s="311">
        <f>년간!D172/1000</f>
        <v>358004.70132824627</v>
      </c>
      <c r="J15" s="1211">
        <f>M15+N15+O15+P15+Q15+R15+S15+T15+U15+V15+W15+X15</f>
        <v>167641.19083483092</v>
      </c>
      <c r="K15" s="5288">
        <f t="shared" si="3"/>
        <v>0.4682653334240004</v>
      </c>
      <c r="L15" s="7607"/>
      <c r="M15" s="2134">
        <f>고장!AB77+고장!AB87+고장!AB97</f>
        <v>6310.0728796572603</v>
      </c>
      <c r="N15" s="2134">
        <f>고장!AC77+고장!AC87+고장!AC97</f>
        <v>54861.104722643962</v>
      </c>
      <c r="O15" s="2134">
        <f>고장!AD77+고장!AD87+고장!AD97</f>
        <v>6150.7395369311089</v>
      </c>
      <c r="P15" s="308">
        <f>고장!AE77+고장!AE87+고장!AE97</f>
        <v>48716.818555313184</v>
      </c>
      <c r="Q15" s="2134">
        <f>고장!AF77+고장!AF87+고장!AF97</f>
        <v>5435.0178003775854</v>
      </c>
      <c r="R15" s="2134">
        <f>고장!AG77+고장!AG87+고장!AG97</f>
        <v>17006.961772066978</v>
      </c>
      <c r="S15" s="2134">
        <f>고장!AH77+고장!AH87+고장!AH97</f>
        <v>-5394.2030658348795</v>
      </c>
      <c r="T15" s="2134">
        <f>고장!AI77+고장!AI87+고장!AI97</f>
        <v>-6801.0480505348169</v>
      </c>
      <c r="U15" s="2134">
        <f>고장!AJ77+고장!AJ87+고장!AJ97</f>
        <v>11278.050968862099</v>
      </c>
      <c r="V15" s="308">
        <f>고장!AK77+고장!AK87+고장!AK97</f>
        <v>31136.393534759114</v>
      </c>
      <c r="W15" s="2489">
        <f>고장!AL77+고장!AL87+고장!AL97</f>
        <v>1382.5204529834689</v>
      </c>
      <c r="X15" s="2489">
        <f>고장!AM77+고장!AM87+고장!AM97</f>
        <v>-2441.2382723941291</v>
      </c>
      <c r="Y15" s="316">
        <v>0</v>
      </c>
      <c r="Z15" s="2484"/>
      <c r="AA15" s="5661"/>
      <c r="AB15" s="314" t="s">
        <v>1795</v>
      </c>
      <c r="AC15" s="730">
        <f>I8+I9+I10+I11+I12</f>
        <v>2050566.8486227393</v>
      </c>
      <c r="AD15" s="730">
        <f>J8+J9+J10+J11+J12</f>
        <v>2002265.2178445116</v>
      </c>
      <c r="AE15" s="1504">
        <f>AD15/AC15</f>
        <v>0.97644474218888822</v>
      </c>
    </row>
    <row r="16" spans="1:35" s="314" customFormat="1" ht="17.399999999999999">
      <c r="A16" s="7613"/>
      <c r="B16" s="1351" t="s">
        <v>233</v>
      </c>
      <c r="C16" s="1352">
        <v>8</v>
      </c>
      <c r="D16" s="1352"/>
      <c r="E16" s="1352"/>
      <c r="F16" s="1352"/>
      <c r="G16" s="1353">
        <v>14</v>
      </c>
      <c r="H16" s="7032">
        <f>G16/(C16+E16)</f>
        <v>1.75</v>
      </c>
      <c r="I16" s="311">
        <f>고장!AA140</f>
        <v>52998</v>
      </c>
      <c r="J16" s="1211">
        <f>M16+N16+O16+P16+Q16+R16+S16+T16+U16+V16+W16+X16</f>
        <v>49918</v>
      </c>
      <c r="K16" s="2085">
        <f t="shared" si="3"/>
        <v>0.94188459941884595</v>
      </c>
      <c r="L16" s="7607"/>
      <c r="M16" s="2134">
        <f>고장!AB140</f>
        <v>0</v>
      </c>
      <c r="N16" s="2134">
        <f>고장!AC140</f>
        <v>2000</v>
      </c>
      <c r="O16" s="2134">
        <f>고장!AD140</f>
        <v>0</v>
      </c>
      <c r="P16" s="308">
        <f>고장!AE140</f>
        <v>0</v>
      </c>
      <c r="Q16" s="2134">
        <f>고장!AF140</f>
        <v>12679</v>
      </c>
      <c r="R16" s="2134">
        <f>고장!AG140</f>
        <v>0</v>
      </c>
      <c r="S16" s="2134">
        <f>고장!AH140</f>
        <v>0</v>
      </c>
      <c r="T16" s="2134">
        <f>고장!AI140</f>
        <v>0</v>
      </c>
      <c r="U16" s="2134">
        <f>고장!AJ140</f>
        <v>35239</v>
      </c>
      <c r="V16" s="308">
        <f>고장!AK140</f>
        <v>0</v>
      </c>
      <c r="W16" s="2489">
        <f>고장!AL140</f>
        <v>0</v>
      </c>
      <c r="X16" s="2489">
        <f>고장!AM140</f>
        <v>0</v>
      </c>
      <c r="Y16" s="316">
        <v>0</v>
      </c>
      <c r="Z16" s="1400"/>
      <c r="AA16" s="5661"/>
    </row>
    <row r="17" spans="1:31" s="314" customFormat="1" ht="21.75" customHeight="1">
      <c r="A17" s="7613"/>
      <c r="B17" s="1355" t="s">
        <v>200</v>
      </c>
      <c r="C17" s="1356">
        <f>SUM(C14:C16)</f>
        <v>36</v>
      </c>
      <c r="D17" s="1356">
        <f>SUM(D14:D16)</f>
        <v>0</v>
      </c>
      <c r="E17" s="1356">
        <f>SUM(E14:E16)</f>
        <v>0</v>
      </c>
      <c r="F17" s="1356">
        <f>SUM(F14:F16)</f>
        <v>0</v>
      </c>
      <c r="G17" s="6706">
        <f>SUM(G14:G16)</f>
        <v>57.1</v>
      </c>
      <c r="H17" s="1357">
        <f>G17/(C17+E17)</f>
        <v>1.5861111111111112</v>
      </c>
      <c r="I17" s="1368">
        <f>SUM(I14:I16)</f>
        <v>928871.02151400829</v>
      </c>
      <c r="J17" s="1372">
        <f>SUM(J14:J16)</f>
        <v>402633.30727426487</v>
      </c>
      <c r="K17" s="1401">
        <f t="shared" si="3"/>
        <v>0.43346524754103632</v>
      </c>
      <c r="L17" s="7608"/>
      <c r="M17" s="1358">
        <f>SUM(M14:M16)</f>
        <v>21404.929325571989</v>
      </c>
      <c r="N17" s="1358">
        <f t="shared" ref="N17:X17" si="6">SUM(N14:N16)</f>
        <v>60894.373247948533</v>
      </c>
      <c r="O17" s="1358">
        <f t="shared" si="6"/>
        <v>31718.76924403826</v>
      </c>
      <c r="P17" s="1358">
        <f t="shared" si="6"/>
        <v>68180.56270627577</v>
      </c>
      <c r="Q17" s="2346">
        <f t="shared" si="6"/>
        <v>37756.301184355834</v>
      </c>
      <c r="R17" s="2346">
        <f t="shared" si="6"/>
        <v>34024.370466519664</v>
      </c>
      <c r="S17" s="2346">
        <f t="shared" si="6"/>
        <v>15317.336052959488</v>
      </c>
      <c r="T17" s="2346">
        <f t="shared" si="6"/>
        <v>-5849.0943755602984</v>
      </c>
      <c r="U17" s="2346">
        <f t="shared" si="6"/>
        <v>92911.947532940685</v>
      </c>
      <c r="V17" s="2490">
        <f t="shared" si="6"/>
        <v>49321.141759188948</v>
      </c>
      <c r="W17" s="2729">
        <f t="shared" si="6"/>
        <v>118.67187795391874</v>
      </c>
      <c r="X17" s="2729">
        <f t="shared" si="6"/>
        <v>-3166.0017479278949</v>
      </c>
      <c r="Y17" s="1358">
        <f>SUM(Y14:Y16)</f>
        <v>0</v>
      </c>
      <c r="Z17" s="1359">
        <f>Y17/C17</f>
        <v>0</v>
      </c>
      <c r="AA17" s="5661"/>
      <c r="AB17" s="1534" t="s">
        <v>1794</v>
      </c>
      <c r="AC17" s="314">
        <f>C3+C4+C5+C6+C7</f>
        <v>52</v>
      </c>
      <c r="AD17" s="5662">
        <f>G3+G4+G5+G6+G7</f>
        <v>39</v>
      </c>
      <c r="AE17" s="1504">
        <f>AD17/AC17</f>
        <v>0.75</v>
      </c>
    </row>
    <row r="18" spans="1:31" s="314" customFormat="1" ht="18" customHeight="1">
      <c r="A18" s="7613" t="s">
        <v>1086</v>
      </c>
      <c r="B18" s="1361" t="s">
        <v>231</v>
      </c>
      <c r="C18" s="1362">
        <v>4</v>
      </c>
      <c r="D18" s="1352"/>
      <c r="E18" s="1352"/>
      <c r="F18" s="1352"/>
      <c r="G18" s="1353">
        <v>4</v>
      </c>
      <c r="H18" s="1354">
        <f t="shared" si="4"/>
        <v>1</v>
      </c>
      <c r="I18" s="312">
        <f>협력사!C48</f>
        <v>27736.05</v>
      </c>
      <c r="J18" s="1211">
        <f>M18+N18+O18+P18+Q18+R18+S18+T18+U18+V18+W18+X18</f>
        <v>35807</v>
      </c>
      <c r="K18" s="5290">
        <f t="shared" si="3"/>
        <v>1.2909913271716773</v>
      </c>
      <c r="L18" s="5666">
        <f>J18</f>
        <v>35807</v>
      </c>
      <c r="M18" s="2135">
        <f>협력사!D48</f>
        <v>1858</v>
      </c>
      <c r="N18" s="2135">
        <f>협력사!E48</f>
        <v>1180</v>
      </c>
      <c r="O18" s="2135">
        <f>협력사!F48</f>
        <v>1150</v>
      </c>
      <c r="P18" s="309">
        <f>협력사!G48</f>
        <v>5526</v>
      </c>
      <c r="Q18" s="2135">
        <f>협력사!H48</f>
        <v>1732</v>
      </c>
      <c r="R18" s="2135">
        <f>협력사!I48</f>
        <v>5413</v>
      </c>
      <c r="S18" s="2135">
        <f>협력사!J48</f>
        <v>2525</v>
      </c>
      <c r="T18" s="2135">
        <f>협력사!K48</f>
        <v>3945</v>
      </c>
      <c r="U18" s="2135">
        <f>협력사!L48</f>
        <v>3599</v>
      </c>
      <c r="V18" s="309">
        <f>협력사!M48</f>
        <v>3686</v>
      </c>
      <c r="W18" s="309">
        <f>협력사!N48</f>
        <v>3075</v>
      </c>
      <c r="X18" s="309">
        <f>협력사!O48</f>
        <v>2118</v>
      </c>
      <c r="Y18" s="316">
        <v>0</v>
      </c>
      <c r="Z18" s="317"/>
      <c r="AA18" s="437">
        <f>J18</f>
        <v>35807</v>
      </c>
      <c r="AB18" s="1534" t="s">
        <v>1795</v>
      </c>
      <c r="AC18" s="314">
        <f>C8+C9+C10+C11+C12</f>
        <v>32</v>
      </c>
      <c r="AD18" s="5662">
        <f>G8+G9+G10+G11+G12</f>
        <v>26</v>
      </c>
      <c r="AE18" s="1504">
        <f>AD18/AC18</f>
        <v>0.8125</v>
      </c>
    </row>
    <row r="19" spans="1:31" s="1534" customFormat="1" ht="17.399999999999999">
      <c r="A19" s="7614"/>
      <c r="B19" s="1774" t="s">
        <v>1039</v>
      </c>
      <c r="C19" s="1775">
        <v>2</v>
      </c>
      <c r="D19" s="1776"/>
      <c r="E19" s="1776"/>
      <c r="F19" s="1776"/>
      <c r="G19" s="1777">
        <v>2</v>
      </c>
      <c r="H19" s="7032">
        <f t="shared" si="4"/>
        <v>1</v>
      </c>
      <c r="I19" s="1778">
        <f>협력사!C55</f>
        <v>115175</v>
      </c>
      <c r="J19" s="1211">
        <f>M19+N19+O19+P19+Q19+R19+S19+T19+U19+V19+W19+X19</f>
        <v>115175.00000000004</v>
      </c>
      <c r="K19" s="5290">
        <f t="shared" si="3"/>
        <v>1.0000000000000004</v>
      </c>
      <c r="L19" s="5671"/>
      <c r="M19" s="2136">
        <f>협력사!D55</f>
        <v>9597.9166666666679</v>
      </c>
      <c r="N19" s="2136">
        <f>협력사!E55</f>
        <v>9597.9166666666679</v>
      </c>
      <c r="O19" s="2136">
        <f>협력사!F55</f>
        <v>9597.9166666666679</v>
      </c>
      <c r="P19" s="1779">
        <f>협력사!G55</f>
        <v>9597.9166666666679</v>
      </c>
      <c r="Q19" s="2136">
        <f>협력사!H55</f>
        <v>9597.9166666666679</v>
      </c>
      <c r="R19" s="2136">
        <f>협력사!I55</f>
        <v>9597.9166666666679</v>
      </c>
      <c r="S19" s="2136">
        <f>협력사!J55</f>
        <v>9597.9166666666679</v>
      </c>
      <c r="T19" s="2136">
        <f>협력사!K55</f>
        <v>9597.9166666666679</v>
      </c>
      <c r="U19" s="2136">
        <f>협력사!L55</f>
        <v>9597.9166666666679</v>
      </c>
      <c r="V19" s="1779">
        <f>협력사!M55</f>
        <v>9597.9166666666679</v>
      </c>
      <c r="W19" s="1779">
        <f>협력사!N55</f>
        <v>9597.9166666666679</v>
      </c>
      <c r="X19" s="1779">
        <f>협력사!O55</f>
        <v>9597.9166666666679</v>
      </c>
      <c r="Y19" s="1780">
        <v>0</v>
      </c>
      <c r="Z19" s="1781"/>
      <c r="AA19" s="437"/>
    </row>
    <row r="20" spans="1:31" s="314" customFormat="1" ht="21.75" customHeight="1">
      <c r="A20" s="7615"/>
      <c r="B20" s="1363" t="s">
        <v>200</v>
      </c>
      <c r="C20" s="1363">
        <f>SUM(C18:C19)</f>
        <v>6</v>
      </c>
      <c r="D20" s="1363">
        <f>SUM(D18:D19)</f>
        <v>0</v>
      </c>
      <c r="E20" s="1363">
        <f>SUM(E18:E19)</f>
        <v>0</v>
      </c>
      <c r="F20" s="1363">
        <f>SUM(F18:F19)</f>
        <v>0</v>
      </c>
      <c r="G20" s="1363">
        <f>SUM(G18:G19)</f>
        <v>6</v>
      </c>
      <c r="H20" s="1364">
        <f t="shared" si="4"/>
        <v>1</v>
      </c>
      <c r="I20" s="1369">
        <f>SUM(I18:I19)</f>
        <v>142911.04999999999</v>
      </c>
      <c r="J20" s="1373">
        <f>SUM(J18:J19)</f>
        <v>150982.00000000006</v>
      </c>
      <c r="K20" s="1371">
        <f>J20/I20</f>
        <v>1.0564753390308173</v>
      </c>
      <c r="L20" s="5669">
        <f>L18+L19</f>
        <v>35807</v>
      </c>
      <c r="M20" s="1365">
        <f>SUM(M18:M19)</f>
        <v>11455.916666666668</v>
      </c>
      <c r="N20" s="1365">
        <f t="shared" ref="N20:S20" si="7">SUM(N18:N19)</f>
        <v>10777.916666666668</v>
      </c>
      <c r="O20" s="2472">
        <f t="shared" si="7"/>
        <v>10747.916666666668</v>
      </c>
      <c r="P20" s="1365">
        <f t="shared" si="7"/>
        <v>15123.916666666668</v>
      </c>
      <c r="Q20" s="1365">
        <f t="shared" si="7"/>
        <v>11329.916666666668</v>
      </c>
      <c r="R20" s="1365">
        <f t="shared" si="7"/>
        <v>15010.916666666668</v>
      </c>
      <c r="S20" s="2452">
        <f t="shared" si="7"/>
        <v>12122.916666666668</v>
      </c>
      <c r="T20" s="2452">
        <f>SUM(T18:T19)</f>
        <v>13542.916666666668</v>
      </c>
      <c r="U20" s="2452">
        <f>SUM(U18:U19)</f>
        <v>13196.916666666668</v>
      </c>
      <c r="V20" s="1365">
        <f>SUM(V18:V19)</f>
        <v>13283.916666666668</v>
      </c>
      <c r="W20" s="1365">
        <f>SUM(W18:W19)</f>
        <v>12672.916666666668</v>
      </c>
      <c r="X20" s="1365">
        <f>SUM(X18:X19)</f>
        <v>11715.916666666668</v>
      </c>
      <c r="Y20" s="1366">
        <f>SUM(Y18:Y18)</f>
        <v>0</v>
      </c>
      <c r="Z20" s="1367">
        <f>Y20/C20</f>
        <v>0</v>
      </c>
      <c r="AA20" s="5661"/>
    </row>
    <row r="21" spans="1:31" s="314" customFormat="1" ht="24" customHeight="1" thickBot="1">
      <c r="A21" s="7609" t="s">
        <v>826</v>
      </c>
      <c r="B21" s="7609"/>
      <c r="C21" s="1205">
        <f>C20+C17+C13</f>
        <v>126</v>
      </c>
      <c r="D21" s="1206">
        <f>D13+D17+D20</f>
        <v>0</v>
      </c>
      <c r="E21" s="1206">
        <f>E13+E17+E20</f>
        <v>0</v>
      </c>
      <c r="F21" s="1206">
        <f>F13+F17+F20</f>
        <v>0</v>
      </c>
      <c r="G21" s="6707">
        <f>G13+G17+G20</f>
        <v>128.1</v>
      </c>
      <c r="H21" s="1207">
        <f>G21/C21</f>
        <v>1.0166666666666666</v>
      </c>
      <c r="I21" s="1208">
        <f>I17+I13+I20</f>
        <v>5837723.4857566739</v>
      </c>
      <c r="J21" s="2599">
        <f>J20+J17+J13</f>
        <v>4794161.0833642613</v>
      </c>
      <c r="K21" s="5287">
        <f>J21/I21</f>
        <v>0.82123812391275874</v>
      </c>
      <c r="L21" s="5670">
        <f>L13+L20</f>
        <v>2761129.2893207436</v>
      </c>
      <c r="M21" s="2132">
        <f t="shared" ref="M21:X21" si="8">M20+M17+M13</f>
        <v>568597.03529015544</v>
      </c>
      <c r="N21" s="2132">
        <f t="shared" si="8"/>
        <v>663376.44132763415</v>
      </c>
      <c r="O21" s="2132">
        <f t="shared" si="8"/>
        <v>381698.33891076839</v>
      </c>
      <c r="P21" s="2132">
        <f t="shared" si="8"/>
        <v>511278.29853189061</v>
      </c>
      <c r="Q21" s="2347">
        <f t="shared" si="8"/>
        <v>448105.91047383676</v>
      </c>
      <c r="R21" s="2347">
        <f t="shared" si="8"/>
        <v>686875.88164890814</v>
      </c>
      <c r="S21" s="2347">
        <f t="shared" si="8"/>
        <v>745154.73257530155</v>
      </c>
      <c r="T21" s="2347">
        <f t="shared" si="8"/>
        <v>353388.76579898223</v>
      </c>
      <c r="U21" s="2347">
        <f t="shared" si="8"/>
        <v>423819.68324389914</v>
      </c>
      <c r="V21" s="1209">
        <f t="shared" si="8"/>
        <v>193095.75423799991</v>
      </c>
      <c r="W21" s="2132">
        <f t="shared" si="8"/>
        <v>43861.17453854085</v>
      </c>
      <c r="X21" s="2132">
        <f t="shared" si="8"/>
        <v>-225090.93321365668</v>
      </c>
      <c r="Y21" s="1209">
        <f>Y20+Y17+Y13</f>
        <v>0</v>
      </c>
      <c r="Z21" s="2084">
        <f>Y21/C21</f>
        <v>0</v>
      </c>
      <c r="AA21" s="345">
        <f>SUM(AA3:AA20)</f>
        <v>3382929.809571981</v>
      </c>
      <c r="AB21" s="5766">
        <f>AA21/J21</f>
        <v>0.70563540747738895</v>
      </c>
    </row>
    <row r="22" spans="1:31" ht="19.8" thickTop="1">
      <c r="B22" s="2398" t="s">
        <v>1150</v>
      </c>
      <c r="C22" s="2398">
        <v>185</v>
      </c>
      <c r="D22" s="2398"/>
      <c r="E22" s="2398"/>
      <c r="F22" s="2398"/>
      <c r="G22" s="2398" t="s">
        <v>1151</v>
      </c>
      <c r="H22" s="2398"/>
      <c r="I22" s="2398">
        <v>1200</v>
      </c>
      <c r="M22" s="5223">
        <f>M21/$I$21</f>
        <v>9.740047411931417E-2</v>
      </c>
      <c r="N22" s="5223">
        <f>N21/$I$21</f>
        <v>0.11363615336461053</v>
      </c>
      <c r="O22" s="5223">
        <f>O21/$I$21</f>
        <v>6.5384792520931379E-2</v>
      </c>
      <c r="P22" s="5223">
        <f>P21/$I$21</f>
        <v>8.7581794475080341E-2</v>
      </c>
      <c r="Q22" s="5223">
        <f>Q21/$I$21</f>
        <v>7.676038640184997E-2</v>
      </c>
      <c r="Z22" s="777"/>
    </row>
    <row r="23" spans="1:31" ht="7.5" customHeight="1">
      <c r="T23" s="318"/>
    </row>
    <row r="26" spans="1:31" ht="19.8" thickBot="1">
      <c r="J26" s="302"/>
      <c r="K26" s="302" t="s">
        <v>890</v>
      </c>
      <c r="L26" s="302"/>
      <c r="M26" s="302" t="s">
        <v>887</v>
      </c>
      <c r="N26" s="302" t="s">
        <v>5</v>
      </c>
      <c r="O26" s="302" t="s">
        <v>6</v>
      </c>
      <c r="P26" s="302" t="s">
        <v>7</v>
      </c>
      <c r="Q26" s="302" t="s">
        <v>8</v>
      </c>
      <c r="R26" s="302" t="s">
        <v>9</v>
      </c>
      <c r="S26" s="302" t="s">
        <v>10</v>
      </c>
      <c r="T26" s="302" t="s">
        <v>11</v>
      </c>
      <c r="U26" s="302" t="s">
        <v>12</v>
      </c>
      <c r="V26" s="302" t="s">
        <v>13</v>
      </c>
      <c r="W26" s="302" t="s">
        <v>14</v>
      </c>
      <c r="X26" s="302" t="s">
        <v>15</v>
      </c>
      <c r="Y26" s="303" t="s">
        <v>891</v>
      </c>
    </row>
    <row r="27" spans="1:31">
      <c r="J27" s="1298" t="s">
        <v>889</v>
      </c>
      <c r="K27" s="1299">
        <v>82.392632449909797</v>
      </c>
      <c r="L27" s="1299"/>
      <c r="M27" s="1319">
        <f t="shared" ref="M27:X27" si="9">M21</f>
        <v>568597.03529015544</v>
      </c>
      <c r="N27" s="1319">
        <f t="shared" si="9"/>
        <v>663376.44132763415</v>
      </c>
      <c r="O27" s="1319">
        <f t="shared" si="9"/>
        <v>381698.33891076839</v>
      </c>
      <c r="P27" s="1319">
        <f t="shared" si="9"/>
        <v>511278.29853189061</v>
      </c>
      <c r="Q27" s="1319">
        <f t="shared" si="9"/>
        <v>448105.91047383676</v>
      </c>
      <c r="R27" s="1319">
        <f t="shared" si="9"/>
        <v>686875.88164890814</v>
      </c>
      <c r="S27" s="1319">
        <f t="shared" si="9"/>
        <v>745154.73257530155</v>
      </c>
      <c r="T27" s="1319">
        <f t="shared" si="9"/>
        <v>353388.76579898223</v>
      </c>
      <c r="U27" s="1319">
        <f t="shared" si="9"/>
        <v>423819.68324389914</v>
      </c>
      <c r="V27" s="1319">
        <f t="shared" si="9"/>
        <v>193095.75423799991</v>
      </c>
      <c r="W27" s="1319">
        <f t="shared" si="9"/>
        <v>43861.17453854085</v>
      </c>
      <c r="X27" s="1319">
        <f t="shared" si="9"/>
        <v>-225090.93321365668</v>
      </c>
      <c r="Y27" s="1320">
        <f>M27+N27+O27+P27+Q27+R27+S27</f>
        <v>4005086.638758495</v>
      </c>
    </row>
    <row r="28" spans="1:31" ht="19.8" thickBot="1">
      <c r="J28" s="1300" t="s">
        <v>888</v>
      </c>
      <c r="K28" s="1199">
        <f>SUM(K29:K43)</f>
        <v>128</v>
      </c>
      <c r="L28" s="5665"/>
      <c r="M28" s="1199">
        <f>SUM(M29:M43)</f>
        <v>6</v>
      </c>
      <c r="N28" s="1199">
        <f>SUM(N29:N43)</f>
        <v>12</v>
      </c>
      <c r="O28" s="1199">
        <f t="shared" ref="O28:X28" si="10">SUM(O29:O43)</f>
        <v>18</v>
      </c>
      <c r="P28" s="1199">
        <f t="shared" si="10"/>
        <v>14</v>
      </c>
      <c r="Q28" s="1199">
        <f t="shared" si="10"/>
        <v>14</v>
      </c>
      <c r="R28" s="1199">
        <f t="shared" si="10"/>
        <v>15.3</v>
      </c>
      <c r="S28" s="1199">
        <f t="shared" si="10"/>
        <v>9</v>
      </c>
      <c r="T28" s="1199">
        <f t="shared" si="10"/>
        <v>14.8</v>
      </c>
      <c r="U28" s="1199">
        <f t="shared" si="10"/>
        <v>8</v>
      </c>
      <c r="V28" s="1199">
        <f t="shared" si="10"/>
        <v>2</v>
      </c>
      <c r="W28" s="1199">
        <f t="shared" si="10"/>
        <v>6</v>
      </c>
      <c r="X28" s="1199">
        <f t="shared" si="10"/>
        <v>0</v>
      </c>
      <c r="Y28" s="2083">
        <f>SUM(Y29:Y43)</f>
        <v>119.1</v>
      </c>
    </row>
    <row r="29" spans="1:31">
      <c r="J29" s="1198" t="s">
        <v>2</v>
      </c>
      <c r="K29" s="1198">
        <f>C3</f>
        <v>16</v>
      </c>
      <c r="L29" s="1198"/>
      <c r="M29" s="1198">
        <f>CPL!N35</f>
        <v>0</v>
      </c>
      <c r="N29" s="1198">
        <f>CPL!O35</f>
        <v>2</v>
      </c>
      <c r="O29" s="1198">
        <f>CPL!P35</f>
        <v>4</v>
      </c>
      <c r="P29" s="1198">
        <v>4</v>
      </c>
      <c r="Q29" s="1198">
        <f>CPL!R35</f>
        <v>0</v>
      </c>
      <c r="R29" s="1198">
        <f>CPL!S35</f>
        <v>0</v>
      </c>
      <c r="S29" s="1198">
        <f>CPL!T35</f>
        <v>0</v>
      </c>
      <c r="T29" s="1198">
        <f>CPL!U35</f>
        <v>0</v>
      </c>
      <c r="U29" s="1198">
        <f>CPL!V35</f>
        <v>0</v>
      </c>
      <c r="V29" s="1198">
        <f>CPL!W35</f>
        <v>0</v>
      </c>
      <c r="W29" s="1198">
        <f>CPL!X35</f>
        <v>0</v>
      </c>
      <c r="X29" s="1198">
        <f>CPL!Y35</f>
        <v>0</v>
      </c>
      <c r="Y29" s="1301">
        <f t="shared" ref="Y29:Y43" si="11">SUM(M29:X29)</f>
        <v>10</v>
      </c>
    </row>
    <row r="30" spans="1:31">
      <c r="J30" s="1197" t="s">
        <v>228</v>
      </c>
      <c r="K30" s="1198">
        <f t="shared" ref="K30:K38" si="12">C4</f>
        <v>4</v>
      </c>
      <c r="L30" s="1198"/>
      <c r="M30" s="1198">
        <v>0</v>
      </c>
      <c r="N30" s="1198">
        <v>1</v>
      </c>
      <c r="O30" s="1198">
        <v>1</v>
      </c>
      <c r="P30" s="1198">
        <v>1</v>
      </c>
      <c r="Q30" s="1198">
        <v>0</v>
      </c>
      <c r="R30" s="1198">
        <v>0</v>
      </c>
      <c r="S30" s="1198">
        <v>0</v>
      </c>
      <c r="T30" s="1198">
        <v>1</v>
      </c>
      <c r="U30" s="1198">
        <v>0</v>
      </c>
      <c r="V30" s="1198">
        <v>0</v>
      </c>
      <c r="W30" s="1198">
        <v>0</v>
      </c>
      <c r="X30" s="1197"/>
      <c r="Y30" s="1302">
        <f t="shared" si="11"/>
        <v>4</v>
      </c>
    </row>
    <row r="31" spans="1:31">
      <c r="J31" s="1197" t="s">
        <v>3</v>
      </c>
      <c r="K31" s="1198">
        <f t="shared" si="12"/>
        <v>9</v>
      </c>
      <c r="L31" s="1198"/>
      <c r="M31" s="1198">
        <f>CRM!N36</f>
        <v>1</v>
      </c>
      <c r="N31" s="1198">
        <f>CRM!O36</f>
        <v>0</v>
      </c>
      <c r="O31" s="1198">
        <f>CRM!P36</f>
        <v>1</v>
      </c>
      <c r="P31" s="1198">
        <f>CRM!Q36</f>
        <v>1</v>
      </c>
      <c r="Q31" s="1198" t="str">
        <f>CRM!R36</f>
        <v>0(3)</v>
      </c>
      <c r="R31" s="1198">
        <f>CRM!S36</f>
        <v>0</v>
      </c>
      <c r="S31" s="1198">
        <f>CRM!T36</f>
        <v>0</v>
      </c>
      <c r="T31" s="1198">
        <f>CRM!U36</f>
        <v>1</v>
      </c>
      <c r="U31" s="1198">
        <f>CRM!V36</f>
        <v>1</v>
      </c>
      <c r="V31" s="1198">
        <f>CRM!W36</f>
        <v>1</v>
      </c>
      <c r="W31" s="1198">
        <f>CRM!X36</f>
        <v>0</v>
      </c>
      <c r="X31" s="1198">
        <f>CRM!Y36</f>
        <v>0</v>
      </c>
      <c r="Y31" s="1302">
        <f t="shared" si="11"/>
        <v>6</v>
      </c>
    </row>
    <row r="32" spans="1:31">
      <c r="J32" s="1197" t="s">
        <v>421</v>
      </c>
      <c r="K32" s="1198">
        <f t="shared" si="12"/>
        <v>5</v>
      </c>
      <c r="L32" s="1198"/>
      <c r="M32" s="1198">
        <v>0</v>
      </c>
      <c r="N32" s="1198">
        <v>3</v>
      </c>
      <c r="O32" s="1198">
        <v>0</v>
      </c>
      <c r="P32" s="1198">
        <v>0</v>
      </c>
      <c r="Q32" s="1198">
        <v>0</v>
      </c>
      <c r="R32" s="1198">
        <v>0</v>
      </c>
      <c r="S32" s="1198">
        <v>0</v>
      </c>
      <c r="T32" s="1198">
        <v>0</v>
      </c>
      <c r="U32" s="1198">
        <v>0</v>
      </c>
      <c r="V32" s="1198">
        <v>0</v>
      </c>
      <c r="W32" s="1198">
        <v>0</v>
      </c>
      <c r="X32" s="1197"/>
      <c r="Y32" s="1302">
        <f t="shared" si="11"/>
        <v>3</v>
      </c>
    </row>
    <row r="33" spans="9:25">
      <c r="J33" s="1197" t="s">
        <v>4</v>
      </c>
      <c r="K33" s="1198">
        <f t="shared" si="12"/>
        <v>18</v>
      </c>
      <c r="L33" s="1198"/>
      <c r="M33" s="4257">
        <f>CGL!N42</f>
        <v>0</v>
      </c>
      <c r="N33" s="4257">
        <f>CGL!O42</f>
        <v>0</v>
      </c>
      <c r="O33" s="4257">
        <v>2</v>
      </c>
      <c r="P33" s="4257">
        <f>CGL!Q42</f>
        <v>0</v>
      </c>
      <c r="Q33" s="4257">
        <v>5</v>
      </c>
      <c r="R33" s="4257">
        <v>1</v>
      </c>
      <c r="S33" s="4257">
        <f>CGL!T42</f>
        <v>0</v>
      </c>
      <c r="T33" s="4257">
        <f>CGL!U42</f>
        <v>0</v>
      </c>
      <c r="U33" s="4257">
        <f>CGL!V42</f>
        <v>0</v>
      </c>
      <c r="V33" s="4257">
        <f>CGL!W42</f>
        <v>0</v>
      </c>
      <c r="W33" s="4257">
        <f>CGL!X42</f>
        <v>0</v>
      </c>
      <c r="X33" s="4257">
        <f>CGL!Y42</f>
        <v>0</v>
      </c>
      <c r="Y33" s="1302">
        <f t="shared" si="11"/>
        <v>8</v>
      </c>
    </row>
    <row r="34" spans="9:25">
      <c r="J34" s="1197" t="s">
        <v>193</v>
      </c>
      <c r="K34" s="1198">
        <f t="shared" si="12"/>
        <v>15</v>
      </c>
      <c r="L34" s="1198"/>
      <c r="M34" s="1198">
        <f>'#1CCL'!N42</f>
        <v>1</v>
      </c>
      <c r="N34" s="1198">
        <f>'#1CCL'!O42</f>
        <v>1</v>
      </c>
      <c r="O34" s="1198">
        <f>'#1CCL'!P42</f>
        <v>1</v>
      </c>
      <c r="P34" s="1198">
        <f>'#1CCL'!Q42</f>
        <v>1</v>
      </c>
      <c r="Q34" s="1198">
        <f>'#1CCL'!R42</f>
        <v>1</v>
      </c>
      <c r="R34" s="1198">
        <f>'#1CCL'!S42</f>
        <v>1</v>
      </c>
      <c r="S34" s="1198">
        <f>'#1CCL'!T42</f>
        <v>1</v>
      </c>
      <c r="T34" s="1198">
        <f>'#1CCL'!U42</f>
        <v>1</v>
      </c>
      <c r="U34" s="1198">
        <f>'#1CCL'!V42</f>
        <v>1</v>
      </c>
      <c r="V34" s="1198">
        <f>'#1CCL'!W42</f>
        <v>0</v>
      </c>
      <c r="W34" s="1198">
        <f>'#1CCL'!X42</f>
        <v>3</v>
      </c>
      <c r="X34" s="1198">
        <f>'#1CCL'!Y42</f>
        <v>0</v>
      </c>
      <c r="Y34" s="1302">
        <f t="shared" si="11"/>
        <v>12</v>
      </c>
    </row>
    <row r="35" spans="9:25">
      <c r="J35" s="1197" t="s">
        <v>422</v>
      </c>
      <c r="K35" s="1198">
        <f t="shared" si="12"/>
        <v>1</v>
      </c>
      <c r="L35" s="1198"/>
      <c r="M35" s="1198">
        <v>1</v>
      </c>
      <c r="N35" s="1198">
        <v>0</v>
      </c>
      <c r="O35" s="1198">
        <v>0</v>
      </c>
      <c r="P35" s="1198">
        <v>0</v>
      </c>
      <c r="Q35" s="1198">
        <v>0</v>
      </c>
      <c r="R35" s="1198">
        <v>0</v>
      </c>
      <c r="S35" s="1198">
        <v>0</v>
      </c>
      <c r="T35" s="1198">
        <v>0</v>
      </c>
      <c r="U35" s="1198">
        <v>0</v>
      </c>
      <c r="V35" s="1198">
        <v>0</v>
      </c>
      <c r="W35" s="1198">
        <v>0</v>
      </c>
      <c r="X35" s="1197"/>
      <c r="Y35" s="1302">
        <f t="shared" si="11"/>
        <v>1</v>
      </c>
    </row>
    <row r="36" spans="9:25">
      <c r="I36" s="301">
        <v>19</v>
      </c>
      <c r="J36" s="1197" t="s">
        <v>17</v>
      </c>
      <c r="K36" s="1198">
        <f t="shared" si="12"/>
        <v>12</v>
      </c>
      <c r="L36" s="1198"/>
      <c r="M36" s="1198">
        <f>'#2CCL'!N42</f>
        <v>1</v>
      </c>
      <c r="N36" s="1198">
        <f>'#2CCL'!O42</f>
        <v>1</v>
      </c>
      <c r="O36" s="1198">
        <f>'#2CCL'!P42</f>
        <v>1</v>
      </c>
      <c r="P36" s="1198">
        <f>'#2CCL'!Q42</f>
        <v>2</v>
      </c>
      <c r="Q36" s="1198">
        <f>'#2CCL'!R42</f>
        <v>1</v>
      </c>
      <c r="R36" s="1198">
        <f>'#2CCL'!S42</f>
        <v>0</v>
      </c>
      <c r="S36" s="1198">
        <f>'#2CCL'!T42</f>
        <v>2</v>
      </c>
      <c r="T36" s="1198">
        <f>'#2CCL'!U42</f>
        <v>1</v>
      </c>
      <c r="U36" s="1198">
        <f>'#2CCL'!V42</f>
        <v>1</v>
      </c>
      <c r="V36" s="1198">
        <f>'#2CCL'!W42</f>
        <v>1</v>
      </c>
      <c r="W36" s="1198">
        <f>'#2CCL'!X42</f>
        <v>1</v>
      </c>
      <c r="X36" s="1198">
        <f>'#2CCL'!Y42</f>
        <v>0</v>
      </c>
      <c r="Y36" s="1302">
        <f t="shared" si="11"/>
        <v>12</v>
      </c>
    </row>
    <row r="37" spans="9:25">
      <c r="J37" s="1197" t="s">
        <v>423</v>
      </c>
      <c r="K37" s="1198">
        <f t="shared" si="12"/>
        <v>1</v>
      </c>
      <c r="L37" s="1198"/>
      <c r="M37" s="1198">
        <v>1</v>
      </c>
      <c r="N37" s="1198">
        <v>0</v>
      </c>
      <c r="O37" s="1198">
        <v>0</v>
      </c>
      <c r="P37" s="1198">
        <v>0</v>
      </c>
      <c r="Q37" s="1198">
        <v>0</v>
      </c>
      <c r="R37" s="1198">
        <v>0</v>
      </c>
      <c r="S37" s="1198">
        <v>0</v>
      </c>
      <c r="T37" s="1198">
        <v>0</v>
      </c>
      <c r="U37" s="1198">
        <v>0</v>
      </c>
      <c r="V37" s="1198">
        <v>0</v>
      </c>
      <c r="W37" s="1198">
        <v>0</v>
      </c>
      <c r="X37" s="1197"/>
      <c r="Y37" s="1302">
        <f t="shared" si="11"/>
        <v>1</v>
      </c>
    </row>
    <row r="38" spans="9:25">
      <c r="J38" s="1197" t="s">
        <v>196</v>
      </c>
      <c r="K38" s="1198">
        <f t="shared" si="12"/>
        <v>3</v>
      </c>
      <c r="L38" s="1198"/>
      <c r="M38" s="1198">
        <v>0</v>
      </c>
      <c r="N38" s="1198">
        <v>0</v>
      </c>
      <c r="O38" s="1198">
        <v>0</v>
      </c>
      <c r="P38" s="1198">
        <v>0</v>
      </c>
      <c r="Q38" s="1198">
        <v>0</v>
      </c>
      <c r="R38" s="1198">
        <v>0</v>
      </c>
      <c r="S38" s="1198">
        <v>0</v>
      </c>
      <c r="T38" s="1198">
        <v>0</v>
      </c>
      <c r="U38" s="1198">
        <v>0</v>
      </c>
      <c r="V38" s="1198">
        <v>0</v>
      </c>
      <c r="W38" s="1198">
        <v>0</v>
      </c>
      <c r="X38" s="1197"/>
      <c r="Y38" s="1302">
        <f t="shared" si="11"/>
        <v>0</v>
      </c>
    </row>
    <row r="39" spans="9:25">
      <c r="J39" s="1197" t="s">
        <v>229</v>
      </c>
      <c r="K39" s="1197">
        <f>C14</f>
        <v>12</v>
      </c>
      <c r="L39" s="1198"/>
      <c r="M39" s="1198">
        <f>고장!N130</f>
        <v>0</v>
      </c>
      <c r="N39" s="1198">
        <f>고장!O130</f>
        <v>0</v>
      </c>
      <c r="O39" s="1198">
        <f>고장!P130</f>
        <v>1</v>
      </c>
      <c r="P39" s="1198">
        <f>고장!Q130</f>
        <v>1</v>
      </c>
      <c r="Q39" s="1198">
        <f>고장!R130</f>
        <v>3</v>
      </c>
      <c r="R39" s="1198">
        <f>고장!S130</f>
        <v>5.3</v>
      </c>
      <c r="S39" s="1198">
        <f>고장!T130</f>
        <v>2</v>
      </c>
      <c r="T39" s="1198">
        <f>고장!U130</f>
        <v>5</v>
      </c>
      <c r="U39" s="1198">
        <f>고장!V130</f>
        <v>1</v>
      </c>
      <c r="V39" s="1198">
        <f>고장!W130</f>
        <v>0</v>
      </c>
      <c r="W39" s="1198">
        <f>고장!X130</f>
        <v>0</v>
      </c>
      <c r="X39" s="1198">
        <f>고장!Y130</f>
        <v>0</v>
      </c>
      <c r="Y39" s="2485">
        <f>SUM(M39:X39)</f>
        <v>18.3</v>
      </c>
    </row>
    <row r="40" spans="9:25">
      <c r="J40" s="1197" t="s">
        <v>230</v>
      </c>
      <c r="K40" s="1197">
        <f>C15</f>
        <v>16</v>
      </c>
      <c r="L40" s="1198"/>
      <c r="M40" s="1198">
        <f>고장!N97</f>
        <v>0</v>
      </c>
      <c r="N40" s="1198">
        <f>고장!O97</f>
        <v>2</v>
      </c>
      <c r="O40" s="1198">
        <f>고장!P97</f>
        <v>5</v>
      </c>
      <c r="P40" s="1198">
        <f>고장!Q97</f>
        <v>3</v>
      </c>
      <c r="Q40" s="1198">
        <f>고장!R97</f>
        <v>2</v>
      </c>
      <c r="R40" s="1198">
        <f>고장!S97</f>
        <v>4</v>
      </c>
      <c r="S40" s="1198">
        <f>고장!T97</f>
        <v>3</v>
      </c>
      <c r="T40" s="1198">
        <f>고장!U97</f>
        <v>4.8</v>
      </c>
      <c r="U40" s="1198">
        <f>고장!V97</f>
        <v>1</v>
      </c>
      <c r="V40" s="1198">
        <f>고장!W97</f>
        <v>0</v>
      </c>
      <c r="W40" s="1198">
        <f>고장!X97</f>
        <v>0</v>
      </c>
      <c r="X40" s="1198">
        <f>고장!Y97</f>
        <v>0</v>
      </c>
      <c r="Y40" s="2485">
        <f t="shared" si="11"/>
        <v>24.8</v>
      </c>
    </row>
    <row r="41" spans="9:25">
      <c r="J41" s="1197" t="s">
        <v>233</v>
      </c>
      <c r="K41" s="1197">
        <f>C16</f>
        <v>8</v>
      </c>
      <c r="L41" s="1198"/>
      <c r="M41" s="1198">
        <f>고장!N140</f>
        <v>1</v>
      </c>
      <c r="N41" s="1198">
        <f>고장!O140</f>
        <v>1</v>
      </c>
      <c r="O41" s="1198">
        <f>고장!P140</f>
        <v>2</v>
      </c>
      <c r="P41" s="1198">
        <f>고장!Q140</f>
        <v>1</v>
      </c>
      <c r="Q41" s="1198">
        <f>고장!R140</f>
        <v>2</v>
      </c>
      <c r="R41" s="1198">
        <f>고장!S140</f>
        <v>4</v>
      </c>
      <c r="S41" s="1198">
        <f>고장!T140</f>
        <v>1</v>
      </c>
      <c r="T41" s="1198">
        <f>고장!U140</f>
        <v>1</v>
      </c>
      <c r="U41" s="1198">
        <f>고장!V140</f>
        <v>1</v>
      </c>
      <c r="V41" s="1198">
        <f>고장!W140</f>
        <v>0</v>
      </c>
      <c r="W41" s="1198">
        <f>고장!X140</f>
        <v>0</v>
      </c>
      <c r="X41" s="1198">
        <f>고장!Y140</f>
        <v>0</v>
      </c>
      <c r="Y41" s="2485">
        <f t="shared" si="11"/>
        <v>14</v>
      </c>
    </row>
    <row r="42" spans="9:25">
      <c r="J42" s="1197" t="s">
        <v>231</v>
      </c>
      <c r="K42" s="1197">
        <f>C18</f>
        <v>4</v>
      </c>
      <c r="L42" s="1198"/>
      <c r="M42" s="1198">
        <v>0</v>
      </c>
      <c r="N42" s="1198">
        <v>1</v>
      </c>
      <c r="O42" s="1198">
        <v>0</v>
      </c>
      <c r="P42" s="1198">
        <v>0</v>
      </c>
      <c r="Q42" s="1198">
        <v>0</v>
      </c>
      <c r="R42" s="1198">
        <v>0</v>
      </c>
      <c r="S42" s="1198">
        <v>0</v>
      </c>
      <c r="T42" s="1198">
        <v>0</v>
      </c>
      <c r="U42" s="1198">
        <v>2</v>
      </c>
      <c r="V42" s="1198">
        <v>0</v>
      </c>
      <c r="W42" s="1198">
        <v>0</v>
      </c>
      <c r="X42" s="1197"/>
      <c r="Y42" s="1302">
        <f t="shared" si="11"/>
        <v>3</v>
      </c>
    </row>
    <row r="43" spans="9:25">
      <c r="J43" s="2031" t="s">
        <v>1080</v>
      </c>
      <c r="K43" s="2031">
        <v>4</v>
      </c>
      <c r="L43" s="1198"/>
      <c r="M43" s="1198">
        <v>0</v>
      </c>
      <c r="N43" s="1198">
        <v>0</v>
      </c>
      <c r="O43" s="1198">
        <v>0</v>
      </c>
      <c r="P43" s="1198">
        <v>0</v>
      </c>
      <c r="Q43" s="1198">
        <v>0</v>
      </c>
      <c r="R43" s="1198">
        <v>0</v>
      </c>
      <c r="S43" s="1198">
        <v>0</v>
      </c>
      <c r="T43" s="1198">
        <v>0</v>
      </c>
      <c r="U43" s="1198">
        <v>0</v>
      </c>
      <c r="V43" s="1198">
        <v>0</v>
      </c>
      <c r="W43" s="1198">
        <v>2</v>
      </c>
      <c r="X43" s="2031"/>
      <c r="Y43" s="2032">
        <f t="shared" si="11"/>
        <v>2</v>
      </c>
    </row>
    <row r="44" spans="9:25">
      <c r="X44" s="302" t="s">
        <v>892</v>
      </c>
      <c r="Y44" s="1303">
        <f>SUM(Y29:Y43)</f>
        <v>119.1</v>
      </c>
    </row>
  </sheetData>
  <mergeCells count="6">
    <mergeCell ref="L14:L17"/>
    <mergeCell ref="A21:B21"/>
    <mergeCell ref="A2:B2"/>
    <mergeCell ref="A3:A13"/>
    <mergeCell ref="A14:A17"/>
    <mergeCell ref="A18:A20"/>
  </mergeCells>
  <phoneticPr fontId="22" type="noConversion"/>
  <pageMargins left="0" right="0" top="0.15748031496062992" bottom="0" header="0.31496062992125984" footer="0.31496062992125984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9"/>
  <sheetViews>
    <sheetView workbookViewId="0">
      <selection activeCell="V30" sqref="V29:V30"/>
    </sheetView>
  </sheetViews>
  <sheetFormatPr defaultRowHeight="14.4"/>
  <cols>
    <col min="6" max="6" width="9.796875" bestFit="1" customWidth="1"/>
    <col min="7" max="13" width="9.796875" hidden="1" customWidth="1"/>
    <col min="14" max="15" width="9.296875" hidden="1" customWidth="1"/>
    <col min="16" max="17" width="9.296875" customWidth="1"/>
    <col min="18" max="18" width="13.19921875" bestFit="1" customWidth="1"/>
    <col min="19" max="19" width="9.796875" customWidth="1"/>
    <col min="20" max="22" width="10.796875" customWidth="1"/>
    <col min="23" max="24" width="9.796875" customWidth="1"/>
    <col min="25" max="25" width="9.8984375" customWidth="1"/>
    <col min="26" max="26" width="10.69921875" customWidth="1"/>
    <col min="27" max="27" width="9.8984375" customWidth="1"/>
    <col min="28" max="28" width="10.296875" customWidth="1"/>
    <col min="29" max="29" width="10.09765625" bestFit="1" customWidth="1"/>
    <col min="30" max="30" width="10.19921875" bestFit="1" customWidth="1"/>
    <col min="31" max="31" width="12.5" customWidth="1"/>
    <col min="32" max="32" width="10.296875" customWidth="1"/>
    <col min="34" max="34" width="14.09765625" bestFit="1" customWidth="1"/>
    <col min="36" max="36" width="21.3984375" customWidth="1"/>
  </cols>
  <sheetData>
    <row r="1" spans="1:36" ht="17.399999999999999">
      <c r="A1" s="7635" t="s">
        <v>282</v>
      </c>
      <c r="B1" s="7637" t="s">
        <v>283</v>
      </c>
      <c r="C1" s="7639" t="s">
        <v>284</v>
      </c>
      <c r="D1" s="5937" t="s">
        <v>1862</v>
      </c>
      <c r="E1" s="5938" t="s">
        <v>286</v>
      </c>
      <c r="F1" s="7641" t="s">
        <v>495</v>
      </c>
      <c r="G1" s="7641"/>
      <c r="H1" s="7641"/>
      <c r="I1" s="7641"/>
      <c r="J1" s="7641"/>
      <c r="K1" s="7641"/>
      <c r="L1" s="7641"/>
      <c r="M1" s="7641"/>
      <c r="N1" s="7641"/>
      <c r="O1" s="7641"/>
      <c r="P1" s="7641"/>
      <c r="Q1" s="7641"/>
      <c r="R1" s="7641"/>
      <c r="S1" s="7641"/>
      <c r="T1" s="7641"/>
      <c r="U1" s="7641"/>
      <c r="V1" s="7641"/>
      <c r="W1" s="7641"/>
      <c r="X1" s="7641"/>
      <c r="Y1" s="7641"/>
      <c r="Z1" s="7641"/>
      <c r="AA1" s="7641"/>
      <c r="AB1" s="7641"/>
      <c r="AC1" s="7642"/>
      <c r="AD1" s="7632" t="s">
        <v>1863</v>
      </c>
      <c r="AE1" s="7623" t="s">
        <v>462</v>
      </c>
      <c r="AF1" s="7623" t="s">
        <v>365</v>
      </c>
      <c r="AG1" s="7627" t="s">
        <v>287</v>
      </c>
    </row>
    <row r="2" spans="1:36" ht="18" thickBot="1">
      <c r="A2" s="7636"/>
      <c r="B2" s="7638"/>
      <c r="C2" s="7640"/>
      <c r="D2" s="6894" t="s">
        <v>1851</v>
      </c>
      <c r="E2" s="6895" t="s">
        <v>1852</v>
      </c>
      <c r="F2" s="6896" t="s">
        <v>370</v>
      </c>
      <c r="G2" s="6897"/>
      <c r="H2" s="6897" t="s">
        <v>373</v>
      </c>
      <c r="I2" s="6897" t="s">
        <v>374</v>
      </c>
      <c r="J2" s="6897" t="s">
        <v>375</v>
      </c>
      <c r="K2" s="6897" t="s">
        <v>376</v>
      </c>
      <c r="L2" s="6897" t="s">
        <v>377</v>
      </c>
      <c r="M2" s="6897" t="s">
        <v>378</v>
      </c>
      <c r="N2" s="6897" t="s">
        <v>379</v>
      </c>
      <c r="O2" s="6897" t="s">
        <v>380</v>
      </c>
      <c r="P2" s="6897" t="s">
        <v>381</v>
      </c>
      <c r="Q2" s="6897" t="s">
        <v>382</v>
      </c>
      <c r="R2" s="752" t="s">
        <v>371</v>
      </c>
      <c r="S2" s="752" t="s">
        <v>383</v>
      </c>
      <c r="T2" s="752" t="s">
        <v>384</v>
      </c>
      <c r="U2" s="752" t="s">
        <v>385</v>
      </c>
      <c r="V2" s="752" t="s">
        <v>386</v>
      </c>
      <c r="W2" s="752" t="s">
        <v>387</v>
      </c>
      <c r="X2" s="752" t="s">
        <v>388</v>
      </c>
      <c r="Y2" s="752" t="s">
        <v>389</v>
      </c>
      <c r="Z2" s="752" t="s">
        <v>390</v>
      </c>
      <c r="AA2" s="752" t="s">
        <v>391</v>
      </c>
      <c r="AB2" s="752" t="s">
        <v>392</v>
      </c>
      <c r="AC2" s="752" t="s">
        <v>393</v>
      </c>
      <c r="AD2" s="7597"/>
      <c r="AE2" s="7624"/>
      <c r="AF2" s="7624"/>
      <c r="AG2" s="7628"/>
    </row>
    <row r="3" spans="1:36" ht="17.399999999999999">
      <c r="A3" s="7629" t="s">
        <v>288</v>
      </c>
      <c r="B3" s="7633" t="s">
        <v>1071</v>
      </c>
      <c r="C3" s="6887" t="s">
        <v>1853</v>
      </c>
      <c r="D3" s="1311">
        <v>18312.150000000001</v>
      </c>
      <c r="E3" s="2288">
        <v>25200</v>
      </c>
      <c r="F3" s="6899">
        <v>1773.1469999999999</v>
      </c>
      <c r="G3" s="6900">
        <v>1951.7560000000001</v>
      </c>
      <c r="H3" s="6900">
        <v>1350.914</v>
      </c>
      <c r="I3" s="6900">
        <v>1957.5889999999999</v>
      </c>
      <c r="J3" s="6900">
        <v>1570.998</v>
      </c>
      <c r="K3" s="6900">
        <v>2096.136</v>
      </c>
      <c r="L3" s="6900">
        <v>1391.4</v>
      </c>
      <c r="M3" s="6900">
        <v>1672.1559999999999</v>
      </c>
      <c r="N3" s="6900">
        <v>1802.615</v>
      </c>
      <c r="O3" s="6900">
        <v>1870.7139999999999</v>
      </c>
      <c r="P3" s="6900">
        <v>3059.482</v>
      </c>
      <c r="Q3" s="6901">
        <v>1786.049</v>
      </c>
      <c r="R3" s="6893"/>
      <c r="S3" s="5963"/>
      <c r="T3" s="5963"/>
      <c r="U3" s="5963"/>
      <c r="V3" s="5963"/>
      <c r="W3" s="5963"/>
      <c r="X3" s="5963"/>
      <c r="Y3" s="5963"/>
      <c r="Z3" s="5963"/>
      <c r="AA3" s="363"/>
      <c r="AB3" s="363"/>
      <c r="AC3" s="363"/>
      <c r="AD3" s="364"/>
      <c r="AE3" s="365"/>
      <c r="AF3" s="366"/>
      <c r="AG3" s="347"/>
    </row>
    <row r="4" spans="1:36" s="299" customFormat="1" ht="17.399999999999999">
      <c r="A4" s="7629"/>
      <c r="B4" s="7626"/>
      <c r="C4" s="5967" t="s">
        <v>1072</v>
      </c>
      <c r="D4" s="3643">
        <v>5317.89</v>
      </c>
      <c r="E4" s="3644">
        <v>4800</v>
      </c>
      <c r="F4" s="6876">
        <v>330.31400000000002</v>
      </c>
      <c r="G4" s="6877">
        <v>217.28899999999999</v>
      </c>
      <c r="H4" s="6877">
        <v>480.05799999999999</v>
      </c>
      <c r="I4" s="6877">
        <v>311.38600000000002</v>
      </c>
      <c r="J4" s="6877">
        <v>399.81700000000001</v>
      </c>
      <c r="K4" s="6877">
        <v>338</v>
      </c>
      <c r="L4" s="6877">
        <v>297</v>
      </c>
      <c r="M4" s="6877">
        <v>151</v>
      </c>
      <c r="N4" s="6877">
        <v>218</v>
      </c>
      <c r="O4" s="6877">
        <v>308</v>
      </c>
      <c r="P4" s="6877">
        <v>125.512</v>
      </c>
      <c r="Q4" s="6902">
        <v>158.57</v>
      </c>
      <c r="R4" s="6893"/>
      <c r="S4" s="5964"/>
      <c r="T4" s="5964"/>
      <c r="U4" s="5964"/>
      <c r="V4" s="5964"/>
      <c r="W4" s="5964"/>
      <c r="X4" s="5964"/>
      <c r="Y4" s="5964"/>
      <c r="Z4" s="5964"/>
      <c r="AA4" s="4162"/>
      <c r="AB4" s="4162"/>
      <c r="AC4" s="4162"/>
      <c r="AD4" s="1629"/>
      <c r="AE4" s="1634"/>
      <c r="AF4" s="2030"/>
      <c r="AG4" s="1635"/>
      <c r="AI4" s="299" t="s">
        <v>1864</v>
      </c>
    </row>
    <row r="5" spans="1:36" s="299" customFormat="1" ht="17.399999999999999">
      <c r="A5" s="7629"/>
      <c r="B5" s="7626"/>
      <c r="C5" s="5967" t="s">
        <v>1992</v>
      </c>
      <c r="D5" s="5971"/>
      <c r="E5" s="3644"/>
      <c r="F5" s="6876">
        <v>0</v>
      </c>
      <c r="G5" s="6877">
        <v>0</v>
      </c>
      <c r="H5" s="6877">
        <v>0</v>
      </c>
      <c r="I5" s="6877">
        <v>0</v>
      </c>
      <c r="J5" s="6877">
        <v>0</v>
      </c>
      <c r="K5" s="6877">
        <v>124</v>
      </c>
      <c r="L5" s="6877">
        <v>41</v>
      </c>
      <c r="M5" s="6877">
        <v>99</v>
      </c>
      <c r="N5" s="6877">
        <v>126</v>
      </c>
      <c r="O5" s="6877">
        <v>81</v>
      </c>
      <c r="P5" s="6877">
        <v>49.35</v>
      </c>
      <c r="Q5" s="6902">
        <v>88.664000000000001</v>
      </c>
      <c r="R5" s="6893"/>
      <c r="S5" s="5964"/>
      <c r="T5" s="5964"/>
      <c r="U5" s="5964"/>
      <c r="V5" s="5964"/>
      <c r="W5" s="5964"/>
      <c r="X5" s="5964"/>
      <c r="Y5" s="5964"/>
      <c r="Z5" s="5964"/>
      <c r="AA5" s="4162"/>
      <c r="AB5" s="4162"/>
      <c r="AC5" s="4162"/>
      <c r="AD5" s="3602"/>
      <c r="AE5" s="5959"/>
      <c r="AF5" s="4166"/>
      <c r="AG5" s="3753"/>
    </row>
    <row r="6" spans="1:36" s="299" customFormat="1" ht="18" thickBot="1">
      <c r="A6" s="7629"/>
      <c r="B6" s="7634"/>
      <c r="C6" s="6889" t="s">
        <v>1073</v>
      </c>
      <c r="D6" s="6903">
        <v>23630.04</v>
      </c>
      <c r="E6" s="5421">
        <v>30000</v>
      </c>
      <c r="F6" s="6904">
        <f>SUM(F3:F5)</f>
        <v>2103.4609999999998</v>
      </c>
      <c r="G6" s="6904">
        <f>SUM(G3:G5)</f>
        <v>2169.0450000000001</v>
      </c>
      <c r="H6" s="6904">
        <f t="shared" ref="H6:P6" si="0">SUM(H3:H5)</f>
        <v>1830.972</v>
      </c>
      <c r="I6" s="6904">
        <f t="shared" si="0"/>
        <v>2268.9749999999999</v>
      </c>
      <c r="J6" s="6904">
        <f t="shared" si="0"/>
        <v>1970.8150000000001</v>
      </c>
      <c r="K6" s="6904">
        <f t="shared" si="0"/>
        <v>2558.136</v>
      </c>
      <c r="L6" s="6904">
        <f t="shared" si="0"/>
        <v>1729.4</v>
      </c>
      <c r="M6" s="6904">
        <f t="shared" si="0"/>
        <v>1922.1559999999999</v>
      </c>
      <c r="N6" s="6904">
        <f t="shared" si="0"/>
        <v>2146.6149999999998</v>
      </c>
      <c r="O6" s="6904">
        <f t="shared" si="0"/>
        <v>2259.7139999999999</v>
      </c>
      <c r="P6" s="6904">
        <f t="shared" si="0"/>
        <v>3234.3440000000001</v>
      </c>
      <c r="Q6" s="6905">
        <v>2033.2829999999999</v>
      </c>
      <c r="R6" s="6893"/>
      <c r="S6" s="5964"/>
      <c r="T6" s="5964"/>
      <c r="U6" s="5964"/>
      <c r="V6" s="5964"/>
      <c r="W6" s="5964"/>
      <c r="X6" s="5964"/>
      <c r="Y6" s="5964"/>
      <c r="Z6" s="5964"/>
      <c r="AA6" s="4162"/>
      <c r="AB6" s="4162"/>
      <c r="AC6" s="4162"/>
      <c r="AD6" s="1629"/>
      <c r="AE6" s="1634"/>
      <c r="AF6" s="2030"/>
      <c r="AG6" s="1635"/>
      <c r="AI6" s="299">
        <f>1/1000</f>
        <v>1E-3</v>
      </c>
    </row>
    <row r="7" spans="1:36" ht="17.399999999999999">
      <c r="A7" s="7620"/>
      <c r="B7" s="6874" t="s">
        <v>291</v>
      </c>
      <c r="C7" s="6883" t="s">
        <v>310</v>
      </c>
      <c r="D7" s="6898">
        <v>5.82</v>
      </c>
      <c r="E7" s="2307">
        <v>7</v>
      </c>
      <c r="F7" s="6675">
        <v>6.09</v>
      </c>
      <c r="G7" s="1057">
        <v>5.74</v>
      </c>
      <c r="H7" s="1057">
        <v>5</v>
      </c>
      <c r="I7" s="1057">
        <v>5.59</v>
      </c>
      <c r="J7" s="1057">
        <v>4.9000000000000004</v>
      </c>
      <c r="K7" s="1057">
        <v>6.57</v>
      </c>
      <c r="L7" s="1057">
        <v>7.1</v>
      </c>
      <c r="M7" s="1057">
        <v>7.11</v>
      </c>
      <c r="N7" s="1057">
        <v>7.11</v>
      </c>
      <c r="O7" s="1057">
        <v>7.01</v>
      </c>
      <c r="P7" s="1057">
        <v>7.37</v>
      </c>
      <c r="Q7" s="1057">
        <v>6.33</v>
      </c>
      <c r="R7" s="5960">
        <f>(F6/$D$7-F6/F7)*$S$21</f>
        <v>1396465.8697704528</v>
      </c>
      <c r="S7" s="5960">
        <f t="shared" ref="S7:AC7" si="1">(G6/$D$7-G6/G7)*$S$21</f>
        <v>-452684.94029958028</v>
      </c>
      <c r="T7" s="5960">
        <f t="shared" si="1"/>
        <v>-4496503.5544000007</v>
      </c>
      <c r="U7" s="5960">
        <f t="shared" si="1"/>
        <v>-1397961.2357532785</v>
      </c>
      <c r="V7" s="5960">
        <f t="shared" si="1"/>
        <v>-5540985.2801669138</v>
      </c>
      <c r="W7" s="5960">
        <f t="shared" si="1"/>
        <v>4372893.6303723603</v>
      </c>
      <c r="X7" s="5960">
        <f t="shared" si="1"/>
        <v>4668705.3490150487</v>
      </c>
      <c r="Y7" s="5960">
        <f t="shared" si="1"/>
        <v>5222255.6838110955</v>
      </c>
      <c r="Z7" s="5960">
        <f t="shared" si="1"/>
        <v>5832082.5077174595</v>
      </c>
      <c r="AA7" s="5960">
        <f t="shared" si="1"/>
        <v>5744229.8539803168</v>
      </c>
      <c r="AB7" s="5960">
        <f t="shared" si="1"/>
        <v>10185909.408281928</v>
      </c>
      <c r="AC7" s="5960">
        <f t="shared" si="1"/>
        <v>2453091.1503566722</v>
      </c>
      <c r="AD7" s="5960">
        <v>85185.187999999995</v>
      </c>
      <c r="AE7" s="365">
        <f>R7+S7+T7+U7+V7+W7+X7+Y7+Z7+AA7+AB7</f>
        <v>25534407.292328887</v>
      </c>
      <c r="AF7" s="366">
        <f>AE7/AD7</f>
        <v>299.75172787467335</v>
      </c>
      <c r="AG7" s="347" t="s">
        <v>736</v>
      </c>
      <c r="AH7" s="3826">
        <v>85185188</v>
      </c>
      <c r="AI7" s="3826">
        <f>AH7*$AI$6</f>
        <v>85185.187999999995</v>
      </c>
      <c r="AJ7" s="299" t="s">
        <v>2010</v>
      </c>
    </row>
    <row r="8" spans="1:36" ht="18" thickBot="1">
      <c r="A8" s="7620"/>
      <c r="B8" s="6875" t="s">
        <v>265</v>
      </c>
      <c r="C8" s="6881" t="s">
        <v>294</v>
      </c>
      <c r="D8" s="6882">
        <v>98.17</v>
      </c>
      <c r="E8" s="3443">
        <v>98.5</v>
      </c>
      <c r="F8" s="6635">
        <v>99.01</v>
      </c>
      <c r="G8" s="3576">
        <v>99.85</v>
      </c>
      <c r="H8" s="3576">
        <v>97.42</v>
      </c>
      <c r="I8" s="3576">
        <v>97.99</v>
      </c>
      <c r="J8" s="3576">
        <v>99.15</v>
      </c>
      <c r="K8" s="3576">
        <v>98.66</v>
      </c>
      <c r="L8" s="3576">
        <v>98.91</v>
      </c>
      <c r="M8" s="3576">
        <v>98.5</v>
      </c>
      <c r="N8" s="3576">
        <v>97.11</v>
      </c>
      <c r="O8" s="3576">
        <v>97.26</v>
      </c>
      <c r="P8" s="3576">
        <v>96.74</v>
      </c>
      <c r="Q8" s="3576">
        <v>98.83</v>
      </c>
      <c r="R8" s="5960">
        <f>(F8-$D$8)/100*R24*$S$21</f>
        <v>236092.05900000097</v>
      </c>
      <c r="S8" s="5960">
        <f t="shared" ref="S8:AB8" si="2">(G8-$D$8)/100*S24*$S$21</f>
        <v>498123.74163999781</v>
      </c>
      <c r="T8" s="5960">
        <f t="shared" si="2"/>
        <v>-176622.39537499996</v>
      </c>
      <c r="U8" s="5960">
        <f t="shared" si="2"/>
        <v>-54894.671880002083</v>
      </c>
      <c r="V8" s="5960">
        <f t="shared" si="2"/>
        <v>273803.74921666778</v>
      </c>
      <c r="W8" s="5960">
        <f t="shared" si="2"/>
        <v>136289.78408499857</v>
      </c>
      <c r="X8" s="5960">
        <f t="shared" si="2"/>
        <v>126307.07278999913</v>
      </c>
      <c r="Y8" s="5960">
        <f t="shared" si="2"/>
        <v>70605.382649999636</v>
      </c>
      <c r="Z8" s="5960">
        <f t="shared" si="2"/>
        <v>-237663.10102666717</v>
      </c>
      <c r="AA8" s="5960">
        <f t="shared" si="2"/>
        <v>-211526.08037166583</v>
      </c>
      <c r="AB8" s="5960">
        <f t="shared" si="2"/>
        <v>-517093.75455833582</v>
      </c>
      <c r="AC8" s="5960">
        <f>(Q8-$D$8)/100*AC24*$S$21</f>
        <v>162416.34661999918</v>
      </c>
      <c r="AD8" s="5983">
        <v>871.43700000000001</v>
      </c>
      <c r="AE8" s="365">
        <f>R8+S8+T8+U8+V8+W8+X8+Y8+Z8+AA8+AB8</f>
        <v>143421.78616999293</v>
      </c>
      <c r="AF8" s="366">
        <f t="shared" ref="AF8:AF19" si="3">AE8/AD8</f>
        <v>164.58078572517914</v>
      </c>
      <c r="AG8" s="347" t="s">
        <v>736</v>
      </c>
      <c r="AH8" s="3826">
        <v>871437</v>
      </c>
      <c r="AI8" s="3826">
        <f t="shared" ref="AI8:AI20" si="4">AH8*$AI$6</f>
        <v>871.43700000000001</v>
      </c>
      <c r="AJ8" s="299" t="s">
        <v>2002</v>
      </c>
    </row>
    <row r="9" spans="1:36" ht="17.399999999999999">
      <c r="A9" s="7630" t="s">
        <v>296</v>
      </c>
      <c r="B9" s="7643" t="s">
        <v>1993</v>
      </c>
      <c r="C9" s="6887" t="s">
        <v>1994</v>
      </c>
      <c r="D9" s="6888">
        <v>98.61</v>
      </c>
      <c r="E9" s="1544">
        <v>98.4</v>
      </c>
      <c r="F9" s="6848"/>
      <c r="G9" s="1072"/>
      <c r="H9" s="1072"/>
      <c r="I9" s="1072"/>
      <c r="J9" s="1072"/>
      <c r="K9" s="1072"/>
      <c r="L9" s="1072"/>
      <c r="M9" s="1072">
        <v>99.03</v>
      </c>
      <c r="N9" s="1072">
        <v>98.93</v>
      </c>
      <c r="O9" s="1072">
        <v>98.97</v>
      </c>
      <c r="P9" s="1072">
        <v>98.89</v>
      </c>
      <c r="Q9" s="1548">
        <v>98.11</v>
      </c>
      <c r="R9" s="6880"/>
      <c r="S9" s="6880"/>
      <c r="T9" s="6880"/>
      <c r="U9" s="6880"/>
      <c r="V9" s="6880"/>
      <c r="W9" s="6880"/>
      <c r="X9" s="6880"/>
      <c r="Y9" s="6880"/>
      <c r="Z9" s="6880"/>
      <c r="AA9" s="6880"/>
      <c r="AB9" s="6880"/>
      <c r="AC9" s="6880"/>
      <c r="AD9" s="5983"/>
      <c r="AE9" s="365">
        <f>R9+S9+T9+U9+V9+W9+X9+Y9+Z9+AA9+AB9</f>
        <v>0</v>
      </c>
      <c r="AF9" s="366" t="e">
        <f t="shared" si="3"/>
        <v>#DIV/0!</v>
      </c>
      <c r="AG9" s="347" t="s">
        <v>737</v>
      </c>
      <c r="AH9" s="3826">
        <v>14160276</v>
      </c>
      <c r="AI9" s="3826">
        <f t="shared" si="4"/>
        <v>14160.276</v>
      </c>
    </row>
    <row r="10" spans="1:36" s="299" customFormat="1" ht="17.399999999999999">
      <c r="A10" s="7631"/>
      <c r="B10" s="7626"/>
      <c r="C10" s="5967" t="s">
        <v>1995</v>
      </c>
      <c r="D10" s="4334">
        <v>97.22</v>
      </c>
      <c r="E10" s="3646"/>
      <c r="F10" s="5969"/>
      <c r="G10" s="6878"/>
      <c r="H10" s="6878"/>
      <c r="I10" s="6878"/>
      <c r="J10" s="6878"/>
      <c r="K10" s="6878"/>
      <c r="L10" s="6878"/>
      <c r="M10" s="6878">
        <v>97.58</v>
      </c>
      <c r="N10" s="6878">
        <v>97.63</v>
      </c>
      <c r="O10" s="6878">
        <v>97.34</v>
      </c>
      <c r="P10" s="6878">
        <v>99.1</v>
      </c>
      <c r="Q10" s="5975">
        <v>98.4</v>
      </c>
      <c r="R10" s="6880"/>
      <c r="S10" s="5960"/>
      <c r="T10" s="5960"/>
      <c r="U10" s="5960"/>
      <c r="V10" s="5960"/>
      <c r="W10" s="5960"/>
      <c r="X10" s="5960"/>
      <c r="Y10" s="5960"/>
      <c r="Z10" s="5960"/>
      <c r="AA10" s="5960"/>
      <c r="AB10" s="5960"/>
      <c r="AC10" s="5960"/>
      <c r="AD10" s="6879"/>
      <c r="AE10" s="5959"/>
      <c r="AF10" s="4166"/>
      <c r="AG10" s="3753"/>
      <c r="AH10" s="3826"/>
      <c r="AI10" s="3826"/>
    </row>
    <row r="11" spans="1:36" s="299" customFormat="1" ht="17.399999999999999">
      <c r="A11" s="7631"/>
      <c r="B11" s="7626"/>
      <c r="C11" s="5967" t="s">
        <v>1992</v>
      </c>
      <c r="D11" s="4334"/>
      <c r="E11" s="3646"/>
      <c r="F11" s="5969"/>
      <c r="G11" s="6878"/>
      <c r="H11" s="6878"/>
      <c r="I11" s="6878"/>
      <c r="J11" s="6878"/>
      <c r="K11" s="6878"/>
      <c r="L11" s="6878"/>
      <c r="M11" s="6878"/>
      <c r="N11" s="6878"/>
      <c r="O11" s="6878"/>
      <c r="P11" s="6878">
        <v>95.65</v>
      </c>
      <c r="Q11" s="5975">
        <v>95.76</v>
      </c>
      <c r="R11" s="6880"/>
      <c r="S11" s="5960"/>
      <c r="T11" s="5960"/>
      <c r="U11" s="5960"/>
      <c r="V11" s="5960"/>
      <c r="W11" s="5960"/>
      <c r="X11" s="5960"/>
      <c r="Y11" s="5960"/>
      <c r="Z11" s="5960"/>
      <c r="AA11" s="5960"/>
      <c r="AB11" s="5960"/>
      <c r="AC11" s="5960"/>
      <c r="AD11" s="6879"/>
      <c r="AE11" s="5959"/>
      <c r="AF11" s="4166"/>
      <c r="AG11" s="3753"/>
      <c r="AH11" s="3826"/>
      <c r="AI11" s="3826"/>
    </row>
    <row r="12" spans="1:36" s="299" customFormat="1" ht="18" thickBot="1">
      <c r="A12" s="7631"/>
      <c r="B12" s="7634"/>
      <c r="C12" s="6889" t="s">
        <v>16</v>
      </c>
      <c r="D12" s="6890">
        <v>98.26</v>
      </c>
      <c r="E12" s="6891"/>
      <c r="F12" s="6857">
        <v>98.95</v>
      </c>
      <c r="G12" s="6892">
        <v>98.6</v>
      </c>
      <c r="H12" s="6892">
        <v>98.59</v>
      </c>
      <c r="I12" s="6892">
        <v>98.38</v>
      </c>
      <c r="J12" s="6892">
        <v>98.75</v>
      </c>
      <c r="K12" s="6892">
        <v>98.9</v>
      </c>
      <c r="L12" s="6892">
        <v>99.07</v>
      </c>
      <c r="M12" s="6892">
        <v>98.84</v>
      </c>
      <c r="N12" s="6892">
        <v>98.72</v>
      </c>
      <c r="O12" s="6892">
        <v>98.69</v>
      </c>
      <c r="P12" s="6892">
        <v>98.85</v>
      </c>
      <c r="Q12" s="5638">
        <v>98.03</v>
      </c>
      <c r="R12" s="6880">
        <f>(F12-$D$12)/100*F6*$S$22</f>
        <v>11417808.854173761</v>
      </c>
      <c r="S12" s="6880">
        <f t="shared" ref="S12:AC12" si="5">(G12-$D$12)/100*G6*$S$22</f>
        <v>5801585.4395458158</v>
      </c>
      <c r="T12" s="6880">
        <f t="shared" si="5"/>
        <v>4753295.959183176</v>
      </c>
      <c r="U12" s="6880">
        <f t="shared" si="5"/>
        <v>2141954.1491398276</v>
      </c>
      <c r="V12" s="6880">
        <f t="shared" si="5"/>
        <v>7596982.9605669212</v>
      </c>
      <c r="W12" s="6880">
        <f t="shared" si="5"/>
        <v>12879613.08641281</v>
      </c>
      <c r="X12" s="6880">
        <f t="shared" si="5"/>
        <v>11019951.591479838</v>
      </c>
      <c r="Y12" s="6880">
        <f t="shared" si="5"/>
        <v>8770328.0530735739</v>
      </c>
      <c r="Z12" s="6880">
        <f t="shared" si="5"/>
        <v>7768035.5545778936</v>
      </c>
      <c r="AA12" s="6880">
        <f t="shared" si="5"/>
        <v>7644008.2144762697</v>
      </c>
      <c r="AB12" s="6880">
        <f t="shared" si="5"/>
        <v>15011961.218986927</v>
      </c>
      <c r="AC12" s="6880">
        <f t="shared" si="5"/>
        <v>-3678958.4151138631</v>
      </c>
      <c r="AD12" s="6906">
        <f>SUM(R12:AC12)</f>
        <v>91126566.666502938</v>
      </c>
      <c r="AE12" s="365">
        <f t="shared" ref="AE12:AE19" si="6">R12+S12+T12+U12+V12+W12+X12+Y12+Z12+AA12+AB12</f>
        <v>94805525.081616804</v>
      </c>
      <c r="AF12" s="4166"/>
      <c r="AG12" s="3753"/>
      <c r="AH12" s="3826"/>
      <c r="AI12" s="3826"/>
      <c r="AJ12" s="299" t="s">
        <v>2003</v>
      </c>
    </row>
    <row r="13" spans="1:36" ht="17.399999999999999">
      <c r="A13" s="7626"/>
      <c r="B13" s="6874" t="s">
        <v>518</v>
      </c>
      <c r="C13" s="6883" t="s">
        <v>309</v>
      </c>
      <c r="D13" s="6884">
        <v>5.99</v>
      </c>
      <c r="E13" s="2289">
        <v>5</v>
      </c>
      <c r="F13" s="6885">
        <v>0</v>
      </c>
      <c r="G13" s="6886">
        <v>0</v>
      </c>
      <c r="H13" s="6886">
        <v>0</v>
      </c>
      <c r="I13" s="6886">
        <v>0</v>
      </c>
      <c r="J13" s="6886">
        <v>0</v>
      </c>
      <c r="K13" s="6886">
        <v>0</v>
      </c>
      <c r="L13" s="6886">
        <v>0</v>
      </c>
      <c r="M13" s="6886">
        <v>0</v>
      </c>
      <c r="N13" s="6886">
        <v>0</v>
      </c>
      <c r="O13" s="6886">
        <v>0</v>
      </c>
      <c r="P13" s="6886">
        <v>0</v>
      </c>
      <c r="Q13" s="6886">
        <v>0</v>
      </c>
      <c r="R13" s="5960">
        <f>(($D$13/12)-F13)*$S$22</f>
        <v>392685.4316666667</v>
      </c>
      <c r="S13" s="5960">
        <f t="shared" ref="S13:AC13" si="7">(($D$13/12)-G13)*$S$22</f>
        <v>392685.4316666667</v>
      </c>
      <c r="T13" s="5960">
        <f t="shared" si="7"/>
        <v>392685.4316666667</v>
      </c>
      <c r="U13" s="5960">
        <f t="shared" si="7"/>
        <v>392685.4316666667</v>
      </c>
      <c r="V13" s="5960">
        <f t="shared" si="7"/>
        <v>392685.4316666667</v>
      </c>
      <c r="W13" s="5960">
        <f t="shared" si="7"/>
        <v>392685.4316666667</v>
      </c>
      <c r="X13" s="5960">
        <f t="shared" si="7"/>
        <v>392685.4316666667</v>
      </c>
      <c r="Y13" s="5960">
        <f t="shared" si="7"/>
        <v>392685.4316666667</v>
      </c>
      <c r="Z13" s="5960">
        <f t="shared" si="7"/>
        <v>392685.4316666667</v>
      </c>
      <c r="AA13" s="5960">
        <f t="shared" si="7"/>
        <v>392685.4316666667</v>
      </c>
      <c r="AB13" s="5960">
        <f t="shared" si="7"/>
        <v>392685.4316666667</v>
      </c>
      <c r="AC13" s="5960">
        <f t="shared" si="7"/>
        <v>392685.4316666667</v>
      </c>
      <c r="AD13" s="5984">
        <v>778.81500000000005</v>
      </c>
      <c r="AE13" s="365">
        <f t="shared" si="6"/>
        <v>4319539.748333334</v>
      </c>
      <c r="AF13" s="366"/>
      <c r="AG13" s="347" t="s">
        <v>299</v>
      </c>
      <c r="AH13" s="3826">
        <v>778815</v>
      </c>
      <c r="AI13" s="3826">
        <f t="shared" si="4"/>
        <v>778.81500000000005</v>
      </c>
      <c r="AJ13" s="299" t="s">
        <v>2004</v>
      </c>
    </row>
    <row r="14" spans="1:36" ht="17.399999999999999">
      <c r="A14" s="7625" t="s">
        <v>544</v>
      </c>
      <c r="B14" s="5982" t="s">
        <v>1846</v>
      </c>
      <c r="C14" s="5967" t="s">
        <v>311</v>
      </c>
      <c r="D14" s="4334">
        <v>483.46</v>
      </c>
      <c r="E14" s="3646">
        <v>450</v>
      </c>
      <c r="F14" s="5970">
        <v>45.18</v>
      </c>
      <c r="G14" s="542">
        <v>41.29</v>
      </c>
      <c r="H14" s="542">
        <v>29.11</v>
      </c>
      <c r="I14" s="542">
        <v>48.94</v>
      </c>
      <c r="J14" s="542">
        <v>27.33</v>
      </c>
      <c r="K14" s="542">
        <v>30.99</v>
      </c>
      <c r="L14" s="542">
        <v>28.6</v>
      </c>
      <c r="M14" s="542">
        <v>31.29</v>
      </c>
      <c r="N14" s="542">
        <v>30.57</v>
      </c>
      <c r="O14" s="542">
        <v>35.94</v>
      </c>
      <c r="P14" s="542">
        <v>51.03</v>
      </c>
      <c r="Q14" s="542">
        <v>49.02</v>
      </c>
      <c r="R14" s="5960">
        <f>($D$14/12-F14)*$S$22</f>
        <v>-3848186.1166666658</v>
      </c>
      <c r="S14" s="5960">
        <f t="shared" ref="S14:AC14" si="8">($D$14/12-G14)*$S$22</f>
        <v>-787993.13666666544</v>
      </c>
      <c r="T14" s="5960">
        <f t="shared" si="8"/>
        <v>8793793.6233333349</v>
      </c>
      <c r="U14" s="5960">
        <f t="shared" si="8"/>
        <v>-6806110.4366666647</v>
      </c>
      <c r="V14" s="5960">
        <f t="shared" si="8"/>
        <v>10194087.583333336</v>
      </c>
      <c r="W14" s="5960">
        <f t="shared" si="8"/>
        <v>7314831.4633333348</v>
      </c>
      <c r="X14" s="5960">
        <f t="shared" si="8"/>
        <v>9195001.4433333334</v>
      </c>
      <c r="Y14" s="5960">
        <f t="shared" si="8"/>
        <v>7078826.8633333342</v>
      </c>
      <c r="Z14" s="5960">
        <f t="shared" si="8"/>
        <v>7645237.9033333333</v>
      </c>
      <c r="AA14" s="5960">
        <f t="shared" si="8"/>
        <v>3420755.5633333358</v>
      </c>
      <c r="AB14" s="5960">
        <f t="shared" si="8"/>
        <v>-8450275.8166666664</v>
      </c>
      <c r="AC14" s="5960">
        <f t="shared" si="8"/>
        <v>-6869044.9966666689</v>
      </c>
      <c r="AD14" s="5983">
        <v>17181.135000000002</v>
      </c>
      <c r="AE14" s="365">
        <f t="shared" si="6"/>
        <v>33749968.936666682</v>
      </c>
      <c r="AF14" s="366">
        <f t="shared" si="3"/>
        <v>1964.3620131421283</v>
      </c>
      <c r="AG14" s="347" t="s">
        <v>737</v>
      </c>
      <c r="AH14" s="3826">
        <v>17181135</v>
      </c>
      <c r="AI14" s="3826">
        <f t="shared" si="4"/>
        <v>17181.135000000002</v>
      </c>
      <c r="AJ14" s="299" t="s">
        <v>2005</v>
      </c>
    </row>
    <row r="15" spans="1:36" ht="17.399999999999999">
      <c r="A15" s="7626"/>
      <c r="B15" s="5982" t="s">
        <v>1847</v>
      </c>
      <c r="C15" s="5967" t="s">
        <v>440</v>
      </c>
      <c r="D15" s="5972">
        <v>118.08</v>
      </c>
      <c r="E15" s="5973">
        <v>70</v>
      </c>
      <c r="F15" s="5969">
        <v>9.41</v>
      </c>
      <c r="G15" s="650">
        <v>8.07</v>
      </c>
      <c r="H15" s="650">
        <v>8.9</v>
      </c>
      <c r="I15" s="650">
        <v>16.46</v>
      </c>
      <c r="J15" s="650">
        <v>11.13</v>
      </c>
      <c r="K15" s="650">
        <v>10.119999999999999</v>
      </c>
      <c r="L15" s="650">
        <v>5.16</v>
      </c>
      <c r="M15" s="650">
        <v>6.55</v>
      </c>
      <c r="N15" s="650">
        <v>7.51</v>
      </c>
      <c r="O15" s="650">
        <v>10.89</v>
      </c>
      <c r="P15" s="650">
        <v>5.35</v>
      </c>
      <c r="Q15" s="650">
        <v>4.46</v>
      </c>
      <c r="R15" s="5960">
        <f>($D$15/12-F15)*$S$22</f>
        <v>338273.25999999978</v>
      </c>
      <c r="S15" s="5960">
        <f t="shared" ref="S15:AC15" si="9">($D$15/12-G15)*$S$22</f>
        <v>1392427.1399999997</v>
      </c>
      <c r="T15" s="5960">
        <f t="shared" si="9"/>
        <v>739481.07999999961</v>
      </c>
      <c r="U15" s="5960">
        <f t="shared" si="9"/>
        <v>-5207834.8400000008</v>
      </c>
      <c r="V15" s="5960">
        <f t="shared" si="9"/>
        <v>-1014819.7800000007</v>
      </c>
      <c r="W15" s="5960">
        <f t="shared" si="9"/>
        <v>-220270.9599999995</v>
      </c>
      <c r="X15" s="5960">
        <f t="shared" si="9"/>
        <v>3681671.76</v>
      </c>
      <c r="Y15" s="5960">
        <f t="shared" si="9"/>
        <v>2588183.7800000003</v>
      </c>
      <c r="Z15" s="5960">
        <f t="shared" si="9"/>
        <v>1832969.06</v>
      </c>
      <c r="AA15" s="5960">
        <f t="shared" si="9"/>
        <v>-826016.10000000056</v>
      </c>
      <c r="AB15" s="5960">
        <f t="shared" si="9"/>
        <v>3532202.18</v>
      </c>
      <c r="AC15" s="5960">
        <f t="shared" si="9"/>
        <v>4232349.16</v>
      </c>
      <c r="AD15" s="5985">
        <v>32216.201000000001</v>
      </c>
      <c r="AE15" s="365">
        <f t="shared" si="6"/>
        <v>6836266.5799999982</v>
      </c>
      <c r="AF15" s="366"/>
      <c r="AG15" s="739"/>
      <c r="AH15" s="3826">
        <v>32216201</v>
      </c>
      <c r="AI15" s="3826">
        <f t="shared" si="4"/>
        <v>32216.201000000001</v>
      </c>
      <c r="AJ15" s="299" t="s">
        <v>2006</v>
      </c>
    </row>
    <row r="16" spans="1:36" ht="17.399999999999999">
      <c r="A16" s="7620" t="s">
        <v>300</v>
      </c>
      <c r="B16" s="7621" t="s">
        <v>1845</v>
      </c>
      <c r="C16" s="5967" t="s">
        <v>457</v>
      </c>
      <c r="D16" s="5974">
        <v>8.1999999999999993</v>
      </c>
      <c r="E16" s="5975">
        <v>7.38</v>
      </c>
      <c r="F16" s="5969">
        <v>7.18</v>
      </c>
      <c r="G16" s="367">
        <v>7.13</v>
      </c>
      <c r="H16" s="367">
        <v>8.4700000000000006</v>
      </c>
      <c r="I16" s="367">
        <v>9.09</v>
      </c>
      <c r="J16" s="367">
        <v>9.4</v>
      </c>
      <c r="K16" s="367">
        <v>8.16</v>
      </c>
      <c r="L16" s="367">
        <v>9.59</v>
      </c>
      <c r="M16" s="367">
        <v>8.2200000000000006</v>
      </c>
      <c r="N16" s="367">
        <v>8.5</v>
      </c>
      <c r="O16" s="367">
        <v>7.82</v>
      </c>
      <c r="P16" s="367">
        <v>5.95</v>
      </c>
      <c r="Q16" s="367">
        <v>8.61</v>
      </c>
      <c r="R16" s="5962"/>
      <c r="S16" s="5962"/>
      <c r="T16" s="5962"/>
      <c r="U16" s="5962"/>
      <c r="V16" s="5962"/>
      <c r="W16" s="5962"/>
      <c r="X16" s="5962"/>
      <c r="Y16" s="5962"/>
      <c r="Z16" s="5962"/>
      <c r="AA16" s="5962"/>
      <c r="AB16" s="5962"/>
      <c r="AC16" s="5962"/>
      <c r="AD16" s="5983">
        <v>0</v>
      </c>
      <c r="AE16" s="365"/>
      <c r="AF16" s="366" t="e">
        <f t="shared" si="3"/>
        <v>#DIV/0!</v>
      </c>
      <c r="AG16" s="347" t="s">
        <v>537</v>
      </c>
      <c r="AH16" s="3826"/>
      <c r="AI16" s="3826">
        <f t="shared" si="4"/>
        <v>0</v>
      </c>
    </row>
    <row r="17" spans="1:36" ht="17.399999999999999">
      <c r="A17" s="7620"/>
      <c r="B17" s="7622"/>
      <c r="C17" s="5967" t="s">
        <v>280</v>
      </c>
      <c r="D17" s="5976">
        <v>833</v>
      </c>
      <c r="E17" s="5977">
        <v>745.2</v>
      </c>
      <c r="F17" s="5969">
        <v>872.69332285480107</v>
      </c>
      <c r="G17" s="367">
        <v>798.66287861673345</v>
      </c>
      <c r="H17" s="367">
        <v>755.15799547843915</v>
      </c>
      <c r="I17" s="367">
        <v>809.40938696623448</v>
      </c>
      <c r="J17" s="367">
        <v>835.64556670528759</v>
      </c>
      <c r="K17" s="367">
        <v>951.28957796800034</v>
      </c>
      <c r="L17" s="367">
        <v>1129.9949365435621</v>
      </c>
      <c r="M17" s="367">
        <v>954.02930818020036</v>
      </c>
      <c r="N17" s="367">
        <v>790.54</v>
      </c>
      <c r="O17" s="367">
        <v>695.97</v>
      </c>
      <c r="P17" s="367">
        <v>857.82</v>
      </c>
      <c r="Q17" s="367">
        <v>1289.6921809301598</v>
      </c>
      <c r="R17" s="5960">
        <f>($D$17-F17)*F6</f>
        <v>-83493.356585482703</v>
      </c>
      <c r="S17" s="5960">
        <f t="shared" ref="S17:AC17" si="10">($D$17-G17)*G6</f>
        <v>74478.761450767401</v>
      </c>
      <c r="T17" s="5960">
        <f t="shared" si="10"/>
        <v>142526.53070285131</v>
      </c>
      <c r="U17" s="5960">
        <f t="shared" si="10"/>
        <v>53526.511208288124</v>
      </c>
      <c r="V17" s="5960">
        <f t="shared" si="10"/>
        <v>-5213.9225462813665</v>
      </c>
      <c r="W17" s="5960">
        <f t="shared" si="10"/>
        <v>-302600.82782474853</v>
      </c>
      <c r="X17" s="5960">
        <f t="shared" si="10"/>
        <v>-513623.04325843626</v>
      </c>
      <c r="Y17" s="5960">
        <f t="shared" si="10"/>
        <v>-232637.21089442121</v>
      </c>
      <c r="Z17" s="5960">
        <f t="shared" si="10"/>
        <v>91145.272900000069</v>
      </c>
      <c r="AA17" s="5960">
        <f t="shared" si="10"/>
        <v>309648.60941999994</v>
      </c>
      <c r="AB17" s="5960">
        <f t="shared" si="10"/>
        <v>-80276.418080000163</v>
      </c>
      <c r="AC17" s="5960">
        <f t="shared" si="10"/>
        <v>-928584.44771821809</v>
      </c>
      <c r="AD17" s="5983">
        <v>1889.4</v>
      </c>
      <c r="AE17" s="365">
        <f t="shared" si="6"/>
        <v>-546519.09350746335</v>
      </c>
      <c r="AF17" s="366">
        <f t="shared" si="3"/>
        <v>-289.25536863949577</v>
      </c>
      <c r="AG17" s="347" t="s">
        <v>535</v>
      </c>
      <c r="AH17" s="3826">
        <v>1889400</v>
      </c>
      <c r="AI17" s="3826">
        <f t="shared" si="4"/>
        <v>1889.4</v>
      </c>
      <c r="AJ17" s="299" t="s">
        <v>2007</v>
      </c>
    </row>
    <row r="18" spans="1:36" ht="17.399999999999999">
      <c r="A18" s="7620" t="s">
        <v>1850</v>
      </c>
      <c r="B18" s="5982" t="s">
        <v>1848</v>
      </c>
      <c r="C18" s="5967" t="s">
        <v>280</v>
      </c>
      <c r="D18" s="5976">
        <v>808</v>
      </c>
      <c r="E18" s="5978">
        <v>768</v>
      </c>
      <c r="F18" s="5969">
        <v>0</v>
      </c>
      <c r="G18" s="367">
        <v>331.94332067799422</v>
      </c>
      <c r="H18" s="367">
        <v>983.08439451832146</v>
      </c>
      <c r="I18" s="367">
        <v>105.77463392060292</v>
      </c>
      <c r="J18" s="367">
        <v>1283.7328719336924</v>
      </c>
      <c r="K18" s="367">
        <v>41.439693127344171</v>
      </c>
      <c r="L18" s="367">
        <v>0</v>
      </c>
      <c r="M18" s="367">
        <v>5023.4547494372537</v>
      </c>
      <c r="N18" s="367">
        <v>6349.8103235548688</v>
      </c>
      <c r="O18" s="367">
        <v>0</v>
      </c>
      <c r="P18" s="367">
        <v>1327.9354329656956</v>
      </c>
      <c r="Q18" s="367">
        <v>59.804759101413822</v>
      </c>
      <c r="R18" s="5960">
        <f>($D$18-F18)*F6</f>
        <v>1699596.4879999999</v>
      </c>
      <c r="S18" s="5960">
        <f t="shared" ref="S18:AC18" si="11">($D$18-G18)*G6</f>
        <v>1032588.3600000001</v>
      </c>
      <c r="T18" s="5960">
        <f t="shared" si="11"/>
        <v>-320574.62400000007</v>
      </c>
      <c r="U18" s="5960">
        <f t="shared" si="11"/>
        <v>1593331.7999999998</v>
      </c>
      <c r="V18" s="5960">
        <f t="shared" si="11"/>
        <v>-937581.4800000001</v>
      </c>
      <c r="W18" s="5960">
        <f t="shared" si="11"/>
        <v>1960965.5171819883</v>
      </c>
      <c r="X18" s="5960">
        <f t="shared" si="11"/>
        <v>1397355.2000000002</v>
      </c>
      <c r="Y18" s="5960">
        <f t="shared" si="11"/>
        <v>-8102761.639359314</v>
      </c>
      <c r="Z18" s="5960">
        <f t="shared" si="11"/>
        <v>-11896133.167697733</v>
      </c>
      <c r="AA18" s="5960">
        <f t="shared" si="11"/>
        <v>1825848.912</v>
      </c>
      <c r="AB18" s="5960">
        <f t="shared" si="11"/>
        <v>-1681650.0479999997</v>
      </c>
      <c r="AC18" s="5960">
        <f t="shared" si="11"/>
        <v>1521292.6640000001</v>
      </c>
      <c r="AD18" s="5983">
        <v>1205.4000000000001</v>
      </c>
      <c r="AE18" s="365">
        <f t="shared" si="6"/>
        <v>-13429014.681875058</v>
      </c>
      <c r="AF18" s="366">
        <f t="shared" si="3"/>
        <v>-11140.712362597525</v>
      </c>
      <c r="AG18" s="347" t="s">
        <v>327</v>
      </c>
      <c r="AH18" s="3826">
        <v>1205400</v>
      </c>
      <c r="AI18" s="3826">
        <f t="shared" si="4"/>
        <v>1205.4000000000001</v>
      </c>
      <c r="AJ18" s="299" t="s">
        <v>2008</v>
      </c>
    </row>
    <row r="19" spans="1:36" ht="18" thickBot="1">
      <c r="A19" s="7620"/>
      <c r="B19" s="5982" t="s">
        <v>1849</v>
      </c>
      <c r="C19" s="5967" t="s">
        <v>280</v>
      </c>
      <c r="D19" s="5979">
        <v>3836</v>
      </c>
      <c r="E19" s="5980">
        <v>3644</v>
      </c>
      <c r="F19" s="5969">
        <v>2240.2854153226517</v>
      </c>
      <c r="G19" s="367">
        <v>2746.6848313428259</v>
      </c>
      <c r="H19" s="367">
        <v>5533.9087653989245</v>
      </c>
      <c r="I19" s="367">
        <v>5220.9341222358116</v>
      </c>
      <c r="J19" s="367">
        <v>5740.2369070663653</v>
      </c>
      <c r="K19" s="367">
        <v>1589.4147386132713</v>
      </c>
      <c r="L19" s="367">
        <v>4327.6703212053844</v>
      </c>
      <c r="M19" s="367">
        <v>2519.1836168395771</v>
      </c>
      <c r="N19" s="367">
        <v>1900.2172992284036</v>
      </c>
      <c r="O19" s="6907">
        <f>11631531/O6</f>
        <v>5147.3465226130384</v>
      </c>
      <c r="P19" s="367">
        <v>2473.8531213748442</v>
      </c>
      <c r="Q19" s="367">
        <v>3755.6813950793062</v>
      </c>
      <c r="R19" s="5960">
        <f>($D$19-F19)*F6</f>
        <v>3356523.3959999993</v>
      </c>
      <c r="S19" s="5960">
        <f t="shared" ref="S19:Z19" si="12">($D$19-G19)*G6</f>
        <v>2362773.62</v>
      </c>
      <c r="T19" s="5960">
        <f t="shared" si="12"/>
        <v>-3108823.4079999994</v>
      </c>
      <c r="U19" s="5960">
        <f t="shared" si="12"/>
        <v>-3142380.9000000004</v>
      </c>
      <c r="V19" s="5960">
        <f t="shared" si="12"/>
        <v>-3752898.6599999988</v>
      </c>
      <c r="W19" s="5960">
        <f t="shared" si="12"/>
        <v>5747070.6342228008</v>
      </c>
      <c r="X19" s="5960">
        <f t="shared" si="12"/>
        <v>-850294.65349259193</v>
      </c>
      <c r="Y19" s="5960">
        <f t="shared" si="12"/>
        <v>2531126.5117901056</v>
      </c>
      <c r="Z19" s="5960">
        <f t="shared" si="12"/>
        <v>4155380.1822168198</v>
      </c>
      <c r="AA19" s="5960">
        <f>($D$19-O19)*O6</f>
        <v>-2963268.0959999994</v>
      </c>
      <c r="AB19" s="5960">
        <f>($D$19-P19)*P6</f>
        <v>4405651.5840000007</v>
      </c>
      <c r="AC19" s="5960">
        <f>($D$19-Q19)*Q6</f>
        <v>163310.45396896306</v>
      </c>
      <c r="AD19" s="5983">
        <v>5760</v>
      </c>
      <c r="AE19" s="365">
        <f t="shared" si="6"/>
        <v>8740860.2107371371</v>
      </c>
      <c r="AF19" s="366">
        <f t="shared" si="3"/>
        <v>1517.5104532529751</v>
      </c>
      <c r="AG19" s="347" t="s">
        <v>538</v>
      </c>
      <c r="AH19" s="3826">
        <v>5760000</v>
      </c>
      <c r="AI19" s="3826">
        <f t="shared" si="4"/>
        <v>5760</v>
      </c>
      <c r="AJ19" s="299" t="s">
        <v>2009</v>
      </c>
    </row>
    <row r="20" spans="1:36" ht="18" thickBot="1">
      <c r="A20" s="7616" t="s">
        <v>338</v>
      </c>
      <c r="B20" s="7617"/>
      <c r="C20" s="7617"/>
      <c r="D20" s="7618"/>
      <c r="E20" s="7619"/>
      <c r="F20" s="5981"/>
      <c r="G20" s="368"/>
      <c r="H20" s="368"/>
      <c r="I20" s="368"/>
      <c r="J20" s="368"/>
      <c r="K20" s="368"/>
      <c r="L20" s="368"/>
      <c r="M20" s="368"/>
      <c r="N20" s="368"/>
      <c r="O20" s="368"/>
      <c r="P20" s="368"/>
      <c r="Q20" s="368"/>
      <c r="R20" s="5961">
        <f t="shared" ref="R20:AC20" si="13">SUM(R3:R19)</f>
        <v>14905765.885358734</v>
      </c>
      <c r="S20" s="5961">
        <f t="shared" si="13"/>
        <v>10313984.417337002</v>
      </c>
      <c r="T20" s="5961">
        <f t="shared" si="13"/>
        <v>6719258.6431110296</v>
      </c>
      <c r="U20" s="5961">
        <f t="shared" si="13"/>
        <v>-12427684.192285163</v>
      </c>
      <c r="V20" s="5961">
        <f t="shared" si="13"/>
        <v>7206060.6020703968</v>
      </c>
      <c r="W20" s="5961">
        <f t="shared" si="13"/>
        <v>32281477.759450212</v>
      </c>
      <c r="X20" s="5961">
        <f t="shared" si="13"/>
        <v>29117760.151533853</v>
      </c>
      <c r="Y20" s="369">
        <f t="shared" si="13"/>
        <v>18318612.85607104</v>
      </c>
      <c r="Z20" s="369">
        <f>SUM(Z3:Z19)</f>
        <v>15583739.643687772</v>
      </c>
      <c r="AA20" s="369">
        <f t="shared" si="13"/>
        <v>15336366.308504919</v>
      </c>
      <c r="AB20" s="369">
        <f t="shared" si="13"/>
        <v>22799113.785630524</v>
      </c>
      <c r="AC20" s="369">
        <f t="shared" si="13"/>
        <v>-2551442.6528864489</v>
      </c>
      <c r="AD20" s="5986">
        <v>159247.853</v>
      </c>
      <c r="AE20" s="370">
        <f>SUM(AE7:AE19)</f>
        <v>160154455.86047032</v>
      </c>
      <c r="AF20" s="371">
        <f>AE20/AD20</f>
        <v>1005.6930303510611</v>
      </c>
      <c r="AG20" s="294"/>
      <c r="AH20" s="3826">
        <v>159247853</v>
      </c>
      <c r="AI20" s="3826">
        <f t="shared" si="4"/>
        <v>159247.853</v>
      </c>
    </row>
    <row r="21" spans="1:36" ht="17.399999999999999">
      <c r="A21" s="751"/>
      <c r="B21" s="751"/>
      <c r="C21" s="751"/>
      <c r="D21" s="751"/>
      <c r="E21" s="751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299" t="s">
        <v>312</v>
      </c>
      <c r="S21" s="299">
        <v>87151</v>
      </c>
      <c r="T21" s="299"/>
      <c r="U21" s="299"/>
      <c r="V21" s="299"/>
      <c r="W21" s="299"/>
      <c r="X21" s="299"/>
      <c r="Y21" s="354"/>
      <c r="Z21" s="354"/>
      <c r="AA21" s="354"/>
      <c r="AB21" s="354"/>
      <c r="AC21" s="354"/>
      <c r="AD21" s="345"/>
      <c r="AE21" s="345"/>
      <c r="AF21" s="354"/>
      <c r="AG21" s="751"/>
    </row>
    <row r="22" spans="1:36" ht="17.399999999999999">
      <c r="A22" s="314"/>
      <c r="B22" s="517"/>
      <c r="C22" s="517"/>
      <c r="O22">
        <f>(O3+O4)/(16003+1528+7302)*60</f>
        <v>5.2640776386260217</v>
      </c>
      <c r="R22" s="299" t="s">
        <v>1854</v>
      </c>
      <c r="S22" s="299">
        <v>786682</v>
      </c>
      <c r="T22" s="299"/>
      <c r="U22" s="299"/>
      <c r="V22" s="299"/>
      <c r="W22" s="299"/>
      <c r="X22" s="299"/>
    </row>
    <row r="23" spans="1:36">
      <c r="R23" s="299" t="s">
        <v>1855</v>
      </c>
      <c r="S23" s="299" t="s">
        <v>5</v>
      </c>
      <c r="T23" s="299" t="s">
        <v>6</v>
      </c>
      <c r="U23" s="299" t="s">
        <v>7</v>
      </c>
      <c r="V23" s="299" t="s">
        <v>8</v>
      </c>
      <c r="W23" s="299" t="s">
        <v>9</v>
      </c>
      <c r="X23" s="299" t="s">
        <v>10</v>
      </c>
      <c r="Y23" t="s">
        <v>11</v>
      </c>
      <c r="Z23" t="s">
        <v>12</v>
      </c>
      <c r="AA23" t="s">
        <v>13</v>
      </c>
      <c r="AB23" t="s">
        <v>14</v>
      </c>
      <c r="AC23" t="s">
        <v>15</v>
      </c>
    </row>
    <row r="24" spans="1:36">
      <c r="R24" s="299">
        <f>(17464+1886)/60</f>
        <v>322.5</v>
      </c>
      <c r="S24" s="299">
        <f>20413/60</f>
        <v>340.21666666666664</v>
      </c>
      <c r="T24" s="299">
        <f>16213/60</f>
        <v>270.21666666666664</v>
      </c>
      <c r="U24" s="299">
        <f>20996/60</f>
        <v>349.93333333333334</v>
      </c>
      <c r="V24" s="299">
        <f>19235/60</f>
        <v>320.58333333333331</v>
      </c>
      <c r="W24" s="299">
        <f>19149/60</f>
        <v>319.14999999999998</v>
      </c>
      <c r="X24" s="299">
        <f>11751/60</f>
        <v>195.85</v>
      </c>
      <c r="Y24">
        <v>245.5</v>
      </c>
      <c r="Z24">
        <v>257.26666666666665</v>
      </c>
      <c r="AA24">
        <v>266.71666666666664</v>
      </c>
      <c r="AB24">
        <v>414.91666666666669</v>
      </c>
      <c r="AC24">
        <v>282.36666666666667</v>
      </c>
    </row>
    <row r="25" spans="1:36">
      <c r="R25" s="6926" t="s">
        <v>2011</v>
      </c>
      <c r="S25" s="299"/>
      <c r="T25" s="299"/>
      <c r="U25" s="299"/>
      <c r="V25" s="299"/>
      <c r="W25" s="299"/>
      <c r="X25" s="299"/>
    </row>
    <row r="26" spans="1:36">
      <c r="K26">
        <f>125.512+49.35</f>
        <v>174.86199999999999</v>
      </c>
      <c r="R26" s="3915">
        <v>0</v>
      </c>
      <c r="S26" s="3915">
        <v>720000</v>
      </c>
      <c r="T26" s="3915">
        <v>1800000</v>
      </c>
      <c r="U26" s="3915">
        <v>240000</v>
      </c>
      <c r="V26" s="3915">
        <v>2530000</v>
      </c>
      <c r="W26" s="3915">
        <v>106000</v>
      </c>
      <c r="X26" s="3915">
        <v>0</v>
      </c>
    </row>
    <row r="27" spans="1:36">
      <c r="R27" s="3915">
        <v>4712353</v>
      </c>
      <c r="S27" s="3915">
        <v>5957683</v>
      </c>
      <c r="T27" s="3915">
        <v>10132432</v>
      </c>
      <c r="U27" s="3915">
        <v>11846169</v>
      </c>
      <c r="V27" s="3915">
        <v>11312945</v>
      </c>
      <c r="W27" s="3915">
        <v>4065618</v>
      </c>
      <c r="X27" s="3915">
        <v>7483295</v>
      </c>
    </row>
    <row r="28" spans="1:36">
      <c r="R28" s="2417">
        <f t="shared" ref="R28:X28" si="14">R26/F6</f>
        <v>0</v>
      </c>
      <c r="S28" s="2417">
        <f t="shared" si="14"/>
        <v>331.94332067799422</v>
      </c>
      <c r="T28" s="2417">
        <f t="shared" si="14"/>
        <v>983.08439451832146</v>
      </c>
      <c r="U28" s="2417">
        <f t="shared" si="14"/>
        <v>105.77463392060292</v>
      </c>
      <c r="V28" s="2417">
        <f t="shared" si="14"/>
        <v>1283.7328719336924</v>
      </c>
      <c r="W28" s="2417">
        <f t="shared" si="14"/>
        <v>41.436420893963415</v>
      </c>
      <c r="X28" s="2417">
        <f t="shared" si="14"/>
        <v>0</v>
      </c>
    </row>
    <row r="29" spans="1:36">
      <c r="R29" s="2417">
        <f t="shared" ref="R29:X29" si="15">R27/F6</f>
        <v>2240.2854153226517</v>
      </c>
      <c r="S29" s="2417">
        <f t="shared" si="15"/>
        <v>2746.6848313428259</v>
      </c>
      <c r="T29" s="2417">
        <f t="shared" si="15"/>
        <v>5533.9087653989245</v>
      </c>
      <c r="U29" s="2417">
        <f t="shared" si="15"/>
        <v>5220.9341222358116</v>
      </c>
      <c r="V29" s="2417">
        <f t="shared" si="15"/>
        <v>5740.2369070663653</v>
      </c>
      <c r="W29" s="2417">
        <f t="shared" si="15"/>
        <v>1589.2892324723939</v>
      </c>
      <c r="X29" s="2417">
        <f t="shared" si="15"/>
        <v>4327.1047762229673</v>
      </c>
    </row>
    <row r="34" spans="1:3" ht="17.399999999999999">
      <c r="A34" s="314"/>
      <c r="B34" s="313"/>
      <c r="C34" s="313"/>
    </row>
    <row r="35" spans="1:3" ht="17.399999999999999">
      <c r="A35" s="314"/>
      <c r="B35" s="516"/>
      <c r="C35" s="516"/>
    </row>
    <row r="36" spans="1:3" ht="17.399999999999999">
      <c r="A36" s="314"/>
      <c r="B36" s="516"/>
      <c r="C36" s="516"/>
    </row>
    <row r="37" spans="1:3" ht="17.399999999999999">
      <c r="A37" s="314"/>
      <c r="B37" s="516"/>
      <c r="C37" s="516"/>
    </row>
    <row r="38" spans="1:3" ht="17.399999999999999">
      <c r="A38" s="314"/>
      <c r="B38" s="516"/>
      <c r="C38" s="516"/>
    </row>
    <row r="39" spans="1:3" ht="17.399999999999999">
      <c r="A39" s="314"/>
      <c r="B39" s="516"/>
      <c r="C39" s="516"/>
    </row>
  </sheetData>
  <mergeCells count="17">
    <mergeCell ref="AF1:AF2"/>
    <mergeCell ref="AG1:AG2"/>
    <mergeCell ref="A3:A8"/>
    <mergeCell ref="A9:A13"/>
    <mergeCell ref="AD1:AD2"/>
    <mergeCell ref="B3:B6"/>
    <mergeCell ref="A1:A2"/>
    <mergeCell ref="B1:B2"/>
    <mergeCell ref="C1:C2"/>
    <mergeCell ref="F1:AC1"/>
    <mergeCell ref="B9:B12"/>
    <mergeCell ref="A20:E20"/>
    <mergeCell ref="A16:A17"/>
    <mergeCell ref="A18:A19"/>
    <mergeCell ref="B16:B17"/>
    <mergeCell ref="AE1:AE2"/>
    <mergeCell ref="A14:A15"/>
  </mergeCells>
  <phoneticPr fontId="22" type="noConversion"/>
  <pageMargins left="0.7" right="0.7" top="0.75" bottom="0.75" header="0.3" footer="0.3"/>
  <pageSetup paperSize="9"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53"/>
  <sheetViews>
    <sheetView workbookViewId="0">
      <selection activeCell="L27" sqref="L27"/>
    </sheetView>
  </sheetViews>
  <sheetFormatPr defaultColWidth="8.8984375" defaultRowHeight="14.4"/>
  <cols>
    <col min="1" max="1" width="8.8984375" style="69"/>
    <col min="2" max="2" width="9.8984375" style="69" bestFit="1" customWidth="1"/>
    <col min="3" max="3" width="9.8984375" style="69" customWidth="1"/>
    <col min="4" max="4" width="9.8984375" style="128" bestFit="1" customWidth="1"/>
    <col min="5" max="5" width="8.8984375" style="128"/>
    <col min="6" max="6" width="15.3984375" style="128" bestFit="1" customWidth="1"/>
    <col min="7" max="7" width="8.8984375" style="128"/>
    <col min="8" max="8" width="9.8984375" style="128" bestFit="1" customWidth="1"/>
    <col min="9" max="9" width="8.8984375" style="128"/>
    <col min="10" max="10" width="9.8984375" style="128" bestFit="1" customWidth="1"/>
    <col min="11" max="11" width="8.8984375" style="69"/>
    <col min="12" max="12" width="9.8984375" style="69" bestFit="1" customWidth="1"/>
    <col min="13" max="13" width="8.8984375" style="69"/>
    <col min="14" max="14" width="9.8984375" style="69" bestFit="1" customWidth="1"/>
    <col min="15" max="16384" width="8.8984375" style="69"/>
  </cols>
  <sheetData>
    <row r="1" spans="1:17">
      <c r="A1" s="7644" t="s">
        <v>155</v>
      </c>
      <c r="B1" s="7644"/>
      <c r="C1" s="7644" t="s">
        <v>156</v>
      </c>
      <c r="D1" s="7644"/>
      <c r="E1" s="7644" t="s">
        <v>160</v>
      </c>
      <c r="F1" s="7644"/>
      <c r="G1" s="7644" t="s">
        <v>157</v>
      </c>
      <c r="H1" s="7644"/>
      <c r="I1" s="7644" t="s">
        <v>161</v>
      </c>
      <c r="J1" s="7644"/>
    </row>
    <row r="2" spans="1:17">
      <c r="A2" s="125" t="s">
        <v>144</v>
      </c>
      <c r="B2" s="125" t="s">
        <v>143</v>
      </c>
      <c r="C2" s="125" t="s">
        <v>144</v>
      </c>
      <c r="D2" s="125" t="s">
        <v>143</v>
      </c>
      <c r="E2" s="125" t="s">
        <v>144</v>
      </c>
      <c r="F2" s="125" t="s">
        <v>143</v>
      </c>
      <c r="G2" s="125" t="s">
        <v>144</v>
      </c>
      <c r="H2" s="125" t="s">
        <v>143</v>
      </c>
      <c r="I2" s="125" t="s">
        <v>144</v>
      </c>
      <c r="J2" s="125" t="s">
        <v>143</v>
      </c>
    </row>
    <row r="3" spans="1:17">
      <c r="A3" s="125" t="s">
        <v>145</v>
      </c>
      <c r="B3" s="126">
        <v>165000</v>
      </c>
      <c r="C3" s="126" t="s">
        <v>153</v>
      </c>
      <c r="D3" s="126">
        <v>70000</v>
      </c>
      <c r="E3" s="126" t="s">
        <v>142</v>
      </c>
      <c r="F3" s="126">
        <v>160000</v>
      </c>
      <c r="G3" s="126" t="s">
        <v>158</v>
      </c>
      <c r="H3" s="126">
        <v>160000</v>
      </c>
      <c r="I3" s="126" t="s">
        <v>162</v>
      </c>
      <c r="J3" s="126">
        <v>150000</v>
      </c>
    </row>
    <row r="4" spans="1:17">
      <c r="A4" s="125" t="s">
        <v>146</v>
      </c>
      <c r="B4" s="126">
        <v>165000</v>
      </c>
      <c r="C4" s="126" t="s">
        <v>17</v>
      </c>
      <c r="D4" s="126">
        <v>164000</v>
      </c>
      <c r="E4" s="126" t="s">
        <v>17</v>
      </c>
      <c r="F4" s="126">
        <v>140000</v>
      </c>
      <c r="G4" s="126" t="s">
        <v>159</v>
      </c>
      <c r="H4" s="126">
        <v>100000</v>
      </c>
      <c r="I4" s="126" t="s">
        <v>17</v>
      </c>
      <c r="J4" s="126">
        <v>80000</v>
      </c>
    </row>
    <row r="5" spans="1:17" ht="17.399999999999999">
      <c r="A5" s="125" t="s">
        <v>147</v>
      </c>
      <c r="B5" s="126">
        <v>54000</v>
      </c>
      <c r="C5" s="126" t="s">
        <v>146</v>
      </c>
      <c r="D5" s="126">
        <v>189000</v>
      </c>
      <c r="E5" s="126" t="s">
        <v>146</v>
      </c>
      <c r="F5" s="126">
        <v>70000</v>
      </c>
      <c r="G5" s="126"/>
      <c r="H5" s="126"/>
      <c r="I5" s="126"/>
      <c r="J5" s="126"/>
      <c r="N5" s="314" t="s">
        <v>1</v>
      </c>
      <c r="O5" s="313" t="s">
        <v>399</v>
      </c>
      <c r="P5" s="313" t="s">
        <v>553</v>
      </c>
      <c r="Q5" s="313" t="s">
        <v>554</v>
      </c>
    </row>
    <row r="6" spans="1:17" ht="17.399999999999999">
      <c r="A6" s="125" t="s">
        <v>148</v>
      </c>
      <c r="B6" s="126">
        <v>78000</v>
      </c>
      <c r="C6" s="126" t="s">
        <v>154</v>
      </c>
      <c r="D6" s="126">
        <v>62000</v>
      </c>
      <c r="E6" s="126"/>
      <c r="F6" s="126"/>
      <c r="G6" s="126"/>
      <c r="H6" s="126"/>
      <c r="I6" s="126"/>
      <c r="J6" s="126"/>
      <c r="N6" s="314" t="s">
        <v>2</v>
      </c>
      <c r="O6" s="345">
        <v>329750</v>
      </c>
      <c r="P6" s="345">
        <v>335590.99199999997</v>
      </c>
      <c r="Q6" s="345">
        <v>322600</v>
      </c>
    </row>
    <row r="7" spans="1:17" ht="17.399999999999999">
      <c r="A7" s="125" t="s">
        <v>149</v>
      </c>
      <c r="B7" s="126">
        <v>60000</v>
      </c>
      <c r="C7" s="126"/>
      <c r="D7" s="126"/>
      <c r="E7" s="126"/>
      <c r="F7" s="126"/>
      <c r="G7" s="126"/>
      <c r="H7" s="126"/>
      <c r="I7" s="126"/>
      <c r="J7" s="126"/>
      <c r="N7" s="314" t="s">
        <v>3</v>
      </c>
      <c r="O7" s="345">
        <v>307400</v>
      </c>
      <c r="P7" s="345">
        <v>318997.34759999998</v>
      </c>
      <c r="Q7" s="345">
        <v>317600</v>
      </c>
    </row>
    <row r="8" spans="1:17" ht="17.399999999999999">
      <c r="A8" s="125" t="s">
        <v>150</v>
      </c>
      <c r="B8" s="126">
        <v>60000</v>
      </c>
      <c r="C8" s="126"/>
      <c r="D8" s="126"/>
      <c r="E8" s="126"/>
      <c r="F8" s="126"/>
      <c r="G8" s="126"/>
      <c r="H8" s="126"/>
      <c r="I8" s="126"/>
      <c r="J8" s="126"/>
      <c r="N8" s="314" t="s">
        <v>4</v>
      </c>
      <c r="O8" s="345">
        <v>310450</v>
      </c>
      <c r="P8" s="345">
        <v>311217.81818181818</v>
      </c>
      <c r="Q8" s="345">
        <v>310150</v>
      </c>
    </row>
    <row r="9" spans="1:17" ht="17.399999999999999">
      <c r="A9" s="125" t="s">
        <v>151</v>
      </c>
      <c r="B9" s="126">
        <v>35000</v>
      </c>
      <c r="C9" s="126"/>
      <c r="D9" s="126"/>
      <c r="E9" s="126"/>
      <c r="F9" s="126"/>
      <c r="G9" s="126"/>
      <c r="H9" s="126"/>
      <c r="I9" s="126"/>
      <c r="J9" s="126"/>
      <c r="N9" s="314" t="s">
        <v>488</v>
      </c>
      <c r="O9" s="345">
        <v>94760</v>
      </c>
      <c r="P9" s="345">
        <v>118140.6109090909</v>
      </c>
      <c r="Q9" s="345">
        <v>148000</v>
      </c>
    </row>
    <row r="10" spans="1:17" ht="17.399999999999999">
      <c r="A10" s="125" t="s">
        <v>152</v>
      </c>
      <c r="B10" s="127">
        <f>SUM(B3:B9)</f>
        <v>617000</v>
      </c>
      <c r="C10" s="127"/>
      <c r="D10" s="126">
        <f t="shared" ref="D10:J10" si="0">SUM(D3:D9)</f>
        <v>485000</v>
      </c>
      <c r="E10" s="126">
        <f t="shared" si="0"/>
        <v>0</v>
      </c>
      <c r="F10" s="126">
        <f t="shared" si="0"/>
        <v>370000</v>
      </c>
      <c r="G10" s="126">
        <f>SUM(G3:G9)</f>
        <v>0</v>
      </c>
      <c r="H10" s="126">
        <f>SUM(H3:H9)</f>
        <v>260000</v>
      </c>
      <c r="I10" s="126">
        <f t="shared" si="0"/>
        <v>0</v>
      </c>
      <c r="J10" s="126">
        <f t="shared" si="0"/>
        <v>230000</v>
      </c>
      <c r="N10" s="314" t="s">
        <v>212</v>
      </c>
      <c r="O10" s="345">
        <v>69460</v>
      </c>
      <c r="P10" s="345">
        <v>63000</v>
      </c>
      <c r="Q10" s="345">
        <v>40130</v>
      </c>
    </row>
    <row r="11" spans="1:17" ht="17.399999999999999">
      <c r="N11" s="314" t="s">
        <v>1</v>
      </c>
      <c r="O11" s="313" t="s">
        <v>399</v>
      </c>
      <c r="P11" s="313" t="s">
        <v>553</v>
      </c>
      <c r="Q11" s="313" t="s">
        <v>554</v>
      </c>
    </row>
    <row r="12" spans="1:17" ht="17.399999999999999">
      <c r="A12" s="7644" t="s">
        <v>163</v>
      </c>
      <c r="B12" s="7644"/>
      <c r="C12" s="7644" t="s">
        <v>164</v>
      </c>
      <c r="D12" s="7644"/>
      <c r="E12" s="7644" t="s">
        <v>166</v>
      </c>
      <c r="F12" s="7644"/>
      <c r="G12" s="7644" t="s">
        <v>167</v>
      </c>
      <c r="H12" s="7644"/>
      <c r="I12" s="7644" t="s">
        <v>168</v>
      </c>
      <c r="J12" s="7644"/>
      <c r="N12" s="314" t="s">
        <v>2</v>
      </c>
      <c r="O12" s="517">
        <v>60</v>
      </c>
      <c r="P12" s="517">
        <v>53.78</v>
      </c>
      <c r="Q12" s="517">
        <v>60</v>
      </c>
    </row>
    <row r="13" spans="1:17" ht="17.399999999999999">
      <c r="A13" s="125" t="s">
        <v>144</v>
      </c>
      <c r="B13" s="125" t="s">
        <v>143</v>
      </c>
      <c r="C13" s="125" t="s">
        <v>144</v>
      </c>
      <c r="D13" s="125" t="s">
        <v>143</v>
      </c>
      <c r="E13" s="125" t="s">
        <v>144</v>
      </c>
      <c r="F13" s="125" t="s">
        <v>143</v>
      </c>
      <c r="G13" s="125" t="s">
        <v>144</v>
      </c>
      <c r="H13" s="125" t="s">
        <v>143</v>
      </c>
      <c r="I13" s="125" t="s">
        <v>144</v>
      </c>
      <c r="J13" s="125" t="s">
        <v>143</v>
      </c>
      <c r="N13" s="314" t="s">
        <v>3</v>
      </c>
      <c r="O13" s="517">
        <v>46.2</v>
      </c>
      <c r="P13" s="517">
        <v>44.21</v>
      </c>
      <c r="Q13" s="517">
        <v>46</v>
      </c>
    </row>
    <row r="14" spans="1:17" ht="17.399999999999999">
      <c r="A14" s="125" t="s">
        <v>153</v>
      </c>
      <c r="B14" s="125">
        <v>80000</v>
      </c>
      <c r="C14" s="125" t="s">
        <v>165</v>
      </c>
      <c r="D14" s="126">
        <v>120000</v>
      </c>
      <c r="E14" s="126" t="s">
        <v>169</v>
      </c>
      <c r="F14" s="126">
        <v>80000</v>
      </c>
      <c r="G14" s="126" t="s">
        <v>171</v>
      </c>
      <c r="H14" s="126">
        <v>100000</v>
      </c>
      <c r="I14" s="126" t="s">
        <v>171</v>
      </c>
      <c r="J14" s="126">
        <v>80000</v>
      </c>
      <c r="K14" s="128"/>
      <c r="N14" s="314" t="s">
        <v>4</v>
      </c>
      <c r="O14" s="517">
        <v>40</v>
      </c>
      <c r="P14" s="517">
        <v>39.299999999999997</v>
      </c>
      <c r="Q14" s="517">
        <v>40.5</v>
      </c>
    </row>
    <row r="15" spans="1:17" ht="17.399999999999999">
      <c r="A15" s="125" t="s">
        <v>17</v>
      </c>
      <c r="B15" s="125">
        <v>120000</v>
      </c>
      <c r="C15" s="125"/>
      <c r="D15" s="126"/>
      <c r="E15" s="126" t="s">
        <v>170</v>
      </c>
      <c r="F15" s="126">
        <v>140000</v>
      </c>
      <c r="G15" s="126"/>
      <c r="H15" s="126"/>
      <c r="I15" s="126"/>
      <c r="J15" s="126"/>
      <c r="K15" s="128"/>
      <c r="N15" s="314" t="s">
        <v>488</v>
      </c>
      <c r="O15" s="517">
        <v>20.100000000000001</v>
      </c>
      <c r="P15" s="517">
        <v>19.95</v>
      </c>
      <c r="Q15" s="517">
        <v>22</v>
      </c>
    </row>
    <row r="16" spans="1:17" ht="17.399999999999999">
      <c r="A16" s="125"/>
      <c r="B16" s="125"/>
      <c r="C16" s="125"/>
      <c r="D16" s="126"/>
      <c r="E16" s="126"/>
      <c r="F16" s="126"/>
      <c r="G16" s="126"/>
      <c r="H16" s="126"/>
      <c r="I16" s="126"/>
      <c r="J16" s="126"/>
      <c r="K16" s="128"/>
      <c r="N16" s="314" t="s">
        <v>212</v>
      </c>
      <c r="O16" s="517">
        <v>12</v>
      </c>
      <c r="P16" s="517">
        <v>11.04</v>
      </c>
      <c r="Q16" s="517">
        <v>9</v>
      </c>
    </row>
    <row r="17" spans="1:17" ht="17.399999999999999">
      <c r="A17" s="125"/>
      <c r="B17" s="125"/>
      <c r="C17" s="125"/>
      <c r="D17" s="126"/>
      <c r="E17" s="126"/>
      <c r="F17" s="126"/>
      <c r="G17" s="126"/>
      <c r="H17" s="126"/>
      <c r="I17" s="126"/>
      <c r="J17" s="126"/>
      <c r="K17" s="128"/>
      <c r="N17" s="314" t="s">
        <v>1</v>
      </c>
      <c r="O17" s="313" t="s">
        <v>399</v>
      </c>
      <c r="P17" s="313" t="s">
        <v>553</v>
      </c>
      <c r="Q17" s="313" t="s">
        <v>554</v>
      </c>
    </row>
    <row r="18" spans="1:17" ht="17.399999999999999">
      <c r="A18" s="125"/>
      <c r="B18" s="125"/>
      <c r="C18" s="125"/>
      <c r="D18" s="126"/>
      <c r="E18" s="126"/>
      <c r="F18" s="126"/>
      <c r="G18" s="126"/>
      <c r="H18" s="126"/>
      <c r="I18" s="126"/>
      <c r="J18" s="126"/>
      <c r="K18" s="128"/>
      <c r="N18" s="314" t="s">
        <v>2</v>
      </c>
      <c r="O18" s="516">
        <v>0.97599999999999998</v>
      </c>
      <c r="P18" s="516">
        <v>0.97989999999999999</v>
      </c>
      <c r="Q18" s="516">
        <v>0.98</v>
      </c>
    </row>
    <row r="19" spans="1:17" ht="17.399999999999999">
      <c r="A19" s="125"/>
      <c r="B19" s="125"/>
      <c r="C19" s="125"/>
      <c r="D19" s="126"/>
      <c r="E19" s="126"/>
      <c r="F19" s="126"/>
      <c r="G19" s="126"/>
      <c r="H19" s="126"/>
      <c r="I19" s="126"/>
      <c r="J19" s="126"/>
      <c r="K19" s="128"/>
      <c r="N19" s="314" t="s">
        <v>3</v>
      </c>
      <c r="O19" s="516">
        <v>0.99950000000000006</v>
      </c>
      <c r="P19" s="516">
        <v>0.99939999999999996</v>
      </c>
      <c r="Q19" s="516">
        <v>0.99980000000000002</v>
      </c>
    </row>
    <row r="20" spans="1:17" ht="17.399999999999999">
      <c r="A20" s="125"/>
      <c r="B20" s="125"/>
      <c r="C20" s="125"/>
      <c r="D20" s="126"/>
      <c r="E20" s="126"/>
      <c r="F20" s="126"/>
      <c r="G20" s="126"/>
      <c r="H20" s="126"/>
      <c r="I20" s="126"/>
      <c r="J20" s="126"/>
      <c r="K20" s="128"/>
      <c r="N20" s="314" t="s">
        <v>4</v>
      </c>
      <c r="O20" s="516">
        <v>0.99</v>
      </c>
      <c r="P20" s="516">
        <v>0.99080000000000001</v>
      </c>
      <c r="Q20" s="516">
        <v>0.995</v>
      </c>
    </row>
    <row r="21" spans="1:17" ht="17.399999999999999">
      <c r="A21" s="126">
        <f t="shared" ref="A21:J21" si="1">SUM(A14:A20)</f>
        <v>0</v>
      </c>
      <c r="B21" s="126">
        <f t="shared" si="1"/>
        <v>200000</v>
      </c>
      <c r="C21" s="126">
        <f t="shared" si="1"/>
        <v>0</v>
      </c>
      <c r="D21" s="126">
        <f t="shared" si="1"/>
        <v>120000</v>
      </c>
      <c r="E21" s="126">
        <f t="shared" si="1"/>
        <v>0</v>
      </c>
      <c r="F21" s="126">
        <f t="shared" si="1"/>
        <v>220000</v>
      </c>
      <c r="G21" s="126">
        <f t="shared" si="1"/>
        <v>0</v>
      </c>
      <c r="H21" s="126">
        <f t="shared" si="1"/>
        <v>100000</v>
      </c>
      <c r="I21" s="126">
        <f t="shared" si="1"/>
        <v>0</v>
      </c>
      <c r="J21" s="126">
        <f t="shared" si="1"/>
        <v>80000</v>
      </c>
      <c r="K21" s="128"/>
      <c r="N21" s="314" t="s">
        <v>488</v>
      </c>
      <c r="O21" s="516">
        <v>1.0009999999999999</v>
      </c>
      <c r="P21" s="516">
        <v>1.0005369360660397</v>
      </c>
      <c r="Q21" s="516">
        <v>1.004</v>
      </c>
    </row>
    <row r="22" spans="1:17" ht="17.399999999999999">
      <c r="N22" s="314" t="s">
        <v>212</v>
      </c>
      <c r="O22" s="516">
        <v>1.0015000000000001</v>
      </c>
      <c r="P22" s="516">
        <v>0.99993385966617732</v>
      </c>
      <c r="Q22" s="516">
        <v>1</v>
      </c>
    </row>
    <row r="23" spans="1:17">
      <c r="A23" s="7644" t="s">
        <v>172</v>
      </c>
      <c r="B23" s="7644"/>
      <c r="C23" s="7644" t="s">
        <v>173</v>
      </c>
      <c r="D23" s="7644"/>
      <c r="E23" s="7644" t="s">
        <v>174</v>
      </c>
      <c r="F23" s="7644"/>
    </row>
    <row r="24" spans="1:17">
      <c r="A24" s="125" t="s">
        <v>144</v>
      </c>
      <c r="B24" s="125" t="s">
        <v>143</v>
      </c>
      <c r="C24" s="125" t="s">
        <v>144</v>
      </c>
      <c r="D24" s="125" t="s">
        <v>143</v>
      </c>
      <c r="E24" s="125" t="s">
        <v>175</v>
      </c>
      <c r="F24" s="127">
        <f>B10+D10+F10+H10+J10+B21+D21+F21+H21+J21+B32+D32</f>
        <v>2792000</v>
      </c>
    </row>
    <row r="25" spans="1:17">
      <c r="A25" s="125" t="s">
        <v>153</v>
      </c>
      <c r="B25" s="125">
        <v>60000</v>
      </c>
      <c r="C25" s="125" t="s">
        <v>165</v>
      </c>
      <c r="D25" s="126">
        <v>50000</v>
      </c>
      <c r="E25" s="126"/>
      <c r="F25" s="126"/>
    </row>
    <row r="26" spans="1:17">
      <c r="A26" s="125"/>
      <c r="B26" s="125"/>
      <c r="C26" s="125"/>
      <c r="D26" s="126"/>
      <c r="E26" s="126"/>
      <c r="F26" s="126"/>
    </row>
    <row r="27" spans="1:17">
      <c r="A27" s="125"/>
      <c r="B27" s="125"/>
      <c r="C27" s="125"/>
      <c r="D27" s="126"/>
      <c r="E27" s="126"/>
      <c r="F27" s="126"/>
    </row>
    <row r="28" spans="1:17">
      <c r="A28" s="125"/>
      <c r="B28" s="125"/>
      <c r="C28" s="125"/>
      <c r="D28" s="126"/>
      <c r="E28" s="126"/>
      <c r="F28" s="126"/>
    </row>
    <row r="29" spans="1:17">
      <c r="A29" s="125"/>
      <c r="B29" s="125"/>
      <c r="C29" s="125"/>
      <c r="D29" s="126"/>
      <c r="E29" s="126"/>
      <c r="F29" s="126"/>
    </row>
    <row r="30" spans="1:17">
      <c r="A30" s="125"/>
      <c r="B30" s="125"/>
      <c r="C30" s="125"/>
      <c r="D30" s="126"/>
      <c r="E30" s="126"/>
      <c r="F30" s="126"/>
    </row>
    <row r="31" spans="1:17">
      <c r="A31" s="125"/>
      <c r="B31" s="125"/>
      <c r="C31" s="125"/>
      <c r="D31" s="126"/>
      <c r="E31" s="126"/>
      <c r="F31" s="126"/>
    </row>
    <row r="32" spans="1:17">
      <c r="A32" s="126">
        <f>SUM(A25:A31)</f>
        <v>0</v>
      </c>
      <c r="B32" s="126">
        <f>SUM(B25:B31)</f>
        <v>60000</v>
      </c>
      <c r="C32" s="126">
        <f>SUM(C25:C31)</f>
        <v>0</v>
      </c>
      <c r="D32" s="126">
        <f>SUM(D25:D31)</f>
        <v>50000</v>
      </c>
      <c r="E32" s="126"/>
      <c r="F32" s="126"/>
    </row>
    <row r="35" spans="1:10">
      <c r="A35" s="7657" t="s">
        <v>0</v>
      </c>
      <c r="B35" s="7657"/>
      <c r="C35" s="138" t="s">
        <v>141</v>
      </c>
      <c r="D35" s="126" t="s">
        <v>180</v>
      </c>
      <c r="E35" s="138" t="s">
        <v>179</v>
      </c>
      <c r="F35" s="126" t="s">
        <v>181</v>
      </c>
      <c r="H35" s="7285"/>
      <c r="I35" s="7286"/>
      <c r="J35" s="129"/>
    </row>
    <row r="36" spans="1:10">
      <c r="A36" s="7645" t="s">
        <v>49</v>
      </c>
      <c r="B36" s="60" t="s">
        <v>27</v>
      </c>
      <c r="C36" s="42">
        <v>0.97896618006376324</v>
      </c>
      <c r="D36" s="42">
        <v>0.97565053601879559</v>
      </c>
      <c r="E36" s="42">
        <v>0.97799999999999998</v>
      </c>
      <c r="F36" s="140">
        <v>182074329.74668536</v>
      </c>
      <c r="H36" s="7647"/>
      <c r="I36" s="44"/>
    </row>
    <row r="37" spans="1:10">
      <c r="A37" s="7645"/>
      <c r="B37" s="60" t="s">
        <v>28</v>
      </c>
      <c r="C37" s="42">
        <v>0.99928302515212208</v>
      </c>
      <c r="D37" s="42">
        <v>0.99925949420532567</v>
      </c>
      <c r="E37" s="42">
        <v>0.99950000000000006</v>
      </c>
      <c r="F37" s="140">
        <v>17038084.997746371</v>
      </c>
      <c r="H37" s="7648"/>
      <c r="I37" s="29"/>
    </row>
    <row r="38" spans="1:10">
      <c r="A38" s="7645"/>
      <c r="B38" s="60" t="s">
        <v>29</v>
      </c>
      <c r="C38" s="42">
        <v>0.98904868508912702</v>
      </c>
      <c r="D38" s="42">
        <v>0.98291116807300061</v>
      </c>
      <c r="E38" s="42">
        <v>0.99</v>
      </c>
      <c r="F38" s="140">
        <v>507332664.09913713</v>
      </c>
      <c r="H38" s="7648"/>
      <c r="I38" s="29"/>
    </row>
    <row r="39" spans="1:10">
      <c r="A39" s="7645"/>
      <c r="B39" s="60" t="s">
        <v>23</v>
      </c>
      <c r="C39" s="42">
        <v>1.0048700808760374</v>
      </c>
      <c r="D39" s="42">
        <v>1.0018199721673695</v>
      </c>
      <c r="E39" s="42">
        <v>1.0052000000000001</v>
      </c>
      <c r="F39" s="140">
        <v>203283354.18686834</v>
      </c>
      <c r="H39" s="7648"/>
      <c r="I39" s="29"/>
    </row>
    <row r="40" spans="1:10">
      <c r="A40" s="7645"/>
      <c r="B40" s="60" t="s">
        <v>17</v>
      </c>
      <c r="C40" s="42">
        <v>1.0031599113687713</v>
      </c>
      <c r="D40" s="42">
        <v>1.0008238823894333</v>
      </c>
      <c r="E40" s="42">
        <v>1.0044999999999999</v>
      </c>
      <c r="F40" s="140">
        <v>112948997.20747194</v>
      </c>
      <c r="H40" s="7649"/>
      <c r="I40" s="45"/>
    </row>
    <row r="41" spans="1:10">
      <c r="A41" s="7646" t="s">
        <v>50</v>
      </c>
      <c r="B41" s="7646"/>
      <c r="C41" s="42">
        <f>C39*C38*C37*C36</f>
        <v>0.97226305732371743</v>
      </c>
      <c r="D41" s="42">
        <v>0.96001169987083834</v>
      </c>
      <c r="E41" s="42">
        <f>E39*E38*E37*E36</f>
        <v>0.97276811662800011</v>
      </c>
      <c r="F41" s="126">
        <f>SUM(F36:F40)</f>
        <v>1022677430.2379091</v>
      </c>
      <c r="H41" s="7650"/>
      <c r="I41" s="28"/>
    </row>
    <row r="42" spans="1:10">
      <c r="A42" s="7645" t="s">
        <v>52</v>
      </c>
      <c r="B42" s="60" t="s">
        <v>27</v>
      </c>
      <c r="C42" s="42">
        <v>0.98189062379816938</v>
      </c>
      <c r="D42" s="42">
        <v>0.9837366436203645</v>
      </c>
      <c r="E42" s="42">
        <v>0.9837366436203645</v>
      </c>
      <c r="F42" s="140">
        <v>0</v>
      </c>
      <c r="H42" s="7651"/>
      <c r="I42" s="29"/>
    </row>
    <row r="43" spans="1:10">
      <c r="A43" s="7645"/>
      <c r="B43" s="60" t="s">
        <v>28</v>
      </c>
      <c r="C43" s="42">
        <v>0.92555098139317638</v>
      </c>
      <c r="D43" s="42">
        <v>0.92237702587432469</v>
      </c>
      <c r="E43" s="42">
        <v>0.92600000000000005</v>
      </c>
      <c r="F43" s="140">
        <v>8618131.711281104</v>
      </c>
      <c r="H43" s="7651"/>
      <c r="I43" s="29"/>
    </row>
    <row r="44" spans="1:10">
      <c r="A44" s="7645"/>
      <c r="B44" s="60" t="s">
        <v>29</v>
      </c>
      <c r="C44" s="42">
        <v>0.9781230596250986</v>
      </c>
      <c r="D44" s="42">
        <v>0.97410682176118257</v>
      </c>
      <c r="E44" s="42">
        <v>0.98499999999999999</v>
      </c>
      <c r="F44" s="140">
        <v>50951341.86270602</v>
      </c>
      <c r="H44" s="7651"/>
      <c r="I44" s="29"/>
    </row>
    <row r="45" spans="1:10">
      <c r="A45" s="7645"/>
      <c r="B45" s="60" t="s">
        <v>23</v>
      </c>
      <c r="C45" s="42">
        <v>0.79320000000000002</v>
      </c>
      <c r="D45" s="42">
        <v>0.79320000000000002</v>
      </c>
      <c r="E45" s="42">
        <v>0.8</v>
      </c>
      <c r="F45" s="140">
        <v>69585240.496528074</v>
      </c>
      <c r="H45" s="7652"/>
      <c r="I45" s="30"/>
    </row>
    <row r="46" spans="1:10">
      <c r="A46" s="7645"/>
      <c r="B46" s="60" t="s">
        <v>17</v>
      </c>
      <c r="C46" s="42">
        <v>0.75019999999999998</v>
      </c>
      <c r="D46" s="42">
        <v>0.75019999999999998</v>
      </c>
      <c r="E46" s="42">
        <v>0.76</v>
      </c>
      <c r="F46" s="140">
        <v>100284611.30381976</v>
      </c>
      <c r="H46" s="7653"/>
      <c r="I46" s="7654"/>
    </row>
    <row r="47" spans="1:10">
      <c r="A47" s="7646" t="s">
        <v>53</v>
      </c>
      <c r="B47" s="7646"/>
      <c r="C47" s="42">
        <v>0.88579293296328887</v>
      </c>
      <c r="D47" s="42">
        <v>0.88472409825117437</v>
      </c>
      <c r="E47" s="42">
        <v>0.8909473287240729</v>
      </c>
      <c r="F47" s="126">
        <f>SUM(F42:F46)</f>
        <v>229439325.37433496</v>
      </c>
      <c r="H47" s="7650"/>
      <c r="I47" s="28"/>
    </row>
    <row r="48" spans="1:10">
      <c r="A48" s="7645" t="s">
        <v>40</v>
      </c>
      <c r="B48" s="60" t="s">
        <v>27</v>
      </c>
      <c r="C48" s="43">
        <v>62.015666590419848</v>
      </c>
      <c r="D48" s="43">
        <v>58.658997912079137</v>
      </c>
      <c r="E48" s="139">
        <v>60</v>
      </c>
      <c r="F48" s="140">
        <v>32415038.582055278</v>
      </c>
      <c r="H48" s="7651"/>
      <c r="I48" s="29"/>
    </row>
    <row r="49" spans="1:9">
      <c r="A49" s="7645"/>
      <c r="B49" s="60" t="s">
        <v>28</v>
      </c>
      <c r="C49" s="43">
        <v>44.830401999788748</v>
      </c>
      <c r="D49" s="43">
        <v>45.676570710423981</v>
      </c>
      <c r="E49" s="139">
        <v>45.676570710423981</v>
      </c>
      <c r="F49" s="137">
        <v>0</v>
      </c>
      <c r="H49" s="7651"/>
      <c r="I49" s="29"/>
    </row>
    <row r="50" spans="1:9">
      <c r="A50" s="7645"/>
      <c r="B50" s="60" t="s">
        <v>29</v>
      </c>
      <c r="C50" s="43">
        <v>40.28819407956113</v>
      </c>
      <c r="D50" s="43">
        <v>40.724110450535314</v>
      </c>
      <c r="E50" s="139">
        <v>40.724110450535314</v>
      </c>
      <c r="F50" s="140">
        <v>0</v>
      </c>
      <c r="H50" s="7651"/>
      <c r="I50" s="29"/>
    </row>
    <row r="51" spans="1:9">
      <c r="A51" s="7645"/>
      <c r="B51" s="60" t="s">
        <v>23</v>
      </c>
      <c r="C51" s="43">
        <v>21.2</v>
      </c>
      <c r="D51" s="43">
        <v>21.2</v>
      </c>
      <c r="E51" s="139">
        <v>21.5</v>
      </c>
      <c r="F51" s="140">
        <v>63444767.441860653</v>
      </c>
      <c r="H51" s="7652"/>
      <c r="I51" s="30"/>
    </row>
    <row r="52" spans="1:9">
      <c r="A52" s="7645"/>
      <c r="B52" s="60" t="s">
        <v>17</v>
      </c>
      <c r="C52" s="43">
        <v>10.65</v>
      </c>
      <c r="D52" s="43">
        <v>10.65</v>
      </c>
      <c r="E52" s="139">
        <v>10.72</v>
      </c>
      <c r="F52" s="140">
        <v>30172508.934202164</v>
      </c>
      <c r="H52" s="7655"/>
      <c r="I52" s="7656"/>
    </row>
    <row r="53" spans="1:9">
      <c r="A53" s="7646" t="s">
        <v>54</v>
      </c>
      <c r="B53" s="7646"/>
      <c r="C53" s="43">
        <v>35.796852533953945</v>
      </c>
      <c r="D53" s="43">
        <v>35.381935814607687</v>
      </c>
      <c r="E53" s="43">
        <v>35.72413623219186</v>
      </c>
      <c r="F53" s="126">
        <f>SUM(F48:F52)</f>
        <v>126032314.9581181</v>
      </c>
    </row>
  </sheetData>
  <mergeCells count="26">
    <mergeCell ref="A48:A52"/>
    <mergeCell ref="A53:B53"/>
    <mergeCell ref="H35:I35"/>
    <mergeCell ref="H36:H40"/>
    <mergeCell ref="H41:H45"/>
    <mergeCell ref="H46:I46"/>
    <mergeCell ref="H47:H51"/>
    <mergeCell ref="H52:I52"/>
    <mergeCell ref="A35:B35"/>
    <mergeCell ref="A36:A40"/>
    <mergeCell ref="A41:B41"/>
    <mergeCell ref="A42:A46"/>
    <mergeCell ref="A47:B47"/>
    <mergeCell ref="G1:H1"/>
    <mergeCell ref="G12:H12"/>
    <mergeCell ref="I12:J12"/>
    <mergeCell ref="I1:J1"/>
    <mergeCell ref="A23:B23"/>
    <mergeCell ref="C23:D23"/>
    <mergeCell ref="E23:F23"/>
    <mergeCell ref="A1:B1"/>
    <mergeCell ref="C1:D1"/>
    <mergeCell ref="E1:F1"/>
    <mergeCell ref="A12:B12"/>
    <mergeCell ref="C12:D12"/>
    <mergeCell ref="E12:F12"/>
  </mergeCells>
  <phoneticPr fontId="22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14"/>
  <sheetViews>
    <sheetView workbookViewId="0">
      <selection activeCell="J40" sqref="J40"/>
    </sheetView>
  </sheetViews>
  <sheetFormatPr defaultRowHeight="14.4"/>
  <cols>
    <col min="1" max="2" width="15.19921875" customWidth="1"/>
    <col min="3" max="7" width="18.69921875" customWidth="1"/>
    <col min="8" max="8" width="18" customWidth="1"/>
    <col min="9" max="9" width="14.8984375" customWidth="1"/>
  </cols>
  <sheetData>
    <row r="3" s="299" customFormat="1"/>
    <row r="4" s="299" customFormat="1"/>
    <row r="5" s="299" customFormat="1"/>
    <row r="6" s="299" customFormat="1"/>
    <row r="7" s="299" customFormat="1"/>
    <row r="8" s="299" customFormat="1"/>
    <row r="9" s="299" customFormat="1"/>
    <row r="10" s="299" customFormat="1"/>
    <row r="11" s="299" customFormat="1"/>
    <row r="14" s="299" customFormat="1"/>
    <row r="15" s="299" customFormat="1"/>
    <row r="16" s="299" customFormat="1"/>
    <row r="17" spans="1:8" s="299" customFormat="1"/>
    <row r="18" spans="1:8" s="299" customFormat="1"/>
    <row r="19" spans="1:8" s="299" customFormat="1"/>
    <row r="21" spans="1:8" s="299" customFormat="1"/>
    <row r="22" spans="1:8" s="299" customFormat="1"/>
    <row r="23" spans="1:8" s="299" customFormat="1"/>
    <row r="24" spans="1:8" s="299" customFormat="1"/>
    <row r="25" spans="1:8" s="299" customFormat="1"/>
    <row r="26" spans="1:8" s="299" customFormat="1"/>
    <row r="27" spans="1:8" s="299" customFormat="1"/>
    <row r="28" spans="1:8" s="299" customFormat="1" ht="15" thickBot="1"/>
    <row r="29" spans="1:8" s="299" customFormat="1" ht="30" customHeight="1" thickBot="1">
      <c r="A29" s="7658" t="s">
        <v>1553</v>
      </c>
      <c r="B29" s="7659"/>
      <c r="C29" s="3846" t="s">
        <v>1561</v>
      </c>
      <c r="D29" s="3847" t="s">
        <v>1562</v>
      </c>
      <c r="E29" s="3847" t="s">
        <v>1565</v>
      </c>
      <c r="F29" s="3848" t="s">
        <v>1566</v>
      </c>
      <c r="G29" s="3867" t="s">
        <v>1567</v>
      </c>
      <c r="H29" s="3868" t="s">
        <v>251</v>
      </c>
    </row>
    <row r="30" spans="1:8" s="299" customFormat="1" ht="24" customHeight="1" thickTop="1" thickBot="1">
      <c r="A30" s="7660" t="s">
        <v>1554</v>
      </c>
      <c r="B30" s="7661"/>
      <c r="C30" s="3849">
        <v>12500</v>
      </c>
      <c r="D30" s="3850">
        <v>76.900000000000006</v>
      </c>
      <c r="E30" s="3850">
        <v>-2.7</v>
      </c>
      <c r="F30" s="3851">
        <f>E30/D30*100</f>
        <v>-3.5110533159947983</v>
      </c>
      <c r="G30" s="3869">
        <v>18685</v>
      </c>
      <c r="H30" s="3872" t="s">
        <v>240</v>
      </c>
    </row>
    <row r="31" spans="1:8" s="299" customFormat="1" ht="24" customHeight="1">
      <c r="A31" s="7662" t="s">
        <v>1555</v>
      </c>
      <c r="B31" s="3852" t="s">
        <v>1556</v>
      </c>
      <c r="C31" s="3853">
        <v>116000</v>
      </c>
      <c r="D31" s="3854">
        <v>866.1</v>
      </c>
      <c r="E31" s="3854">
        <v>-7</v>
      </c>
      <c r="F31" s="3855">
        <f t="shared" ref="F31:F37" si="0">E31/D31*100</f>
        <v>-0.80822075972751417</v>
      </c>
      <c r="G31" s="3870">
        <v>23752</v>
      </c>
      <c r="H31" s="3873" t="s">
        <v>185</v>
      </c>
    </row>
    <row r="32" spans="1:8" s="299" customFormat="1" ht="24" customHeight="1">
      <c r="A32" s="7663"/>
      <c r="B32" s="3856" t="s">
        <v>1557</v>
      </c>
      <c r="C32" s="3857">
        <v>12000</v>
      </c>
      <c r="D32" s="3858">
        <v>99.1</v>
      </c>
      <c r="E32" s="3858">
        <v>-0.3</v>
      </c>
      <c r="F32" s="3859">
        <f t="shared" si="0"/>
        <v>-0.30272452068617561</v>
      </c>
      <c r="G32" s="3870">
        <v>61009</v>
      </c>
      <c r="H32" s="3873" t="s">
        <v>29</v>
      </c>
    </row>
    <row r="33" spans="1:8" s="299" customFormat="1" ht="24" customHeight="1" thickBot="1">
      <c r="A33" s="7664"/>
      <c r="B33" s="3860" t="s">
        <v>1558</v>
      </c>
      <c r="C33" s="3861">
        <f>SUM(C31:C32)</f>
        <v>128000</v>
      </c>
      <c r="D33" s="3862">
        <f>SUM(D31:D32)</f>
        <v>965.2</v>
      </c>
      <c r="E33" s="3862">
        <f>SUM(E31:E32)</f>
        <v>-7.3</v>
      </c>
      <c r="F33" s="3863">
        <f t="shared" si="0"/>
        <v>-0.75631993369249895</v>
      </c>
      <c r="G33" s="3870">
        <v>64372</v>
      </c>
      <c r="H33" s="3873" t="s">
        <v>1563</v>
      </c>
    </row>
    <row r="34" spans="1:8" s="299" customFormat="1" ht="24" customHeight="1" thickBot="1">
      <c r="A34" s="7662" t="s">
        <v>1559</v>
      </c>
      <c r="B34" s="3852" t="s">
        <v>1556</v>
      </c>
      <c r="C34" s="3853">
        <v>143500</v>
      </c>
      <c r="D34" s="3854">
        <v>1810.3</v>
      </c>
      <c r="E34" s="3854">
        <v>74</v>
      </c>
      <c r="F34" s="3855">
        <f t="shared" si="0"/>
        <v>4.0877202673590007</v>
      </c>
      <c r="G34" s="3871">
        <v>189310</v>
      </c>
      <c r="H34" s="3874" t="s">
        <v>1564</v>
      </c>
    </row>
    <row r="35" spans="1:8" s="299" customFormat="1" ht="24" customHeight="1">
      <c r="A35" s="7663"/>
      <c r="B35" s="3856" t="s">
        <v>1557</v>
      </c>
      <c r="C35" s="3857">
        <v>76000</v>
      </c>
      <c r="D35" s="3858">
        <v>824.3</v>
      </c>
      <c r="E35" s="3858">
        <v>-14</v>
      </c>
      <c r="F35" s="3859">
        <f t="shared" si="0"/>
        <v>-1.6984107727769018</v>
      </c>
      <c r="G35" s="7665"/>
      <c r="H35" s="7666"/>
    </row>
    <row r="36" spans="1:8" s="299" customFormat="1" ht="24" customHeight="1" thickBot="1">
      <c r="A36" s="7664"/>
      <c r="B36" s="3860" t="s">
        <v>1558</v>
      </c>
      <c r="C36" s="3861">
        <f>SUM(C34:C35)</f>
        <v>219500</v>
      </c>
      <c r="D36" s="3862">
        <f>SUM(D34:D35)</f>
        <v>2634.6</v>
      </c>
      <c r="E36" s="3862">
        <f>SUM(E34:E35)</f>
        <v>60</v>
      </c>
      <c r="F36" s="3863">
        <f t="shared" si="0"/>
        <v>2.2773855613755409</v>
      </c>
      <c r="G36" s="7667"/>
      <c r="H36" s="7668"/>
    </row>
    <row r="37" spans="1:8" s="299" customFormat="1" ht="24" customHeight="1" thickBot="1">
      <c r="A37" s="7671" t="s">
        <v>1560</v>
      </c>
      <c r="B37" s="7672"/>
      <c r="C37" s="3864">
        <f>C30+C33+C36</f>
        <v>360000</v>
      </c>
      <c r="D37" s="3865">
        <f>D30+D33+D36</f>
        <v>3676.7</v>
      </c>
      <c r="E37" s="3865">
        <f>E30+E33+E36</f>
        <v>50</v>
      </c>
      <c r="F37" s="3866">
        <f t="shared" si="0"/>
        <v>1.3599151412951833</v>
      </c>
      <c r="G37" s="7669"/>
      <c r="H37" s="7670"/>
    </row>
    <row r="39" spans="1:8" s="299" customFormat="1"/>
    <row r="40" spans="1:8" s="299" customFormat="1"/>
    <row r="41" spans="1:8" s="299" customFormat="1"/>
    <row r="42" spans="1:8" s="299" customFormat="1"/>
    <row r="43" spans="1:8" s="299" customFormat="1"/>
    <row r="44" spans="1:8" s="299" customFormat="1"/>
    <row r="45" spans="1:8" s="299" customFormat="1"/>
    <row r="46" spans="1:8" s="299" customFormat="1"/>
    <row r="47" spans="1:8" s="299" customFormat="1"/>
    <row r="48" spans="1:8" s="299" customFormat="1"/>
    <row r="49" s="299" customFormat="1"/>
    <row r="50" s="299" customFormat="1"/>
    <row r="51" s="299" customFormat="1"/>
    <row r="52" s="299" customFormat="1"/>
    <row r="53" s="299" customFormat="1"/>
    <row r="54" s="299" customFormat="1"/>
    <row r="55" s="299" customFormat="1"/>
    <row r="56" s="299" customFormat="1"/>
    <row r="57" s="299" customFormat="1"/>
    <row r="58" s="299" customFormat="1"/>
    <row r="59" s="299" customFormat="1"/>
    <row r="60" s="299" customFormat="1"/>
    <row r="61" s="299" customFormat="1"/>
    <row r="62" s="299" customFormat="1"/>
    <row r="63" s="299" customFormat="1"/>
    <row r="64" s="299" customFormat="1"/>
    <row r="65" spans="1:8" s="299" customFormat="1"/>
    <row r="66" spans="1:8" s="299" customFormat="1" ht="15" thickBot="1"/>
    <row r="67" spans="1:8" s="299" customFormat="1" ht="30" customHeight="1" thickBot="1">
      <c r="A67" s="7658" t="s">
        <v>1553</v>
      </c>
      <c r="B67" s="7659"/>
      <c r="C67" s="3846" t="s">
        <v>1561</v>
      </c>
      <c r="D67" s="3847" t="s">
        <v>1562</v>
      </c>
      <c r="E67" s="3847" t="s">
        <v>1565</v>
      </c>
      <c r="F67" s="3848" t="s">
        <v>1566</v>
      </c>
      <c r="G67" s="3867" t="s">
        <v>1567</v>
      </c>
      <c r="H67" s="3868" t="s">
        <v>251</v>
      </c>
    </row>
    <row r="68" spans="1:8" s="299" customFormat="1" ht="24" customHeight="1" thickTop="1" thickBot="1">
      <c r="A68" s="7660" t="s">
        <v>1554</v>
      </c>
      <c r="B68" s="7661"/>
      <c r="C68" s="3849">
        <v>12500</v>
      </c>
      <c r="D68" s="3850">
        <v>76.900000000000006</v>
      </c>
      <c r="E68" s="3850">
        <v>-2.7</v>
      </c>
      <c r="F68" s="3851">
        <f>E68/D68*100</f>
        <v>-3.5110533159947983</v>
      </c>
      <c r="G68" s="3869" t="s">
        <v>1568</v>
      </c>
      <c r="H68" s="3872" t="s">
        <v>240</v>
      </c>
    </row>
    <row r="69" spans="1:8" s="299" customFormat="1" ht="24" customHeight="1">
      <c r="A69" s="7662" t="s">
        <v>1555</v>
      </c>
      <c r="B69" s="3852" t="s">
        <v>1556</v>
      </c>
      <c r="C69" s="3853">
        <v>116000</v>
      </c>
      <c r="D69" s="3854">
        <v>866.1</v>
      </c>
      <c r="E69" s="3854">
        <v>-7</v>
      </c>
      <c r="F69" s="3855">
        <f t="shared" ref="F69:F75" si="1">E69/D69*100</f>
        <v>-0.80822075972751417</v>
      </c>
      <c r="G69" s="3870" t="s">
        <v>1569</v>
      </c>
      <c r="H69" s="3873" t="s">
        <v>185</v>
      </c>
    </row>
    <row r="70" spans="1:8" s="299" customFormat="1" ht="24" customHeight="1">
      <c r="A70" s="7663"/>
      <c r="B70" s="3856" t="s">
        <v>1557</v>
      </c>
      <c r="C70" s="3857">
        <v>12000</v>
      </c>
      <c r="D70" s="3858">
        <v>99.1</v>
      </c>
      <c r="E70" s="3858">
        <v>-0.3</v>
      </c>
      <c r="F70" s="3859">
        <f t="shared" si="1"/>
        <v>-0.30272452068617561</v>
      </c>
      <c r="G70" s="3870" t="s">
        <v>1570</v>
      </c>
      <c r="H70" s="3873" t="s">
        <v>29</v>
      </c>
    </row>
    <row r="71" spans="1:8" s="299" customFormat="1" ht="24" customHeight="1" thickBot="1">
      <c r="A71" s="7664"/>
      <c r="B71" s="3860" t="s">
        <v>1558</v>
      </c>
      <c r="C71" s="3861">
        <f>SUM(C69:C70)</f>
        <v>128000</v>
      </c>
      <c r="D71" s="3862">
        <f>SUM(D69:D70)</f>
        <v>965.2</v>
      </c>
      <c r="E71" s="3862">
        <v>-7.3</v>
      </c>
      <c r="F71" s="3863">
        <f t="shared" si="1"/>
        <v>-0.75631993369249895</v>
      </c>
      <c r="G71" s="3870" t="s">
        <v>1571</v>
      </c>
      <c r="H71" s="3873" t="s">
        <v>1563</v>
      </c>
    </row>
    <row r="72" spans="1:8" s="299" customFormat="1" ht="24" customHeight="1" thickBot="1">
      <c r="A72" s="7662" t="s">
        <v>1559</v>
      </c>
      <c r="B72" s="3852" t="s">
        <v>1556</v>
      </c>
      <c r="C72" s="3853">
        <v>143500</v>
      </c>
      <c r="D72" s="3854">
        <v>1810.3</v>
      </c>
      <c r="E72" s="3854">
        <v>74</v>
      </c>
      <c r="F72" s="3855">
        <f t="shared" si="1"/>
        <v>4.0877202673590007</v>
      </c>
      <c r="G72" s="3871" t="s">
        <v>1572</v>
      </c>
      <c r="H72" s="3874" t="s">
        <v>1564</v>
      </c>
    </row>
    <row r="73" spans="1:8" s="299" customFormat="1" ht="24" customHeight="1">
      <c r="A73" s="7663"/>
      <c r="B73" s="3856" t="s">
        <v>1557</v>
      </c>
      <c r="C73" s="3857">
        <v>76000</v>
      </c>
      <c r="D73" s="3858">
        <v>824.3</v>
      </c>
      <c r="E73" s="3858">
        <v>-14</v>
      </c>
      <c r="F73" s="3859">
        <f t="shared" si="1"/>
        <v>-1.6984107727769018</v>
      </c>
      <c r="G73" s="7665"/>
      <c r="H73" s="7666"/>
    </row>
    <row r="74" spans="1:8" s="299" customFormat="1" ht="24" customHeight="1" thickBot="1">
      <c r="A74" s="7664"/>
      <c r="B74" s="3860" t="s">
        <v>1558</v>
      </c>
      <c r="C74" s="3861">
        <f>SUM(C72:C73)</f>
        <v>219500</v>
      </c>
      <c r="D74" s="3862">
        <f>SUM(D72:D73)</f>
        <v>2634.6</v>
      </c>
      <c r="E74" s="3862">
        <v>60</v>
      </c>
      <c r="F74" s="3863">
        <f t="shared" si="1"/>
        <v>2.2773855613755409</v>
      </c>
      <c r="G74" s="7667"/>
      <c r="H74" s="7668"/>
    </row>
    <row r="75" spans="1:8" s="299" customFormat="1" ht="24" customHeight="1" thickBot="1">
      <c r="A75" s="7671" t="s">
        <v>1560</v>
      </c>
      <c r="B75" s="7672"/>
      <c r="C75" s="3864">
        <f>C68+C71+C74</f>
        <v>360000</v>
      </c>
      <c r="D75" s="3865">
        <f>D68+D71+D74</f>
        <v>3676.7</v>
      </c>
      <c r="E75" s="3865">
        <v>50</v>
      </c>
      <c r="F75" s="3866">
        <f t="shared" si="1"/>
        <v>1.3599151412951833</v>
      </c>
      <c r="G75" s="7669"/>
      <c r="H75" s="7670"/>
    </row>
    <row r="76" spans="1:8" s="299" customFormat="1"/>
    <row r="77" spans="1:8" s="299" customFormat="1"/>
    <row r="78" spans="1:8" s="299" customFormat="1"/>
    <row r="79" spans="1:8" s="299" customFormat="1"/>
    <row r="80" spans="1:8" s="299" customFormat="1"/>
    <row r="81" s="299" customFormat="1"/>
    <row r="82" s="299" customFormat="1"/>
    <row r="83" s="299" customFormat="1"/>
    <row r="84" s="299" customFormat="1"/>
    <row r="85" s="299" customFormat="1"/>
    <row r="86" s="299" customFormat="1"/>
    <row r="87" s="299" customFormat="1"/>
    <row r="88" s="299" customFormat="1"/>
    <row r="89" s="299" customFormat="1"/>
    <row r="90" s="299" customFormat="1"/>
    <row r="91" s="299" customFormat="1"/>
    <row r="92" s="299" customFormat="1"/>
    <row r="93" s="299" customFormat="1"/>
    <row r="94" s="299" customFormat="1"/>
    <row r="95" s="299" customFormat="1"/>
    <row r="96" s="299" customFormat="1"/>
    <row r="97" spans="1:8" s="299" customFormat="1"/>
    <row r="98" spans="1:8" s="299" customFormat="1"/>
    <row r="99" spans="1:8" s="299" customFormat="1"/>
    <row r="100" spans="1:8" s="299" customFormat="1"/>
    <row r="101" spans="1:8" s="299" customFormat="1"/>
    <row r="102" spans="1:8" s="299" customFormat="1"/>
    <row r="103" spans="1:8" s="299" customFormat="1"/>
    <row r="104" spans="1:8" s="299" customFormat="1" ht="15" thickBot="1"/>
    <row r="105" spans="1:8" s="299" customFormat="1" ht="30" customHeight="1" thickBot="1">
      <c r="A105" s="7658" t="s">
        <v>1553</v>
      </c>
      <c r="B105" s="7659"/>
      <c r="C105" s="3846" t="s">
        <v>1561</v>
      </c>
      <c r="D105" s="3847" t="s">
        <v>1562</v>
      </c>
      <c r="E105" s="3847" t="s">
        <v>1565</v>
      </c>
      <c r="F105" s="3848" t="s">
        <v>1566</v>
      </c>
      <c r="G105" s="3867" t="s">
        <v>1567</v>
      </c>
      <c r="H105" s="3868" t="s">
        <v>251</v>
      </c>
    </row>
    <row r="106" spans="1:8" s="299" customFormat="1" ht="24" customHeight="1" thickTop="1" thickBot="1">
      <c r="A106" s="7660" t="s">
        <v>1554</v>
      </c>
      <c r="B106" s="7661"/>
      <c r="C106" s="3849">
        <v>12500</v>
      </c>
      <c r="D106" s="3850">
        <v>76.900000000000006</v>
      </c>
      <c r="E106" s="3850">
        <v>-2.7</v>
      </c>
      <c r="F106" s="3851">
        <f>E106/D106*100</f>
        <v>-3.5110533159947983</v>
      </c>
      <c r="G106" s="3869" t="s">
        <v>1568</v>
      </c>
      <c r="H106" s="3872" t="s">
        <v>240</v>
      </c>
    </row>
    <row r="107" spans="1:8" s="299" customFormat="1" ht="24" customHeight="1">
      <c r="A107" s="7662" t="s">
        <v>1555</v>
      </c>
      <c r="B107" s="3852" t="s">
        <v>1556</v>
      </c>
      <c r="C107" s="3853">
        <v>116000</v>
      </c>
      <c r="D107" s="3854">
        <v>866.1</v>
      </c>
      <c r="E107" s="3854">
        <v>-7</v>
      </c>
      <c r="F107" s="3855">
        <f t="shared" ref="F107:F113" si="2">E107/D107*100</f>
        <v>-0.80822075972751417</v>
      </c>
      <c r="G107" s="3870" t="s">
        <v>1569</v>
      </c>
      <c r="H107" s="3873" t="s">
        <v>185</v>
      </c>
    </row>
    <row r="108" spans="1:8" s="299" customFormat="1" ht="24" customHeight="1">
      <c r="A108" s="7663"/>
      <c r="B108" s="3856" t="s">
        <v>1557</v>
      </c>
      <c r="C108" s="3857">
        <v>12000</v>
      </c>
      <c r="D108" s="3858">
        <v>99.1</v>
      </c>
      <c r="E108" s="3858">
        <v>-0.3</v>
      </c>
      <c r="F108" s="3859">
        <f t="shared" si="2"/>
        <v>-0.30272452068617561</v>
      </c>
      <c r="G108" s="3870" t="s">
        <v>1570</v>
      </c>
      <c r="H108" s="3873" t="s">
        <v>29</v>
      </c>
    </row>
    <row r="109" spans="1:8" s="299" customFormat="1" ht="24" customHeight="1" thickBot="1">
      <c r="A109" s="7664"/>
      <c r="B109" s="3860" t="s">
        <v>1558</v>
      </c>
      <c r="C109" s="3861">
        <f>SUM(C107:C108)</f>
        <v>128000</v>
      </c>
      <c r="D109" s="3862">
        <f>SUM(D107:D108)</f>
        <v>965.2</v>
      </c>
      <c r="E109" s="3862">
        <v>-7.3</v>
      </c>
      <c r="F109" s="3863">
        <f t="shared" si="2"/>
        <v>-0.75631993369249895</v>
      </c>
      <c r="G109" s="3870" t="s">
        <v>1571</v>
      </c>
      <c r="H109" s="3873" t="s">
        <v>1563</v>
      </c>
    </row>
    <row r="110" spans="1:8" s="299" customFormat="1" ht="24" customHeight="1" thickBot="1">
      <c r="A110" s="7662" t="s">
        <v>1559</v>
      </c>
      <c r="B110" s="3852" t="s">
        <v>1556</v>
      </c>
      <c r="C110" s="3853">
        <v>143500</v>
      </c>
      <c r="D110" s="3854">
        <v>1810.3</v>
      </c>
      <c r="E110" s="3854">
        <v>74</v>
      </c>
      <c r="F110" s="3855">
        <f t="shared" si="2"/>
        <v>4.0877202673590007</v>
      </c>
      <c r="G110" s="3871" t="s">
        <v>1572</v>
      </c>
      <c r="H110" s="3874" t="s">
        <v>1564</v>
      </c>
    </row>
    <row r="111" spans="1:8" s="299" customFormat="1" ht="24" customHeight="1">
      <c r="A111" s="7663"/>
      <c r="B111" s="3856" t="s">
        <v>1557</v>
      </c>
      <c r="C111" s="3857">
        <v>76000</v>
      </c>
      <c r="D111" s="3858">
        <v>824.3</v>
      </c>
      <c r="E111" s="3858">
        <v>-14</v>
      </c>
      <c r="F111" s="3859">
        <f t="shared" si="2"/>
        <v>-1.6984107727769018</v>
      </c>
      <c r="G111" s="7665"/>
      <c r="H111" s="7666"/>
    </row>
    <row r="112" spans="1:8" s="299" customFormat="1" ht="24" customHeight="1" thickBot="1">
      <c r="A112" s="7664"/>
      <c r="B112" s="3860" t="s">
        <v>1558</v>
      </c>
      <c r="C112" s="3861">
        <f>SUM(C110:C111)</f>
        <v>219500</v>
      </c>
      <c r="D112" s="3862">
        <f>SUM(D110:D111)</f>
        <v>2634.6</v>
      </c>
      <c r="E112" s="3862">
        <v>60</v>
      </c>
      <c r="F112" s="3863">
        <f t="shared" si="2"/>
        <v>2.2773855613755409</v>
      </c>
      <c r="G112" s="7667"/>
      <c r="H112" s="7668"/>
    </row>
    <row r="113" spans="1:8" s="299" customFormat="1" ht="24" customHeight="1" thickBot="1">
      <c r="A113" s="7671" t="s">
        <v>1560</v>
      </c>
      <c r="B113" s="7672"/>
      <c r="C113" s="3864">
        <f>C106+C109+C112</f>
        <v>360000</v>
      </c>
      <c r="D113" s="3865">
        <f>D106+D109+D112</f>
        <v>3676.7</v>
      </c>
      <c r="E113" s="3865">
        <v>50</v>
      </c>
      <c r="F113" s="3866">
        <f t="shared" si="2"/>
        <v>1.3599151412951833</v>
      </c>
      <c r="G113" s="7669"/>
      <c r="H113" s="7670"/>
    </row>
    <row r="114" spans="1:8" s="299" customFormat="1"/>
  </sheetData>
  <mergeCells count="18">
    <mergeCell ref="A29:B29"/>
    <mergeCell ref="A34:A36"/>
    <mergeCell ref="A31:A33"/>
    <mergeCell ref="A30:B30"/>
    <mergeCell ref="G35:H37"/>
    <mergeCell ref="A37:B37"/>
    <mergeCell ref="A67:B67"/>
    <mergeCell ref="A68:B68"/>
    <mergeCell ref="A69:A71"/>
    <mergeCell ref="A72:A74"/>
    <mergeCell ref="G73:H75"/>
    <mergeCell ref="A75:B75"/>
    <mergeCell ref="A105:B105"/>
    <mergeCell ref="A106:B106"/>
    <mergeCell ref="A107:A109"/>
    <mergeCell ref="A110:A112"/>
    <mergeCell ref="G111:H113"/>
    <mergeCell ref="A113:B113"/>
  </mergeCells>
  <phoneticPr fontId="22" type="noConversion"/>
  <pageMargins left="0.7" right="0.7" top="0.75" bottom="0.75" header="0.3" footer="0.3"/>
  <pageSetup paperSize="9" scale="80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10"/>
  <sheetViews>
    <sheetView zoomScale="70" zoomScaleNormal="70" workbookViewId="0">
      <selection activeCell="W19" sqref="W19"/>
    </sheetView>
  </sheetViews>
  <sheetFormatPr defaultRowHeight="14.4"/>
  <cols>
    <col min="1" max="1" width="20.59765625" customWidth="1"/>
    <col min="2" max="2" width="17.19921875" hidden="1" customWidth="1"/>
    <col min="3" max="3" width="9.69921875" hidden="1" customWidth="1"/>
    <col min="4" max="4" width="15.69921875" hidden="1" customWidth="1"/>
    <col min="5" max="5" width="13.19921875" hidden="1" customWidth="1"/>
    <col min="6" max="6" width="8.796875" hidden="1" customWidth="1"/>
    <col min="7" max="7" width="15.3984375" bestFit="1" customWidth="1"/>
    <col min="8" max="8" width="13.59765625" style="299" customWidth="1"/>
    <col min="9" max="21" width="13.796875" customWidth="1"/>
    <col min="23" max="23" width="18.69921875" bestFit="1" customWidth="1"/>
    <col min="24" max="24" width="11.296875" customWidth="1"/>
    <col min="25" max="25" width="12.296875" customWidth="1"/>
  </cols>
  <sheetData>
    <row r="1" spans="1:21" ht="24" customHeight="1" thickBot="1">
      <c r="A1" s="4226" t="s">
        <v>1587</v>
      </c>
      <c r="B1" t="s">
        <v>1583</v>
      </c>
    </row>
    <row r="2" spans="1:21" ht="24" customHeight="1" thickBot="1">
      <c r="A2" s="4116" t="s">
        <v>1577</v>
      </c>
      <c r="B2" s="4117"/>
      <c r="C2" s="4117"/>
      <c r="D2" s="4117" t="s">
        <v>1586</v>
      </c>
      <c r="E2" s="4117" t="s">
        <v>26</v>
      </c>
      <c r="F2" s="4117" t="s">
        <v>55</v>
      </c>
      <c r="G2" s="4118" t="s">
        <v>1603</v>
      </c>
      <c r="H2" s="4119" t="s">
        <v>1578</v>
      </c>
      <c r="I2" s="4120" t="s">
        <v>1579</v>
      </c>
      <c r="J2" s="4118" t="s">
        <v>5</v>
      </c>
      <c r="K2" s="4118" t="s">
        <v>6</v>
      </c>
      <c r="L2" s="4118" t="s">
        <v>7</v>
      </c>
      <c r="M2" s="4118" t="s">
        <v>8</v>
      </c>
      <c r="N2" s="4118" t="s">
        <v>9</v>
      </c>
      <c r="O2" s="4118" t="s">
        <v>10</v>
      </c>
      <c r="P2" s="4118" t="s">
        <v>11</v>
      </c>
      <c r="Q2" s="4118" t="s">
        <v>12</v>
      </c>
      <c r="R2" s="4118" t="s">
        <v>13</v>
      </c>
      <c r="S2" s="4118" t="s">
        <v>14</v>
      </c>
      <c r="T2" s="6751" t="s">
        <v>15</v>
      </c>
      <c r="U2" s="6757" t="s">
        <v>1580</v>
      </c>
    </row>
    <row r="3" spans="1:21" ht="24" customHeight="1">
      <c r="A3" s="4111" t="s">
        <v>2</v>
      </c>
      <c r="B3" s="3980"/>
      <c r="C3" s="3980"/>
      <c r="D3" s="3980">
        <v>247047.16899999997</v>
      </c>
      <c r="E3" s="3980">
        <v>252574.53500000003</v>
      </c>
      <c r="F3" s="3980">
        <f>D3/E3</f>
        <v>0.97811590151002326</v>
      </c>
      <c r="G3" s="4112">
        <v>0.97811590151002303</v>
      </c>
      <c r="H3" s="4113">
        <v>0.97899999999999998</v>
      </c>
      <c r="I3" s="4114">
        <f>년간!F87</f>
        <v>0.97803964795466247</v>
      </c>
      <c r="J3" s="4115">
        <f>년간!G87</f>
        <v>0.97894259760051094</v>
      </c>
      <c r="K3" s="4115">
        <f>년간!H87</f>
        <v>0.98038576880174066</v>
      </c>
      <c r="L3" s="4115">
        <f>년간!I87</f>
        <v>0.98020622414048852</v>
      </c>
      <c r="M3" s="4115">
        <f>년간!J87</f>
        <v>0.9778012323381331</v>
      </c>
      <c r="N3" s="4115">
        <f>년간!K87</f>
        <v>0.97906406843466531</v>
      </c>
      <c r="O3" s="4115">
        <f>년간!L87</f>
        <v>0.97872463970540058</v>
      </c>
      <c r="P3" s="4115">
        <f>년간!M87</f>
        <v>0.97682958630408989</v>
      </c>
      <c r="Q3" s="4115">
        <f>년간!N87</f>
        <v>0.97903120660295517</v>
      </c>
      <c r="R3" s="4115">
        <f>년간!O87</f>
        <v>0.97835967049888617</v>
      </c>
      <c r="S3" s="4115">
        <f>년간!P87</f>
        <v>0.98270980179528888</v>
      </c>
      <c r="T3" s="6752" t="e">
        <f>년간!Q87</f>
        <v>#DIV/0!</v>
      </c>
      <c r="U3" s="6758">
        <f>년간!V87</f>
        <v>0.97872066777537103</v>
      </c>
    </row>
    <row r="4" spans="1:21" ht="24" customHeight="1">
      <c r="A4" s="3986" t="s">
        <v>3</v>
      </c>
      <c r="B4" s="3980"/>
      <c r="C4" s="3980"/>
      <c r="D4" s="3980">
        <v>237725.05900000001</v>
      </c>
      <c r="E4" s="3980">
        <v>237762.83900000001</v>
      </c>
      <c r="F4" s="3980">
        <f>D4/E4</f>
        <v>0.99984110216651645</v>
      </c>
      <c r="G4" s="4007">
        <v>0.999841102166516</v>
      </c>
      <c r="H4" s="4008">
        <v>0.99985000000000002</v>
      </c>
      <c r="I4" s="3983">
        <f>년간!F88</f>
        <v>0.99983093687456581</v>
      </c>
      <c r="J4" s="3914">
        <f>년간!G88</f>
        <v>0.99998076998460861</v>
      </c>
      <c r="K4" s="3914">
        <f>년간!H88</f>
        <v>1</v>
      </c>
      <c r="L4" s="3914">
        <f>년간!I88</f>
        <v>0.99992821422688238</v>
      </c>
      <c r="M4" s="3914">
        <f>년간!J88</f>
        <v>0.9998265435587399</v>
      </c>
      <c r="N4" s="3914">
        <f>년간!K88</f>
        <v>0.99992439620491735</v>
      </c>
      <c r="O4" s="3914">
        <f>년간!L88</f>
        <v>0.99976278029232812</v>
      </c>
      <c r="P4" s="3914">
        <f>년간!M88</f>
        <v>0.99999647396944957</v>
      </c>
      <c r="Q4" s="3914">
        <f>년간!N88</f>
        <v>0.99978793989265691</v>
      </c>
      <c r="R4" s="3914">
        <f>년간!O88</f>
        <v>0.99901275410810841</v>
      </c>
      <c r="S4" s="3914" t="e">
        <f>년간!P88</f>
        <v>#DIV/0!</v>
      </c>
      <c r="T4" s="6753" t="e">
        <f>년간!Q88</f>
        <v>#DIV/0!</v>
      </c>
      <c r="U4" s="6759">
        <f>년간!V88</f>
        <v>0.99979160392470223</v>
      </c>
    </row>
    <row r="5" spans="1:21" ht="24" customHeight="1">
      <c r="A5" s="3986" t="s">
        <v>4</v>
      </c>
      <c r="B5" s="3980"/>
      <c r="C5" s="3980"/>
      <c r="D5" s="3980">
        <v>239334.82</v>
      </c>
      <c r="E5" s="3980">
        <v>239027.54900000003</v>
      </c>
      <c r="F5" s="3980">
        <f>D5/E5</f>
        <v>1.0012855045424074</v>
      </c>
      <c r="G5" s="4007">
        <v>1.0012855045424098</v>
      </c>
      <c r="H5" s="4008">
        <v>1.0024</v>
      </c>
      <c r="I5" s="3983">
        <f>년간!F89</f>
        <v>1.0070524985861207</v>
      </c>
      <c r="J5" s="3914">
        <f>년간!G89</f>
        <v>1.006108820007982</v>
      </c>
      <c r="K5" s="3914">
        <f>년간!H89</f>
        <v>1.0027112703876353</v>
      </c>
      <c r="L5" s="3914">
        <f>년간!I89</f>
        <v>1.0015607027380438</v>
      </c>
      <c r="M5" s="3914">
        <f>년간!J89</f>
        <v>1.0046615565330577</v>
      </c>
      <c r="N5" s="3914">
        <f>년간!K89</f>
        <v>1.0013871134113719</v>
      </c>
      <c r="O5" s="3914">
        <f>년간!L89</f>
        <v>1.002504384380867</v>
      </c>
      <c r="P5" s="3914">
        <f>년간!M89</f>
        <v>1.0026117222159274</v>
      </c>
      <c r="Q5" s="3914">
        <f>년간!N89</f>
        <v>1.0032249771187052</v>
      </c>
      <c r="R5" s="3914">
        <f>년간!O89</f>
        <v>1.006474714211512</v>
      </c>
      <c r="S5" s="3914">
        <f>년간!P89</f>
        <v>1.0095498387414261</v>
      </c>
      <c r="T5" s="6753" t="e">
        <f>년간!Q89</f>
        <v>#DIV/0!</v>
      </c>
      <c r="U5" s="6759">
        <f>년간!V89</f>
        <v>1.003806325331841</v>
      </c>
    </row>
    <row r="6" spans="1:21" ht="24" customHeight="1">
      <c r="A6" s="4031" t="s">
        <v>488</v>
      </c>
      <c r="B6" s="3980"/>
      <c r="C6" s="3980"/>
      <c r="D6" s="3980">
        <v>123891.56800000001</v>
      </c>
      <c r="E6" s="3980">
        <v>123422.84299999998</v>
      </c>
      <c r="F6" s="3980">
        <f>D6/E6</f>
        <v>1.0037977167646353</v>
      </c>
      <c r="G6" s="4007">
        <v>1.0037977167646401</v>
      </c>
      <c r="H6" s="4008">
        <f>1.0039</f>
        <v>1.0039</v>
      </c>
      <c r="I6" s="3983">
        <f>년간!F90</f>
        <v>1.0036160945520129</v>
      </c>
      <c r="J6" s="3914">
        <f>년간!G90</f>
        <v>1.0058263871021329</v>
      </c>
      <c r="K6" s="3914">
        <f>년간!H90</f>
        <v>1.0056326965082183</v>
      </c>
      <c r="L6" s="3914">
        <f>년간!I90</f>
        <v>1.0051074275427105</v>
      </c>
      <c r="M6" s="3914">
        <f>년간!J90</f>
        <v>1.0051921499650693</v>
      </c>
      <c r="N6" s="3914">
        <f>년간!K90</f>
        <v>1.0052191401959754</v>
      </c>
      <c r="O6" s="3914">
        <f>년간!L90</f>
        <v>1.0032393926352068</v>
      </c>
      <c r="P6" s="3914">
        <f>년간!M90</f>
        <v>1.0058894527804263</v>
      </c>
      <c r="Q6" s="3914">
        <f>년간!N90</f>
        <v>1.0054621220361106</v>
      </c>
      <c r="R6" s="3914">
        <f>년간!O90</f>
        <v>1.0050741609556901</v>
      </c>
      <c r="S6" s="3914">
        <f>년간!P90</f>
        <v>1.0054005512330648</v>
      </c>
      <c r="T6" s="6753">
        <f>년간!Q90</f>
        <v>1.0028391724137056</v>
      </c>
      <c r="U6" s="6759">
        <f>년간!V90</f>
        <v>1.0048416087822143</v>
      </c>
    </row>
    <row r="7" spans="1:21" ht="24" customHeight="1" thickBot="1">
      <c r="A7" s="4032" t="s">
        <v>212</v>
      </c>
      <c r="B7" s="3980"/>
      <c r="C7" s="3980"/>
      <c r="D7" s="3980">
        <v>42256.114999999991</v>
      </c>
      <c r="E7" s="3980">
        <v>42107.368000000002</v>
      </c>
      <c r="F7" s="3980">
        <f>D7/E7</f>
        <v>1.0035325646570925</v>
      </c>
      <c r="G7" s="4033">
        <v>1.0035325646570898</v>
      </c>
      <c r="H7" s="4034">
        <v>1.004</v>
      </c>
      <c r="I7" s="4035">
        <f>년간!F91</f>
        <v>1.0059846516807573</v>
      </c>
      <c r="J7" s="4036">
        <f>년간!G91</f>
        <v>1.0055620773661629</v>
      </c>
      <c r="K7" s="4036">
        <f>년간!H91</f>
        <v>1.0035368585805324</v>
      </c>
      <c r="L7" s="4036">
        <f>년간!I91</f>
        <v>1.005912059359612</v>
      </c>
      <c r="M7" s="4036">
        <f>년간!J91</f>
        <v>1.0052130332322755</v>
      </c>
      <c r="N7" s="4036">
        <f>년간!K91</f>
        <v>1.0068479594360766</v>
      </c>
      <c r="O7" s="4036">
        <f>년간!L91</f>
        <v>1.0052350452839909</v>
      </c>
      <c r="P7" s="4036">
        <f>년간!M91</f>
        <v>1.0036078537940605</v>
      </c>
      <c r="Q7" s="4036">
        <f>년간!N91</f>
        <v>1.0064889629341602</v>
      </c>
      <c r="R7" s="4036">
        <f>년간!O91</f>
        <v>1.0061824093822207</v>
      </c>
      <c r="S7" s="4036">
        <f>년간!P91</f>
        <v>1.0061303473835905</v>
      </c>
      <c r="T7" s="6754">
        <f>년간!Q91</f>
        <v>1.0075045116319175</v>
      </c>
      <c r="U7" s="6760">
        <f>년간!V91</f>
        <v>1.0057092906575997</v>
      </c>
    </row>
    <row r="8" spans="1:21" ht="24" customHeight="1">
      <c r="A8" s="3985" t="s">
        <v>1581</v>
      </c>
      <c r="B8" s="3982"/>
      <c r="C8" s="3982"/>
      <c r="D8" s="3982"/>
      <c r="E8" s="3982"/>
      <c r="F8" s="3982"/>
      <c r="G8" s="4037">
        <v>0.98280662414021702</v>
      </c>
      <c r="H8" s="4038">
        <f>H3*H4*H5*((H6+H7)/2)</f>
        <v>0.98507814703036201</v>
      </c>
      <c r="I8" s="4039">
        <f>I3*I4*I5*((I6+I7)/2)</f>
        <v>0.98949802167186796</v>
      </c>
      <c r="J8" s="4037">
        <f t="shared" ref="J8:R8" si="0">J3*J4*J5*((J6+J7)/2)</f>
        <v>0.99051211284979013</v>
      </c>
      <c r="K8" s="4037">
        <f t="shared" si="0"/>
        <v>0.98755089711826427</v>
      </c>
      <c r="L8" s="4037">
        <f t="shared" si="0"/>
        <v>0.98707428538853548</v>
      </c>
      <c r="M8" s="4037">
        <f t="shared" si="0"/>
        <v>0.987298839290493</v>
      </c>
      <c r="N8" s="4037">
        <f t="shared" si="0"/>
        <v>0.98626299630175018</v>
      </c>
      <c r="O8" s="4037">
        <f t="shared" si="0"/>
        <v>0.98509945841127644</v>
      </c>
      <c r="P8" s="6065">
        <f t="shared" si="0"/>
        <v>0.98402806393667663</v>
      </c>
      <c r="Q8" s="4037">
        <f t="shared" si="0"/>
        <v>0.98784814169508706</v>
      </c>
      <c r="R8" s="4037">
        <f t="shared" si="0"/>
        <v>0.98925880308819814</v>
      </c>
      <c r="S8" s="4037">
        <f>((S6+S7)/2)</f>
        <v>1.0057654493083277</v>
      </c>
      <c r="T8" s="6755">
        <f>((T6+T7)/2)</f>
        <v>1.0051718420228115</v>
      </c>
      <c r="U8" s="6761">
        <f>U3*U4*U5*((U6+U7)/2)</f>
        <v>0.98742302353143974</v>
      </c>
    </row>
    <row r="9" spans="1:21" ht="24" customHeight="1" thickBot="1">
      <c r="A9" s="3987" t="s">
        <v>1582</v>
      </c>
      <c r="B9" s="3981"/>
      <c r="C9" s="3981"/>
      <c r="D9" s="3981"/>
      <c r="E9" s="3981"/>
      <c r="F9" s="3981"/>
      <c r="G9" s="3965">
        <f>IF(G8="측정불가","측정불가",IF(G8&lt;0.5,1,IF(G8&lt;0.65,2,IF(G8&lt;0.8,3,IF(G8&lt;0.95,4,IF(G8&gt;=0.95,5,))))))</f>
        <v>5</v>
      </c>
      <c r="H9" s="3966">
        <f>IF(H8="측정불가","측정불가",IF(H8&lt;0.5,1,IF(H8&lt;0.65,2,IF(H8&lt;0.8,3,IF(H8&lt;0.95,4,IF(H8&gt;=0.95,5,))))))</f>
        <v>5</v>
      </c>
      <c r="I9" s="3984">
        <f t="shared" ref="I9:U9" si="1">IF(I8="측정불가","측정불가",IF(I8&lt;0.5,1,IF(I8&lt;0.65,2,IF(I8&lt;0.8,3,IF(I8&lt;0.95,4,IF(I8&gt;=0.95,5,))))))</f>
        <v>5</v>
      </c>
      <c r="J9" s="3965">
        <f t="shared" si="1"/>
        <v>5</v>
      </c>
      <c r="K9" s="3965">
        <f t="shared" si="1"/>
        <v>5</v>
      </c>
      <c r="L9" s="3965">
        <f t="shared" si="1"/>
        <v>5</v>
      </c>
      <c r="M9" s="3965">
        <f t="shared" si="1"/>
        <v>5</v>
      </c>
      <c r="N9" s="3965">
        <f t="shared" si="1"/>
        <v>5</v>
      </c>
      <c r="O9" s="3965">
        <f t="shared" si="1"/>
        <v>5</v>
      </c>
      <c r="P9" s="3965">
        <f t="shared" si="1"/>
        <v>5</v>
      </c>
      <c r="Q9" s="3965">
        <f t="shared" si="1"/>
        <v>5</v>
      </c>
      <c r="R9" s="3965">
        <f t="shared" si="1"/>
        <v>5</v>
      </c>
      <c r="S9" s="3965">
        <f t="shared" si="1"/>
        <v>5</v>
      </c>
      <c r="T9" s="6756">
        <f t="shared" si="1"/>
        <v>5</v>
      </c>
      <c r="U9" s="6762">
        <f t="shared" si="1"/>
        <v>5</v>
      </c>
    </row>
    <row r="10" spans="1:21" ht="24" customHeight="1" thickBot="1">
      <c r="A10" s="3926" t="s">
        <v>1588</v>
      </c>
      <c r="B10" s="3925"/>
    </row>
    <row r="11" spans="1:21" ht="24" customHeight="1" thickBot="1">
      <c r="A11" s="7700" t="s">
        <v>0</v>
      </c>
      <c r="B11" s="7702" t="s">
        <v>1584</v>
      </c>
      <c r="C11" s="7703"/>
      <c r="D11" s="7703"/>
      <c r="E11" s="7703"/>
      <c r="F11" s="7704"/>
      <c r="G11" s="7721" t="s">
        <v>1238</v>
      </c>
      <c r="H11" s="7705" t="s">
        <v>1280</v>
      </c>
      <c r="I11" s="7712" t="s">
        <v>1627</v>
      </c>
      <c r="J11" s="7713"/>
      <c r="K11" s="7713"/>
      <c r="L11" s="7713"/>
      <c r="M11" s="7713"/>
      <c r="N11" s="7713"/>
      <c r="O11" s="7713"/>
      <c r="P11" s="7713"/>
      <c r="Q11" s="7713"/>
      <c r="R11" s="7713"/>
      <c r="S11" s="7713"/>
      <c r="T11" s="7713"/>
      <c r="U11" s="7714"/>
    </row>
    <row r="12" spans="1:21" ht="24" customHeight="1" thickBot="1">
      <c r="A12" s="7701"/>
      <c r="B12" s="4105" t="s">
        <v>1585</v>
      </c>
      <c r="C12" s="4106" t="s">
        <v>608</v>
      </c>
      <c r="D12" s="4106" t="s">
        <v>1057</v>
      </c>
      <c r="E12" s="4106" t="s">
        <v>222</v>
      </c>
      <c r="F12" s="4107"/>
      <c r="G12" s="7722"/>
      <c r="H12" s="7706"/>
      <c r="I12" s="4108" t="s">
        <v>18</v>
      </c>
      <c r="J12" s="4109" t="s">
        <v>5</v>
      </c>
      <c r="K12" s="4109" t="s">
        <v>6</v>
      </c>
      <c r="L12" s="4109" t="s">
        <v>7</v>
      </c>
      <c r="M12" s="4109" t="s">
        <v>8</v>
      </c>
      <c r="N12" s="4109" t="s">
        <v>9</v>
      </c>
      <c r="O12" s="4109" t="s">
        <v>10</v>
      </c>
      <c r="P12" s="4109" t="s">
        <v>11</v>
      </c>
      <c r="Q12" s="4109" t="s">
        <v>12</v>
      </c>
      <c r="R12" s="4109" t="s">
        <v>13</v>
      </c>
      <c r="S12" s="4109" t="s">
        <v>14</v>
      </c>
      <c r="T12" s="4110" t="s">
        <v>15</v>
      </c>
      <c r="U12" s="6763" t="s">
        <v>197</v>
      </c>
    </row>
    <row r="13" spans="1:21" ht="24" customHeight="1">
      <c r="A13" s="4098" t="s">
        <v>27</v>
      </c>
      <c r="B13" s="4099">
        <v>3851.02</v>
      </c>
      <c r="C13" s="4100">
        <v>0</v>
      </c>
      <c r="D13" s="4100">
        <v>764.09999999999991</v>
      </c>
      <c r="E13" s="4101">
        <v>247068.53899999996</v>
      </c>
      <c r="F13" s="3980"/>
      <c r="G13" s="4102">
        <f t="shared" ref="G13:G18" si="2">(B13+C13+D13)*1000/E13</f>
        <v>18.679513056091697</v>
      </c>
      <c r="H13" s="4103">
        <v>18.679513056091697</v>
      </c>
      <c r="I13" s="4104">
        <f>(CPL!N10+CPL!N11+CRM!N14)*1000/CPL!N5</f>
        <v>16.011281012974614</v>
      </c>
      <c r="J13" s="3379">
        <f>(CPL!O10+CPL!O11+CRM!O14)*1000/CPL!O5</f>
        <v>15.592378334582321</v>
      </c>
      <c r="K13" s="3379">
        <f>(CPL!P10+CPL!P11+CRM!P14)*1000/CPL!P5</f>
        <v>16.557899504015015</v>
      </c>
      <c r="L13" s="3379">
        <f>(CPL!Q10+CPL!Q11+CRM!Q14)*1000/CPL!Q5</f>
        <v>15.574881387758408</v>
      </c>
      <c r="M13" s="3379">
        <f>(CPL!R10+CPL!R11+CRM!R14)*1000/CPL!R5</f>
        <v>17.475862491872928</v>
      </c>
      <c r="N13" s="3379">
        <f>(CPL!S10+CPL!S11+CRM!S14)*1000/CPL!S5</f>
        <v>18.148960625489512</v>
      </c>
      <c r="O13" s="3379">
        <f>(CPL!T10+CPL!T11+CRM!T14)*1000/CPL!T5</f>
        <v>15.492429684835875</v>
      </c>
      <c r="P13" s="6068">
        <f>(CPL!U10+CPL!U11+CRM!U14)*1000/CPL!U5</f>
        <v>19.127713141212475</v>
      </c>
      <c r="Q13" s="3379">
        <f>(CPL!V10+CPL!V11+CRM!V14)*1000/CPL!V5</f>
        <v>15.785518430636518</v>
      </c>
      <c r="R13" s="3379">
        <f>(CPL!W10+CPL!W11+CRM!W14)*1000/CPL!W5</f>
        <v>17.37671232563617</v>
      </c>
      <c r="S13" s="3379">
        <f>(CPL!X10+CPL!X11+CRM!X14)*1000/CPL!X5</f>
        <v>16.09244727807749</v>
      </c>
      <c r="T13" s="3380" t="e">
        <f>(CPL!Y10+CPL!Y11+CRM!Y14)*1000/CPL!Y5</f>
        <v>#DIV/0!</v>
      </c>
      <c r="U13" s="3381">
        <f>(CPL!Z10+CPL!Z11+CRM!Z14)*1000/CPL!Z5</f>
        <v>16.711595109181861</v>
      </c>
    </row>
    <row r="14" spans="1:21" ht="24" customHeight="1">
      <c r="A14" s="3988" t="s">
        <v>28</v>
      </c>
      <c r="B14" s="3916">
        <v>3.4250000000000003</v>
      </c>
      <c r="C14" s="3917">
        <v>43.739999999999995</v>
      </c>
      <c r="D14" s="3917">
        <v>3993.1100000000006</v>
      </c>
      <c r="E14" s="3918">
        <v>239665.66999999998</v>
      </c>
      <c r="F14" s="3980"/>
      <c r="G14" s="3935">
        <f t="shared" si="2"/>
        <v>16.857963011556894</v>
      </c>
      <c r="H14" s="3920">
        <v>16.857963011556894</v>
      </c>
      <c r="I14" s="3998">
        <f>(CRM!N11+CRM!N13+CGL!N14)*1000/CGL!N5</f>
        <v>16.50285753092189</v>
      </c>
      <c r="J14" s="3999">
        <f>(CRM!O11+CRM!O13+CGL!O14)*1000/CGL!O5</f>
        <v>17.349929023571484</v>
      </c>
      <c r="K14" s="3999">
        <f>(CRM!P11+CRM!P13+CGL!P14)*1000/CGL!P5</f>
        <v>17.551762529254177</v>
      </c>
      <c r="L14" s="3999">
        <f>(CRM!Q11+CRM!Q13+CGL!Q14)*1000/CGL!Q5</f>
        <v>16.080398347131535</v>
      </c>
      <c r="M14" s="3999">
        <f>(CRM!R11+CRM!R13+CGL!R14)*1000/CGL!R5</f>
        <v>16.071725257753876</v>
      </c>
      <c r="N14" s="3999">
        <f>(CRM!S11+CRM!S13+CGL!S14)*1000/CGL!S5</f>
        <v>16.664552502043801</v>
      </c>
      <c r="O14" s="3999">
        <f>(CRM!T11+CRM!T13+CGL!T14)*1000/CGL!T5</f>
        <v>17.056350757173995</v>
      </c>
      <c r="P14" s="3999">
        <f>(CRM!U11+CRM!U13+CGL!U14)*1000/CGL!U5</f>
        <v>16.161458076023077</v>
      </c>
      <c r="Q14" s="3999">
        <f>(CRM!V11+CRM!V13+CGL!V14)*1000/CGL!V5</f>
        <v>15.028848801935874</v>
      </c>
      <c r="R14" s="3999">
        <f>(CRM!W11+CRM!W13+CGL!W14)*1000/CGL!W5</f>
        <v>17.643139173289338</v>
      </c>
      <c r="S14" s="3999">
        <f>(CRM!X11+CRM!X13+CGL!X14)*1000/CGL!X5</f>
        <v>28.744467458683111</v>
      </c>
      <c r="T14" s="4000" t="e">
        <f>(CRM!Y11+CRM!Y13+CGL!Y14)*1000/CGL!Y5</f>
        <v>#DIV/0!</v>
      </c>
      <c r="U14" s="6764">
        <f>(CRM!Z11+CRM!Z13+CGL!Z14)*1000/CGL!Z5</f>
        <v>16.671396707921453</v>
      </c>
    </row>
    <row r="15" spans="1:21" ht="24" customHeight="1">
      <c r="A15" s="3988" t="s">
        <v>29</v>
      </c>
      <c r="B15" s="3916">
        <v>486.08799999999997</v>
      </c>
      <c r="C15" s="3917">
        <v>54.575000000000003</v>
      </c>
      <c r="D15" s="3917">
        <v>277.82999999999993</v>
      </c>
      <c r="E15" s="3918">
        <v>239665.66999999998</v>
      </c>
      <c r="F15" s="3980"/>
      <c r="G15" s="3935">
        <f t="shared" si="2"/>
        <v>3.4151449391980084</v>
      </c>
      <c r="H15" s="3920">
        <v>3.4151449391980084</v>
      </c>
      <c r="I15" s="3998">
        <f>(CGL!N10+CGL!N11+종합!L48)*1000/CGL!N5</f>
        <v>2.593161814105668</v>
      </c>
      <c r="J15" s="3999">
        <f>(CGL!O10+CGL!O11+종합!M48)*1000/CGL!O5</f>
        <v>2.3098308953590148</v>
      </c>
      <c r="K15" s="3999">
        <f>(CGL!P10+CGL!P11+종합!N48)*1000/CGL!P5</f>
        <v>3.2301214582115567</v>
      </c>
      <c r="L15" s="3999">
        <f>(CGL!Q10+CGL!Q11+종합!O48)*1000/CGL!Q5</f>
        <v>1.9174667247643558</v>
      </c>
      <c r="M15" s="3999">
        <f>(CGL!R10+CGL!R11+종합!P48)*1000/CGL!R5</f>
        <v>2.5132071600759089</v>
      </c>
      <c r="N15" s="3999">
        <f>(CGL!S10+CGL!S11+종합!Q48)*1000/CGL!S5</f>
        <v>2.7538828267274691</v>
      </c>
      <c r="O15" s="3999">
        <f>(CGL!T10+CGL!T11+종합!R48)*1000/CGL!T5</f>
        <v>1.7786684266418404</v>
      </c>
      <c r="P15" s="3999">
        <f>(CGL!U10+CGL!U11+종합!S48)*1000/CGL!U5</f>
        <v>3.3208574295936031</v>
      </c>
      <c r="Q15" s="3999">
        <f>(CGL!V10+CGL!V11+종합!T48)*1000/CGL!V5</f>
        <v>2.2565141298650526</v>
      </c>
      <c r="R15" s="3999">
        <f>(CGL!W10+CGL!W11+종합!U48)*1000/CGL!W5</f>
        <v>2.6348567772125504</v>
      </c>
      <c r="S15" s="3999">
        <f>(CGL!X10+CGL!X11+종합!V48)*1000/CGL!X5</f>
        <v>5.8268852636046899</v>
      </c>
      <c r="T15" s="4000" t="e">
        <f>(CGL!Y10+CGL!Y11+종합!W48)*1000/CGL!Y5</f>
        <v>#DIV/0!</v>
      </c>
      <c r="U15" s="6764">
        <f>(CGL!Z10+CGL!Z11+종합!X48)*1000/CGL!Z5</f>
        <v>2.5571864099554058</v>
      </c>
    </row>
    <row r="16" spans="1:21" ht="24" customHeight="1">
      <c r="A16" s="3988" t="s">
        <v>505</v>
      </c>
      <c r="B16" s="3916">
        <v>414.67</v>
      </c>
      <c r="C16" s="3919"/>
      <c r="D16" s="3917">
        <v>369.63500000000005</v>
      </c>
      <c r="E16" s="3918">
        <v>123961.10800000001</v>
      </c>
      <c r="F16" s="3980"/>
      <c r="G16" s="3935">
        <f t="shared" si="2"/>
        <v>6.3270247632830134</v>
      </c>
      <c r="H16" s="3920">
        <v>6.3270247632830134</v>
      </c>
      <c r="I16" s="3998">
        <f>('#1CCL'!N11+'#1CCL'!N20)*1000/'#1CCL'!N5</f>
        <v>7.1684248059144062</v>
      </c>
      <c r="J16" s="3999">
        <f>('#1CCL'!O11+'#1CCL'!O20)*1000/'#1CCL'!O5</f>
        <v>6.7315690428462611</v>
      </c>
      <c r="K16" s="3999">
        <f>('#1CCL'!P11+'#1CCL'!P20)*1000/'#1CCL'!P5</f>
        <v>4.6326512811412517</v>
      </c>
      <c r="L16" s="3999">
        <f>('#1CCL'!Q11+'#1CCL'!Q20)*1000/'#1CCL'!Q5</f>
        <v>4.8925559381712347</v>
      </c>
      <c r="M16" s="3999">
        <f>('#1CCL'!R11+'#1CCL'!R20)*1000/'#1CCL'!R5</f>
        <v>4.8603690272568345</v>
      </c>
      <c r="N16" s="3999">
        <f>('#1CCL'!S11+'#1CCL'!S20)*1000/'#1CCL'!S5</f>
        <v>4.2539259793336592</v>
      </c>
      <c r="O16" s="3999">
        <f>('#1CCL'!T11+'#1CCL'!T20)*1000/'#1CCL'!T5</f>
        <v>5.3750409237579602</v>
      </c>
      <c r="P16" s="3999">
        <f>('#1CCL'!U11+'#1CCL'!U20)*1000/'#1CCL'!U5</f>
        <v>3.8590508072109722</v>
      </c>
      <c r="Q16" s="3999">
        <f>('#1CCL'!V11+'#1CCL'!V20)*1000/'#1CCL'!V5</f>
        <v>4.8310292212731225</v>
      </c>
      <c r="R16" s="3999">
        <f>('#1CCL'!W11+'#1CCL'!W20)*1000/'#1CCL'!W5</f>
        <v>4.1208257486728819</v>
      </c>
      <c r="S16" s="3999">
        <f>('#1CCL'!X11+'#1CCL'!X20)*1000/'#1CCL'!X5</f>
        <v>3.3852745076631741</v>
      </c>
      <c r="T16" s="4000">
        <f>('#1CCL'!Y11+'#1CCL'!Y20)*1000/'#1CCL'!Y5</f>
        <v>7.1000402783152596</v>
      </c>
      <c r="U16" s="6764">
        <f>('#1CCL'!Z11+'#1CCL'!Z20)*1000/'#1CCL'!Z5</f>
        <v>5.0872450052618943</v>
      </c>
    </row>
    <row r="17" spans="1:21" ht="24" customHeight="1" thickBot="1">
      <c r="A17" s="4040" t="s">
        <v>492</v>
      </c>
      <c r="B17" s="4041">
        <v>404.91</v>
      </c>
      <c r="C17" s="4042"/>
      <c r="D17" s="4043">
        <v>221.62</v>
      </c>
      <c r="E17" s="4044">
        <v>42325.625</v>
      </c>
      <c r="F17" s="3980"/>
      <c r="G17" s="4045">
        <f t="shared" si="2"/>
        <v>14.802616618183428</v>
      </c>
      <c r="H17" s="4046">
        <v>14.802616618183428</v>
      </c>
      <c r="I17" s="4047">
        <f>('#2CCL'!N11+'#2CCL'!N20)*1000/'#2CCL'!N5</f>
        <v>12.691356393571938</v>
      </c>
      <c r="J17" s="4048">
        <f>('#2CCL'!O11+'#2CCL'!O20)*1000/'#2CCL'!O5</f>
        <v>8.7467318339297293</v>
      </c>
      <c r="K17" s="4048">
        <f>('#2CCL'!P11+'#2CCL'!P20)*1000/'#2CCL'!P5</f>
        <v>7.5389218202413417</v>
      </c>
      <c r="L17" s="4048">
        <f>('#2CCL'!Q11+'#2CCL'!Q20)*1000/'#2CCL'!Q5</f>
        <v>10.995666736647742</v>
      </c>
      <c r="M17" s="4048">
        <f>('#2CCL'!R11+'#2CCL'!R20)*1000/'#2CCL'!R5</f>
        <v>11.459434247805612</v>
      </c>
      <c r="N17" s="4048">
        <f>('#2CCL'!S11+'#2CCL'!S20)*1000/'#2CCL'!S5</f>
        <v>6.1294472270007763</v>
      </c>
      <c r="O17" s="4048">
        <f>('#2CCL'!T11+'#2CCL'!T20)*1000/'#2CCL'!T5</f>
        <v>11.158560123528275</v>
      </c>
      <c r="P17" s="4048">
        <f>('#2CCL'!U11+'#2CCL'!U20)*1000/'#2CCL'!U5</f>
        <v>8.4549014172355239</v>
      </c>
      <c r="Q17" s="4048">
        <f>('#2CCL'!V11+'#2CCL'!V20)*1000/'#2CCL'!V5</f>
        <v>9.2021658756268252</v>
      </c>
      <c r="R17" s="4048">
        <f>('#2CCL'!W11+'#2CCL'!W20)*1000/'#2CCL'!W5</f>
        <v>15.176563050489174</v>
      </c>
      <c r="S17" s="4048">
        <f>('#2CCL'!X11+'#2CCL'!X20)*1000/'#2CCL'!X5</f>
        <v>8.6975487603883952</v>
      </c>
      <c r="T17" s="4049">
        <f>('#2CCL'!Y11+'#2CCL'!Y20)*1000/'#2CCL'!Y5</f>
        <v>17.413505917762286</v>
      </c>
      <c r="U17" s="3366">
        <f>('#2CCL'!Z11+'#2CCL'!Z20)*1000/'#2CCL'!Z5</f>
        <v>10.596777632214632</v>
      </c>
    </row>
    <row r="18" spans="1:21" ht="24" customHeight="1">
      <c r="A18" s="4050" t="s">
        <v>16</v>
      </c>
      <c r="B18" s="4051">
        <f>SUM(B13:B17)</f>
        <v>5160.1130000000003</v>
      </c>
      <c r="C18" s="4052">
        <f>SUM(C13:C17)</f>
        <v>98.314999999999998</v>
      </c>
      <c r="D18" s="4052">
        <f>SUM(D13:D17)</f>
        <v>5626.295000000001</v>
      </c>
      <c r="E18" s="4052">
        <f>SUM(E13:E17)</f>
        <v>892686.61199999996</v>
      </c>
      <c r="F18" s="3982"/>
      <c r="G18" s="4053">
        <f t="shared" si="2"/>
        <v>12.193218598421192</v>
      </c>
      <c r="H18" s="4054">
        <v>11.375029438034272</v>
      </c>
      <c r="I18" s="4992">
        <f>((CPL!N10+CPL!N11+CPL!N12)+(CRM!N11+CRM!N12)+(CGL!N10+CGL!N11+CGL!N14+종합!L48)+('#1CCL'!N12+'#1CCL'!N13+'#1CCL'!N14+'#1CCL'!N15+'#1CCL'!N17+'#1CCL'!N18)+('#2CCL'!N12+'#2CCL'!N13+'#2CCL'!N14+'#2CCL'!N15+'#2CCL'!N17+'#2CCL'!N19))/('#2CCL'!N5+'#1CCL'!N5+CGL!N5+CGL!N5+CPL!N5)*1000</f>
        <v>10.951006451775244</v>
      </c>
      <c r="J18" s="4055">
        <f>((CPL!O10+CPL!O11+CPL!O12)+(CRM!O11+CRM!O12)+(CGL!O10+CGL!O11+CGL!O14+종합!M48)+('#1CCL'!O12+'#1CCL'!O13+'#1CCL'!O14+'#1CCL'!O15+'#1CCL'!O17+'#1CCL'!O18)+('#2CCL'!O12+'#2CCL'!O13+'#2CCL'!O14+'#2CCL'!O15+'#2CCL'!O17+'#2CCL'!O19))/('#2CCL'!O5+'#1CCL'!O5+CGL!O5+CGL!O5+CPL!O5)*1000</f>
        <v>11.218704049800884</v>
      </c>
      <c r="K18" s="4055">
        <f>((CPL!P10+CPL!P11+CPL!P12)+(CRM!P11+CRM!P12)+(CGL!P10+CGL!P11+CGL!P14+종합!N48)+('#1CCL'!P12+'#1CCL'!P13+'#1CCL'!P14+'#1CCL'!P15+'#1CCL'!P17+'#1CCL'!P18)+('#2CCL'!P12+'#2CCL'!P13+'#2CCL'!P14+'#2CCL'!P15+'#2CCL'!P17+'#2CCL'!P19))/('#2CCL'!P5+'#1CCL'!P5+CGL!P5+CGL!P5+CPL!P5)*1000</f>
        <v>11.307023186912462</v>
      </c>
      <c r="L18" s="6732">
        <f>((CPL!Q10+CPL!Q11+CPL!Q12)+(CRM!Q11+CRM!Q12)+(CGL!Q10+CGL!Q11+CGL!Q14+종합!O48)+('#1CCL'!Q12+'#1CCL'!Q13+'#1CCL'!Q14+'#1CCL'!Q15+'#1CCL'!Q17+'#1CCL'!Q18)+('#2CCL'!Q12+'#2CCL'!Q13+'#2CCL'!Q14+'#2CCL'!Q15+'#2CCL'!Q17+'#2CCL'!Q19))/('#2CCL'!Q5+'#1CCL'!Q5+CGL!Q5+CGL!Q5+CPL!Q5)*1000</f>
        <v>10.700503615115984</v>
      </c>
      <c r="M18" s="4055">
        <f>((CPL!R10+CPL!R11+CPL!R12)+(CRM!R11+CRM!R12)+(CGL!R10+CGL!R11+CGL!R14+종합!P48)+('#1CCL'!R12+'#1CCL'!R13+'#1CCL'!R14+'#1CCL'!R15+'#1CCL'!R17+'#1CCL'!R18)+('#2CCL'!R12+'#2CCL'!R13+'#2CCL'!R14+'#2CCL'!R15+'#2CCL'!R17+'#2CCL'!R19))/('#2CCL'!R5+'#1CCL'!R5+CGL!R5+CGL!R5+CPL!R5)*1000</f>
        <v>11.242000640630369</v>
      </c>
      <c r="N18" s="6733">
        <f>((CPL!S10+CPL!S11+CPL!S12)+(CRM!S11+CRM!S12)+(CGL!S10+CGL!S11+CGL!S14+종합!Q48)+('#1CCL'!S12+'#1CCL'!S13+'#1CCL'!S14+'#1CCL'!S15+'#1CCL'!S17+'#1CCL'!S18)+('#2CCL'!S12+'#2CCL'!S13+'#2CCL'!S14+'#2CCL'!S15+'#2CCL'!S17+'#2CCL'!S19))/('#2CCL'!S5+'#1CCL'!S5+CGL!S5+CGL!S5+CPL!S5)*1000</f>
        <v>11.5671145018137</v>
      </c>
      <c r="O18" s="4055">
        <f>((CPL!T10+CPL!T11+CPL!T12)+(CRM!T11+CRM!T12)+(CGL!T10+CGL!T11+CGL!T14+종합!R48)+('#1CCL'!T12+'#1CCL'!T13+'#1CCL'!T14+'#1CCL'!T15+'#1CCL'!T17+'#1CCL'!T18)+('#2CCL'!T12+'#2CCL'!T13+'#2CCL'!T14+'#2CCL'!T15+'#2CCL'!T17+'#2CCL'!T19))/('#2CCL'!T5+'#1CCL'!T5+CGL!T5+CGL!T5+CPL!T5)*1000</f>
        <v>10.441617209025486</v>
      </c>
      <c r="P18" s="6733">
        <f>((CPL!U10+CPL!U11+CPL!U12)+(CRM!U11+CRM!U12)+(CGL!U10+CGL!U11+CGL!U14+종합!S48)+('#1CCL'!U12+'#1CCL'!U13+'#1CCL'!U14+'#1CCL'!U15+'#1CCL'!U17+'#1CCL'!U18)+('#2CCL'!U12+'#2CCL'!U13+'#2CCL'!U14+'#2CCL'!U15+'#2CCL'!U17+'#2CCL'!U19))/('#2CCL'!U5+'#1CCL'!U5+CGL!U5+CGL!U5+CPL!U5)*1000</f>
        <v>12.168351250355427</v>
      </c>
      <c r="Q18" s="4055">
        <f>((CPL!V10+CPL!V11+CPL!V12)+(CRM!V11+CRM!V12)+(CGL!V10+CGL!V11+CGL!V14+종합!T48)+('#1CCL'!V12+'#1CCL'!V13+'#1CCL'!V14+'#1CCL'!V15+'#1CCL'!V17+'#1CCL'!V18)+('#2CCL'!V12+'#2CCL'!V13+'#2CCL'!V14+'#2CCL'!V15+'#2CCL'!V17+'#2CCL'!V19))/('#2CCL'!V5+'#1CCL'!V5+CGL!V5+CGL!V5+CPL!V5)*1000</f>
        <v>10.59451870316772</v>
      </c>
      <c r="R18" s="6733">
        <f>((CPL!W10+CPL!W11+CPL!W12)+(CRM!W11+CRM!W12)+(CGL!W10+CGL!W11+CGL!W14+종합!U48)+('#1CCL'!W12+'#1CCL'!W13+'#1CCL'!W14+'#1CCL'!W15+'#1CCL'!W17+'#1CCL'!W18)+('#2CCL'!W12+'#2CCL'!W13+'#2CCL'!W14+'#2CCL'!W15+'#2CCL'!W17+'#2CCL'!W19))/('#2CCL'!W5+'#1CCL'!W5+CGL!W5+CGL!W5+CPL!W5)*1000</f>
        <v>11.671616902200482</v>
      </c>
      <c r="S18" s="4055">
        <f>((CPL!X10+CPL!X11+CPL!X12)+(CRM!X11+CRM!X12)+(CGL!X10+CGL!X11+CGL!X14+종합!V48)+('#1CCL'!X12+'#1CCL'!X13+'#1CCL'!X14+'#1CCL'!X15+'#1CCL'!X17+'#1CCL'!X18)+('#2CCL'!X12+'#2CCL'!X13+'#2CCL'!X14+'#2CCL'!X15+'#2CCL'!X17+'#2CCL'!X19))/('#2CCL'!X5+'#1CCL'!X5+CGL!X5+CGL!X5+CPL!X5)*1000</f>
        <v>8.098611828968501</v>
      </c>
      <c r="T18" s="6734">
        <f>((CPL!Y10+CPL!Y11+CPL!Y12)+(CRM!Y11+CRM!Y12)+(CGL!Y10+CGL!Y11+CGL!Y14+종합!W48)+('#1CCL'!Y12+'#1CCL'!Y13+'#1CCL'!Y14+'#1CCL'!Y15+'#1CCL'!Y17+'#1CCL'!Y18)+('#2CCL'!Y12+'#2CCL'!Y13+'#2CCL'!Y14+'#2CCL'!Y15+'#2CCL'!Y17+'#2CCL'!Y19))/('#2CCL'!Y5+'#1CCL'!Y5+CGL!Y5+CGL!Y5+CPL!Y5)*1000</f>
        <v>9.5957849950394376</v>
      </c>
      <c r="U18" s="6765">
        <f>((CPL!Z10+CPL!Z11+CPL!Z12)+(CRM!Z11+CRM!Z12)+(CGL!Z10+CGL!Z11+CGL!Z14+종합!X48)+('#1CCL'!Z12+'#1CCL'!Z13+'#1CCL'!Z14+'#1CCL'!Z15+'#1CCL'!Z17+'#1CCL'!Z18)+('#2CCL'!Z12+'#2CCL'!Z13+'#2CCL'!Z14+'#2CCL'!Z15+'#2CCL'!Z17+'#2CCL'!Z19))/('#2CCL'!Z5+'#1CCL'!Z5+CGL!Z5+CGL!Z5+CPL!Z5)*1000</f>
        <v>11.086619137939593</v>
      </c>
    </row>
    <row r="19" spans="1:21" ht="24" customHeight="1" thickBot="1">
      <c r="A19" s="3989" t="s">
        <v>1582</v>
      </c>
      <c r="B19" s="3921">
        <f>(B18+C18+D18)*1000/E18</f>
        <v>12.193218598421192</v>
      </c>
      <c r="C19" s="3922">
        <f>1-((B19/1000)*E18)/E18</f>
        <v>0.98780678140157885</v>
      </c>
      <c r="D19" s="3923"/>
      <c r="E19" s="3924"/>
      <c r="F19" s="3981"/>
      <c r="G19" s="3990">
        <f>IF(G18="측정불가","측정불가",IF(G18&lt;0.5,1,IF(G18&lt;0.65,2,IF(G18&lt;0.8,3,IF(G18&lt;0.95,4,IF(G18&gt;=0.95,5,))))))</f>
        <v>5</v>
      </c>
      <c r="H19" s="3991">
        <f>IF(H18="측정불가","측정불가",IF(H18&lt;0.5,1,IF(H18&lt;0.65,2,IF(H18&lt;0.8,3,IF(H18&lt;0.95,4,IF(H18&gt;=0.95,5,))))))</f>
        <v>5</v>
      </c>
      <c r="I19" s="3992">
        <f>IF(I18="측정불가","측정불가",IF(I18&lt;0.5,1,IF(I18&lt;0.65,2,IF(I18&lt;0.8,3,IF(I18&lt;0.95,4,IF(I18&gt;=0.95,5,))))))</f>
        <v>5</v>
      </c>
      <c r="J19" s="3990">
        <f t="shared" ref="J19:T19" si="3">IF(J18="측정불가","측정불가",IF(J18&lt;0.5,1,IF(J18&lt;0.65,2,IF(J18&lt;0.8,3,IF(J18&lt;0.95,4,IF(J18&gt;=0.95,5,))))))</f>
        <v>5</v>
      </c>
      <c r="K19" s="3990">
        <f t="shared" si="3"/>
        <v>5</v>
      </c>
      <c r="L19" s="3990">
        <f t="shared" si="3"/>
        <v>5</v>
      </c>
      <c r="M19" s="3990">
        <f t="shared" si="3"/>
        <v>5</v>
      </c>
      <c r="N19" s="3990">
        <f t="shared" si="3"/>
        <v>5</v>
      </c>
      <c r="O19" s="3990">
        <f t="shared" si="3"/>
        <v>5</v>
      </c>
      <c r="P19" s="3990">
        <f t="shared" si="3"/>
        <v>5</v>
      </c>
      <c r="Q19" s="3990">
        <f t="shared" si="3"/>
        <v>5</v>
      </c>
      <c r="R19" s="3990">
        <f t="shared" si="3"/>
        <v>5</v>
      </c>
      <c r="S19" s="3990">
        <f t="shared" si="3"/>
        <v>5</v>
      </c>
      <c r="T19" s="3990">
        <f t="shared" si="3"/>
        <v>5</v>
      </c>
      <c r="U19" s="6766">
        <f>IF(U18="측정불가","측정불가",IF(U18&lt;0.5,1,IF(U18&lt;0.65,2,IF(U18&lt;0.8,3,IF(U18&lt;0.95,4,IF(U18&gt;=0.95,5,))))))</f>
        <v>5</v>
      </c>
    </row>
    <row r="20" spans="1:21" ht="24" customHeight="1" thickBot="1">
      <c r="A20" s="3926" t="s">
        <v>1606</v>
      </c>
    </row>
    <row r="21" spans="1:21" ht="24" customHeight="1" thickBot="1">
      <c r="A21" s="7682" t="s">
        <v>0</v>
      </c>
      <c r="B21" s="7673" t="s">
        <v>1614</v>
      </c>
      <c r="C21" s="7684"/>
      <c r="D21" s="7684"/>
      <c r="E21" s="7673" t="s">
        <v>1607</v>
      </c>
      <c r="F21" s="7674"/>
      <c r="G21" s="7677" t="s">
        <v>1615</v>
      </c>
      <c r="H21" s="7675" t="s">
        <v>1280</v>
      </c>
      <c r="I21" s="7679" t="s">
        <v>1629</v>
      </c>
      <c r="J21" s="7680"/>
      <c r="K21" s="7680"/>
      <c r="L21" s="7680"/>
      <c r="M21" s="7680"/>
      <c r="N21" s="7680"/>
      <c r="O21" s="7680"/>
      <c r="P21" s="7680"/>
      <c r="Q21" s="7680"/>
      <c r="R21" s="7680"/>
      <c r="S21" s="7680"/>
      <c r="T21" s="7680"/>
      <c r="U21" s="7681"/>
    </row>
    <row r="22" spans="1:21" ht="24" customHeight="1" thickBot="1">
      <c r="A22" s="7683"/>
      <c r="B22" s="4134" t="s">
        <v>84</v>
      </c>
      <c r="C22" s="4134" t="s">
        <v>1608</v>
      </c>
      <c r="D22" s="4134" t="s">
        <v>1609</v>
      </c>
      <c r="E22" s="4134" t="s">
        <v>1610</v>
      </c>
      <c r="F22" s="4134" t="s">
        <v>1611</v>
      </c>
      <c r="G22" s="7678"/>
      <c r="H22" s="7676"/>
      <c r="I22" s="5440" t="s">
        <v>18</v>
      </c>
      <c r="J22" s="4135" t="s">
        <v>5</v>
      </c>
      <c r="K22" s="4135" t="s">
        <v>6</v>
      </c>
      <c r="L22" s="4135" t="s">
        <v>7</v>
      </c>
      <c r="M22" s="5438" t="s">
        <v>8</v>
      </c>
      <c r="N22" s="5438" t="s">
        <v>9</v>
      </c>
      <c r="O22" s="5438" t="s">
        <v>10</v>
      </c>
      <c r="P22" s="5438" t="s">
        <v>11</v>
      </c>
      <c r="Q22" s="5438" t="s">
        <v>12</v>
      </c>
      <c r="R22" s="5438" t="s">
        <v>13</v>
      </c>
      <c r="S22" s="5438" t="s">
        <v>14</v>
      </c>
      <c r="T22" s="5438" t="s">
        <v>15</v>
      </c>
      <c r="U22" s="6767" t="s">
        <v>197</v>
      </c>
    </row>
    <row r="23" spans="1:21" ht="24" customHeight="1">
      <c r="A23" s="4129" t="s">
        <v>27</v>
      </c>
      <c r="B23" s="4130">
        <f>283909*12/11</f>
        <v>309718.90909090912</v>
      </c>
      <c r="C23" s="4130">
        <f>430*12/11</f>
        <v>469.09090909090907</v>
      </c>
      <c r="D23" s="4130">
        <f>55*12/11</f>
        <v>60</v>
      </c>
      <c r="E23" s="4131">
        <v>422.18181818181813</v>
      </c>
      <c r="F23" s="4131">
        <v>57</v>
      </c>
      <c r="G23" s="4132">
        <f t="shared" ref="G23:G28" si="4">(C23+D23)/B23</f>
        <v>1.7082938547210546E-3</v>
      </c>
      <c r="H23" s="4133">
        <f t="shared" ref="H23:H28" si="5">(E23+F23)/B23</f>
        <v>1.5471506715179861E-3</v>
      </c>
      <c r="I23" s="6072">
        <f>(년간!F50+년간!F55)/년간!F26</f>
        <v>3.7694598364054429E-3</v>
      </c>
      <c r="J23" s="6071">
        <f>(년간!G50+년간!G55)/년간!G26</f>
        <v>3.3486076841734227E-3</v>
      </c>
      <c r="K23" s="5434">
        <f>(년간!H50+년간!H55)/년간!H26</f>
        <v>0</v>
      </c>
      <c r="L23" s="6071">
        <f>(년간!I50+년간!I55)/년간!I26</f>
        <v>4.4105854049719326E-3</v>
      </c>
      <c r="M23" s="5434">
        <f>(년간!J50+년간!J55)/년간!J26</f>
        <v>0</v>
      </c>
      <c r="N23" s="5439">
        <f>(년간!K50+년간!K55)/년간!K26</f>
        <v>1.6404647983595353E-3</v>
      </c>
      <c r="O23" s="5439">
        <f>(년간!L50+년간!L55)/년간!L26</f>
        <v>0</v>
      </c>
      <c r="P23" s="6069">
        <f>(년간!M50+년간!M55)/년간!M26</f>
        <v>1.5782171349288936E-2</v>
      </c>
      <c r="Q23" s="5439">
        <f>(년간!N50+년간!N55)/년간!N26</f>
        <v>1.1088011088011088E-2</v>
      </c>
      <c r="R23" s="5439">
        <f>(년간!O50+년간!O55)/년간!O26</f>
        <v>3.9731051344743277E-3</v>
      </c>
      <c r="S23" s="5439">
        <f>(년간!P50+년간!P55)/년간!P26</f>
        <v>0</v>
      </c>
      <c r="T23" s="5439" t="e">
        <f>(년간!Q50+년간!Q55)/년간!Q26</f>
        <v>#DIV/0!</v>
      </c>
      <c r="U23" s="6768">
        <f>(년간!V50+년간!V55)/년간!V26</f>
        <v>4.447995926795463E-3</v>
      </c>
    </row>
    <row r="24" spans="1:21" ht="24" customHeight="1">
      <c r="A24" s="3942" t="s">
        <v>28</v>
      </c>
      <c r="B24" s="3967">
        <f>357766*12/11</f>
        <v>390290.18181818182</v>
      </c>
      <c r="C24" s="3967">
        <f>2420*12/11</f>
        <v>2640</v>
      </c>
      <c r="D24" s="3967">
        <f>845*12/11</f>
        <v>921.81818181818187</v>
      </c>
      <c r="E24" s="3968">
        <v>2508</v>
      </c>
      <c r="F24" s="3968">
        <v>829.63636363636374</v>
      </c>
      <c r="G24" s="3979">
        <f t="shared" si="4"/>
        <v>9.1260768211624353E-3</v>
      </c>
      <c r="H24" s="4012">
        <f t="shared" si="5"/>
        <v>8.5516790304277102E-3</v>
      </c>
      <c r="I24" s="6073">
        <f>(년간!F51+년간!F56)/년간!F27</f>
        <v>1.0370510040539266E-2</v>
      </c>
      <c r="J24" s="6070">
        <f>(년간!G51+년간!G56)/년간!G27</f>
        <v>1.8905123288411159E-2</v>
      </c>
      <c r="K24" s="5435">
        <f>(년간!H51+년간!H56)/년간!H27</f>
        <v>2.0678959159055659E-3</v>
      </c>
      <c r="L24" s="6070">
        <f>(년간!I51+년간!I56)/년간!I27</f>
        <v>9.1187289419183328E-3</v>
      </c>
      <c r="M24" s="5435">
        <f>(년간!J51+년간!J56)/년간!J27</f>
        <v>5.2316890881913304E-3</v>
      </c>
      <c r="N24" s="6070">
        <f>(년간!K51+년간!K56)/년간!K27</f>
        <v>1.3263785394932935E-2</v>
      </c>
      <c r="O24" s="6070">
        <f>(년간!L51+년간!L56)/년간!L27</f>
        <v>2.4068508816254885E-2</v>
      </c>
      <c r="P24" s="6070">
        <f>(년간!M51+년간!M56)/년간!M27</f>
        <v>1.7665797856935998E-2</v>
      </c>
      <c r="Q24" s="5435">
        <f>(년간!N51+년간!N56)/년간!N27</f>
        <v>1.6580635069607382E-2</v>
      </c>
      <c r="R24" s="5435">
        <f>(년간!O51+년간!O56)/년간!O27</f>
        <v>1.1735623860770556E-2</v>
      </c>
      <c r="S24" s="5435" t="e">
        <f>(년간!P51+년간!P56)/년간!P27</f>
        <v>#DIV/0!</v>
      </c>
      <c r="T24" s="5435" t="e">
        <f>(년간!Q51+년간!Q56)/년간!Q27</f>
        <v>#DIV/0!</v>
      </c>
      <c r="U24" s="6769">
        <f>(년간!V51+년간!V56)/년간!V27</f>
        <v>1.3241191824442888E-2</v>
      </c>
    </row>
    <row r="25" spans="1:21" ht="24" customHeight="1">
      <c r="A25" s="3942" t="s">
        <v>29</v>
      </c>
      <c r="B25" s="3967">
        <f>414782*12/11</f>
        <v>452489.45454545453</v>
      </c>
      <c r="C25" s="3967">
        <f>2927*12/11</f>
        <v>3193.090909090909</v>
      </c>
      <c r="D25" s="3967">
        <f>1675*12/11</f>
        <v>1827.2727272727273</v>
      </c>
      <c r="E25" s="3968">
        <v>3033.4363636363637</v>
      </c>
      <c r="F25" s="3968">
        <v>1735.909090909091</v>
      </c>
      <c r="G25" s="3979">
        <f t="shared" si="4"/>
        <v>1.1094984835407514E-2</v>
      </c>
      <c r="H25" s="4012">
        <f t="shared" si="5"/>
        <v>1.0540235593637141E-2</v>
      </c>
      <c r="I25" s="5431">
        <f>(년간!F52+년간!F57)/년간!F28</f>
        <v>0</v>
      </c>
      <c r="J25" s="5435">
        <f>(년간!G52+년간!G57)/년간!G28</f>
        <v>1.2859751549600061E-4</v>
      </c>
      <c r="K25" s="5435">
        <f>(년간!H52+년간!H57)/년간!H28</f>
        <v>1.4044943820224719E-3</v>
      </c>
      <c r="L25" s="5435">
        <f>(년간!I52+년간!I57)/년간!I28</f>
        <v>0</v>
      </c>
      <c r="M25" s="5435">
        <f>(년간!J52+년간!J57)/년간!J28</f>
        <v>0</v>
      </c>
      <c r="N25" s="5435">
        <f>(년간!K52+년간!K57)/년간!K28</f>
        <v>2.4572649572649572E-3</v>
      </c>
      <c r="O25" s="5435">
        <f>(년간!L52+년간!L57)/년간!L28</f>
        <v>3.3602150537634411E-4</v>
      </c>
      <c r="P25" s="6070">
        <f>(년간!M52+년간!M57)/년간!M28</f>
        <v>1.266654156502158E-2</v>
      </c>
      <c r="Q25" s="5435">
        <f>(년간!N52+년간!N57)/년간!N28</f>
        <v>2.6773110061821548E-4</v>
      </c>
      <c r="R25" s="5435">
        <f>(년간!O52+년간!O57)/년간!O28</f>
        <v>0</v>
      </c>
      <c r="S25" s="5435">
        <f>(년간!P52+년간!P57)/년간!P28</f>
        <v>0</v>
      </c>
      <c r="T25" s="5435" t="e">
        <f>(년간!Q52+년간!Q57)/년간!Q28</f>
        <v>#DIV/0!</v>
      </c>
      <c r="U25" s="6770">
        <f>(년간!V52+년간!V57)/년간!V28</f>
        <v>1.788085857798948E-3</v>
      </c>
    </row>
    <row r="26" spans="1:21" ht="24" customHeight="1">
      <c r="A26" s="3942" t="s">
        <v>505</v>
      </c>
      <c r="B26" s="3967">
        <f>413545*12/11</f>
        <v>451140</v>
      </c>
      <c r="C26" s="3967">
        <f>959*12/11</f>
        <v>1046.1818181818182</v>
      </c>
      <c r="D26" s="3967">
        <f>467*12/11</f>
        <v>509.45454545454544</v>
      </c>
      <c r="E26" s="3968">
        <v>941.56363636363642</v>
      </c>
      <c r="F26" s="3968">
        <v>458.5090909090909</v>
      </c>
      <c r="G26" s="3979">
        <f t="shared" si="4"/>
        <v>3.4482341704046718E-3</v>
      </c>
      <c r="H26" s="4012">
        <f t="shared" si="5"/>
        <v>3.1034107533642044E-3</v>
      </c>
      <c r="I26" s="5431">
        <f>(년간!F53+년간!F58)/년간!F29</f>
        <v>0</v>
      </c>
      <c r="J26" s="5435">
        <f>(년간!G53+년간!G58)/년간!G29</f>
        <v>1.6923814627817109E-3</v>
      </c>
      <c r="K26" s="5435">
        <f>(년간!H53+년간!H58)/년간!H29</f>
        <v>0</v>
      </c>
      <c r="L26" s="6070">
        <f>(년간!I53+년간!I58)/년간!I29</f>
        <v>3.7927003506948954E-3</v>
      </c>
      <c r="M26" s="6070">
        <f>(년간!J53+년간!J58)/년간!J29</f>
        <v>7.6884920634920631E-3</v>
      </c>
      <c r="N26" s="5435">
        <f>(년간!K53+년간!K58)/년간!K29</f>
        <v>0</v>
      </c>
      <c r="O26" s="5435">
        <f>(년간!L53+년간!L58)/년간!L29</f>
        <v>0</v>
      </c>
      <c r="P26" s="5435">
        <f>(년간!M53+년간!M58)/년간!M29</f>
        <v>0</v>
      </c>
      <c r="Q26" s="5435">
        <f>(년간!N53+년간!N58)/년간!N29</f>
        <v>0</v>
      </c>
      <c r="R26" s="5435">
        <f>(년간!O53+년간!O58)/년간!O29</f>
        <v>0</v>
      </c>
      <c r="S26" s="5435">
        <f>(년간!P53+년간!P58)/년간!P29</f>
        <v>4.4497810425201297E-3</v>
      </c>
      <c r="T26" s="5435">
        <f>(년간!Q53+년간!Q58)/년간!Q29</f>
        <v>1.6725559481743226E-2</v>
      </c>
      <c r="U26" s="6770">
        <f>(년간!V53+년간!V58)/년간!V29</f>
        <v>2.9275458269541108E-3</v>
      </c>
    </row>
    <row r="27" spans="1:21" ht="24" customHeight="1">
      <c r="A27" s="3942" t="s">
        <v>1612</v>
      </c>
      <c r="B27" s="3967">
        <f>412771*12/11</f>
        <v>450295.63636363635</v>
      </c>
      <c r="C27" s="3967">
        <f>534*12/11</f>
        <v>582.5454545454545</v>
      </c>
      <c r="D27" s="3967">
        <f>201*12/11</f>
        <v>219.27272727272728</v>
      </c>
      <c r="E27" s="3968">
        <v>524.29090909090905</v>
      </c>
      <c r="F27" s="3968">
        <v>208.30909090909091</v>
      </c>
      <c r="G27" s="3979">
        <f t="shared" si="4"/>
        <v>1.7806483498113966E-3</v>
      </c>
      <c r="H27" s="4012">
        <f t="shared" si="5"/>
        <v>1.6269311555317596E-3</v>
      </c>
      <c r="I27" s="5431">
        <f>(년간!F54+년간!F59)/년간!F30</f>
        <v>2.4666387114279369E-4</v>
      </c>
      <c r="J27" s="5435">
        <f>(년간!G54+년간!G59)/년간!G30</f>
        <v>1.6975268339818757E-3</v>
      </c>
      <c r="K27" s="5435">
        <f>(년간!H54+년간!H59)/년간!H30</f>
        <v>1.4595131064276958E-4</v>
      </c>
      <c r="L27" s="5435">
        <f>(년간!I54+년간!I59)/년간!I30</f>
        <v>0</v>
      </c>
      <c r="M27" s="6070">
        <f>(년간!J54+년간!J59)/년간!J30</f>
        <v>3.7757274662881474E-3</v>
      </c>
      <c r="N27" s="5435">
        <f>(년간!K54+년간!K59)/년간!K30</f>
        <v>0</v>
      </c>
      <c r="O27" s="5435">
        <f>(년간!L54+년간!L59)/년간!L30</f>
        <v>0</v>
      </c>
      <c r="P27" s="5435">
        <f>(년간!M54+년간!M59)/년간!M30</f>
        <v>1.412070377587619E-3</v>
      </c>
      <c r="Q27" s="5435">
        <f>(년간!N54+년간!N59)/년간!N30</f>
        <v>1.4403456829639113E-2</v>
      </c>
      <c r="R27" s="5435">
        <f>(년간!O54+년간!O59)/년간!O30</f>
        <v>0</v>
      </c>
      <c r="S27" s="5435">
        <f>(년간!P54+년간!P59)/년간!P30</f>
        <v>0</v>
      </c>
      <c r="T27" s="5435">
        <f>(년간!Q54+년간!Q59)/년간!Q30</f>
        <v>0</v>
      </c>
      <c r="U27" s="6770">
        <f>(년간!V54+년간!V59)/년간!V30</f>
        <v>1.7286363792925292E-3</v>
      </c>
    </row>
    <row r="28" spans="1:21" ht="24" customHeight="1">
      <c r="A28" s="4071" t="s">
        <v>1613</v>
      </c>
      <c r="B28" s="3978">
        <f>SUM(B23:B27)</f>
        <v>2053934.1818181816</v>
      </c>
      <c r="C28" s="3978">
        <f>SUM(C23:C27)</f>
        <v>7930.9090909090901</v>
      </c>
      <c r="D28" s="3978">
        <f>SUM(D23:D27)</f>
        <v>3537.818181818182</v>
      </c>
      <c r="E28" s="3978">
        <v>7429.4727272727268</v>
      </c>
      <c r="F28" s="3978">
        <v>3289.3636363636369</v>
      </c>
      <c r="G28" s="3979">
        <f t="shared" si="4"/>
        <v>5.5837851934354274E-3</v>
      </c>
      <c r="H28" s="4012">
        <f t="shared" si="5"/>
        <v>5.2186854177322505E-3</v>
      </c>
      <c r="I28" s="5432">
        <f>SUM(년간!F50:F59)/SUM(년간!F26:F30)</f>
        <v>2.4961423254969591E-3</v>
      </c>
      <c r="J28" s="5436">
        <f>SUM(년간!G50:G59)/SUM(년간!G26:G30)</f>
        <v>5.1959870128411093E-3</v>
      </c>
      <c r="K28" s="5436">
        <f>SUM(년간!H50:H59)/SUM(년간!H26:H30)</f>
        <v>7.4672783861120574E-4</v>
      </c>
      <c r="L28" s="5436">
        <f>SUM(년간!I50:I59)/SUM(년간!I26:I30)</f>
        <v>3.2718743505240344E-3</v>
      </c>
      <c r="M28" s="5436">
        <f>SUM(년간!J50:J59)/SUM(년간!J26:J30)</f>
        <v>3.5914363420814061E-3</v>
      </c>
      <c r="N28" s="5436">
        <f>SUM(년간!K50:K59)/SUM(년간!K26:K30)</f>
        <v>3.1900448787510294E-3</v>
      </c>
      <c r="O28" s="5436">
        <f>SUM(년간!L50:L59)/SUM(년간!L26:L30)</f>
        <v>4.6153923334319958E-3</v>
      </c>
      <c r="P28" s="6066">
        <f>SUM(년간!M50:M59)/SUM(년간!M26:M30)</f>
        <v>9.2169234967504083E-3</v>
      </c>
      <c r="Q28" s="6066">
        <f>SUM(년간!N50:N59)/SUM(년간!N26:N30)</f>
        <v>7.8108448646900747E-3</v>
      </c>
      <c r="R28" s="5436">
        <f>SUM(년간!O50:O59)/SUM(년간!O26:O30)</f>
        <v>2.9892536331886867E-3</v>
      </c>
      <c r="S28" s="5436">
        <f>SUM(년간!P50:P59)/SUM(년간!P26:P30)</f>
        <v>2.1581748007399458E-3</v>
      </c>
      <c r="T28" s="5436">
        <f>SUM(년간!Q50:Q59)/SUM(년간!Q26:Q30)</f>
        <v>8.4237002586431912E-3</v>
      </c>
      <c r="U28" s="6771">
        <f>SUM(년간!V50:V59)/SUM(년간!V26:V30)</f>
        <v>4.4115697578519259E-3</v>
      </c>
    </row>
    <row r="29" spans="1:21" ht="24" customHeight="1" thickBot="1">
      <c r="A29" s="4072" t="s">
        <v>1582</v>
      </c>
      <c r="B29" s="3969"/>
      <c r="C29" s="3970"/>
      <c r="D29" s="3970"/>
      <c r="E29" s="3969"/>
      <c r="F29" s="3969"/>
      <c r="G29" s="3971">
        <f>IF(G28="측정불가","측정불가",IF(G28&gt;0.5,1,IF(G28&gt;0.65,2,IF(G28&gt;0.75,3,IF(G28&gt;=0.85,4,IF(G28&lt;0.85,5,))))))</f>
        <v>5</v>
      </c>
      <c r="H29" s="3972">
        <f>IF(H28="측정불가","측정불가",IF(H28&gt;0.5,1,IF(H28&gt;0.65,2,IF(H28&gt;0.75,3,IF(H28&gt;=0.85,4,IF(H28&lt;0.85,5,))))))</f>
        <v>5</v>
      </c>
      <c r="I29" s="5433">
        <f>IF(I28="측정불가","측정불가",IF(I28&gt;0.5,1,IF(I28&gt;0.65,2,IF(I28&gt;0.75,3,IF(I28&gt;=0.85,4,IF(I28&lt;0.85,5,))))))</f>
        <v>5</v>
      </c>
      <c r="J29" s="5437">
        <f t="shared" ref="J29:U29" si="6">IF(J28="측정불가","측정불가",IF(J28&gt;0.5,1,IF(J28&gt;0.65,2,IF(J28&gt;0.75,3,IF(J28&gt;=0.85,4,IF(J28&lt;0.85,5,))))))</f>
        <v>5</v>
      </c>
      <c r="K29" s="5437">
        <f t="shared" si="6"/>
        <v>5</v>
      </c>
      <c r="L29" s="5437">
        <f t="shared" si="6"/>
        <v>5</v>
      </c>
      <c r="M29" s="5437">
        <f t="shared" si="6"/>
        <v>5</v>
      </c>
      <c r="N29" s="5437">
        <f t="shared" si="6"/>
        <v>5</v>
      </c>
      <c r="O29" s="5437">
        <f t="shared" si="6"/>
        <v>5</v>
      </c>
      <c r="P29" s="5437">
        <f t="shared" si="6"/>
        <v>5</v>
      </c>
      <c r="Q29" s="5437">
        <f t="shared" si="6"/>
        <v>5</v>
      </c>
      <c r="R29" s="5437">
        <f t="shared" si="6"/>
        <v>5</v>
      </c>
      <c r="S29" s="5437">
        <f t="shared" si="6"/>
        <v>5</v>
      </c>
      <c r="T29" s="5437">
        <f t="shared" si="6"/>
        <v>5</v>
      </c>
      <c r="U29" s="6772">
        <f t="shared" si="6"/>
        <v>5</v>
      </c>
    </row>
    <row r="30" spans="1:21" ht="24" customHeight="1" thickBot="1">
      <c r="A30" s="3926" t="s">
        <v>1592</v>
      </c>
      <c r="G30" s="5212">
        <f>G33*12</f>
        <v>404490588.19834709</v>
      </c>
      <c r="H30" s="5211">
        <f>H33*12</f>
        <v>324217171.12363642</v>
      </c>
      <c r="I30" s="5213">
        <f>H34*12</f>
        <v>302990016.87272733</v>
      </c>
      <c r="J30" s="5213">
        <f>G34*12</f>
        <v>378737521.09090912</v>
      </c>
    </row>
    <row r="31" spans="1:21" ht="24" customHeight="1" thickBot="1">
      <c r="A31" s="7685" t="s">
        <v>0</v>
      </c>
      <c r="B31" s="4065"/>
      <c r="C31" s="4065"/>
      <c r="D31" s="4065"/>
      <c r="E31" s="4065"/>
      <c r="F31" s="4065"/>
      <c r="G31" s="7724" t="s">
        <v>1604</v>
      </c>
      <c r="H31" s="7723" t="s">
        <v>1605</v>
      </c>
      <c r="I31" s="7715" t="s">
        <v>1628</v>
      </c>
      <c r="J31" s="7716"/>
      <c r="K31" s="7716"/>
      <c r="L31" s="7716"/>
      <c r="M31" s="7716"/>
      <c r="N31" s="7716"/>
      <c r="O31" s="7716"/>
      <c r="P31" s="7716"/>
      <c r="Q31" s="7716"/>
      <c r="R31" s="7716"/>
      <c r="S31" s="7716"/>
      <c r="T31" s="7716"/>
      <c r="U31" s="7717"/>
    </row>
    <row r="32" spans="1:21" ht="24" customHeight="1" thickBot="1">
      <c r="A32" s="7686"/>
      <c r="B32" s="4125" t="s">
        <v>1589</v>
      </c>
      <c r="C32" s="4125" t="s">
        <v>1590</v>
      </c>
      <c r="D32" s="4126" t="s">
        <v>1270</v>
      </c>
      <c r="E32" s="4127"/>
      <c r="F32" s="4127"/>
      <c r="G32" s="7725"/>
      <c r="H32" s="7051"/>
      <c r="I32" s="6811" t="s">
        <v>18</v>
      </c>
      <c r="J32" s="4128" t="s">
        <v>5</v>
      </c>
      <c r="K32" s="4128" t="s">
        <v>6</v>
      </c>
      <c r="L32" s="4128" t="s">
        <v>7</v>
      </c>
      <c r="M32" s="4128" t="s">
        <v>8</v>
      </c>
      <c r="N32" s="4128" t="s">
        <v>9</v>
      </c>
      <c r="O32" s="4128" t="s">
        <v>10</v>
      </c>
      <c r="P32" s="4128" t="s">
        <v>11</v>
      </c>
      <c r="Q32" s="4128" t="s">
        <v>12</v>
      </c>
      <c r="R32" s="4128" t="s">
        <v>13</v>
      </c>
      <c r="S32" s="4128" t="s">
        <v>14</v>
      </c>
      <c r="T32" s="6773" t="s">
        <v>15</v>
      </c>
      <c r="U32" s="6778" t="s">
        <v>197</v>
      </c>
    </row>
    <row r="33" spans="1:25" ht="24" customHeight="1">
      <c r="A33" s="4121" t="s">
        <v>1302</v>
      </c>
      <c r="B33" s="4122">
        <v>404490588.19834715</v>
      </c>
      <c r="C33" s="7695" t="s">
        <v>1303</v>
      </c>
      <c r="D33" s="4123">
        <v>324217171.12363642</v>
      </c>
      <c r="E33" s="3980"/>
      <c r="F33" s="3980"/>
      <c r="G33" s="4124">
        <f>B33/12</f>
        <v>33707549.016528927</v>
      </c>
      <c r="H33" s="6815">
        <f>D33/12</f>
        <v>27018097.593636367</v>
      </c>
      <c r="I33" s="6774">
        <f>I34+I39</f>
        <v>11461504</v>
      </c>
      <c r="J33" s="4736">
        <f>J34+J39</f>
        <v>635550</v>
      </c>
      <c r="K33" s="4994">
        <f>K34+K39</f>
        <v>3696133</v>
      </c>
      <c r="L33" s="4994">
        <f>L34+L39</f>
        <v>237500</v>
      </c>
      <c r="M33" s="4994">
        <f t="shared" ref="M33:T33" si="7">M34+M39</f>
        <v>8450784</v>
      </c>
      <c r="N33" s="4994">
        <f t="shared" si="7"/>
        <v>4011300</v>
      </c>
      <c r="O33" s="4994">
        <f t="shared" si="7"/>
        <v>15666956</v>
      </c>
      <c r="P33" s="4994">
        <f t="shared" si="7"/>
        <v>0</v>
      </c>
      <c r="Q33" s="4994">
        <f t="shared" si="7"/>
        <v>7835470</v>
      </c>
      <c r="R33" s="4994">
        <f t="shared" si="7"/>
        <v>0</v>
      </c>
      <c r="S33" s="4994">
        <f t="shared" si="7"/>
        <v>4501105</v>
      </c>
      <c r="T33" s="6774">
        <f t="shared" si="7"/>
        <v>10936750</v>
      </c>
      <c r="U33" s="6779">
        <f>SUM(I33:T33)</f>
        <v>67433052</v>
      </c>
    </row>
    <row r="34" spans="1:25" ht="24" customHeight="1">
      <c r="A34" s="4066" t="s">
        <v>1304</v>
      </c>
      <c r="B34" s="3918">
        <v>378737521.09090912</v>
      </c>
      <c r="C34" s="7695"/>
      <c r="D34" s="3927">
        <v>302990016.87272733</v>
      </c>
      <c r="E34" s="3980"/>
      <c r="F34" s="3980"/>
      <c r="G34" s="4056">
        <f t="shared" ref="G34:G43" si="8">B34/12</f>
        <v>31561460.090909094</v>
      </c>
      <c r="H34" s="6816">
        <f t="shared" ref="H34:H43" si="9">D34/12</f>
        <v>25249168.072727278</v>
      </c>
      <c r="I34" s="6775">
        <f t="shared" ref="I34:U34" si="10">SUM(I35:I38)</f>
        <v>10274304</v>
      </c>
      <c r="J34" s="4993">
        <f t="shared" si="10"/>
        <v>0</v>
      </c>
      <c r="K34" s="4993">
        <f t="shared" si="10"/>
        <v>2786633</v>
      </c>
      <c r="L34" s="5291">
        <f t="shared" si="10"/>
        <v>0</v>
      </c>
      <c r="M34" s="5291">
        <f t="shared" si="10"/>
        <v>7614084</v>
      </c>
      <c r="N34" s="5291">
        <f t="shared" si="10"/>
        <v>3371800</v>
      </c>
      <c r="O34" s="5291">
        <f t="shared" si="10"/>
        <v>15382956</v>
      </c>
      <c r="P34" s="5291">
        <f t="shared" si="10"/>
        <v>0</v>
      </c>
      <c r="Q34" s="5291">
        <f t="shared" si="10"/>
        <v>7180720</v>
      </c>
      <c r="R34" s="5291">
        <f t="shared" si="10"/>
        <v>0</v>
      </c>
      <c r="S34" s="5291">
        <f t="shared" si="10"/>
        <v>3883905</v>
      </c>
      <c r="T34" s="6775">
        <f t="shared" si="10"/>
        <v>9800000</v>
      </c>
      <c r="U34" s="6780">
        <f t="shared" si="10"/>
        <v>60294402</v>
      </c>
    </row>
    <row r="35" spans="1:25" ht="24" customHeight="1">
      <c r="A35" s="4066" t="s">
        <v>1305</v>
      </c>
      <c r="B35" s="3928">
        <v>482667.27272727271</v>
      </c>
      <c r="C35" s="7695"/>
      <c r="D35" s="3929">
        <v>241333.63636363635</v>
      </c>
      <c r="E35" s="3980"/>
      <c r="F35" s="3980"/>
      <c r="G35" s="4056">
        <f t="shared" si="8"/>
        <v>40222.272727272728</v>
      </c>
      <c r="H35" s="6816">
        <f t="shared" si="9"/>
        <v>20111.136363636364</v>
      </c>
      <c r="I35" s="5291">
        <f>종합!BK211</f>
        <v>2402000</v>
      </c>
      <c r="J35" s="4993">
        <f>종합!BL211</f>
        <v>0</v>
      </c>
      <c r="K35" s="4993">
        <f>종합!BM211</f>
        <v>0</v>
      </c>
      <c r="L35" s="4993">
        <f>종합!BN211</f>
        <v>0</v>
      </c>
      <c r="M35" s="4993">
        <f>종합!BO211</f>
        <v>0</v>
      </c>
      <c r="N35" s="4993">
        <f>종합!BP211</f>
        <v>0</v>
      </c>
      <c r="O35" s="4993">
        <f>종합!BQ211</f>
        <v>0</v>
      </c>
      <c r="P35" s="4993">
        <f>종합!BR211</f>
        <v>0</v>
      </c>
      <c r="Q35" s="4993">
        <f>종합!BS211</f>
        <v>0</v>
      </c>
      <c r="R35" s="4993">
        <f>종합!BT211</f>
        <v>0</v>
      </c>
      <c r="S35" s="4993">
        <f>종합!BU211</f>
        <v>0</v>
      </c>
      <c r="T35" s="6776">
        <f>종합!BV211</f>
        <v>0</v>
      </c>
      <c r="U35" s="6780">
        <f t="shared" ref="U35:U42" si="11">SUM(I35:T35)</f>
        <v>2402000</v>
      </c>
    </row>
    <row r="36" spans="1:25" ht="24" customHeight="1">
      <c r="A36" s="4066" t="s">
        <v>1306</v>
      </c>
      <c r="B36" s="3928">
        <v>2235946.9090909092</v>
      </c>
      <c r="C36" s="7695"/>
      <c r="D36" s="3929">
        <v>1609881.7745454544</v>
      </c>
      <c r="E36" s="3980"/>
      <c r="F36" s="3980"/>
      <c r="G36" s="4056">
        <f t="shared" si="8"/>
        <v>186328.90909090909</v>
      </c>
      <c r="H36" s="6816">
        <f t="shared" si="9"/>
        <v>134156.81454545454</v>
      </c>
      <c r="I36" s="4993">
        <f>종합!BK213</f>
        <v>1447854</v>
      </c>
      <c r="J36" s="4993">
        <f>종합!BL213</f>
        <v>0</v>
      </c>
      <c r="K36" s="4993">
        <f>종합!BM213</f>
        <v>2786633</v>
      </c>
      <c r="L36" s="4993">
        <f>종합!BN213</f>
        <v>0</v>
      </c>
      <c r="M36" s="4993">
        <f>종합!BO213</f>
        <v>2075684</v>
      </c>
      <c r="N36" s="4993">
        <f>종합!BP213</f>
        <v>3371800</v>
      </c>
      <c r="O36" s="4993">
        <f>종합!BQ213</f>
        <v>0</v>
      </c>
      <c r="P36" s="4993">
        <f>종합!BR213</f>
        <v>0</v>
      </c>
      <c r="Q36" s="4993">
        <f>종합!BS213</f>
        <v>2181120</v>
      </c>
      <c r="R36" s="4993">
        <f>종합!BT213</f>
        <v>0</v>
      </c>
      <c r="S36" s="4993">
        <f>종합!BU213</f>
        <v>2248305</v>
      </c>
      <c r="T36" s="4993">
        <f>종합!BV213</f>
        <v>0</v>
      </c>
      <c r="U36" s="6780">
        <f t="shared" si="11"/>
        <v>14111396</v>
      </c>
    </row>
    <row r="37" spans="1:25" ht="24" customHeight="1">
      <c r="A37" s="4066" t="s">
        <v>1307</v>
      </c>
      <c r="B37" s="3928">
        <v>283457454.54545456</v>
      </c>
      <c r="C37" s="7695"/>
      <c r="D37" s="3929">
        <v>248025272.72727275</v>
      </c>
      <c r="E37" s="3980"/>
      <c r="F37" s="3980"/>
      <c r="G37" s="4056">
        <f t="shared" si="8"/>
        <v>23621454.545454547</v>
      </c>
      <c r="H37" s="6816">
        <f t="shared" si="9"/>
        <v>20668772.72727273</v>
      </c>
      <c r="I37" s="4993">
        <f>종합!BK214</f>
        <v>6424450</v>
      </c>
      <c r="J37" s="4993">
        <f>종합!BL214</f>
        <v>0</v>
      </c>
      <c r="K37" s="4993">
        <f>종합!BM214</f>
        <v>0</v>
      </c>
      <c r="L37" s="4993">
        <f>종합!BN214</f>
        <v>0</v>
      </c>
      <c r="M37" s="4993">
        <f>종합!BO214</f>
        <v>0</v>
      </c>
      <c r="N37" s="4993">
        <f>종합!BP214</f>
        <v>0</v>
      </c>
      <c r="O37" s="4993">
        <f>종합!BQ214</f>
        <v>6035000</v>
      </c>
      <c r="P37" s="4993">
        <f>종합!BR214</f>
        <v>0</v>
      </c>
      <c r="Q37" s="4993">
        <f>종합!BS214</f>
        <v>0</v>
      </c>
      <c r="R37" s="4993">
        <f>종합!BT214</f>
        <v>0</v>
      </c>
      <c r="S37" s="4993">
        <f>종합!BU214</f>
        <v>0</v>
      </c>
      <c r="T37" s="4993">
        <f>종합!BV214</f>
        <v>9800000</v>
      </c>
      <c r="U37" s="6780">
        <f t="shared" si="11"/>
        <v>22259450</v>
      </c>
    </row>
    <row r="38" spans="1:25" ht="24" customHeight="1">
      <c r="A38" s="4066" t="s">
        <v>1308</v>
      </c>
      <c r="B38" s="3928">
        <v>92561452.36363636</v>
      </c>
      <c r="C38" s="7695"/>
      <c r="D38" s="3929">
        <v>87007765.221818179</v>
      </c>
      <c r="E38" s="3980"/>
      <c r="F38" s="3980"/>
      <c r="G38" s="4056">
        <f t="shared" si="8"/>
        <v>7713454.3636363633</v>
      </c>
      <c r="H38" s="6816">
        <f t="shared" si="9"/>
        <v>7250647.1018181816</v>
      </c>
      <c r="I38" s="4993">
        <f>종합!BK215</f>
        <v>0</v>
      </c>
      <c r="J38" s="4993">
        <f>종합!BL215</f>
        <v>0</v>
      </c>
      <c r="K38" s="4993">
        <f>종합!BM215</f>
        <v>0</v>
      </c>
      <c r="L38" s="4993">
        <f>종합!BN215</f>
        <v>0</v>
      </c>
      <c r="M38" s="4993">
        <f>종합!BO215</f>
        <v>5538400</v>
      </c>
      <c r="N38" s="4993">
        <f>종합!BP215</f>
        <v>0</v>
      </c>
      <c r="O38" s="4993">
        <f>종합!BQ215</f>
        <v>9347956</v>
      </c>
      <c r="P38" s="4993">
        <f>종합!BR215</f>
        <v>0</v>
      </c>
      <c r="Q38" s="4993">
        <f>종합!BS215</f>
        <v>4999600</v>
      </c>
      <c r="R38" s="4993">
        <f>종합!BT215</f>
        <v>0</v>
      </c>
      <c r="S38" s="4993">
        <f>종합!BU215</f>
        <v>1635600</v>
      </c>
      <c r="T38" s="4993">
        <f>종합!BV215</f>
        <v>0</v>
      </c>
      <c r="U38" s="6780">
        <f t="shared" si="11"/>
        <v>21521556</v>
      </c>
    </row>
    <row r="39" spans="1:25" ht="24" customHeight="1">
      <c r="A39" s="4066" t="s">
        <v>1309</v>
      </c>
      <c r="B39" s="3918">
        <v>25753067.107438013</v>
      </c>
      <c r="C39" s="7695"/>
      <c r="D39" s="3930">
        <v>21227154.25090909</v>
      </c>
      <c r="E39" s="3980"/>
      <c r="F39" s="3980"/>
      <c r="G39" s="4056">
        <f t="shared" si="8"/>
        <v>2146088.9256198346</v>
      </c>
      <c r="H39" s="6816">
        <f t="shared" si="9"/>
        <v>1768929.5209090908</v>
      </c>
      <c r="I39" s="6775">
        <f>SUM(I40:I42)</f>
        <v>1187200</v>
      </c>
      <c r="J39" s="4993">
        <f>SUM(J40:J42)</f>
        <v>635550</v>
      </c>
      <c r="K39" s="4993">
        <f>SUM(K40:K42)</f>
        <v>909500</v>
      </c>
      <c r="L39" s="4993">
        <f>SUM(L40:L42)</f>
        <v>237500</v>
      </c>
      <c r="M39" s="4993">
        <f t="shared" ref="M39:T39" si="12">SUM(M40:M42)</f>
        <v>836700</v>
      </c>
      <c r="N39" s="4993">
        <f t="shared" si="12"/>
        <v>639500</v>
      </c>
      <c r="O39" s="4993">
        <f t="shared" si="12"/>
        <v>284000</v>
      </c>
      <c r="P39" s="4993">
        <f t="shared" si="12"/>
        <v>0</v>
      </c>
      <c r="Q39" s="4993">
        <f t="shared" si="12"/>
        <v>654750</v>
      </c>
      <c r="R39" s="4993">
        <f t="shared" si="12"/>
        <v>0</v>
      </c>
      <c r="S39" s="4993">
        <f t="shared" si="12"/>
        <v>617200</v>
      </c>
      <c r="T39" s="6776">
        <f t="shared" si="12"/>
        <v>1136750</v>
      </c>
      <c r="U39" s="6780">
        <f>SUM(U40:U42)</f>
        <v>7138650</v>
      </c>
    </row>
    <row r="40" spans="1:25" ht="24" customHeight="1">
      <c r="A40" s="4066" t="s">
        <v>1310</v>
      </c>
      <c r="B40" s="3928">
        <v>4625018.1818181816</v>
      </c>
      <c r="C40" s="7695"/>
      <c r="D40" s="3929">
        <v>4278141.8181818184</v>
      </c>
      <c r="E40" s="3980"/>
      <c r="F40" s="3980"/>
      <c r="G40" s="4056">
        <f t="shared" si="8"/>
        <v>385418.18181818182</v>
      </c>
      <c r="H40" s="6816">
        <f t="shared" si="9"/>
        <v>356511.81818181818</v>
      </c>
      <c r="I40" s="4993">
        <f>종합!BK229</f>
        <v>937500</v>
      </c>
      <c r="J40" s="4993">
        <f>종합!BL229</f>
        <v>416750</v>
      </c>
      <c r="K40" s="4993">
        <f>종합!BM229</f>
        <v>625500</v>
      </c>
      <c r="L40" s="4993">
        <f>종합!BN229</f>
        <v>0</v>
      </c>
      <c r="M40" s="4993">
        <f>종합!BO229</f>
        <v>0</v>
      </c>
      <c r="N40" s="4993">
        <f>종합!BP229</f>
        <v>0</v>
      </c>
      <c r="O40" s="4993">
        <f>종합!BQ229</f>
        <v>0</v>
      </c>
      <c r="P40" s="4993">
        <f>종합!BR229</f>
        <v>0</v>
      </c>
      <c r="Q40" s="4993">
        <f>종합!BS229</f>
        <v>309500</v>
      </c>
      <c r="R40" s="4993">
        <f>종합!BT229</f>
        <v>0</v>
      </c>
      <c r="S40" s="4993">
        <f>종합!BU229</f>
        <v>0</v>
      </c>
      <c r="T40" s="6776">
        <f>종합!BV229</f>
        <v>416750</v>
      </c>
      <c r="U40" s="6780">
        <f t="shared" si="11"/>
        <v>2706000</v>
      </c>
    </row>
    <row r="41" spans="1:25" ht="24" customHeight="1">
      <c r="A41" s="4066" t="s">
        <v>1311</v>
      </c>
      <c r="B41" s="3928">
        <v>5506803.2727272725</v>
      </c>
      <c r="C41" s="7695"/>
      <c r="D41" s="3929">
        <v>4956122.9454545453</v>
      </c>
      <c r="E41" s="3980"/>
      <c r="F41" s="3980"/>
      <c r="G41" s="4056">
        <f t="shared" si="8"/>
        <v>458900.27272727271</v>
      </c>
      <c r="H41" s="6816">
        <f t="shared" si="9"/>
        <v>413010.24545454542</v>
      </c>
      <c r="I41" s="4993">
        <f>종합!BK230</f>
        <v>0</v>
      </c>
      <c r="J41" s="4993">
        <f>종합!BL230</f>
        <v>0</v>
      </c>
      <c r="K41" s="4993">
        <f>종합!BM230</f>
        <v>284000</v>
      </c>
      <c r="L41" s="4993">
        <f>종합!BN230</f>
        <v>237500</v>
      </c>
      <c r="M41" s="4993">
        <f>종합!BO230</f>
        <v>0</v>
      </c>
      <c r="N41" s="4993">
        <f>종합!BP230</f>
        <v>0</v>
      </c>
      <c r="O41" s="4993">
        <f>종합!BQ230</f>
        <v>284000</v>
      </c>
      <c r="P41" s="4993">
        <f>종합!BR230</f>
        <v>0</v>
      </c>
      <c r="Q41" s="4993">
        <f>종합!BS230</f>
        <v>345250</v>
      </c>
      <c r="R41" s="4993">
        <f>종합!BT230</f>
        <v>0</v>
      </c>
      <c r="S41" s="4993">
        <f>종합!BU230</f>
        <v>0</v>
      </c>
      <c r="T41" s="6776">
        <f>종합!BV230</f>
        <v>720000</v>
      </c>
      <c r="U41" s="6780">
        <f t="shared" si="11"/>
        <v>1870750</v>
      </c>
    </row>
    <row r="42" spans="1:25" ht="24" customHeight="1" thickBot="1">
      <c r="A42" s="4067" t="s">
        <v>1312</v>
      </c>
      <c r="B42" s="4057">
        <v>13475156.727272727</v>
      </c>
      <c r="C42" s="7696"/>
      <c r="D42" s="4058">
        <v>11992889.487272728</v>
      </c>
      <c r="E42" s="3980"/>
      <c r="F42" s="3980"/>
      <c r="G42" s="4059">
        <f t="shared" si="8"/>
        <v>1122929.7272727273</v>
      </c>
      <c r="H42" s="6817">
        <f t="shared" si="9"/>
        <v>999407.45727272739</v>
      </c>
      <c r="I42" s="4993">
        <f>종합!BK231</f>
        <v>249700</v>
      </c>
      <c r="J42" s="4993">
        <f>종합!BL231</f>
        <v>218800</v>
      </c>
      <c r="K42" s="4993">
        <f>종합!BM231</f>
        <v>0</v>
      </c>
      <c r="L42" s="4993">
        <f>종합!BN231</f>
        <v>0</v>
      </c>
      <c r="M42" s="4993">
        <f>종합!BO231</f>
        <v>836700</v>
      </c>
      <c r="N42" s="4993">
        <f>종합!BP231</f>
        <v>639500</v>
      </c>
      <c r="O42" s="4993">
        <f>종합!BQ231</f>
        <v>0</v>
      </c>
      <c r="P42" s="4993">
        <f>종합!BR231</f>
        <v>0</v>
      </c>
      <c r="Q42" s="4993">
        <f>종합!BS231</f>
        <v>0</v>
      </c>
      <c r="R42" s="4993">
        <f>종합!BT231</f>
        <v>0</v>
      </c>
      <c r="S42" s="4993">
        <f>종합!BU231</f>
        <v>617200</v>
      </c>
      <c r="T42" s="6776">
        <f>종합!BV231</f>
        <v>0</v>
      </c>
      <c r="U42" s="6781">
        <f t="shared" si="11"/>
        <v>2561900</v>
      </c>
    </row>
    <row r="43" spans="1:25" ht="24" customHeight="1">
      <c r="A43" s="4060" t="s">
        <v>1319</v>
      </c>
      <c r="B43" s="4061">
        <v>374600000000</v>
      </c>
      <c r="C43" s="4062"/>
      <c r="D43" s="4063">
        <v>367669420000</v>
      </c>
      <c r="E43" s="3982"/>
      <c r="F43" s="3982"/>
      <c r="G43" s="4064">
        <f t="shared" si="8"/>
        <v>31216666666.666668</v>
      </c>
      <c r="H43" s="6818">
        <f t="shared" si="9"/>
        <v>30639118333.333332</v>
      </c>
      <c r="I43" s="6812">
        <v>29813472049</v>
      </c>
      <c r="J43" s="4737">
        <f>29814731183-682741591</f>
        <v>29131989592</v>
      </c>
      <c r="K43" s="4737">
        <f>30967654438-772449970</f>
        <v>30195204468</v>
      </c>
      <c r="L43" s="5576">
        <f>28421264413-549232564</f>
        <v>27872031849</v>
      </c>
      <c r="M43" s="5576">
        <f>29992531240-582425640</f>
        <v>29410105600</v>
      </c>
      <c r="N43" s="5576">
        <f>31841592069-693983360</f>
        <v>31147608709</v>
      </c>
      <c r="O43" s="5576">
        <f>34840341411-718866470</f>
        <v>34121474941</v>
      </c>
      <c r="P43" s="5576">
        <f>33073962111-659685799</f>
        <v>32414276312</v>
      </c>
      <c r="Q43" s="5576">
        <f>35983720480-681882016</f>
        <v>35301838464</v>
      </c>
      <c r="R43" s="5576">
        <f>34670068294-805174095</f>
        <v>33864894199</v>
      </c>
      <c r="S43" s="5576">
        <f>32737093605-137509195</f>
        <v>32599584410</v>
      </c>
      <c r="T43" s="7028">
        <f>29427085227-46071000</f>
        <v>29381014227</v>
      </c>
      <c r="U43" s="6782">
        <f>SUM(I43:T43)</f>
        <v>375253494820</v>
      </c>
      <c r="V43" s="4957" t="s">
        <v>1728</v>
      </c>
      <c r="W43" s="4957"/>
      <c r="X43" s="4957"/>
      <c r="Y43" s="4957"/>
    </row>
    <row r="44" spans="1:25" ht="24" customHeight="1">
      <c r="A44" s="4073" t="s">
        <v>1591</v>
      </c>
      <c r="B44" s="4074">
        <f>B33/B43*1000000</f>
        <v>1079.7933481002326</v>
      </c>
      <c r="C44" s="4075">
        <f>IF(B44="측정불가","측정불가",IF(B44&gt;5000,1,IF(B44&gt;4000,2,IF(B44&gt;3000,3,IF(B44&gt;2000,4,IF(B44&lt;=1000,5,))))))</f>
        <v>0</v>
      </c>
      <c r="D44" s="4074">
        <f>D33/D43*1000000</f>
        <v>881.8170712256582</v>
      </c>
      <c r="E44" s="3980"/>
      <c r="F44" s="3980"/>
      <c r="G44" s="4076">
        <f>G33/G43*1000000</f>
        <v>1079.7933481002326</v>
      </c>
      <c r="H44" s="6819">
        <f>H33/H43*1000000</f>
        <v>881.8170712256582</v>
      </c>
      <c r="I44" s="6813">
        <f>I33/I43*1000000</f>
        <v>384.44042951999745</v>
      </c>
      <c r="J44" s="4738">
        <f>J33/J43*1000000</f>
        <v>21.816223639408747</v>
      </c>
      <c r="K44" s="4738">
        <f>K33/K43*1000000</f>
        <v>122.40794739168116</v>
      </c>
      <c r="L44" s="4738">
        <f t="shared" ref="L44:T44" si="13">L33/L43*1000000</f>
        <v>8.5210867039290168</v>
      </c>
      <c r="M44" s="4738">
        <f t="shared" si="13"/>
        <v>287.34286489607166</v>
      </c>
      <c r="N44" s="4738">
        <f t="shared" si="13"/>
        <v>128.78356208580942</v>
      </c>
      <c r="O44" s="4738">
        <f t="shared" si="13"/>
        <v>459.15236744865189</v>
      </c>
      <c r="P44" s="4738">
        <f t="shared" si="13"/>
        <v>0</v>
      </c>
      <c r="Q44" s="4738">
        <f t="shared" si="13"/>
        <v>221.95642892622809</v>
      </c>
      <c r="R44" s="4738">
        <f t="shared" si="13"/>
        <v>0</v>
      </c>
      <c r="S44" s="4738">
        <f t="shared" si="13"/>
        <v>138.07246569128884</v>
      </c>
      <c r="T44" s="6777">
        <f t="shared" si="13"/>
        <v>372.23868160240551</v>
      </c>
      <c r="U44" s="6783">
        <f>U33/U43*1000000</f>
        <v>179.69999728409192</v>
      </c>
      <c r="W44" s="6910">
        <f>U43/11*12</f>
        <v>409367448894.54547</v>
      </c>
    </row>
    <row r="45" spans="1:25" ht="24" customHeight="1" thickBot="1">
      <c r="A45" s="6820" t="s">
        <v>1582</v>
      </c>
      <c r="B45" s="3993"/>
      <c r="C45" s="3993"/>
      <c r="D45" s="3993"/>
      <c r="E45" s="3993"/>
      <c r="F45" s="3993"/>
      <c r="G45" s="4077">
        <f>IF(G44="측정불가","측정불가",IF(G44&gt;4000,1,IF(G44&gt;3000,2,IF(G44&gt;2000,3,IF(G44&gt;1000,4,IF(G44&lt;=1000,5,))))))</f>
        <v>4</v>
      </c>
      <c r="H45" s="6821">
        <f t="shared" ref="H45:U45" si="14">IF(H44="측정불가","측정불가",IF(H44&gt;4000,1,IF(H44&gt;3000,2,IF(H44&gt;2000,3,IF(H44&gt;1000,4,IF(H44&lt;=1000,5,))))))</f>
        <v>5</v>
      </c>
      <c r="I45" s="6814">
        <f t="shared" si="14"/>
        <v>5</v>
      </c>
      <c r="J45" s="4077">
        <f t="shared" si="14"/>
        <v>5</v>
      </c>
      <c r="K45" s="4077">
        <f t="shared" si="14"/>
        <v>5</v>
      </c>
      <c r="L45" s="4077">
        <f t="shared" si="14"/>
        <v>5</v>
      </c>
      <c r="M45" s="4077">
        <f t="shared" si="14"/>
        <v>5</v>
      </c>
      <c r="N45" s="4077">
        <f t="shared" si="14"/>
        <v>5</v>
      </c>
      <c r="O45" s="4077">
        <f t="shared" si="14"/>
        <v>5</v>
      </c>
      <c r="P45" s="4077">
        <f t="shared" si="14"/>
        <v>5</v>
      </c>
      <c r="Q45" s="4077">
        <f t="shared" si="14"/>
        <v>5</v>
      </c>
      <c r="R45" s="4077">
        <f t="shared" si="14"/>
        <v>5</v>
      </c>
      <c r="S45" s="4077">
        <f t="shared" si="14"/>
        <v>5</v>
      </c>
      <c r="T45" s="4078">
        <f t="shared" si="14"/>
        <v>5</v>
      </c>
      <c r="U45" s="6784">
        <f t="shared" si="14"/>
        <v>5</v>
      </c>
    </row>
    <row r="46" spans="1:25" s="299" customFormat="1" ht="24" customHeight="1"/>
    <row r="47" spans="1:25" ht="24" customHeight="1" thickBot="1">
      <c r="A47" s="3926" t="s">
        <v>1601</v>
      </c>
    </row>
    <row r="48" spans="1:25" ht="24" customHeight="1" thickBot="1">
      <c r="A48" s="7691" t="s">
        <v>0</v>
      </c>
      <c r="B48" s="4069"/>
      <c r="C48" s="4069"/>
      <c r="D48" s="4069"/>
      <c r="E48" s="4069"/>
      <c r="F48" s="4069"/>
      <c r="G48" s="7689" t="s">
        <v>1238</v>
      </c>
      <c r="H48" s="7687" t="s">
        <v>1280</v>
      </c>
      <c r="I48" s="7718" t="s">
        <v>1628</v>
      </c>
      <c r="J48" s="7719"/>
      <c r="K48" s="7719"/>
      <c r="L48" s="7719"/>
      <c r="M48" s="7719"/>
      <c r="N48" s="7719"/>
      <c r="O48" s="7719"/>
      <c r="P48" s="7719"/>
      <c r="Q48" s="7719"/>
      <c r="R48" s="7719"/>
      <c r="S48" s="7719"/>
      <c r="T48" s="7719"/>
      <c r="U48" s="7720"/>
    </row>
    <row r="49" spans="1:21" ht="24" customHeight="1">
      <c r="A49" s="7692"/>
      <c r="B49" s="4070" t="s">
        <v>27</v>
      </c>
      <c r="C49" s="4070" t="s">
        <v>28</v>
      </c>
      <c r="D49" s="4070" t="s">
        <v>29</v>
      </c>
      <c r="E49" s="4070" t="s">
        <v>505</v>
      </c>
      <c r="F49" s="4070" t="s">
        <v>492</v>
      </c>
      <c r="G49" s="7690"/>
      <c r="H49" s="7688"/>
      <c r="I49" s="3995" t="s">
        <v>18</v>
      </c>
      <c r="J49" s="3994" t="s">
        <v>5</v>
      </c>
      <c r="K49" s="6735" t="s">
        <v>6</v>
      </c>
      <c r="L49" s="3994" t="s">
        <v>7</v>
      </c>
      <c r="M49" s="6738" t="s">
        <v>8</v>
      </c>
      <c r="N49" s="6735" t="s">
        <v>9</v>
      </c>
      <c r="O49" s="6735" t="s">
        <v>10</v>
      </c>
      <c r="P49" s="6735" t="s">
        <v>11</v>
      </c>
      <c r="Q49" s="6735" t="s">
        <v>12</v>
      </c>
      <c r="R49" s="6735" t="s">
        <v>13</v>
      </c>
      <c r="S49" s="6735" t="s">
        <v>14</v>
      </c>
      <c r="T49" s="6735" t="s">
        <v>15</v>
      </c>
      <c r="U49" s="6745" t="s">
        <v>197</v>
      </c>
    </row>
    <row r="50" spans="1:21" ht="24" customHeight="1">
      <c r="A50" s="4068" t="s">
        <v>1593</v>
      </c>
      <c r="B50" s="3931">
        <v>254721</v>
      </c>
      <c r="C50" s="3931">
        <v>319756</v>
      </c>
      <c r="D50" s="3931">
        <v>372767</v>
      </c>
      <c r="E50" s="3931">
        <v>371052</v>
      </c>
      <c r="F50" s="3931">
        <v>373237</v>
      </c>
      <c r="G50" s="4009">
        <v>1691533</v>
      </c>
      <c r="H50" s="4010">
        <v>1825514.4807508551</v>
      </c>
      <c r="I50" s="4741">
        <f>설비종합효율!B4</f>
        <v>176272</v>
      </c>
      <c r="J50" s="3963">
        <f>설비종합효율!C4</f>
        <v>178022</v>
      </c>
      <c r="K50" s="6736">
        <f>설비종합효율!D4</f>
        <v>167397</v>
      </c>
      <c r="L50" s="3963">
        <f>설비종합효율!E4</f>
        <v>168405</v>
      </c>
      <c r="M50" s="6736">
        <f>설비종합효율!F4</f>
        <v>172076</v>
      </c>
      <c r="N50" s="4744">
        <f>설비종합효율!G4</f>
        <v>183383</v>
      </c>
      <c r="O50" s="4744">
        <f>설비종합효율!H4</f>
        <v>199333</v>
      </c>
      <c r="P50" s="4744">
        <f>설비종합효율!I4</f>
        <v>179561</v>
      </c>
      <c r="Q50" s="4744">
        <f>설비종합효율!J4</f>
        <v>179366</v>
      </c>
      <c r="R50" s="4744">
        <f>설비종합효율!K4</f>
        <v>200719</v>
      </c>
      <c r="S50" s="4744">
        <f>설비종합효율!L4</f>
        <v>87004</v>
      </c>
      <c r="T50" s="4744">
        <f>설비종합효율!M4</f>
        <v>84286</v>
      </c>
      <c r="U50" s="6084">
        <f>설비종합효율!N4</f>
        <v>1975824</v>
      </c>
    </row>
    <row r="51" spans="1:21" ht="24" customHeight="1">
      <c r="A51" s="3995" t="s">
        <v>395</v>
      </c>
      <c r="B51" s="3931">
        <v>1602</v>
      </c>
      <c r="C51" s="3931">
        <v>16380</v>
      </c>
      <c r="D51" s="3931">
        <v>7296</v>
      </c>
      <c r="E51" s="3931">
        <v>51995</v>
      </c>
      <c r="F51" s="3931">
        <v>102041</v>
      </c>
      <c r="G51" s="4009">
        <v>179314</v>
      </c>
      <c r="H51" s="4010">
        <v>193758.84470731398</v>
      </c>
      <c r="I51" s="4741">
        <f>설비종합효율!B5</f>
        <v>16202</v>
      </c>
      <c r="J51" s="3963">
        <f>설비종합효율!C5</f>
        <v>15797</v>
      </c>
      <c r="K51" s="6736">
        <f>설비종합효율!D5</f>
        <v>13378</v>
      </c>
      <c r="L51" s="3963">
        <f>설비종합효율!E5</f>
        <v>15335</v>
      </c>
      <c r="M51" s="6736">
        <f>설비종합효율!F5</f>
        <v>14997</v>
      </c>
      <c r="N51" s="4744">
        <f>설비종합효율!G5</f>
        <v>16656</v>
      </c>
      <c r="O51" s="4744">
        <f>설비종합효율!H5</f>
        <v>17027</v>
      </c>
      <c r="P51" s="4744">
        <f>설비종합효율!I5</f>
        <v>17688</v>
      </c>
      <c r="Q51" s="4744">
        <f>설비종합효율!J5</f>
        <v>17985</v>
      </c>
      <c r="R51" s="4744">
        <f>설비종합효율!K5</f>
        <v>18312</v>
      </c>
      <c r="S51" s="4744">
        <f>설비종합효율!L5</f>
        <v>15809</v>
      </c>
      <c r="T51" s="4744">
        <f>설비종합효율!M5</f>
        <v>17021</v>
      </c>
      <c r="U51" s="6084">
        <f>설비종합효율!N5</f>
        <v>196207</v>
      </c>
    </row>
    <row r="52" spans="1:21" ht="24" customHeight="1">
      <c r="A52" s="3995" t="s">
        <v>1594</v>
      </c>
      <c r="B52" s="3932">
        <f>(B50-B51)/B50</f>
        <v>0.99371076589680474</v>
      </c>
      <c r="C52" s="3932">
        <f>(C50-C51)/C50</f>
        <v>0.9487734397478077</v>
      </c>
      <c r="D52" s="3932">
        <f>(D50-D51)/D50</f>
        <v>0.98042745200084769</v>
      </c>
      <c r="E52" s="3932">
        <f>(E50-E51)/E50</f>
        <v>0.85987139268889534</v>
      </c>
      <c r="F52" s="3932">
        <f>(F50-F51)/F50</f>
        <v>0.72660534727264448</v>
      </c>
      <c r="G52" s="3996">
        <v>0.89399320025089668</v>
      </c>
      <c r="H52" s="3997">
        <v>0.89386069146511582</v>
      </c>
      <c r="I52" s="4196">
        <f t="shared" ref="I52:U52" si="15">(I50-I51)/I50</f>
        <v>0.90808523191431423</v>
      </c>
      <c r="J52" s="4197">
        <f t="shared" si="15"/>
        <v>0.91126377638718814</v>
      </c>
      <c r="K52" s="4745">
        <f t="shared" si="15"/>
        <v>0.92008219980047434</v>
      </c>
      <c r="L52" s="4197">
        <f t="shared" si="15"/>
        <v>0.90893975832071494</v>
      </c>
      <c r="M52" s="6739">
        <f t="shared" si="15"/>
        <v>0.91284664915502456</v>
      </c>
      <c r="N52" s="4745">
        <f t="shared" si="15"/>
        <v>0.90917369658038094</v>
      </c>
      <c r="O52" s="4745">
        <f t="shared" si="15"/>
        <v>0.91458012471592764</v>
      </c>
      <c r="P52" s="4745">
        <f t="shared" si="15"/>
        <v>0.90149308591509292</v>
      </c>
      <c r="Q52" s="4745">
        <f t="shared" si="15"/>
        <v>0.89973016067705136</v>
      </c>
      <c r="R52" s="4745">
        <f t="shared" si="15"/>
        <v>0.90876797911508134</v>
      </c>
      <c r="S52" s="4745">
        <f t="shared" si="15"/>
        <v>0.81829571054204409</v>
      </c>
      <c r="T52" s="4745">
        <f t="shared" si="15"/>
        <v>0.79805661675723139</v>
      </c>
      <c r="U52" s="6746">
        <f t="shared" si="15"/>
        <v>0.90069611463369204</v>
      </c>
    </row>
    <row r="53" spans="1:21" ht="24" customHeight="1">
      <c r="A53" s="3995" t="s">
        <v>1595</v>
      </c>
      <c r="B53" s="3931">
        <v>220154</v>
      </c>
      <c r="C53" s="3931">
        <v>277000</v>
      </c>
      <c r="D53" s="3931">
        <v>330942</v>
      </c>
      <c r="E53" s="3931">
        <v>305944</v>
      </c>
      <c r="F53" s="3931">
        <v>228112</v>
      </c>
      <c r="G53" s="4009">
        <v>1362152</v>
      </c>
      <c r="H53" s="4010">
        <v>1492483.8869396404</v>
      </c>
      <c r="I53" s="4741">
        <f>설비종합효율!B7</f>
        <v>131546</v>
      </c>
      <c r="J53" s="4744">
        <f>설비종합효율!C7</f>
        <v>151550</v>
      </c>
      <c r="K53" s="4744">
        <f>설비종합효율!D7</f>
        <v>124947</v>
      </c>
      <c r="L53" s="3963">
        <f>설비종합효율!E7</f>
        <v>143062</v>
      </c>
      <c r="M53" s="6736">
        <f>설비종합효율!F7</f>
        <v>143480</v>
      </c>
      <c r="N53" s="4744">
        <f>설비종합효율!G7</f>
        <v>153522</v>
      </c>
      <c r="O53" s="4744">
        <f>설비종합효율!H7</f>
        <v>172084</v>
      </c>
      <c r="P53" s="4744">
        <f>설비종합효율!I7</f>
        <v>149822</v>
      </c>
      <c r="Q53" s="4744">
        <f>설비종합효율!J7</f>
        <v>153638</v>
      </c>
      <c r="R53" s="4744">
        <f>설비종합효율!K7</f>
        <v>170388</v>
      </c>
      <c r="S53" s="4744">
        <f>설비종합효율!L7</f>
        <v>59505</v>
      </c>
      <c r="T53" s="4744">
        <f>설비종합효율!M7</f>
        <v>60336</v>
      </c>
      <c r="U53" s="6084">
        <f>설비종합효율!N7</f>
        <v>1613880</v>
      </c>
    </row>
    <row r="54" spans="1:21" ht="24" customHeight="1">
      <c r="A54" s="4068" t="s">
        <v>1602</v>
      </c>
      <c r="B54" s="3931">
        <v>253010</v>
      </c>
      <c r="C54" s="3931">
        <v>303039</v>
      </c>
      <c r="D54" s="3931">
        <v>365465</v>
      </c>
      <c r="E54" s="3931">
        <v>353934</v>
      </c>
      <c r="F54" s="3931">
        <v>332575</v>
      </c>
      <c r="G54" s="4009">
        <v>1608023</v>
      </c>
      <c r="H54" s="4010">
        <v>1690676.5183026791</v>
      </c>
      <c r="I54" s="4741">
        <f>설비종합효율!B8</f>
        <v>144046</v>
      </c>
      <c r="J54" s="4744">
        <f>설비종합효율!C8</f>
        <v>170535</v>
      </c>
      <c r="K54" s="4744">
        <f>설비종합효율!D8</f>
        <v>140784</v>
      </c>
      <c r="L54" s="3963">
        <f>설비종합효율!E8</f>
        <v>163048</v>
      </c>
      <c r="M54" s="6736">
        <f>설비종합효율!F8</f>
        <v>164690</v>
      </c>
      <c r="N54" s="4744">
        <f>설비종합효율!G8</f>
        <v>176629</v>
      </c>
      <c r="O54" s="4744">
        <f>설비종합효율!H8</f>
        <v>192062</v>
      </c>
      <c r="P54" s="4744">
        <f>설비종합효율!I8</f>
        <v>170942</v>
      </c>
      <c r="Q54" s="4744">
        <f>설비종합효율!J8</f>
        <v>171191</v>
      </c>
      <c r="R54" s="4744">
        <f>설비종합효율!K8</f>
        <v>192583</v>
      </c>
      <c r="S54" s="4744">
        <f>설비종합효율!L8</f>
        <v>78091</v>
      </c>
      <c r="T54" s="4744">
        <f>설비종합효율!M8</f>
        <v>76337</v>
      </c>
      <c r="U54" s="6084">
        <f>설비종합효율!N8</f>
        <v>1840938</v>
      </c>
    </row>
    <row r="55" spans="1:21" ht="24" customHeight="1">
      <c r="A55" s="3995" t="s">
        <v>1596</v>
      </c>
      <c r="B55" s="3932">
        <f>B53/B54</f>
        <v>0.87013952017706808</v>
      </c>
      <c r="C55" s="3932">
        <f>C53/C54</f>
        <v>0.91407376608291346</v>
      </c>
      <c r="D55" s="3932">
        <f>D53/D54</f>
        <v>0.90553678190798026</v>
      </c>
      <c r="E55" s="3932">
        <f>E53/E54</f>
        <v>0.86440974871021148</v>
      </c>
      <c r="F55" s="3932">
        <f>F53/F54</f>
        <v>0.68589641434262949</v>
      </c>
      <c r="G55" s="3996">
        <v>0.84709733629431916</v>
      </c>
      <c r="H55" s="3997">
        <v>0.88277318031126961</v>
      </c>
      <c r="I55" s="4742">
        <f t="shared" ref="I55:U55" si="16">I53/I54</f>
        <v>0.91322216514169086</v>
      </c>
      <c r="J55" s="4745">
        <f>J53/J54</f>
        <v>0.88867387926232155</v>
      </c>
      <c r="K55" s="4745">
        <f t="shared" si="16"/>
        <v>0.88750852369587452</v>
      </c>
      <c r="L55" s="4197">
        <f t="shared" si="16"/>
        <v>0.87742259947990775</v>
      </c>
      <c r="M55" s="6739">
        <f t="shared" si="16"/>
        <v>0.87121258121318845</v>
      </c>
      <c r="N55" s="6806">
        <f t="shared" si="16"/>
        <v>0.86917776809017777</v>
      </c>
      <c r="O55" s="4745">
        <f t="shared" si="16"/>
        <v>0.89598150597202986</v>
      </c>
      <c r="P55" s="4745">
        <f t="shared" si="16"/>
        <v>0.87644932199225467</v>
      </c>
      <c r="Q55" s="4745">
        <f t="shared" si="16"/>
        <v>0.89746540413923626</v>
      </c>
      <c r="R55" s="4745">
        <f t="shared" si="16"/>
        <v>0.88475099048202588</v>
      </c>
      <c r="S55" s="4745">
        <f t="shared" si="16"/>
        <v>0.76199562049403902</v>
      </c>
      <c r="T55" s="4745">
        <f t="shared" si="16"/>
        <v>0.79038998126727533</v>
      </c>
      <c r="U55" s="6746">
        <f t="shared" si="16"/>
        <v>0.87666178871857714</v>
      </c>
    </row>
    <row r="56" spans="1:21" ht="24" customHeight="1">
      <c r="A56" s="3995" t="s">
        <v>1597</v>
      </c>
      <c r="B56" s="3933">
        <v>247068.53899999999</v>
      </c>
      <c r="C56" s="3934">
        <v>237754.489</v>
      </c>
      <c r="D56" s="3934">
        <v>239665.67</v>
      </c>
      <c r="E56" s="3934">
        <v>123961.10799999999</v>
      </c>
      <c r="F56" s="3934">
        <v>42325.625</v>
      </c>
      <c r="G56" s="4011">
        <v>890775.43099999998</v>
      </c>
      <c r="H56" s="4010">
        <v>968526.21549999993</v>
      </c>
      <c r="I56" s="4741">
        <f>설비종합효율!B10</f>
        <v>92495.56</v>
      </c>
      <c r="J56" s="4744">
        <f>설비종합효율!C10</f>
        <v>97271.02</v>
      </c>
      <c r="K56" s="4744">
        <f>설비종합효율!D10</f>
        <v>89960.854000000007</v>
      </c>
      <c r="L56" s="3963">
        <f>설비종합효율!E10</f>
        <v>94554.062000000005</v>
      </c>
      <c r="M56" s="6736">
        <f>설비종합효율!F10</f>
        <v>89476.068000000014</v>
      </c>
      <c r="N56" s="6808">
        <f>설비종합효율!G10</f>
        <v>99650.42</v>
      </c>
      <c r="O56" s="4744">
        <f>설비종합효율!H10</f>
        <v>114333.16</v>
      </c>
      <c r="P56" s="4744">
        <f>설비종합효율!I10</f>
        <v>101695.236</v>
      </c>
      <c r="Q56" s="4744">
        <f>설비종합효율!J10</f>
        <v>102458.485</v>
      </c>
      <c r="R56" s="4744">
        <f>설비종합효율!K10</f>
        <v>105815.60400000001</v>
      </c>
      <c r="S56" s="4744">
        <f>설비종합효율!L10</f>
        <v>18141.04</v>
      </c>
      <c r="T56" s="4744">
        <f>설비종합효율!M10</f>
        <v>17326.670000000002</v>
      </c>
      <c r="U56" s="6084">
        <f>설비종합효율!N10</f>
        <v>1023178.1790000002</v>
      </c>
    </row>
    <row r="57" spans="1:21" ht="24" customHeight="1" thickBot="1">
      <c r="A57" s="4088" t="s">
        <v>1598</v>
      </c>
      <c r="B57" s="4089">
        <f>21.37+2197.18</f>
        <v>2218.5499999999997</v>
      </c>
      <c r="C57" s="4090">
        <f>29.43+393.21</f>
        <v>422.64</v>
      </c>
      <c r="D57" s="4090">
        <f>330.85</f>
        <v>330.85</v>
      </c>
      <c r="E57" s="4090">
        <f>69.54+1524.24</f>
        <v>1593.78</v>
      </c>
      <c r="F57" s="4090">
        <f>69.51+214.773</f>
        <v>284.28300000000002</v>
      </c>
      <c r="G57" s="4091">
        <v>4850.1030000000001</v>
      </c>
      <c r="H57" s="4097">
        <v>3566.5515</v>
      </c>
      <c r="I57" s="4743">
        <f>설비종합효율!B11</f>
        <v>205.72</v>
      </c>
      <c r="J57" s="4746">
        <f>설비종합효율!C11</f>
        <v>551.38000000000011</v>
      </c>
      <c r="K57" s="6737">
        <f>설비종합효율!D11</f>
        <v>252.81</v>
      </c>
      <c r="L57" s="4092">
        <f>설비종합효율!E11</f>
        <v>581.87</v>
      </c>
      <c r="M57" s="6740">
        <f>설비종합효율!F11</f>
        <v>817.05</v>
      </c>
      <c r="N57" s="6809">
        <f>설비종합효율!G11</f>
        <v>1166.77</v>
      </c>
      <c r="O57" s="6737">
        <f>설비종합효율!H11</f>
        <v>376.20000000000005</v>
      </c>
      <c r="P57" s="6737">
        <f>설비종합효율!I11</f>
        <v>191.02999999999997</v>
      </c>
      <c r="Q57" s="6737">
        <f>설비종합효율!J11</f>
        <v>96.48</v>
      </c>
      <c r="R57" s="6737">
        <f>설비종합효율!K11</f>
        <v>608.33000000000004</v>
      </c>
      <c r="S57" s="6737">
        <f>설비종합효율!L11</f>
        <v>43.220000000000006</v>
      </c>
      <c r="T57" s="6737">
        <f>설비종합효율!M11</f>
        <v>136.88999999999999</v>
      </c>
      <c r="U57" s="6747">
        <f>설비종합효율!N11</f>
        <v>5027.75</v>
      </c>
    </row>
    <row r="58" spans="1:21" ht="24" customHeight="1">
      <c r="A58" s="4093" t="s">
        <v>1599</v>
      </c>
      <c r="B58" s="4094">
        <f>(B56-B57)/B56</f>
        <v>0.99102050787615659</v>
      </c>
      <c r="C58" s="4094">
        <f>(C56-C57)/C56</f>
        <v>0.99822236794864461</v>
      </c>
      <c r="D58" s="4094">
        <f>(D56-D57)/D56</f>
        <v>0.99861953528847081</v>
      </c>
      <c r="E58" s="4094">
        <f>(E56-E57)/E56</f>
        <v>0.98714290291758289</v>
      </c>
      <c r="F58" s="4094">
        <f>(F56-F57)/F56</f>
        <v>0.99328343054591628</v>
      </c>
      <c r="G58" s="4095">
        <v>0.99455518997133185</v>
      </c>
      <c r="H58" s="4096">
        <v>0.99631754779279902</v>
      </c>
      <c r="I58" s="4198">
        <f t="shared" ref="I58:U58" si="17">(I56-I57)/I56</f>
        <v>0.99777589324287563</v>
      </c>
      <c r="J58" s="4747">
        <f t="shared" si="17"/>
        <v>0.99433150798665415</v>
      </c>
      <c r="K58" s="4747">
        <f t="shared" si="17"/>
        <v>0.99718977767818884</v>
      </c>
      <c r="L58" s="4199">
        <f t="shared" si="17"/>
        <v>0.99384616601664355</v>
      </c>
      <c r="M58" s="6741">
        <f t="shared" si="17"/>
        <v>0.99086850799031534</v>
      </c>
      <c r="N58" s="6807">
        <f t="shared" si="17"/>
        <v>0.98829136896763703</v>
      </c>
      <c r="O58" s="4747">
        <f t="shared" si="17"/>
        <v>0.99670961600291641</v>
      </c>
      <c r="P58" s="4747">
        <f t="shared" si="17"/>
        <v>0.99812154425798272</v>
      </c>
      <c r="Q58" s="4747">
        <f t="shared" si="17"/>
        <v>0.99905835031622814</v>
      </c>
      <c r="R58" s="4747">
        <f t="shared" si="17"/>
        <v>0.99425103692646311</v>
      </c>
      <c r="S58" s="4747">
        <f t="shared" si="17"/>
        <v>0.99761755665606822</v>
      </c>
      <c r="T58" s="4747">
        <f t="shared" si="17"/>
        <v>0.99209946285119999</v>
      </c>
      <c r="U58" s="6748">
        <f t="shared" si="17"/>
        <v>0.99508614422864861</v>
      </c>
    </row>
    <row r="59" spans="1:21" ht="24" customHeight="1">
      <c r="A59" s="4083" t="s">
        <v>1600</v>
      </c>
      <c r="B59" s="4084">
        <f>B52*B55*B58</f>
        <v>0.8569027384348803</v>
      </c>
      <c r="C59" s="4084">
        <f>C52*C55*C58</f>
        <v>0.86570726176861379</v>
      </c>
      <c r="D59" s="4084">
        <f>D52*D55*D58</f>
        <v>0.88658752509680072</v>
      </c>
      <c r="E59" s="4084">
        <f>E52*E55*E58</f>
        <v>0.73372477574323591</v>
      </c>
      <c r="F59" s="4084">
        <f>F52*F55*F58</f>
        <v>0.49502862530254632</v>
      </c>
      <c r="G59" s="4085">
        <v>0.75317590799985235</v>
      </c>
      <c r="H59" s="4087">
        <v>0.78617050979851544</v>
      </c>
      <c r="I59" s="4086">
        <f t="shared" ref="I59:U59" si="18">I52*I55*I58</f>
        <v>0.82743914644900884</v>
      </c>
      <c r="J59" s="4085">
        <f t="shared" si="18"/>
        <v>0.80522587787828526</v>
      </c>
      <c r="K59" s="4085">
        <f t="shared" si="18"/>
        <v>0.81428602124659555</v>
      </c>
      <c r="L59" s="4085">
        <f t="shared" si="18"/>
        <v>0.79261645346563792</v>
      </c>
      <c r="M59" s="6742">
        <f t="shared" si="18"/>
        <v>0.7880213606692269</v>
      </c>
      <c r="N59" s="6810">
        <f t="shared" si="18"/>
        <v>0.78098101116508301</v>
      </c>
      <c r="O59" s="6744">
        <f t="shared" si="18"/>
        <v>0.81675058258295963</v>
      </c>
      <c r="P59" s="6744">
        <f t="shared" si="18"/>
        <v>0.7886288116219119</v>
      </c>
      <c r="Q59" s="6744">
        <f t="shared" si="18"/>
        <v>0.80671633209636229</v>
      </c>
      <c r="R59" s="6744">
        <f t="shared" si="18"/>
        <v>0.79941101148846305</v>
      </c>
      <c r="S59" s="6744">
        <f t="shared" si="18"/>
        <v>0.62205220434539243</v>
      </c>
      <c r="T59" s="6744">
        <f t="shared" si="18"/>
        <v>0.62579248550891142</v>
      </c>
      <c r="U59" s="6749">
        <f t="shared" si="18"/>
        <v>0.78572585760025637</v>
      </c>
    </row>
    <row r="60" spans="1:21" ht="24" customHeight="1" thickBot="1">
      <c r="A60" s="4079" t="s">
        <v>1582</v>
      </c>
      <c r="B60" s="3993"/>
      <c r="C60" s="3993"/>
      <c r="D60" s="3993"/>
      <c r="E60" s="3993"/>
      <c r="F60" s="3993"/>
      <c r="G60" s="4080">
        <f>IF(G59="측정불가","측정불가",IF(G59&lt;0.5,1,IF(G59&lt;0.65,2,IF(G59&lt;0.75,3,IF(G59&lt;=0.85,4,IF(G59&gt;0.85,5,))))))</f>
        <v>4</v>
      </c>
      <c r="H60" s="4082">
        <f>IF(H59="측정불가","측정불가",IF(H59&lt;0.5,1,IF(H59&lt;0.65,2,IF(H59&lt;0.75,3,IF(H59&lt;=0.85,4,IF(H59&gt;0.85,5,))))))</f>
        <v>4</v>
      </c>
      <c r="I60" s="4081">
        <f t="shared" ref="I60:U60" si="19">IF(I59="측정불가","측정불가",IF(I59&lt;0.5,1,IF(I59&lt;0.65,2,IF(I59&lt;0.75,3,IF(I59&lt;=0.85,4,IF(I59&gt;0.85,5,))))))</f>
        <v>4</v>
      </c>
      <c r="J60" s="4080">
        <f t="shared" si="19"/>
        <v>4</v>
      </c>
      <c r="K60" s="4080">
        <f t="shared" si="19"/>
        <v>4</v>
      </c>
      <c r="L60" s="4080">
        <f t="shared" si="19"/>
        <v>4</v>
      </c>
      <c r="M60" s="6743">
        <f t="shared" si="19"/>
        <v>4</v>
      </c>
      <c r="N60" s="4080">
        <f t="shared" si="19"/>
        <v>4</v>
      </c>
      <c r="O60" s="4080">
        <f t="shared" si="19"/>
        <v>4</v>
      </c>
      <c r="P60" s="4080">
        <f t="shared" si="19"/>
        <v>4</v>
      </c>
      <c r="Q60" s="4080">
        <f t="shared" si="19"/>
        <v>4</v>
      </c>
      <c r="R60" s="4080">
        <f t="shared" si="19"/>
        <v>4</v>
      </c>
      <c r="S60" s="4080">
        <f t="shared" si="19"/>
        <v>2</v>
      </c>
      <c r="T60" s="6743">
        <f t="shared" si="19"/>
        <v>2</v>
      </c>
      <c r="U60" s="6750">
        <f t="shared" si="19"/>
        <v>4</v>
      </c>
    </row>
    <row r="61" spans="1:21" ht="24" hidden="1" customHeight="1"/>
    <row r="62" spans="1:21" ht="24" hidden="1" customHeight="1"/>
    <row r="63" spans="1:21" s="299" customFormat="1" ht="24" hidden="1" customHeight="1"/>
    <row r="64" spans="1:21" s="299" customFormat="1" ht="24" hidden="1" customHeight="1"/>
    <row r="65" spans="1:26" s="299" customFormat="1" ht="24" hidden="1" customHeight="1"/>
    <row r="66" spans="1:26" s="299" customFormat="1" ht="24" hidden="1" customHeight="1"/>
    <row r="67" spans="1:26" s="299" customFormat="1" ht="24" hidden="1" customHeight="1"/>
    <row r="68" spans="1:26" s="299" customFormat="1" ht="24" hidden="1" customHeight="1"/>
    <row r="69" spans="1:26" s="299" customFormat="1" ht="24" hidden="1" customHeight="1"/>
    <row r="70" spans="1:26" s="299" customFormat="1" ht="24" hidden="1" customHeight="1"/>
    <row r="71" spans="1:26" s="299" customFormat="1" ht="24" hidden="1" customHeight="1"/>
    <row r="72" spans="1:26" ht="24" customHeight="1" thickBot="1">
      <c r="A72" s="3926" t="s">
        <v>1618</v>
      </c>
    </row>
    <row r="73" spans="1:26" ht="24" customHeight="1" thickBot="1">
      <c r="A73" s="7693" t="s">
        <v>1626</v>
      </c>
      <c r="B73" s="4019"/>
      <c r="C73" s="4019"/>
      <c r="D73" s="4019"/>
      <c r="E73" s="4019"/>
      <c r="F73" s="4019"/>
      <c r="G73" s="7708" t="s">
        <v>1181</v>
      </c>
      <c r="H73" s="7710" t="s">
        <v>1616</v>
      </c>
      <c r="I73" s="7697" t="s">
        <v>1617</v>
      </c>
      <c r="J73" s="7698"/>
      <c r="K73" s="7698"/>
      <c r="L73" s="7698"/>
      <c r="M73" s="7698"/>
      <c r="N73" s="7698"/>
      <c r="O73" s="7698"/>
      <c r="P73" s="7698"/>
      <c r="Q73" s="7698"/>
      <c r="R73" s="7698"/>
      <c r="S73" s="7698"/>
      <c r="T73" s="7698"/>
      <c r="U73" s="7699"/>
    </row>
    <row r="74" spans="1:26" ht="24" customHeight="1" thickBot="1">
      <c r="A74" s="7694"/>
      <c r="B74" s="4140"/>
      <c r="C74" s="4141"/>
      <c r="D74" s="4140"/>
      <c r="E74" s="4140"/>
      <c r="F74" s="4140"/>
      <c r="G74" s="7709"/>
      <c r="H74" s="7711"/>
      <c r="I74" s="4204" t="s">
        <v>18</v>
      </c>
      <c r="J74" s="4143" t="s">
        <v>5</v>
      </c>
      <c r="K74" s="4143" t="s">
        <v>6</v>
      </c>
      <c r="L74" s="4143" t="s">
        <v>7</v>
      </c>
      <c r="M74" s="4143" t="s">
        <v>8</v>
      </c>
      <c r="N74" s="4143" t="s">
        <v>9</v>
      </c>
      <c r="O74" s="4143" t="s">
        <v>10</v>
      </c>
      <c r="P74" s="4143" t="s">
        <v>11</v>
      </c>
      <c r="Q74" s="4143" t="s">
        <v>12</v>
      </c>
      <c r="R74" s="4143" t="s">
        <v>13</v>
      </c>
      <c r="S74" s="4143" t="s">
        <v>14</v>
      </c>
      <c r="T74" s="6785" t="s">
        <v>15</v>
      </c>
      <c r="U74" s="6792" t="s">
        <v>197</v>
      </c>
    </row>
    <row r="75" spans="1:26" ht="24" customHeight="1">
      <c r="A75" s="4136" t="s">
        <v>1619</v>
      </c>
      <c r="B75" s="3980"/>
      <c r="C75" s="4137"/>
      <c r="D75" s="3980"/>
      <c r="E75" s="3980"/>
      <c r="F75" s="3980"/>
      <c r="G75" s="4138">
        <v>355898.17418181821</v>
      </c>
      <c r="H75" s="4139">
        <v>360000</v>
      </c>
      <c r="I75" s="5000">
        <f t="shared" ref="I75:N75" si="20">K99</f>
        <v>347440.63200000004</v>
      </c>
      <c r="J75" s="5003">
        <f t="shared" si="20"/>
        <v>345244.908</v>
      </c>
      <c r="K75" s="5001">
        <f t="shared" si="20"/>
        <v>346861.152</v>
      </c>
      <c r="L75" s="5001">
        <f t="shared" si="20"/>
        <v>342782.03700000001</v>
      </c>
      <c r="M75" s="5001">
        <f t="shared" si="20"/>
        <v>344127.88080000004</v>
      </c>
      <c r="N75" s="5001">
        <f t="shared" si="20"/>
        <v>349306.25199999998</v>
      </c>
      <c r="O75" s="5001">
        <f t="shared" ref="O75:T75" si="21">Q99</f>
        <v>358549.47085714282</v>
      </c>
      <c r="P75" s="5001">
        <f t="shared" si="21"/>
        <v>363015.22950000002</v>
      </c>
      <c r="Q75" s="5001">
        <f t="shared" si="21"/>
        <v>367896.19866666663</v>
      </c>
      <c r="R75" s="5001">
        <f t="shared" si="21"/>
        <v>369817.97640000004</v>
      </c>
      <c r="S75" s="5001">
        <f t="shared" si="21"/>
        <v>346861.152</v>
      </c>
      <c r="T75" s="5001">
        <f t="shared" si="21"/>
        <v>363872.36799999996</v>
      </c>
      <c r="U75" s="6793">
        <f>SUM(I75:T75)</f>
        <v>4245775.2572238091</v>
      </c>
      <c r="X75" s="4956" t="s">
        <v>1708</v>
      </c>
      <c r="Y75" s="4957" t="s">
        <v>1727</v>
      </c>
      <c r="Z75" s="4957"/>
    </row>
    <row r="76" spans="1:26" ht="24" customHeight="1" thickBot="1">
      <c r="A76" s="4200" t="s">
        <v>1620</v>
      </c>
      <c r="B76" s="3980"/>
      <c r="C76" s="4137"/>
      <c r="D76" s="3980"/>
      <c r="E76" s="3980"/>
      <c r="F76" s="3980"/>
      <c r="G76" s="4201">
        <v>48880.698636363639</v>
      </c>
      <c r="H76" s="4206">
        <v>50255.45</v>
      </c>
      <c r="I76" s="4743">
        <f t="shared" ref="I76:N76" si="22">K102</f>
        <v>50372.811000000002</v>
      </c>
      <c r="J76" s="5004">
        <f t="shared" si="22"/>
        <v>72345.774000000005</v>
      </c>
      <c r="K76" s="5002">
        <f t="shared" si="22"/>
        <v>61221.726999999999</v>
      </c>
      <c r="L76" s="5002">
        <f t="shared" si="22"/>
        <v>55213.883000000002</v>
      </c>
      <c r="M76" s="5002">
        <f t="shared" si="22"/>
        <v>53606.952999999994</v>
      </c>
      <c r="N76" s="5002">
        <f t="shared" si="22"/>
        <v>58038.332999999999</v>
      </c>
      <c r="O76" s="5002">
        <f t="shared" ref="O76:T76" si="23">Q102</f>
        <v>57152.304000000004</v>
      </c>
      <c r="P76" s="5002">
        <f t="shared" si="23"/>
        <v>53453.247000000003</v>
      </c>
      <c r="Q76" s="5002">
        <f t="shared" si="23"/>
        <v>55359.846999999994</v>
      </c>
      <c r="R76" s="5002">
        <f t="shared" si="23"/>
        <v>43702.084999999999</v>
      </c>
      <c r="S76" s="5002">
        <f t="shared" si="23"/>
        <v>30504.932000000001</v>
      </c>
      <c r="T76" s="5002">
        <f t="shared" si="23"/>
        <v>27028.213000000003</v>
      </c>
      <c r="U76" s="6794">
        <f>SUM(I76:T76)</f>
        <v>618000.10900000005</v>
      </c>
      <c r="W76">
        <v>31282.307000000001</v>
      </c>
      <c r="X76" s="4956" t="s">
        <v>1709</v>
      </c>
      <c r="Y76" s="4957" t="s">
        <v>1707</v>
      </c>
    </row>
    <row r="77" spans="1:26" ht="24" customHeight="1">
      <c r="A77" s="4220" t="s">
        <v>1621</v>
      </c>
      <c r="B77" s="4210"/>
      <c r="C77" s="4211"/>
      <c r="D77" s="4210"/>
      <c r="E77" s="4210"/>
      <c r="F77" s="4210"/>
      <c r="G77" s="4212">
        <f>G75/G76</f>
        <v>7.280955144062859</v>
      </c>
      <c r="H77" s="4213">
        <f>H75/H76</f>
        <v>7.1634021782712125</v>
      </c>
      <c r="I77" s="4990">
        <f t="shared" ref="I77:U77" si="24">I75/I76</f>
        <v>6.897384225787996</v>
      </c>
      <c r="J77" s="4991">
        <f t="shared" si="24"/>
        <v>4.7721503124702211</v>
      </c>
      <c r="K77" s="4991">
        <f t="shared" si="24"/>
        <v>5.665654482435623</v>
      </c>
      <c r="L77" s="4991">
        <f t="shared" si="24"/>
        <v>6.2082581114608439</v>
      </c>
      <c r="M77" s="4991">
        <f t="shared" si="24"/>
        <v>6.4194635498122805</v>
      </c>
      <c r="N77" s="4991">
        <f t="shared" si="24"/>
        <v>6.0185438475636435</v>
      </c>
      <c r="O77" s="4991">
        <f t="shared" si="24"/>
        <v>6.2735785919871718</v>
      </c>
      <c r="P77" s="4991">
        <f t="shared" si="24"/>
        <v>6.7912661975426865</v>
      </c>
      <c r="Q77" s="4991">
        <f t="shared" si="24"/>
        <v>6.645542186319024</v>
      </c>
      <c r="R77" s="4991">
        <f t="shared" si="24"/>
        <v>8.462250174104966</v>
      </c>
      <c r="S77" s="4991">
        <f t="shared" si="24"/>
        <v>11.370658095549926</v>
      </c>
      <c r="T77" s="6787">
        <f t="shared" si="24"/>
        <v>13.4626868598379</v>
      </c>
      <c r="U77" s="6795">
        <f t="shared" si="24"/>
        <v>6.8701852886304406</v>
      </c>
    </row>
    <row r="78" spans="1:26" ht="24" customHeight="1">
      <c r="A78" s="4027" t="s">
        <v>1634</v>
      </c>
      <c r="B78" s="3980"/>
      <c r="C78" s="3973"/>
      <c r="D78" s="3980"/>
      <c r="E78" s="3980"/>
      <c r="F78" s="3980"/>
      <c r="G78" s="4001">
        <f>IF(G77="측정불가","측정불가",IF(G77&lt;4,1,IF(G77&lt;10,2,IF(G77&lt;20,3,IF(G77&lt;=30,4,IF(G77&gt;30,5,))))))</f>
        <v>2</v>
      </c>
      <c r="H78" s="4014">
        <f>IF(H77="측정불가","측정불가",IF(H77&lt;4,1,IF(H77&lt;10,2,IF(H77&lt;20,3,IF(H77&lt;=30,4,IF(H77&gt;30,5,))))))</f>
        <v>2</v>
      </c>
      <c r="I78" s="4006">
        <f t="shared" ref="I78:U78" si="25">IF(I77="측정불가","측정불가",IF(I77&lt;4,1,IF(I77&lt;10,2,IF(I77&lt;20,3,IF(I77&lt;=30,4,IF(I77&gt;30,5,))))))</f>
        <v>2</v>
      </c>
      <c r="J78" s="4001">
        <f t="shared" si="25"/>
        <v>2</v>
      </c>
      <c r="K78" s="4001">
        <f t="shared" si="25"/>
        <v>2</v>
      </c>
      <c r="L78" s="4001">
        <f t="shared" si="25"/>
        <v>2</v>
      </c>
      <c r="M78" s="4001">
        <f t="shared" si="25"/>
        <v>2</v>
      </c>
      <c r="N78" s="4001">
        <f t="shared" si="25"/>
        <v>2</v>
      </c>
      <c r="O78" s="4001">
        <f t="shared" si="25"/>
        <v>2</v>
      </c>
      <c r="P78" s="4001">
        <f t="shared" si="25"/>
        <v>2</v>
      </c>
      <c r="Q78" s="4001">
        <f t="shared" si="25"/>
        <v>2</v>
      </c>
      <c r="R78" s="4001">
        <f t="shared" si="25"/>
        <v>2</v>
      </c>
      <c r="S78" s="4001">
        <f t="shared" si="25"/>
        <v>3</v>
      </c>
      <c r="T78" s="6788">
        <f t="shared" si="25"/>
        <v>3</v>
      </c>
      <c r="U78" s="6796">
        <f t="shared" si="25"/>
        <v>2</v>
      </c>
    </row>
    <row r="79" spans="1:26" ht="24" customHeight="1">
      <c r="A79" s="4027" t="s">
        <v>1622</v>
      </c>
      <c r="B79" s="3980"/>
      <c r="C79" s="3975"/>
      <c r="D79" s="3980"/>
      <c r="E79" s="3980"/>
      <c r="F79" s="3980"/>
      <c r="G79" s="3974">
        <v>355898.17418181821</v>
      </c>
      <c r="H79" s="4022">
        <v>360000</v>
      </c>
      <c r="I79" s="4741">
        <f t="shared" ref="I79:N79" si="26">K99</f>
        <v>347440.63200000004</v>
      </c>
      <c r="J79" s="3963">
        <f t="shared" si="26"/>
        <v>345244.908</v>
      </c>
      <c r="K79" s="5005">
        <f t="shared" si="26"/>
        <v>346861.152</v>
      </c>
      <c r="L79" s="5005">
        <f t="shared" si="26"/>
        <v>342782.03700000001</v>
      </c>
      <c r="M79" s="5005">
        <f t="shared" si="26"/>
        <v>344127.88080000004</v>
      </c>
      <c r="N79" s="5005">
        <f t="shared" si="26"/>
        <v>349306.25199999998</v>
      </c>
      <c r="O79" s="5005">
        <f t="shared" ref="O79:T79" si="27">Q99</f>
        <v>358549.47085714282</v>
      </c>
      <c r="P79" s="5005">
        <f t="shared" si="27"/>
        <v>363015.22950000002</v>
      </c>
      <c r="Q79" s="5005">
        <f t="shared" si="27"/>
        <v>367896.19866666663</v>
      </c>
      <c r="R79" s="5005">
        <f t="shared" si="27"/>
        <v>369817.97640000004</v>
      </c>
      <c r="S79" s="5005">
        <f t="shared" si="27"/>
        <v>346861.152</v>
      </c>
      <c r="T79" s="5005">
        <f t="shared" si="27"/>
        <v>363872.36799999996</v>
      </c>
      <c r="U79" s="6084">
        <f>SUM(I79:T79)</f>
        <v>4245775.2572238091</v>
      </c>
    </row>
    <row r="80" spans="1:26" ht="24" customHeight="1">
      <c r="A80" s="4027" t="s">
        <v>1623</v>
      </c>
      <c r="B80" s="3980"/>
      <c r="C80" s="3976" t="s">
        <v>1625</v>
      </c>
      <c r="D80" s="3980"/>
      <c r="E80" s="3980"/>
      <c r="F80" s="3980"/>
      <c r="G80" s="4018">
        <v>22864.274818181821</v>
      </c>
      <c r="H80" s="4022">
        <v>33968.5</v>
      </c>
      <c r="I80" s="4741">
        <f t="shared" ref="I80:T80" si="28">K104</f>
        <v>23604.624</v>
      </c>
      <c r="J80" s="4744">
        <f t="shared" si="28"/>
        <v>23459.143</v>
      </c>
      <c r="K80" s="4744">
        <f t="shared" si="28"/>
        <v>23689.471000000001</v>
      </c>
      <c r="L80" s="4744">
        <f t="shared" si="28"/>
        <v>28921.370999999999</v>
      </c>
      <c r="M80" s="4744">
        <f t="shared" si="28"/>
        <v>25882.482</v>
      </c>
      <c r="N80" s="4744">
        <f t="shared" si="28"/>
        <v>26677.054</v>
      </c>
      <c r="O80" s="4744">
        <f t="shared" si="28"/>
        <v>29491.68</v>
      </c>
      <c r="P80" s="4744">
        <f t="shared" si="28"/>
        <v>31913.47</v>
      </c>
      <c r="Q80" s="4744">
        <f t="shared" si="28"/>
        <v>34453.714</v>
      </c>
      <c r="R80" s="4744">
        <f t="shared" si="28"/>
        <v>36131.307999999997</v>
      </c>
      <c r="S80" s="4744">
        <f t="shared" si="28"/>
        <v>27255.207999999999</v>
      </c>
      <c r="T80" s="4744">
        <f t="shared" si="28"/>
        <v>18401.217000000001</v>
      </c>
      <c r="U80" s="6084">
        <f>SUM(I80:T80)</f>
        <v>329880.74199999997</v>
      </c>
    </row>
    <row r="81" spans="1:24" s="299" customFormat="1" ht="24" customHeight="1" thickBot="1">
      <c r="A81" s="4214" t="s">
        <v>824</v>
      </c>
      <c r="B81" s="3981"/>
      <c r="C81" s="4215"/>
      <c r="D81" s="3981"/>
      <c r="E81" s="3981"/>
      <c r="F81" s="3981"/>
      <c r="G81" s="4216"/>
      <c r="H81" s="4217"/>
      <c r="I81" s="4218">
        <f>I91</f>
        <v>5.7430231940534657</v>
      </c>
      <c r="J81" s="4219">
        <f t="shared" ref="J81:T81" si="29">J91</f>
        <v>5.5510505949629554</v>
      </c>
      <c r="K81" s="4219">
        <f t="shared" si="29"/>
        <v>6.4082898728568018</v>
      </c>
      <c r="L81" s="4219">
        <f t="shared" si="29"/>
        <v>6.6083061889250816</v>
      </c>
      <c r="M81" s="4219">
        <f t="shared" si="29"/>
        <v>6.5394658009502447</v>
      </c>
      <c r="N81" s="4219">
        <f t="shared" si="29"/>
        <v>6.7203538447566054</v>
      </c>
      <c r="O81" s="4219">
        <f t="shared" si="29"/>
        <v>6.4038714866330952</v>
      </c>
      <c r="P81" s="4219">
        <f t="shared" si="29"/>
        <v>6.0532007950293121</v>
      </c>
      <c r="Q81" s="4219">
        <f t="shared" si="29"/>
        <v>6.4450794712119723</v>
      </c>
      <c r="R81" s="4219">
        <f t="shared" si="29"/>
        <v>8.4343577838605732</v>
      </c>
      <c r="S81" s="4219">
        <f t="shared" si="29"/>
        <v>10.056733532979187</v>
      </c>
      <c r="T81" s="6789">
        <f t="shared" si="29"/>
        <v>11.950405815864164</v>
      </c>
      <c r="U81" s="6797">
        <v>7.5215722871847728</v>
      </c>
      <c r="X81" s="299" t="s">
        <v>1780</v>
      </c>
    </row>
    <row r="82" spans="1:24" ht="24" customHeight="1">
      <c r="A82" s="4221" t="s">
        <v>1624</v>
      </c>
      <c r="B82" s="4021"/>
      <c r="C82" s="4207">
        <v>3</v>
      </c>
      <c r="D82" s="4021"/>
      <c r="E82" s="4021"/>
      <c r="F82" s="4021"/>
      <c r="G82" s="4208">
        <f>G79/G80</f>
        <v>15.565688263106672</v>
      </c>
      <c r="H82" s="4209">
        <f>H79/H80</f>
        <v>10.598054079514844</v>
      </c>
      <c r="I82" s="6074">
        <f>I79/I80</f>
        <v>14.71917671723981</v>
      </c>
      <c r="J82" s="6075">
        <f t="shared" ref="J82:U82" si="30">J79/J80</f>
        <v>14.716859349891852</v>
      </c>
      <c r="K82" s="6075">
        <f t="shared" si="30"/>
        <v>14.641996522421289</v>
      </c>
      <c r="L82" s="6075">
        <f t="shared" si="30"/>
        <v>11.852205657885307</v>
      </c>
      <c r="M82" s="6075">
        <f t="shared" si="30"/>
        <v>13.29578364238793</v>
      </c>
      <c r="N82" s="6075">
        <f t="shared" si="30"/>
        <v>13.093884054813548</v>
      </c>
      <c r="O82" s="6075">
        <f t="shared" si="30"/>
        <v>12.157648220011298</v>
      </c>
      <c r="P82" s="6075">
        <f t="shared" si="30"/>
        <v>11.374984591145996</v>
      </c>
      <c r="Q82" s="4991">
        <f t="shared" si="30"/>
        <v>10.677983762988996</v>
      </c>
      <c r="R82" s="4991">
        <f t="shared" si="30"/>
        <v>10.235388555543024</v>
      </c>
      <c r="S82" s="4991">
        <f t="shared" si="30"/>
        <v>12.726417351135241</v>
      </c>
      <c r="T82" s="6787">
        <f t="shared" si="30"/>
        <v>19.774364271667462</v>
      </c>
      <c r="U82" s="6795">
        <f t="shared" si="30"/>
        <v>12.870636920126151</v>
      </c>
    </row>
    <row r="83" spans="1:24" ht="24" customHeight="1">
      <c r="A83" s="4222" t="s">
        <v>1582</v>
      </c>
      <c r="B83" s="4202"/>
      <c r="C83" s="4202"/>
      <c r="D83" s="4202"/>
      <c r="E83" s="4202"/>
      <c r="F83" s="4202"/>
      <c r="G83" s="4023">
        <f>IF(G82="측정불가","측정불가",IF(G82&lt;4,1,IF(G82&lt;10,2,IF(G82&lt;20,3,IF(G82&lt;=30,4,IF(G82&gt;30,5,))))))</f>
        <v>3</v>
      </c>
      <c r="H83" s="4203">
        <f>IF(H82="측정불가","측정불가",IF(H82&lt;4,1,IF(H82&lt;10,2,IF(H82&lt;20,3,IF(H82&lt;=30,4,IF(H82&gt;30,5,))))))</f>
        <v>3</v>
      </c>
      <c r="I83" s="5006">
        <f t="shared" ref="I83:U83" si="31">IF(I82="측정불가","측정불가",IF(I82&lt;4,1,IF(I82&lt;10,2,IF(I82&lt;20,3,IF(I82&lt;=30,4,IF(I82&gt;30,5,))))))</f>
        <v>3</v>
      </c>
      <c r="J83" s="4207">
        <f t="shared" si="31"/>
        <v>3</v>
      </c>
      <c r="K83" s="4207">
        <f t="shared" si="31"/>
        <v>3</v>
      </c>
      <c r="L83" s="4207">
        <f t="shared" si="31"/>
        <v>3</v>
      </c>
      <c r="M83" s="4207">
        <f t="shared" si="31"/>
        <v>3</v>
      </c>
      <c r="N83" s="4207">
        <f t="shared" si="31"/>
        <v>3</v>
      </c>
      <c r="O83" s="4207">
        <f t="shared" si="31"/>
        <v>3</v>
      </c>
      <c r="P83" s="4207">
        <f t="shared" si="31"/>
        <v>3</v>
      </c>
      <c r="Q83" s="4207">
        <f t="shared" si="31"/>
        <v>3</v>
      </c>
      <c r="R83" s="4207">
        <f t="shared" si="31"/>
        <v>3</v>
      </c>
      <c r="S83" s="4207">
        <f t="shared" si="31"/>
        <v>3</v>
      </c>
      <c r="T83" s="6790">
        <f t="shared" si="31"/>
        <v>3</v>
      </c>
      <c r="U83" s="6798">
        <f t="shared" si="31"/>
        <v>3</v>
      </c>
    </row>
    <row r="84" spans="1:24" s="299" customFormat="1" ht="24" customHeight="1" thickBot="1">
      <c r="A84" s="4205" t="s">
        <v>824</v>
      </c>
      <c r="B84" s="4223"/>
      <c r="C84" s="4223"/>
      <c r="D84" s="4223"/>
      <c r="E84" s="4223"/>
      <c r="F84" s="4223"/>
      <c r="G84" s="4224"/>
      <c r="H84" s="4224"/>
      <c r="I84" s="4225">
        <f>I95</f>
        <v>12.521230344155052</v>
      </c>
      <c r="J84" s="4225">
        <f t="shared" ref="J84:U84" si="32">J95</f>
        <v>12.504065685613423</v>
      </c>
      <c r="K84" s="4225">
        <f t="shared" si="32"/>
        <v>12.936966694192128</v>
      </c>
      <c r="L84" s="4225">
        <f t="shared" si="32"/>
        <v>13.058120378529559</v>
      </c>
      <c r="M84" s="4225">
        <f t="shared" si="32"/>
        <v>13.995785455846686</v>
      </c>
      <c r="N84" s="4225">
        <f t="shared" si="32"/>
        <v>12.680823999151974</v>
      </c>
      <c r="O84" s="4225">
        <f t="shared" si="32"/>
        <v>11.017085716027822</v>
      </c>
      <c r="P84" s="4225">
        <f t="shared" si="32"/>
        <v>9.6395785104174987</v>
      </c>
      <c r="Q84" s="4225">
        <f t="shared" si="32"/>
        <v>8.0931121032407098</v>
      </c>
      <c r="R84" s="4225">
        <f t="shared" si="32"/>
        <v>6.6629441068593636</v>
      </c>
      <c r="S84" s="4225">
        <f t="shared" si="32"/>
        <v>8.1200321587036068</v>
      </c>
      <c r="T84" s="6791">
        <f t="shared" si="32"/>
        <v>9.5437554677765704</v>
      </c>
      <c r="U84" s="6799">
        <f t="shared" si="32"/>
        <v>10.258933011976273</v>
      </c>
    </row>
    <row r="86" spans="1:24" s="299" customFormat="1" ht="19.8" customHeight="1" thickBot="1">
      <c r="A86" s="3926" t="s">
        <v>1632</v>
      </c>
    </row>
    <row r="87" spans="1:24" s="299" customFormat="1" ht="19.8" customHeight="1" thickBot="1">
      <c r="A87" s="7693" t="s">
        <v>1626</v>
      </c>
      <c r="B87" s="4019"/>
      <c r="C87" s="4019"/>
      <c r="D87" s="4019"/>
      <c r="E87" s="4019"/>
      <c r="F87" s="4019"/>
      <c r="G87" s="7708" t="s">
        <v>1181</v>
      </c>
      <c r="H87" s="7710" t="s">
        <v>1616</v>
      </c>
      <c r="I87" s="7697" t="s">
        <v>1633</v>
      </c>
      <c r="J87" s="7698"/>
      <c r="K87" s="7698"/>
      <c r="L87" s="7698"/>
      <c r="M87" s="7698"/>
      <c r="N87" s="7698"/>
      <c r="O87" s="7698"/>
      <c r="P87" s="7698"/>
      <c r="Q87" s="7698"/>
      <c r="R87" s="7698"/>
      <c r="S87" s="7698"/>
      <c r="T87" s="7698"/>
      <c r="U87" s="7699"/>
    </row>
    <row r="88" spans="1:24" s="299" customFormat="1" ht="19.8" customHeight="1" thickBot="1">
      <c r="A88" s="7707"/>
      <c r="B88" s="4140"/>
      <c r="C88" s="4141"/>
      <c r="D88" s="4140"/>
      <c r="E88" s="4140"/>
      <c r="F88" s="4140"/>
      <c r="G88" s="7709"/>
      <c r="H88" s="7711"/>
      <c r="I88" s="4142" t="s">
        <v>18</v>
      </c>
      <c r="J88" s="4143" t="s">
        <v>5</v>
      </c>
      <c r="K88" s="4143" t="s">
        <v>6</v>
      </c>
      <c r="L88" s="4143" t="s">
        <v>7</v>
      </c>
      <c r="M88" s="4143" t="s">
        <v>8</v>
      </c>
      <c r="N88" s="4143" t="s">
        <v>9</v>
      </c>
      <c r="O88" s="4143" t="s">
        <v>10</v>
      </c>
      <c r="P88" s="4143" t="s">
        <v>11</v>
      </c>
      <c r="Q88" s="4143" t="s">
        <v>12</v>
      </c>
      <c r="R88" s="4143" t="s">
        <v>13</v>
      </c>
      <c r="S88" s="4143" t="s">
        <v>14</v>
      </c>
      <c r="T88" s="6785" t="s">
        <v>15</v>
      </c>
      <c r="U88" s="6792" t="s">
        <v>197</v>
      </c>
    </row>
    <row r="89" spans="1:24" s="299" customFormat="1" ht="19.8" customHeight="1">
      <c r="A89" s="4136" t="s">
        <v>1619</v>
      </c>
      <c r="B89" s="3980"/>
      <c r="C89" s="4137"/>
      <c r="D89" s="3980"/>
      <c r="E89" s="3980"/>
      <c r="F89" s="3980"/>
      <c r="G89" s="4138">
        <v>355898.17418181821</v>
      </c>
      <c r="H89" s="4139">
        <v>360000</v>
      </c>
      <c r="I89" s="4158">
        <v>308160</v>
      </c>
      <c r="J89" s="4159">
        <v>315240</v>
      </c>
      <c r="K89" s="4159">
        <v>329000</v>
      </c>
      <c r="L89" s="4159">
        <v>340830</v>
      </c>
      <c r="M89" s="4159">
        <v>352008</v>
      </c>
      <c r="N89" s="4159">
        <v>358880</v>
      </c>
      <c r="O89" s="4159">
        <v>361371.42857142858</v>
      </c>
      <c r="P89" s="4159">
        <v>362265</v>
      </c>
      <c r="Q89" s="4159">
        <v>364360</v>
      </c>
      <c r="R89" s="4159">
        <v>365136</v>
      </c>
      <c r="S89" s="4159">
        <v>364516.36363636365</v>
      </c>
      <c r="T89" s="6786">
        <v>360000</v>
      </c>
      <c r="U89" s="6793">
        <f>SUM(I89:T89)</f>
        <v>4181766.7922077924</v>
      </c>
    </row>
    <row r="90" spans="1:24" s="299" customFormat="1" ht="19.8" customHeight="1">
      <c r="A90" s="4027" t="s">
        <v>1620</v>
      </c>
      <c r="B90" s="3980"/>
      <c r="C90" s="3977"/>
      <c r="D90" s="3980"/>
      <c r="E90" s="3980"/>
      <c r="F90" s="3980"/>
      <c r="G90" s="4018">
        <v>48880.698636363639</v>
      </c>
      <c r="H90" s="4020">
        <v>50255.45</v>
      </c>
      <c r="I90" s="3964">
        <v>53658.15</v>
      </c>
      <c r="J90" s="3963">
        <v>56789.25</v>
      </c>
      <c r="K90" s="3963">
        <v>51339.75</v>
      </c>
      <c r="L90" s="3963">
        <v>51576</v>
      </c>
      <c r="M90" s="3963">
        <v>53828.25</v>
      </c>
      <c r="N90" s="3963">
        <v>53401.95</v>
      </c>
      <c r="O90" s="3963">
        <v>56430.15</v>
      </c>
      <c r="P90" s="3963">
        <v>59846.85</v>
      </c>
      <c r="Q90" s="3963">
        <v>56533.05</v>
      </c>
      <c r="R90" s="3963">
        <v>43291.5</v>
      </c>
      <c r="S90" s="3963">
        <v>36246</v>
      </c>
      <c r="T90" s="4744">
        <v>30124.5</v>
      </c>
      <c r="U90" s="6084">
        <f>SUM(I90:T90)</f>
        <v>603065.4</v>
      </c>
    </row>
    <row r="91" spans="1:24" s="299" customFormat="1" ht="19.8" customHeight="1">
      <c r="A91" s="4028" t="s">
        <v>1621</v>
      </c>
      <c r="B91" s="4021"/>
      <c r="C91" s="4001"/>
      <c r="D91" s="4021"/>
      <c r="E91" s="4021"/>
      <c r="F91" s="4021"/>
      <c r="G91" s="4005">
        <f>G89/G90</f>
        <v>7.280955144062859</v>
      </c>
      <c r="H91" s="4013">
        <f>H89/H90</f>
        <v>7.1634021782712125</v>
      </c>
      <c r="I91" s="4004">
        <f t="shared" ref="I91:U91" si="33">I89/I90</f>
        <v>5.7430231940534657</v>
      </c>
      <c r="J91" s="4005">
        <f t="shared" si="33"/>
        <v>5.5510505949629554</v>
      </c>
      <c r="K91" s="4005">
        <f t="shared" si="33"/>
        <v>6.4082898728568018</v>
      </c>
      <c r="L91" s="4005">
        <f t="shared" si="33"/>
        <v>6.6083061889250816</v>
      </c>
      <c r="M91" s="4005">
        <f t="shared" si="33"/>
        <v>6.5394658009502447</v>
      </c>
      <c r="N91" s="4005">
        <f t="shared" si="33"/>
        <v>6.7203538447566054</v>
      </c>
      <c r="O91" s="4005">
        <f t="shared" si="33"/>
        <v>6.4038714866330952</v>
      </c>
      <c r="P91" s="4005">
        <f t="shared" si="33"/>
        <v>6.0532007950293121</v>
      </c>
      <c r="Q91" s="4005">
        <f t="shared" si="33"/>
        <v>6.4450794712119723</v>
      </c>
      <c r="R91" s="4005">
        <f t="shared" si="33"/>
        <v>8.4343577838605732</v>
      </c>
      <c r="S91" s="4005">
        <f t="shared" si="33"/>
        <v>10.056733532979187</v>
      </c>
      <c r="T91" s="6800">
        <f t="shared" si="33"/>
        <v>11.950405815864164</v>
      </c>
      <c r="U91" s="6803">
        <f t="shared" si="33"/>
        <v>6.9341845713711852</v>
      </c>
    </row>
    <row r="92" spans="1:24" s="299" customFormat="1" ht="19.8" customHeight="1">
      <c r="A92" s="4027" t="s">
        <v>1582</v>
      </c>
      <c r="B92" s="3980"/>
      <c r="C92" s="3973"/>
      <c r="D92" s="3980"/>
      <c r="E92" s="3980"/>
      <c r="F92" s="3980"/>
      <c r="G92" s="4001">
        <f>IF(G91="측정불가","측정불가",IF(G91&lt;4,1,IF(G91&lt;10,2,IF(G91&lt;20,3,IF(G91&lt;=30,4,IF(G91&gt;30,5,))))))</f>
        <v>2</v>
      </c>
      <c r="H92" s="4014">
        <f>IF(H91="측정불가","측정불가",IF(H91&lt;4,1,IF(H91&lt;10,2,IF(H91&lt;20,3,IF(H91&lt;=30,4,IF(H91&gt;30,5,))))))</f>
        <v>2</v>
      </c>
      <c r="I92" s="4006">
        <f t="shared" ref="I92:U92" si="34">IF(I91="측정불가","측정불가",IF(I91&lt;4,1,IF(I91&lt;10,2,IF(I91&lt;20,3,IF(I91&lt;=30,4,IF(I91&gt;30,5,))))))</f>
        <v>2</v>
      </c>
      <c r="J92" s="4001">
        <f t="shared" si="34"/>
        <v>2</v>
      </c>
      <c r="K92" s="4001">
        <f t="shared" si="34"/>
        <v>2</v>
      </c>
      <c r="L92" s="4001">
        <f t="shared" si="34"/>
        <v>2</v>
      </c>
      <c r="M92" s="4001">
        <f t="shared" si="34"/>
        <v>2</v>
      </c>
      <c r="N92" s="4001">
        <f t="shared" si="34"/>
        <v>2</v>
      </c>
      <c r="O92" s="4001">
        <f t="shared" si="34"/>
        <v>2</v>
      </c>
      <c r="P92" s="4001">
        <f t="shared" si="34"/>
        <v>2</v>
      </c>
      <c r="Q92" s="4001">
        <f t="shared" si="34"/>
        <v>2</v>
      </c>
      <c r="R92" s="4001">
        <f t="shared" si="34"/>
        <v>2</v>
      </c>
      <c r="S92" s="4001">
        <f t="shared" si="34"/>
        <v>3</v>
      </c>
      <c r="T92" s="6788">
        <f t="shared" si="34"/>
        <v>3</v>
      </c>
      <c r="U92" s="6796">
        <f t="shared" si="34"/>
        <v>2</v>
      </c>
    </row>
    <row r="93" spans="1:24" s="299" customFormat="1" ht="19.8" customHeight="1">
      <c r="A93" s="4027" t="s">
        <v>1622</v>
      </c>
      <c r="B93" s="3980"/>
      <c r="C93" s="3975"/>
      <c r="D93" s="3980"/>
      <c r="E93" s="3980"/>
      <c r="F93" s="3980"/>
      <c r="G93" s="3974">
        <v>355898.17418181821</v>
      </c>
      <c r="H93" s="4022">
        <v>360000</v>
      </c>
      <c r="I93" s="3964">
        <v>308160</v>
      </c>
      <c r="J93" s="3963">
        <v>315240</v>
      </c>
      <c r="K93" s="3963">
        <v>329000</v>
      </c>
      <c r="L93" s="3963">
        <v>340830</v>
      </c>
      <c r="M93" s="3963">
        <v>352008</v>
      </c>
      <c r="N93" s="3963">
        <v>358880</v>
      </c>
      <c r="O93" s="3963">
        <v>361371.42857142858</v>
      </c>
      <c r="P93" s="3963">
        <v>362265</v>
      </c>
      <c r="Q93" s="3963">
        <v>364360</v>
      </c>
      <c r="R93" s="3963">
        <v>365136</v>
      </c>
      <c r="S93" s="3963">
        <v>364516.36363636365</v>
      </c>
      <c r="T93" s="4744">
        <v>360000</v>
      </c>
      <c r="U93" s="6084">
        <f>SUM(I93:T93)</f>
        <v>4181766.7922077924</v>
      </c>
    </row>
    <row r="94" spans="1:24" s="299" customFormat="1" ht="19.8" customHeight="1">
      <c r="A94" s="4027" t="s">
        <v>1623</v>
      </c>
      <c r="B94" s="3980"/>
      <c r="C94" s="3976" t="s">
        <v>1625</v>
      </c>
      <c r="D94" s="3980"/>
      <c r="E94" s="3980"/>
      <c r="F94" s="3980"/>
      <c r="G94" s="4018">
        <v>22864.274818181821</v>
      </c>
      <c r="H94" s="4022">
        <v>33968.5</v>
      </c>
      <c r="I94" s="3964">
        <v>24611</v>
      </c>
      <c r="J94" s="3963">
        <v>25211</v>
      </c>
      <c r="K94" s="3963">
        <v>25431</v>
      </c>
      <c r="L94" s="3963">
        <v>26101</v>
      </c>
      <c r="M94" s="3963">
        <v>25151</v>
      </c>
      <c r="N94" s="3963">
        <v>28301</v>
      </c>
      <c r="O94" s="3963">
        <v>32801</v>
      </c>
      <c r="P94" s="3963">
        <v>37581</v>
      </c>
      <c r="Q94" s="3963">
        <v>45021</v>
      </c>
      <c r="R94" s="3963">
        <v>54801</v>
      </c>
      <c r="S94" s="3963">
        <v>44891</v>
      </c>
      <c r="T94" s="4744">
        <v>37721</v>
      </c>
      <c r="U94" s="6084">
        <f>SUM(I94:T94)</f>
        <v>407622</v>
      </c>
    </row>
    <row r="95" spans="1:24" s="299" customFormat="1" ht="19.8" customHeight="1" thickBot="1">
      <c r="A95" s="4029" t="s">
        <v>1621</v>
      </c>
      <c r="B95" s="4021"/>
      <c r="C95" s="4023">
        <v>3</v>
      </c>
      <c r="D95" s="4021"/>
      <c r="E95" s="4021"/>
      <c r="F95" s="4021"/>
      <c r="G95" s="4024">
        <f>G93/G94</f>
        <v>15.565688263106672</v>
      </c>
      <c r="H95" s="4025">
        <f>H93/H94</f>
        <v>10.598054079514844</v>
      </c>
      <c r="I95" s="4002">
        <f t="shared" ref="I95:U95" si="35">I93/I94</f>
        <v>12.521230344155052</v>
      </c>
      <c r="J95" s="4003">
        <f t="shared" si="35"/>
        <v>12.504065685613423</v>
      </c>
      <c r="K95" s="4003">
        <f t="shared" si="35"/>
        <v>12.936966694192128</v>
      </c>
      <c r="L95" s="4003">
        <f t="shared" si="35"/>
        <v>13.058120378529559</v>
      </c>
      <c r="M95" s="4003">
        <f t="shared" si="35"/>
        <v>13.995785455846686</v>
      </c>
      <c r="N95" s="4003">
        <f t="shared" si="35"/>
        <v>12.680823999151974</v>
      </c>
      <c r="O95" s="4003">
        <f t="shared" si="35"/>
        <v>11.017085716027822</v>
      </c>
      <c r="P95" s="4003">
        <f t="shared" si="35"/>
        <v>9.6395785104174987</v>
      </c>
      <c r="Q95" s="4003">
        <f t="shared" si="35"/>
        <v>8.0931121032407098</v>
      </c>
      <c r="R95" s="4003">
        <f t="shared" si="35"/>
        <v>6.6629441068593636</v>
      </c>
      <c r="S95" s="4003">
        <f t="shared" si="35"/>
        <v>8.1200321587036068</v>
      </c>
      <c r="T95" s="6801">
        <f t="shared" si="35"/>
        <v>9.5437554677765704</v>
      </c>
      <c r="U95" s="6804">
        <f t="shared" si="35"/>
        <v>10.258933011976273</v>
      </c>
    </row>
    <row r="96" spans="1:24" s="299" customFormat="1" ht="19.8" customHeight="1" thickBot="1">
      <c r="A96" s="4030" t="s">
        <v>1582</v>
      </c>
      <c r="B96" s="4026"/>
      <c r="C96" s="4026"/>
      <c r="D96" s="4026"/>
      <c r="E96" s="4026"/>
      <c r="F96" s="4026"/>
      <c r="G96" s="4016">
        <f>IF(G95="측정불가","측정불가",IF(G95&lt;4,1,IF(G95&lt;10,2,IF(G95&lt;20,3,IF(G95&lt;=30,4,IF(G95&gt;30,5,))))))</f>
        <v>3</v>
      </c>
      <c r="H96" s="4017">
        <f>IF(H95="측정불가","측정불가",IF(H95&lt;4,1,IF(H95&lt;10,2,IF(H95&lt;20,3,IF(H95&lt;=30,4,IF(H95&gt;30,5,))))))</f>
        <v>3</v>
      </c>
      <c r="I96" s="4015">
        <f t="shared" ref="I96:U96" si="36">IF(I95="측정불가","측정불가",IF(I95&lt;4,1,IF(I95&lt;10,2,IF(I95&lt;20,3,IF(I95&lt;=30,4,IF(I95&gt;30,5,))))))</f>
        <v>3</v>
      </c>
      <c r="J96" s="4016">
        <f t="shared" si="36"/>
        <v>3</v>
      </c>
      <c r="K96" s="4016">
        <f t="shared" si="36"/>
        <v>3</v>
      </c>
      <c r="L96" s="4016">
        <f t="shared" si="36"/>
        <v>3</v>
      </c>
      <c r="M96" s="4016">
        <f t="shared" si="36"/>
        <v>3</v>
      </c>
      <c r="N96" s="4016">
        <f t="shared" si="36"/>
        <v>3</v>
      </c>
      <c r="O96" s="4016">
        <f t="shared" si="36"/>
        <v>3</v>
      </c>
      <c r="P96" s="4016">
        <f t="shared" si="36"/>
        <v>2</v>
      </c>
      <c r="Q96" s="4016">
        <f t="shared" si="36"/>
        <v>2</v>
      </c>
      <c r="R96" s="4016">
        <f t="shared" si="36"/>
        <v>2</v>
      </c>
      <c r="S96" s="4016">
        <f t="shared" si="36"/>
        <v>2</v>
      </c>
      <c r="T96" s="6802">
        <f t="shared" si="36"/>
        <v>2</v>
      </c>
      <c r="U96" s="6805">
        <f t="shared" si="36"/>
        <v>3</v>
      </c>
    </row>
    <row r="97" spans="1:27">
      <c r="Y97" t="s">
        <v>1989</v>
      </c>
    </row>
    <row r="98" spans="1:27" ht="15" thickBot="1">
      <c r="G98" s="4959"/>
      <c r="H98" s="4959"/>
      <c r="I98" s="4959"/>
      <c r="J98" s="4959"/>
      <c r="K98" s="4960" t="s">
        <v>1725</v>
      </c>
      <c r="L98" s="4960" t="s">
        <v>1726</v>
      </c>
      <c r="M98" s="4960" t="s">
        <v>1729</v>
      </c>
      <c r="N98" s="4960" t="s">
        <v>7</v>
      </c>
      <c r="O98" s="4960" t="s">
        <v>8</v>
      </c>
      <c r="P98" s="4960" t="s">
        <v>9</v>
      </c>
      <c r="Q98" s="4960" t="s">
        <v>10</v>
      </c>
      <c r="R98" s="4960" t="s">
        <v>11</v>
      </c>
      <c r="S98" s="4960" t="s">
        <v>12</v>
      </c>
      <c r="T98" s="4960" t="s">
        <v>13</v>
      </c>
      <c r="U98" s="4960" t="s">
        <v>14</v>
      </c>
      <c r="V98" s="4960" t="s">
        <v>15</v>
      </c>
      <c r="W98" s="4961" t="s">
        <v>1710</v>
      </c>
      <c r="X98" s="4958" t="s">
        <v>1711</v>
      </c>
      <c r="Y98" s="4960" t="s">
        <v>1782</v>
      </c>
    </row>
    <row r="99" spans="1:27">
      <c r="A99" s="4962" t="s">
        <v>1712</v>
      </c>
      <c r="G99" s="4963" t="s">
        <v>1713</v>
      </c>
      <c r="H99" s="4964"/>
      <c r="I99" s="4964"/>
      <c r="J99" s="4965">
        <f>X87</f>
        <v>0</v>
      </c>
      <c r="K99" s="4965">
        <f>K108*12</f>
        <v>347440.63200000004</v>
      </c>
      <c r="L99" s="4965">
        <f>(K108+L108)/2*12</f>
        <v>345244.908</v>
      </c>
      <c r="M99" s="4965">
        <f>(K108+L108+M108)/3*12</f>
        <v>346861.152</v>
      </c>
      <c r="N99" s="4965">
        <f>(K108+L108+M108+N108)/4*12</f>
        <v>342782.03700000001</v>
      </c>
      <c r="O99" s="4965">
        <f>(K108+L108+M108+N108+O108)/5*12</f>
        <v>344127.88080000004</v>
      </c>
      <c r="P99" s="4965">
        <f>(K108+L108+M108+N108+O108+P108)/6*12</f>
        <v>349306.25199999998</v>
      </c>
      <c r="Q99" s="4965">
        <f>(K108+L108+M108+N108+O108+P108+Q108)/7*12</f>
        <v>358549.47085714282</v>
      </c>
      <c r="R99" s="4965">
        <f>(K108+L108+M108+N108+O108+P108+Q108+R108)/8*12</f>
        <v>363015.22950000002</v>
      </c>
      <c r="S99" s="4965">
        <f>(K108+L108+M108+N108+O108+P108+Q108+R108+S108)/9*12</f>
        <v>367896.19866666663</v>
      </c>
      <c r="T99" s="4965">
        <f>(K108+L108+M108+N108+O108+P108+Q108+R108+S108+T108)/10*12</f>
        <v>369817.97640000004</v>
      </c>
      <c r="U99" s="4965">
        <f>(K108+L108+M108)/3*12</f>
        <v>346861.152</v>
      </c>
      <c r="V99" s="4963">
        <f>(K108+L108+M108+N108+O108+P108+Q108+R108+S108+T108+U108+V108)/12*12</f>
        <v>363872.36799999996</v>
      </c>
      <c r="W99" s="4966">
        <f>U99</f>
        <v>346861.152</v>
      </c>
      <c r="X99" s="4967">
        <f>U99</f>
        <v>346861.152</v>
      </c>
      <c r="Y99" s="4956" t="s">
        <v>1708</v>
      </c>
      <c r="Z99" s="4957" t="s">
        <v>1727</v>
      </c>
      <c r="AA99" s="4957"/>
    </row>
    <row r="100" spans="1:27">
      <c r="A100" s="4968" t="s">
        <v>495</v>
      </c>
      <c r="G100" s="4969" t="s">
        <v>1714</v>
      </c>
      <c r="H100" s="4969" t="s">
        <v>1715</v>
      </c>
      <c r="I100" s="4969" t="s">
        <v>1716</v>
      </c>
      <c r="J100" s="4969"/>
      <c r="K100" s="4969">
        <v>20478.670999999998</v>
      </c>
      <c r="L100" s="4969">
        <v>41063.466999999997</v>
      </c>
      <c r="M100" s="4969">
        <v>32553.690999999999</v>
      </c>
      <c r="N100" s="4969">
        <v>29003.006000000001</v>
      </c>
      <c r="O100" s="4969">
        <v>21848.495999999999</v>
      </c>
      <c r="P100" s="4969">
        <v>23744.895</v>
      </c>
      <c r="Q100" s="4969">
        <v>26273.228999999999</v>
      </c>
      <c r="R100" s="4969">
        <v>23268.464</v>
      </c>
      <c r="S100" s="4969">
        <v>22969.510999999999</v>
      </c>
      <c r="T100" s="4969">
        <v>2089.288</v>
      </c>
      <c r="U100" s="4969">
        <v>1106.066</v>
      </c>
      <c r="V100" s="4970">
        <v>2016.223</v>
      </c>
      <c r="W100" s="4971">
        <f>AVERAGE(K100:V100)</f>
        <v>20534.583916666666</v>
      </c>
      <c r="X100" s="4959"/>
      <c r="Y100" s="4956" t="s">
        <v>1709</v>
      </c>
      <c r="Z100" s="4957" t="s">
        <v>1707</v>
      </c>
      <c r="AA100" s="299"/>
    </row>
    <row r="101" spans="1:27">
      <c r="A101" s="4968"/>
      <c r="G101" s="4972"/>
      <c r="H101" s="4972"/>
      <c r="I101" s="4972" t="s">
        <v>1717</v>
      </c>
      <c r="J101" s="4972"/>
      <c r="K101" s="4972">
        <v>29894.14</v>
      </c>
      <c r="L101" s="4972">
        <v>31282.307000000001</v>
      </c>
      <c r="M101" s="4972">
        <v>28668.036</v>
      </c>
      <c r="N101" s="4972">
        <v>26210.877</v>
      </c>
      <c r="O101" s="4972">
        <v>31758.456999999999</v>
      </c>
      <c r="P101" s="4972">
        <v>34293.438000000002</v>
      </c>
      <c r="Q101" s="4972">
        <v>30879.075000000001</v>
      </c>
      <c r="R101" s="4972">
        <v>30184.782999999999</v>
      </c>
      <c r="S101" s="4972">
        <v>32390.335999999999</v>
      </c>
      <c r="T101" s="4972">
        <v>41612.796999999999</v>
      </c>
      <c r="U101" s="4972">
        <v>29398.866000000002</v>
      </c>
      <c r="V101" s="4973">
        <v>25011.99</v>
      </c>
      <c r="W101" s="4974">
        <f>AVERAGE(K101:V101)</f>
        <v>30965.425166666668</v>
      </c>
      <c r="X101" s="4959"/>
    </row>
    <row r="102" spans="1:27">
      <c r="A102" s="4968"/>
      <c r="G102" s="4972"/>
      <c r="H102" s="4973"/>
      <c r="I102" s="4964" t="s">
        <v>1718</v>
      </c>
      <c r="J102" s="4965">
        <f t="shared" ref="J102:W102" si="37">SUM(J100:J101)</f>
        <v>0</v>
      </c>
      <c r="K102" s="4965">
        <f t="shared" si="37"/>
        <v>50372.811000000002</v>
      </c>
      <c r="L102" s="4965">
        <f t="shared" si="37"/>
        <v>72345.774000000005</v>
      </c>
      <c r="M102" s="4965">
        <f t="shared" si="37"/>
        <v>61221.726999999999</v>
      </c>
      <c r="N102" s="4965">
        <f t="shared" si="37"/>
        <v>55213.883000000002</v>
      </c>
      <c r="O102" s="4965">
        <f t="shared" si="37"/>
        <v>53606.952999999994</v>
      </c>
      <c r="P102" s="4965">
        <f t="shared" si="37"/>
        <v>58038.332999999999</v>
      </c>
      <c r="Q102" s="4965">
        <f t="shared" si="37"/>
        <v>57152.304000000004</v>
      </c>
      <c r="R102" s="4965">
        <f t="shared" si="37"/>
        <v>53453.247000000003</v>
      </c>
      <c r="S102" s="4965">
        <f t="shared" si="37"/>
        <v>55359.846999999994</v>
      </c>
      <c r="T102" s="4965">
        <f t="shared" si="37"/>
        <v>43702.084999999999</v>
      </c>
      <c r="U102" s="4965">
        <f t="shared" si="37"/>
        <v>30504.932000000001</v>
      </c>
      <c r="V102" s="4963">
        <f t="shared" si="37"/>
        <v>27028.213000000003</v>
      </c>
      <c r="W102" s="4975">
        <f t="shared" si="37"/>
        <v>51500.009083333338</v>
      </c>
      <c r="X102" s="4959">
        <f>AVERAGE(S102:U102)</f>
        <v>43188.954666666665</v>
      </c>
    </row>
    <row r="103" spans="1:27">
      <c r="A103" s="4968"/>
      <c r="G103" s="4972"/>
      <c r="H103" s="4976"/>
      <c r="I103" s="4977" t="s">
        <v>1719</v>
      </c>
      <c r="J103" s="4978" t="e">
        <f t="shared" ref="J103:X103" si="38">J99/J102</f>
        <v>#DIV/0!</v>
      </c>
      <c r="K103" s="4978">
        <f t="shared" si="38"/>
        <v>6.897384225787996</v>
      </c>
      <c r="L103" s="4978">
        <f t="shared" si="38"/>
        <v>4.7721503124702211</v>
      </c>
      <c r="M103" s="4978">
        <f t="shared" si="38"/>
        <v>5.665654482435623</v>
      </c>
      <c r="N103" s="4978">
        <f t="shared" si="38"/>
        <v>6.2082581114608439</v>
      </c>
      <c r="O103" s="4978">
        <f t="shared" si="38"/>
        <v>6.4194635498122805</v>
      </c>
      <c r="P103" s="4978">
        <f t="shared" si="38"/>
        <v>6.0185438475636435</v>
      </c>
      <c r="Q103" s="4978">
        <f t="shared" si="38"/>
        <v>6.2735785919871718</v>
      </c>
      <c r="R103" s="4978">
        <f t="shared" si="38"/>
        <v>6.7912661975426865</v>
      </c>
      <c r="S103" s="4978">
        <f t="shared" si="38"/>
        <v>6.645542186319024</v>
      </c>
      <c r="T103" s="4978">
        <f t="shared" si="38"/>
        <v>8.462250174104966</v>
      </c>
      <c r="U103" s="4978">
        <f t="shared" si="38"/>
        <v>11.370658095549926</v>
      </c>
      <c r="V103" s="4979">
        <f t="shared" si="38"/>
        <v>13.4626868598379</v>
      </c>
      <c r="W103" s="4980">
        <f t="shared" si="38"/>
        <v>6.7351668120822286</v>
      </c>
      <c r="X103" s="4981">
        <f t="shared" si="38"/>
        <v>8.0312467545714465</v>
      </c>
    </row>
    <row r="104" spans="1:27">
      <c r="A104" s="4968"/>
      <c r="G104" s="4972"/>
      <c r="H104" s="4972" t="s">
        <v>1720</v>
      </c>
      <c r="I104" s="4965" t="s">
        <v>1721</v>
      </c>
      <c r="J104" s="4976"/>
      <c r="K104" s="4976">
        <v>23604.624</v>
      </c>
      <c r="L104" s="4976">
        <v>23459.143</v>
      </c>
      <c r="M104" s="4976">
        <v>23689.471000000001</v>
      </c>
      <c r="N104" s="4976">
        <v>28921.370999999999</v>
      </c>
      <c r="O104" s="4976">
        <v>25882.482</v>
      </c>
      <c r="P104" s="4976">
        <v>26677.054</v>
      </c>
      <c r="Q104" s="4976">
        <v>29491.68</v>
      </c>
      <c r="R104" s="4976">
        <v>31913.47</v>
      </c>
      <c r="S104" s="4976">
        <v>34453.714</v>
      </c>
      <c r="T104" s="4976">
        <v>36131.307999999997</v>
      </c>
      <c r="U104" s="4976">
        <v>27255.207999999999</v>
      </c>
      <c r="V104" s="4982">
        <v>18401.217000000001</v>
      </c>
      <c r="W104" s="4974">
        <f>AVERAGE(K104:V104)</f>
        <v>27490.06183333333</v>
      </c>
      <c r="X104" s="4959">
        <f>AVERAGE(S104:U104)</f>
        <v>32613.41</v>
      </c>
      <c r="Y104" s="4956" t="s">
        <v>1868</v>
      </c>
      <c r="Z104" s="4956" t="s">
        <v>1869</v>
      </c>
      <c r="AA104" s="4956" t="s">
        <v>1870</v>
      </c>
    </row>
    <row r="105" spans="1:27">
      <c r="A105" s="4968"/>
      <c r="G105" s="4972"/>
      <c r="H105" s="4976"/>
      <c r="I105" s="4977" t="s">
        <v>1719</v>
      </c>
      <c r="J105" s="4978" t="e">
        <f t="shared" ref="J105:X105" si="39">J99/J104</f>
        <v>#DIV/0!</v>
      </c>
      <c r="K105" s="4978">
        <f t="shared" si="39"/>
        <v>14.71917671723981</v>
      </c>
      <c r="L105" s="4978">
        <f t="shared" si="39"/>
        <v>14.716859349891852</v>
      </c>
      <c r="M105" s="4978">
        <f t="shared" si="39"/>
        <v>14.641996522421289</v>
      </c>
      <c r="N105" s="4978">
        <f t="shared" si="39"/>
        <v>11.852205657885307</v>
      </c>
      <c r="O105" s="4978">
        <f t="shared" si="39"/>
        <v>13.29578364238793</v>
      </c>
      <c r="P105" s="4978">
        <f t="shared" si="39"/>
        <v>13.093884054813548</v>
      </c>
      <c r="Q105" s="4978">
        <f t="shared" si="39"/>
        <v>12.157648220011298</v>
      </c>
      <c r="R105" s="4978">
        <f t="shared" si="39"/>
        <v>11.374984591145996</v>
      </c>
      <c r="S105" s="4978">
        <f t="shared" si="39"/>
        <v>10.677983762988996</v>
      </c>
      <c r="T105" s="4978">
        <f t="shared" si="39"/>
        <v>10.235388555543024</v>
      </c>
      <c r="U105" s="4978">
        <f t="shared" si="39"/>
        <v>12.726417351135241</v>
      </c>
      <c r="V105" s="4979">
        <f t="shared" si="39"/>
        <v>19.774364271667462</v>
      </c>
      <c r="W105" s="4980">
        <f t="shared" si="39"/>
        <v>12.617692681193256</v>
      </c>
      <c r="X105" s="4981">
        <f t="shared" si="39"/>
        <v>10.63553771286106</v>
      </c>
    </row>
    <row r="106" spans="1:27">
      <c r="A106" s="4968"/>
      <c r="G106" s="4982"/>
      <c r="H106" s="4964" t="s">
        <v>1718</v>
      </c>
      <c r="I106" s="4964"/>
      <c r="J106" s="4965">
        <f t="shared" ref="J106:W106" si="40">J102+J104</f>
        <v>0</v>
      </c>
      <c r="K106" s="4965">
        <f t="shared" si="40"/>
        <v>73977.434999999998</v>
      </c>
      <c r="L106" s="4965">
        <f t="shared" si="40"/>
        <v>95804.917000000001</v>
      </c>
      <c r="M106" s="4965">
        <f t="shared" si="40"/>
        <v>84911.198000000004</v>
      </c>
      <c r="N106" s="4965">
        <f t="shared" si="40"/>
        <v>84135.254000000001</v>
      </c>
      <c r="O106" s="4965">
        <f t="shared" si="40"/>
        <v>79489.434999999998</v>
      </c>
      <c r="P106" s="4965">
        <f t="shared" si="40"/>
        <v>84715.387000000002</v>
      </c>
      <c r="Q106" s="4965">
        <f t="shared" si="40"/>
        <v>86643.983999999997</v>
      </c>
      <c r="R106" s="4965">
        <f t="shared" si="40"/>
        <v>85366.717000000004</v>
      </c>
      <c r="S106" s="4965">
        <f t="shared" si="40"/>
        <v>89813.560999999987</v>
      </c>
      <c r="T106" s="4965">
        <f t="shared" si="40"/>
        <v>79833.392999999996</v>
      </c>
      <c r="U106" s="4965">
        <f t="shared" si="40"/>
        <v>57760.14</v>
      </c>
      <c r="V106" s="4963">
        <f t="shared" si="40"/>
        <v>45429.430000000008</v>
      </c>
      <c r="W106" s="4975">
        <f t="shared" si="40"/>
        <v>78990.070916666664</v>
      </c>
      <c r="X106" s="4959"/>
    </row>
    <row r="107" spans="1:27">
      <c r="A107" s="4983"/>
      <c r="G107" s="4984" t="s">
        <v>1722</v>
      </c>
      <c r="H107" s="4985"/>
      <c r="I107" s="4985"/>
      <c r="J107" s="4986" t="e">
        <f t="shared" ref="J107:W107" si="41">J99/J106</f>
        <v>#DIV/0!</v>
      </c>
      <c r="K107" s="4986">
        <f t="shared" si="41"/>
        <v>4.6965758139627312</v>
      </c>
      <c r="L107" s="4986">
        <f t="shared" si="41"/>
        <v>3.60362410209071</v>
      </c>
      <c r="M107" s="4986">
        <f t="shared" si="41"/>
        <v>4.0849871415075309</v>
      </c>
      <c r="N107" s="4986">
        <f t="shared" si="41"/>
        <v>4.074178429413192</v>
      </c>
      <c r="O107" s="4986">
        <f t="shared" si="41"/>
        <v>4.3292279131182658</v>
      </c>
      <c r="P107" s="4986">
        <f t="shared" si="41"/>
        <v>4.1232916990628867</v>
      </c>
      <c r="Q107" s="4986">
        <f t="shared" si="41"/>
        <v>4.1381923395528863</v>
      </c>
      <c r="R107" s="4986">
        <f t="shared" si="41"/>
        <v>4.2524211104428442</v>
      </c>
      <c r="S107" s="4986">
        <f t="shared" si="41"/>
        <v>4.0962210446890834</v>
      </c>
      <c r="T107" s="4986">
        <f t="shared" si="41"/>
        <v>4.6323720250747709</v>
      </c>
      <c r="U107" s="4986">
        <f t="shared" si="41"/>
        <v>6.0051992948770554</v>
      </c>
      <c r="V107" s="4987">
        <f t="shared" si="41"/>
        <v>8.0096177301806311</v>
      </c>
      <c r="W107" s="4988">
        <f t="shared" si="41"/>
        <v>4.3911993998072658</v>
      </c>
      <c r="X107" s="4981"/>
    </row>
    <row r="108" spans="1:27" ht="15" thickBot="1">
      <c r="A108" s="4964"/>
      <c r="G108" s="4965" t="s">
        <v>1723</v>
      </c>
      <c r="H108" s="4965"/>
      <c r="I108" s="4965" t="s">
        <v>1724</v>
      </c>
      <c r="J108" s="4965"/>
      <c r="K108" s="4965">
        <f t="shared" ref="K108:V108" si="42">K109-K110</f>
        <v>28953.386000000002</v>
      </c>
      <c r="L108" s="4965">
        <f t="shared" si="42"/>
        <v>28587.432000000001</v>
      </c>
      <c r="M108" s="4965">
        <f t="shared" si="42"/>
        <v>29174.469999999998</v>
      </c>
      <c r="N108" s="4965">
        <f t="shared" si="42"/>
        <v>27545.391000000003</v>
      </c>
      <c r="O108" s="4965">
        <f t="shared" si="42"/>
        <v>29125.938000000002</v>
      </c>
      <c r="P108" s="4965">
        <f t="shared" si="42"/>
        <v>31266.509000000002</v>
      </c>
      <c r="Q108" s="4965">
        <f t="shared" si="42"/>
        <v>34500.731999999996</v>
      </c>
      <c r="R108" s="4965">
        <f t="shared" si="42"/>
        <v>32856.294999999998</v>
      </c>
      <c r="S108" s="4965">
        <f t="shared" si="42"/>
        <v>33911.995999999999</v>
      </c>
      <c r="T108" s="4965">
        <f t="shared" si="42"/>
        <v>32259.498000000003</v>
      </c>
      <c r="U108" s="4965">
        <f t="shared" si="42"/>
        <v>29741.115999999998</v>
      </c>
      <c r="V108" s="4965">
        <f t="shared" si="42"/>
        <v>25949.605</v>
      </c>
      <c r="W108" s="4989"/>
      <c r="X108" s="4959"/>
    </row>
    <row r="109" spans="1:27">
      <c r="G109" t="s">
        <v>1990</v>
      </c>
      <c r="K109" s="706">
        <v>30450.686000000002</v>
      </c>
      <c r="L109" s="706">
        <v>30045.812000000002</v>
      </c>
      <c r="M109" s="706">
        <v>30743.53</v>
      </c>
      <c r="N109" s="706">
        <v>29024.241000000002</v>
      </c>
      <c r="O109" s="706">
        <v>30484.358</v>
      </c>
      <c r="P109" s="706">
        <v>32886.919000000002</v>
      </c>
      <c r="Q109" s="706">
        <v>36136.811999999998</v>
      </c>
      <c r="R109" s="5020">
        <v>34455.125</v>
      </c>
      <c r="S109" s="706">
        <v>35424.095999999998</v>
      </c>
      <c r="T109" s="706">
        <v>33980.048000000003</v>
      </c>
      <c r="U109" s="706">
        <v>30127.955999999998</v>
      </c>
      <c r="V109" s="706">
        <v>26267.544999999998</v>
      </c>
    </row>
    <row r="110" spans="1:27">
      <c r="G110" s="4959" t="s">
        <v>1991</v>
      </c>
      <c r="K110" s="706">
        <v>1497.3</v>
      </c>
      <c r="L110" s="706">
        <v>1458.38</v>
      </c>
      <c r="M110" s="706">
        <v>1569.06</v>
      </c>
      <c r="N110" s="706">
        <v>1478.85</v>
      </c>
      <c r="O110" s="706">
        <v>1358.42</v>
      </c>
      <c r="P110" s="706">
        <v>1620.41</v>
      </c>
      <c r="Q110" s="706">
        <v>1636.08</v>
      </c>
      <c r="R110" s="706">
        <v>1598.83</v>
      </c>
      <c r="S110" s="706">
        <v>1512.1</v>
      </c>
      <c r="T110" s="706">
        <v>1720.55</v>
      </c>
      <c r="U110" s="706">
        <v>386.84</v>
      </c>
      <c r="V110" s="706">
        <v>317.94</v>
      </c>
    </row>
  </sheetData>
  <mergeCells count="28">
    <mergeCell ref="I87:U87"/>
    <mergeCell ref="A11:A12"/>
    <mergeCell ref="B11:F11"/>
    <mergeCell ref="H11:H12"/>
    <mergeCell ref="A87:A88"/>
    <mergeCell ref="G87:G88"/>
    <mergeCell ref="H87:H88"/>
    <mergeCell ref="I11:U11"/>
    <mergeCell ref="I31:U31"/>
    <mergeCell ref="I48:U48"/>
    <mergeCell ref="G11:G12"/>
    <mergeCell ref="H31:H32"/>
    <mergeCell ref="G31:G32"/>
    <mergeCell ref="I73:U73"/>
    <mergeCell ref="H73:H74"/>
    <mergeCell ref="G73:G74"/>
    <mergeCell ref="A31:A32"/>
    <mergeCell ref="H48:H49"/>
    <mergeCell ref="G48:G49"/>
    <mergeCell ref="A48:A49"/>
    <mergeCell ref="A73:A74"/>
    <mergeCell ref="C33:C42"/>
    <mergeCell ref="E21:F21"/>
    <mergeCell ref="H21:H22"/>
    <mergeCell ref="G21:G22"/>
    <mergeCell ref="I21:U21"/>
    <mergeCell ref="A21:A22"/>
    <mergeCell ref="B21:D21"/>
  </mergeCells>
  <phoneticPr fontId="22" type="noConversion"/>
  <pageMargins left="0.7" right="0.7" top="0.75" bottom="0.75" header="0.3" footer="0.3"/>
  <pageSetup paperSize="9" scale="43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V73"/>
  <sheetViews>
    <sheetView topLeftCell="A16" workbookViewId="0">
      <selection activeCell="M69" sqref="M69"/>
    </sheetView>
  </sheetViews>
  <sheetFormatPr defaultRowHeight="14.4"/>
  <cols>
    <col min="1" max="1" width="15.796875" bestFit="1" customWidth="1"/>
    <col min="2" max="13" width="9.5" customWidth="1"/>
    <col min="14" max="14" width="9.69921875" customWidth="1"/>
    <col min="15" max="15" width="9.5" customWidth="1"/>
    <col min="17" max="17" width="12.5" bestFit="1" customWidth="1"/>
    <col min="18" max="20" width="10.296875" bestFit="1" customWidth="1"/>
    <col min="21" max="21" width="9.296875" bestFit="1" customWidth="1"/>
    <col min="22" max="22" width="10.296875" bestFit="1" customWidth="1"/>
  </cols>
  <sheetData>
    <row r="2" spans="1:22" ht="15" thickBot="1">
      <c r="A2" s="300" t="s">
        <v>1730</v>
      </c>
      <c r="Q2" s="300" t="s">
        <v>1871</v>
      </c>
    </row>
    <row r="3" spans="1:22" ht="16.2" customHeight="1">
      <c r="A3" s="3936" t="s">
        <v>0</v>
      </c>
      <c r="B3" s="3936" t="s">
        <v>18</v>
      </c>
      <c r="C3" s="3949" t="s">
        <v>85</v>
      </c>
      <c r="D3" s="3949" t="s">
        <v>6</v>
      </c>
      <c r="E3" s="3949" t="s">
        <v>7</v>
      </c>
      <c r="F3" s="3949" t="s">
        <v>8</v>
      </c>
      <c r="G3" s="3949" t="s">
        <v>9</v>
      </c>
      <c r="H3" s="3949" t="s">
        <v>10</v>
      </c>
      <c r="I3" s="3949" t="s">
        <v>11</v>
      </c>
      <c r="J3" s="3949" t="s">
        <v>12</v>
      </c>
      <c r="K3" s="3949" t="s">
        <v>13</v>
      </c>
      <c r="L3" s="3949" t="s">
        <v>14</v>
      </c>
      <c r="M3" s="3954" t="s">
        <v>15</v>
      </c>
      <c r="N3" s="6079" t="s">
        <v>197</v>
      </c>
      <c r="O3" s="6079" t="s">
        <v>1270</v>
      </c>
      <c r="Q3" s="6062" t="s">
        <v>27</v>
      </c>
      <c r="R3" s="6063" t="s">
        <v>28</v>
      </c>
      <c r="S3" s="6063" t="s">
        <v>29</v>
      </c>
      <c r="T3" s="6063" t="s">
        <v>505</v>
      </c>
      <c r="U3" s="6063" t="s">
        <v>492</v>
      </c>
      <c r="V3" s="6064" t="s">
        <v>16</v>
      </c>
    </row>
    <row r="4" spans="1:22" ht="16.2" customHeight="1">
      <c r="A4" s="3939" t="s">
        <v>1593</v>
      </c>
      <c r="B4" s="3888">
        <f t="shared" ref="B4:M4" si="0">(B16+B28+B40+B52+B64)</f>
        <v>176272</v>
      </c>
      <c r="C4" s="3886">
        <f t="shared" si="0"/>
        <v>178022</v>
      </c>
      <c r="D4" s="3886">
        <f t="shared" si="0"/>
        <v>167397</v>
      </c>
      <c r="E4" s="3886">
        <f t="shared" si="0"/>
        <v>168405</v>
      </c>
      <c r="F4" s="3886">
        <f t="shared" si="0"/>
        <v>172076</v>
      </c>
      <c r="G4" s="3886">
        <f t="shared" si="0"/>
        <v>183383</v>
      </c>
      <c r="H4" s="3886">
        <f t="shared" si="0"/>
        <v>199333</v>
      </c>
      <c r="I4" s="3886">
        <f t="shared" si="0"/>
        <v>179561</v>
      </c>
      <c r="J4" s="3886">
        <f t="shared" si="0"/>
        <v>179366</v>
      </c>
      <c r="K4" s="3886">
        <f t="shared" si="0"/>
        <v>200719</v>
      </c>
      <c r="L4" s="3886">
        <f t="shared" si="0"/>
        <v>87004</v>
      </c>
      <c r="M4" s="6083">
        <f t="shared" si="0"/>
        <v>84286</v>
      </c>
      <c r="N4" s="6084">
        <f>SUM(B4:M4)</f>
        <v>1975824</v>
      </c>
      <c r="O4" s="6080">
        <v>1825514.4807508551</v>
      </c>
      <c r="Q4" s="6076">
        <v>254721</v>
      </c>
      <c r="R4" s="3931">
        <v>319756</v>
      </c>
      <c r="S4" s="3931">
        <v>372767</v>
      </c>
      <c r="T4" s="3931">
        <v>371052</v>
      </c>
      <c r="U4" s="3931">
        <v>373237</v>
      </c>
      <c r="V4" s="3940">
        <f>SUM(Q4:U4)</f>
        <v>1691533</v>
      </c>
    </row>
    <row r="5" spans="1:22" ht="16.2" customHeight="1">
      <c r="A5" s="3941" t="s">
        <v>395</v>
      </c>
      <c r="B5" s="3888">
        <f t="shared" ref="B5:M5" si="1">(B17+B29+B41+B53+B65)</f>
        <v>16202</v>
      </c>
      <c r="C5" s="3886">
        <f t="shared" si="1"/>
        <v>15797</v>
      </c>
      <c r="D5" s="3886">
        <f t="shared" si="1"/>
        <v>13378</v>
      </c>
      <c r="E5" s="3886">
        <f t="shared" si="1"/>
        <v>15335</v>
      </c>
      <c r="F5" s="3886">
        <f t="shared" si="1"/>
        <v>14997</v>
      </c>
      <c r="G5" s="3886">
        <f t="shared" si="1"/>
        <v>16656</v>
      </c>
      <c r="H5" s="3886">
        <f t="shared" si="1"/>
        <v>17027</v>
      </c>
      <c r="I5" s="3886">
        <f t="shared" si="1"/>
        <v>17688</v>
      </c>
      <c r="J5" s="3886">
        <f t="shared" si="1"/>
        <v>17985</v>
      </c>
      <c r="K5" s="3886">
        <f t="shared" si="1"/>
        <v>18312</v>
      </c>
      <c r="L5" s="3886">
        <f t="shared" si="1"/>
        <v>15809</v>
      </c>
      <c r="M5" s="6083">
        <f t="shared" si="1"/>
        <v>17021</v>
      </c>
      <c r="N5" s="6084">
        <f>SUM(B5:M5)</f>
        <v>196207</v>
      </c>
      <c r="O5" s="6080">
        <v>193758.84470731398</v>
      </c>
      <c r="Q5" s="6076">
        <v>1602</v>
      </c>
      <c r="R5" s="3931">
        <v>16380</v>
      </c>
      <c r="S5" s="3931">
        <v>7296</v>
      </c>
      <c r="T5" s="3931">
        <v>51995</v>
      </c>
      <c r="U5" s="3931">
        <v>102041</v>
      </c>
      <c r="V5" s="3940">
        <f>SUM(Q5:U5)</f>
        <v>179314</v>
      </c>
    </row>
    <row r="6" spans="1:22" ht="16.2" customHeight="1">
      <c r="A6" s="3942" t="s">
        <v>1594</v>
      </c>
      <c r="B6" s="3951">
        <f t="shared" ref="B6:O6" si="2">(B4-B5)/B4</f>
        <v>0.90808523191431423</v>
      </c>
      <c r="C6" s="3932">
        <f t="shared" si="2"/>
        <v>0.91126377638718814</v>
      </c>
      <c r="D6" s="3932">
        <f t="shared" si="2"/>
        <v>0.92008219980047434</v>
      </c>
      <c r="E6" s="3932">
        <f t="shared" si="2"/>
        <v>0.90893975832071494</v>
      </c>
      <c r="F6" s="3932">
        <f t="shared" si="2"/>
        <v>0.91284664915502456</v>
      </c>
      <c r="G6" s="3932">
        <f t="shared" si="2"/>
        <v>0.90917369658038094</v>
      </c>
      <c r="H6" s="3932">
        <f t="shared" si="2"/>
        <v>0.91458012471592764</v>
      </c>
      <c r="I6" s="3932">
        <f t="shared" si="2"/>
        <v>0.90149308591509292</v>
      </c>
      <c r="J6" s="3932">
        <f t="shared" si="2"/>
        <v>0.89973016067705136</v>
      </c>
      <c r="K6" s="3932">
        <f t="shared" si="2"/>
        <v>0.90876797911508134</v>
      </c>
      <c r="L6" s="3932">
        <f t="shared" si="2"/>
        <v>0.81829571054204409</v>
      </c>
      <c r="M6" s="3948">
        <f t="shared" si="2"/>
        <v>0.79805661675723139</v>
      </c>
      <c r="N6" s="6081">
        <f t="shared" si="2"/>
        <v>0.90069611463369204</v>
      </c>
      <c r="O6" s="6081">
        <f t="shared" si="2"/>
        <v>0.89386069146511582</v>
      </c>
      <c r="Q6" s="3951">
        <f t="shared" ref="Q6:V6" si="3">(Q4-Q5)/Q4</f>
        <v>0.99371076589680474</v>
      </c>
      <c r="R6" s="3932">
        <f t="shared" si="3"/>
        <v>0.9487734397478077</v>
      </c>
      <c r="S6" s="3932">
        <f t="shared" si="3"/>
        <v>0.98042745200084769</v>
      </c>
      <c r="T6" s="3932">
        <f t="shared" si="3"/>
        <v>0.85987139268889534</v>
      </c>
      <c r="U6" s="3932">
        <f t="shared" si="3"/>
        <v>0.72660534727264448</v>
      </c>
      <c r="V6" s="3943">
        <f t="shared" si="3"/>
        <v>0.89399320025089668</v>
      </c>
    </row>
    <row r="7" spans="1:22" ht="16.2" customHeight="1">
      <c r="A7" s="3941" t="s">
        <v>1595</v>
      </c>
      <c r="B7" s="3888">
        <f t="shared" ref="B7:M7" si="4">(B19+B31+B43+B55+B67)</f>
        <v>131546</v>
      </c>
      <c r="C7" s="3886">
        <f t="shared" si="4"/>
        <v>151550</v>
      </c>
      <c r="D7" s="3886">
        <f t="shared" si="4"/>
        <v>124947</v>
      </c>
      <c r="E7" s="3886">
        <f t="shared" si="4"/>
        <v>143062</v>
      </c>
      <c r="F7" s="3886">
        <f t="shared" si="4"/>
        <v>143480</v>
      </c>
      <c r="G7" s="3886">
        <f t="shared" si="4"/>
        <v>153522</v>
      </c>
      <c r="H7" s="3886">
        <f t="shared" si="4"/>
        <v>172084</v>
      </c>
      <c r="I7" s="3886">
        <f t="shared" si="4"/>
        <v>149822</v>
      </c>
      <c r="J7" s="3886">
        <f t="shared" si="4"/>
        <v>153638</v>
      </c>
      <c r="K7" s="3886">
        <f t="shared" si="4"/>
        <v>170388</v>
      </c>
      <c r="L7" s="3886">
        <f t="shared" si="4"/>
        <v>59505</v>
      </c>
      <c r="M7" s="6083">
        <f t="shared" si="4"/>
        <v>60336</v>
      </c>
      <c r="N7" s="6084">
        <f>SUM(B7:M7)</f>
        <v>1613880</v>
      </c>
      <c r="O7" s="6080">
        <v>1492483.8869396404</v>
      </c>
      <c r="Q7" s="6076">
        <v>220154</v>
      </c>
      <c r="R7" s="3931">
        <v>277037</v>
      </c>
      <c r="S7" s="3931">
        <v>330942</v>
      </c>
      <c r="T7" s="3931">
        <v>305944</v>
      </c>
      <c r="U7" s="3931">
        <v>228112</v>
      </c>
      <c r="V7" s="3940">
        <f>SUM(Q7:U7)</f>
        <v>1362189</v>
      </c>
    </row>
    <row r="8" spans="1:22" ht="16.2" customHeight="1">
      <c r="A8" s="3939" t="s">
        <v>1602</v>
      </c>
      <c r="B8" s="3888">
        <f t="shared" ref="B8:M8" si="5">(B20+B32+B44+B56+B68)</f>
        <v>144046</v>
      </c>
      <c r="C8" s="3886">
        <f t="shared" si="5"/>
        <v>170535</v>
      </c>
      <c r="D8" s="3886">
        <f t="shared" si="5"/>
        <v>140784</v>
      </c>
      <c r="E8" s="3886">
        <f t="shared" si="5"/>
        <v>163048</v>
      </c>
      <c r="F8" s="3886">
        <f t="shared" si="5"/>
        <v>164690</v>
      </c>
      <c r="G8" s="3886">
        <f t="shared" si="5"/>
        <v>176629</v>
      </c>
      <c r="H8" s="3886">
        <f t="shared" si="5"/>
        <v>192062</v>
      </c>
      <c r="I8" s="3886">
        <f t="shared" si="5"/>
        <v>170942</v>
      </c>
      <c r="J8" s="3886">
        <f t="shared" si="5"/>
        <v>171191</v>
      </c>
      <c r="K8" s="3886">
        <f t="shared" si="5"/>
        <v>192583</v>
      </c>
      <c r="L8" s="3886">
        <f t="shared" si="5"/>
        <v>78091</v>
      </c>
      <c r="M8" s="6083">
        <f t="shared" si="5"/>
        <v>76337</v>
      </c>
      <c r="N8" s="6084">
        <f>SUM(B8:M8)</f>
        <v>1840938</v>
      </c>
      <c r="O8" s="6080">
        <v>1690676.5183026791</v>
      </c>
      <c r="Q8" s="6076">
        <v>253010</v>
      </c>
      <c r="R8" s="3931">
        <v>303039</v>
      </c>
      <c r="S8" s="3931">
        <v>365465</v>
      </c>
      <c r="T8" s="3931">
        <v>353934</v>
      </c>
      <c r="U8" s="3931">
        <v>332575</v>
      </c>
      <c r="V8" s="3940">
        <f>SUM(Q8:U8)</f>
        <v>1608023</v>
      </c>
    </row>
    <row r="9" spans="1:22" ht="16.2" customHeight="1">
      <c r="A9" s="3942" t="s">
        <v>1596</v>
      </c>
      <c r="B9" s="3951">
        <f t="shared" ref="B9:O9" si="6">B7/B8</f>
        <v>0.91322216514169086</v>
      </c>
      <c r="C9" s="3932">
        <f t="shared" si="6"/>
        <v>0.88867387926232155</v>
      </c>
      <c r="D9" s="3932">
        <f t="shared" si="6"/>
        <v>0.88750852369587452</v>
      </c>
      <c r="E9" s="3932">
        <f t="shared" si="6"/>
        <v>0.87742259947990775</v>
      </c>
      <c r="F9" s="3932">
        <f t="shared" si="6"/>
        <v>0.87121258121318845</v>
      </c>
      <c r="G9" s="3932">
        <f t="shared" si="6"/>
        <v>0.86917776809017777</v>
      </c>
      <c r="H9" s="3932">
        <f t="shared" si="6"/>
        <v>0.89598150597202986</v>
      </c>
      <c r="I9" s="3932">
        <f t="shared" si="6"/>
        <v>0.87644932199225467</v>
      </c>
      <c r="J9" s="3932">
        <f t="shared" si="6"/>
        <v>0.89746540413923626</v>
      </c>
      <c r="K9" s="3932">
        <f t="shared" si="6"/>
        <v>0.88475099048202588</v>
      </c>
      <c r="L9" s="3932">
        <f t="shared" si="6"/>
        <v>0.76199562049403902</v>
      </c>
      <c r="M9" s="3948">
        <f t="shared" si="6"/>
        <v>0.79038998126727533</v>
      </c>
      <c r="N9" s="6081">
        <f t="shared" si="6"/>
        <v>0.87666178871857714</v>
      </c>
      <c r="O9" s="6081">
        <f t="shared" si="6"/>
        <v>0.88277318031126961</v>
      </c>
      <c r="Q9" s="3951">
        <f t="shared" ref="Q9:V9" si="7">Q7/Q8</f>
        <v>0.87013952017706808</v>
      </c>
      <c r="R9" s="3932">
        <f t="shared" si="7"/>
        <v>0.91419586257874397</v>
      </c>
      <c r="S9" s="3932">
        <f t="shared" si="7"/>
        <v>0.90553678190798026</v>
      </c>
      <c r="T9" s="3932">
        <f t="shared" si="7"/>
        <v>0.86440974871021148</v>
      </c>
      <c r="U9" s="3932">
        <f t="shared" si="7"/>
        <v>0.68589641434262949</v>
      </c>
      <c r="V9" s="3943">
        <f t="shared" si="7"/>
        <v>0.84712034591545027</v>
      </c>
    </row>
    <row r="10" spans="1:22" ht="16.2" customHeight="1">
      <c r="A10" s="3941" t="s">
        <v>1597</v>
      </c>
      <c r="B10" s="3888">
        <f t="shared" ref="B10:M10" si="8">(B22+B34+B46+B58+B70)</f>
        <v>92495.56</v>
      </c>
      <c r="C10" s="3886">
        <f t="shared" si="8"/>
        <v>97271.02</v>
      </c>
      <c r="D10" s="3886">
        <f t="shared" si="8"/>
        <v>89960.854000000007</v>
      </c>
      <c r="E10" s="3886">
        <f t="shared" si="8"/>
        <v>94554.062000000005</v>
      </c>
      <c r="F10" s="3886">
        <f t="shared" si="8"/>
        <v>89476.068000000014</v>
      </c>
      <c r="G10" s="3886">
        <f t="shared" si="8"/>
        <v>99650.42</v>
      </c>
      <c r="H10" s="3886">
        <f t="shared" si="8"/>
        <v>114333.16</v>
      </c>
      <c r="I10" s="3886">
        <f t="shared" si="8"/>
        <v>101695.236</v>
      </c>
      <c r="J10" s="3886">
        <f t="shared" si="8"/>
        <v>102458.485</v>
      </c>
      <c r="K10" s="3886">
        <f t="shared" si="8"/>
        <v>105815.60400000001</v>
      </c>
      <c r="L10" s="3886">
        <f t="shared" si="8"/>
        <v>18141.04</v>
      </c>
      <c r="M10" s="6083">
        <f t="shared" si="8"/>
        <v>17326.670000000002</v>
      </c>
      <c r="N10" s="6084">
        <f>SUM(B10:M10)</f>
        <v>1023178.1790000002</v>
      </c>
      <c r="O10" s="6080">
        <v>968526.21549999993</v>
      </c>
      <c r="Q10" s="6077">
        <v>247068.53899999999</v>
      </c>
      <c r="R10" s="3934">
        <v>237754.489</v>
      </c>
      <c r="S10" s="3934">
        <v>239665.67</v>
      </c>
      <c r="T10" s="3934">
        <v>123961.10799999999</v>
      </c>
      <c r="U10" s="3934">
        <v>42325.625</v>
      </c>
      <c r="V10" s="3944">
        <f>SUM(Q10:U10)</f>
        <v>890775.43099999998</v>
      </c>
    </row>
    <row r="11" spans="1:22" ht="16.2" customHeight="1">
      <c r="A11" s="3941" t="s">
        <v>1598</v>
      </c>
      <c r="B11" s="3888">
        <f t="shared" ref="B11:M11" si="9">(B23+B35+B47+B59+B71)</f>
        <v>205.72</v>
      </c>
      <c r="C11" s="3886">
        <f t="shared" si="9"/>
        <v>551.38000000000011</v>
      </c>
      <c r="D11" s="3886">
        <f t="shared" si="9"/>
        <v>252.81</v>
      </c>
      <c r="E11" s="3886">
        <f t="shared" si="9"/>
        <v>581.87</v>
      </c>
      <c r="F11" s="3886">
        <f t="shared" si="9"/>
        <v>817.05</v>
      </c>
      <c r="G11" s="3886">
        <f t="shared" si="9"/>
        <v>1166.77</v>
      </c>
      <c r="H11" s="3886">
        <f t="shared" si="9"/>
        <v>376.20000000000005</v>
      </c>
      <c r="I11" s="3886">
        <f t="shared" si="9"/>
        <v>191.02999999999997</v>
      </c>
      <c r="J11" s="3886">
        <f t="shared" si="9"/>
        <v>96.48</v>
      </c>
      <c r="K11" s="3886">
        <f t="shared" si="9"/>
        <v>608.33000000000004</v>
      </c>
      <c r="L11" s="3886">
        <f t="shared" si="9"/>
        <v>43.220000000000006</v>
      </c>
      <c r="M11" s="6083">
        <f t="shared" si="9"/>
        <v>136.88999999999999</v>
      </c>
      <c r="N11" s="6084">
        <f>SUM(B11:M11)</f>
        <v>5027.75</v>
      </c>
      <c r="O11" s="6080">
        <v>3566.5515</v>
      </c>
      <c r="Q11" s="6077">
        <f>21.37+2197.18</f>
        <v>2218.5499999999997</v>
      </c>
      <c r="R11" s="3934">
        <f>29.43+393.21</f>
        <v>422.64</v>
      </c>
      <c r="S11" s="3934">
        <f>330.85</f>
        <v>330.85</v>
      </c>
      <c r="T11" s="3934">
        <f>69.54+1524.24</f>
        <v>1593.78</v>
      </c>
      <c r="U11" s="3934">
        <f>69.51+214.773</f>
        <v>284.28300000000002</v>
      </c>
      <c r="V11" s="3944">
        <f>SUM(Q11:U11)</f>
        <v>4850.1030000000001</v>
      </c>
    </row>
    <row r="12" spans="1:22" ht="16.2" customHeight="1">
      <c r="A12" s="3942" t="s">
        <v>1599</v>
      </c>
      <c r="B12" s="3951">
        <f t="shared" ref="B12:O12" si="10">(B10-B11)/B10</f>
        <v>0.99777589324287563</v>
      </c>
      <c r="C12" s="3932">
        <f t="shared" si="10"/>
        <v>0.99433150798665415</v>
      </c>
      <c r="D12" s="3932">
        <f t="shared" si="10"/>
        <v>0.99718977767818884</v>
      </c>
      <c r="E12" s="3932">
        <f t="shared" si="10"/>
        <v>0.99384616601664355</v>
      </c>
      <c r="F12" s="3932">
        <f t="shared" si="10"/>
        <v>0.99086850799031534</v>
      </c>
      <c r="G12" s="3932">
        <f t="shared" si="10"/>
        <v>0.98829136896763703</v>
      </c>
      <c r="H12" s="3932">
        <f t="shared" si="10"/>
        <v>0.99670961600291641</v>
      </c>
      <c r="I12" s="3932">
        <f t="shared" si="10"/>
        <v>0.99812154425798272</v>
      </c>
      <c r="J12" s="3932">
        <f t="shared" si="10"/>
        <v>0.99905835031622814</v>
      </c>
      <c r="K12" s="3932">
        <f t="shared" si="10"/>
        <v>0.99425103692646311</v>
      </c>
      <c r="L12" s="3932">
        <f t="shared" si="10"/>
        <v>0.99761755665606822</v>
      </c>
      <c r="M12" s="3948">
        <f t="shared" si="10"/>
        <v>0.99209946285119999</v>
      </c>
      <c r="N12" s="6081">
        <f t="shared" si="10"/>
        <v>0.99508614422864861</v>
      </c>
      <c r="O12" s="6081">
        <f t="shared" si="10"/>
        <v>0.99631754779279902</v>
      </c>
      <c r="Q12" s="3951">
        <f t="shared" ref="Q12:V12" si="11">(Q10-Q11)/Q10</f>
        <v>0.99102050787615659</v>
      </c>
      <c r="R12" s="3932">
        <f t="shared" si="11"/>
        <v>0.99822236794864461</v>
      </c>
      <c r="S12" s="3932">
        <f t="shared" si="11"/>
        <v>0.99861953528847081</v>
      </c>
      <c r="T12" s="3932">
        <f t="shared" si="11"/>
        <v>0.98714290291758289</v>
      </c>
      <c r="U12" s="3932">
        <f t="shared" si="11"/>
        <v>0.99328343054591628</v>
      </c>
      <c r="V12" s="3943">
        <f t="shared" si="11"/>
        <v>0.99455518997133185</v>
      </c>
    </row>
    <row r="13" spans="1:22" ht="16.2" customHeight="1" thickBot="1">
      <c r="A13" s="3945" t="s">
        <v>1600</v>
      </c>
      <c r="B13" s="5577">
        <f t="shared" ref="B13:O13" si="12">B6*B9*B12</f>
        <v>0.82743914644900884</v>
      </c>
      <c r="C13" s="5578">
        <f t="shared" si="12"/>
        <v>0.80522587787828526</v>
      </c>
      <c r="D13" s="5578">
        <f t="shared" si="12"/>
        <v>0.81428602124659555</v>
      </c>
      <c r="E13" s="5578">
        <f t="shared" si="12"/>
        <v>0.79261645346563792</v>
      </c>
      <c r="F13" s="5578">
        <f t="shared" si="12"/>
        <v>0.7880213606692269</v>
      </c>
      <c r="G13" s="6067">
        <f t="shared" si="12"/>
        <v>0.78098101116508301</v>
      </c>
      <c r="H13" s="5578">
        <f t="shared" si="12"/>
        <v>0.81675058258295963</v>
      </c>
      <c r="I13" s="5578">
        <f t="shared" si="12"/>
        <v>0.7886288116219119</v>
      </c>
      <c r="J13" s="5578">
        <f t="shared" si="12"/>
        <v>0.80671633209636229</v>
      </c>
      <c r="K13" s="5578">
        <f t="shared" si="12"/>
        <v>0.79941101148846305</v>
      </c>
      <c r="L13" s="5578">
        <f t="shared" si="12"/>
        <v>0.62205220434539243</v>
      </c>
      <c r="M13" s="3957">
        <f t="shared" si="12"/>
        <v>0.62579248550891142</v>
      </c>
      <c r="N13" s="6082">
        <f t="shared" si="12"/>
        <v>0.78572585760025637</v>
      </c>
      <c r="O13" s="6082">
        <f t="shared" si="12"/>
        <v>0.78617050979851544</v>
      </c>
      <c r="Q13" s="6078">
        <f t="shared" ref="Q13:V13" si="13">Q6*Q9*Q12</f>
        <v>0.8569027384348803</v>
      </c>
      <c r="R13" s="3946">
        <f t="shared" si="13"/>
        <v>0.86582289775664778</v>
      </c>
      <c r="S13" s="3946">
        <f t="shared" si="13"/>
        <v>0.88658752509680072</v>
      </c>
      <c r="T13" s="3946">
        <f t="shared" si="13"/>
        <v>0.73372477574323591</v>
      </c>
      <c r="U13" s="3946">
        <f t="shared" si="13"/>
        <v>0.49502862530254632</v>
      </c>
      <c r="V13" s="3953">
        <f t="shared" si="13"/>
        <v>0.75319636644251964</v>
      </c>
    </row>
    <row r="14" spans="1:22" ht="16.2" customHeight="1" thickBot="1"/>
    <row r="15" spans="1:22" ht="16.2" customHeight="1">
      <c r="A15" s="3936" t="s">
        <v>27</v>
      </c>
      <c r="B15" s="3937" t="s">
        <v>18</v>
      </c>
      <c r="C15" s="3937" t="s">
        <v>85</v>
      </c>
      <c r="D15" s="3937" t="s">
        <v>6</v>
      </c>
      <c r="E15" s="3937" t="s">
        <v>7</v>
      </c>
      <c r="F15" s="3937" t="s">
        <v>8</v>
      </c>
      <c r="G15" s="3937" t="s">
        <v>9</v>
      </c>
      <c r="H15" s="3937" t="s">
        <v>10</v>
      </c>
      <c r="I15" s="3937" t="s">
        <v>11</v>
      </c>
      <c r="J15" s="3937" t="s">
        <v>12</v>
      </c>
      <c r="K15" s="3937" t="s">
        <v>13</v>
      </c>
      <c r="L15" s="3937" t="s">
        <v>14</v>
      </c>
      <c r="M15" s="3938" t="s">
        <v>15</v>
      </c>
      <c r="N15" s="6079" t="s">
        <v>197</v>
      </c>
      <c r="O15" s="6079" t="s">
        <v>1872</v>
      </c>
    </row>
    <row r="16" spans="1:22" ht="16.2" customHeight="1">
      <c r="A16" s="3939" t="s">
        <v>1593</v>
      </c>
      <c r="B16" s="3931">
        <f>년간!F26</f>
        <v>26529</v>
      </c>
      <c r="C16" s="3931">
        <f>년간!G26</f>
        <v>28370</v>
      </c>
      <c r="D16" s="3931">
        <f>년간!H26</f>
        <v>23740</v>
      </c>
      <c r="E16" s="3931">
        <f>년간!I26</f>
        <v>24940</v>
      </c>
      <c r="F16" s="3931">
        <f>년간!J26</f>
        <v>26610</v>
      </c>
      <c r="G16" s="3931">
        <f>년간!K26</f>
        <v>29260</v>
      </c>
      <c r="H16" s="3931">
        <f>년간!L26</f>
        <v>32395</v>
      </c>
      <c r="I16" s="3931">
        <f>년간!M26</f>
        <v>28830</v>
      </c>
      <c r="J16" s="3931">
        <f>년간!N26</f>
        <v>28860</v>
      </c>
      <c r="K16" s="3931">
        <f>년간!O26</f>
        <v>32720</v>
      </c>
      <c r="L16" s="3931">
        <v>0</v>
      </c>
      <c r="M16" s="3940">
        <f>년간!Q26</f>
        <v>0</v>
      </c>
      <c r="N16" s="6084">
        <f>SUM(B16:M16)</f>
        <v>282254</v>
      </c>
      <c r="O16" s="6085">
        <v>254721</v>
      </c>
    </row>
    <row r="17" spans="1:15" ht="16.2" customHeight="1">
      <c r="A17" s="3941" t="s">
        <v>395</v>
      </c>
      <c r="B17" s="3931">
        <v>660</v>
      </c>
      <c r="C17" s="3931">
        <f>(비가동!O5+비가동!O7+비가동!O9)*60</f>
        <v>444.99999999999994</v>
      </c>
      <c r="D17" s="3931">
        <f>(비가동!P5+비가동!P7+비가동!P9)*60</f>
        <v>0</v>
      </c>
      <c r="E17" s="3931">
        <f>(비가동!Q5+비가동!Q7+비가동!Q9)*60</f>
        <v>130</v>
      </c>
      <c r="F17" s="3931">
        <f>(비가동!R5+비가동!R7+비가동!R9)*60</f>
        <v>70</v>
      </c>
      <c r="G17" s="3931">
        <f>(비가동!S5+비가동!S7+비가동!S9)*60</f>
        <v>88</v>
      </c>
      <c r="H17" s="3931">
        <f>(비가동!T5+비가동!T7+비가동!T9)*60</f>
        <v>0</v>
      </c>
      <c r="I17" s="3931">
        <f>(비가동!U5+비가동!U7+비가동!U9)*60</f>
        <v>574.99999999999989</v>
      </c>
      <c r="J17" s="3931">
        <f>(비가동!V5+비가동!V7+비가동!V9)*60</f>
        <v>320</v>
      </c>
      <c r="K17" s="3931">
        <f>(비가동!W5+비가동!W7+비가동!W9)*60</f>
        <v>130</v>
      </c>
      <c r="L17" s="3931">
        <f>(비가동!X5+비가동!X7+비가동!X9)*60</f>
        <v>0</v>
      </c>
      <c r="M17" s="3940">
        <f>(비가동!Y5+비가동!Y7+비가동!Y9)*60</f>
        <v>0</v>
      </c>
      <c r="N17" s="6084">
        <f>SUM(B17:M17)</f>
        <v>2418</v>
      </c>
      <c r="O17" s="6085">
        <v>1602</v>
      </c>
    </row>
    <row r="18" spans="1:15" ht="16.2" customHeight="1">
      <c r="A18" s="3942" t="s">
        <v>1594</v>
      </c>
      <c r="B18" s="3932">
        <f>(B16-B17)/B16</f>
        <v>0.97512156507972403</v>
      </c>
      <c r="C18" s="3932">
        <f t="shared" ref="C18:N18" si="14">(C16-C17)/C16</f>
        <v>0.98431441663729291</v>
      </c>
      <c r="D18" s="3932">
        <f t="shared" si="14"/>
        <v>1</v>
      </c>
      <c r="E18" s="3932">
        <f t="shared" si="14"/>
        <v>0.99478748997594224</v>
      </c>
      <c r="F18" s="3932">
        <f t="shared" si="14"/>
        <v>0.99736940999624202</v>
      </c>
      <c r="G18" s="3932">
        <f t="shared" si="14"/>
        <v>0.99699248120300754</v>
      </c>
      <c r="H18" s="3932">
        <f t="shared" si="14"/>
        <v>1</v>
      </c>
      <c r="I18" s="3932">
        <f t="shared" si="14"/>
        <v>0.98005549774540412</v>
      </c>
      <c r="J18" s="3932">
        <f t="shared" si="14"/>
        <v>0.98891198891198895</v>
      </c>
      <c r="K18" s="3932">
        <f t="shared" si="14"/>
        <v>0.99602689486552565</v>
      </c>
      <c r="L18" s="3932" t="e">
        <f t="shared" si="14"/>
        <v>#DIV/0!</v>
      </c>
      <c r="M18" s="3943" t="e">
        <f t="shared" si="14"/>
        <v>#DIV/0!</v>
      </c>
      <c r="N18" s="6081">
        <f t="shared" si="14"/>
        <v>0.99143324806734356</v>
      </c>
      <c r="O18" s="6081">
        <f>(O16-O17)/O16</f>
        <v>0.99371076589680474</v>
      </c>
    </row>
    <row r="19" spans="1:15" ht="16.2" customHeight="1">
      <c r="A19" s="3941" t="s">
        <v>1595</v>
      </c>
      <c r="B19" s="3931">
        <v>24639</v>
      </c>
      <c r="C19" s="3931">
        <v>26041</v>
      </c>
      <c r="D19" s="3931">
        <v>18927</v>
      </c>
      <c r="E19" s="3931">
        <v>22072</v>
      </c>
      <c r="F19" s="3931">
        <v>25301</v>
      </c>
      <c r="G19" s="3931">
        <v>26484</v>
      </c>
      <c r="H19" s="3931">
        <v>29614</v>
      </c>
      <c r="I19" s="3931">
        <v>25366</v>
      </c>
      <c r="J19" s="3931">
        <v>25486</v>
      </c>
      <c r="K19" s="3931">
        <v>29614</v>
      </c>
      <c r="L19" s="3931">
        <v>0</v>
      </c>
      <c r="M19" s="3940">
        <v>0</v>
      </c>
      <c r="N19" s="6084">
        <f>SUM(B19:M19)</f>
        <v>253544</v>
      </c>
      <c r="O19" s="6085">
        <v>220154</v>
      </c>
    </row>
    <row r="20" spans="1:15" ht="16.2" customHeight="1">
      <c r="A20" s="3939" t="s">
        <v>1602</v>
      </c>
      <c r="B20" s="3931">
        <v>25869</v>
      </c>
      <c r="C20" s="3931">
        <v>27925</v>
      </c>
      <c r="D20" s="3931">
        <v>19560</v>
      </c>
      <c r="E20" s="3931">
        <v>24810</v>
      </c>
      <c r="F20" s="3931">
        <v>26520</v>
      </c>
      <c r="G20" s="3931">
        <v>29172</v>
      </c>
      <c r="H20" s="3931">
        <v>32359</v>
      </c>
      <c r="I20" s="3931">
        <v>28210</v>
      </c>
      <c r="J20" s="3931">
        <v>28540</v>
      </c>
      <c r="K20" s="3931">
        <v>32590</v>
      </c>
      <c r="L20" s="3931">
        <v>0</v>
      </c>
      <c r="M20" s="3940">
        <v>0</v>
      </c>
      <c r="N20" s="6084">
        <f>SUM(B20:M20)</f>
        <v>275555</v>
      </c>
      <c r="O20" s="6085">
        <v>253010</v>
      </c>
    </row>
    <row r="21" spans="1:15" ht="16.2" customHeight="1">
      <c r="A21" s="3942" t="s">
        <v>1596</v>
      </c>
      <c r="B21" s="3932">
        <f>B19/B20</f>
        <v>0.95245274266496582</v>
      </c>
      <c r="C21" s="3932">
        <f t="shared" ref="C21:N21" si="15">C19/C20</f>
        <v>0.93253357206803944</v>
      </c>
      <c r="D21" s="3932">
        <f t="shared" si="15"/>
        <v>0.96763803680981597</v>
      </c>
      <c r="E21" s="3932">
        <f t="shared" si="15"/>
        <v>0.8896412736799677</v>
      </c>
      <c r="F21" s="3932">
        <f t="shared" si="15"/>
        <v>0.95403469079939673</v>
      </c>
      <c r="G21" s="3932">
        <f t="shared" si="15"/>
        <v>0.90785684903331965</v>
      </c>
      <c r="H21" s="3932">
        <f t="shared" si="15"/>
        <v>0.9151704317191508</v>
      </c>
      <c r="I21" s="3932">
        <f t="shared" si="15"/>
        <v>0.89918468628146042</v>
      </c>
      <c r="J21" s="3932">
        <f t="shared" si="15"/>
        <v>0.89299229152067272</v>
      </c>
      <c r="K21" s="3932">
        <f t="shared" si="15"/>
        <v>0.90868364528996626</v>
      </c>
      <c r="L21" s="3932" t="e">
        <f t="shared" si="15"/>
        <v>#DIV/0!</v>
      </c>
      <c r="M21" s="3943" t="e">
        <f t="shared" si="15"/>
        <v>#DIV/0!</v>
      </c>
      <c r="N21" s="6081">
        <f t="shared" si="15"/>
        <v>0.92012120992179425</v>
      </c>
      <c r="O21" s="6081">
        <f>O19/O20</f>
        <v>0.87013952017706808</v>
      </c>
    </row>
    <row r="22" spans="1:15" ht="16.2" customHeight="1">
      <c r="A22" s="3941" t="s">
        <v>1597</v>
      </c>
      <c r="B22" s="4739">
        <f>CPL!N5</f>
        <v>26245.87</v>
      </c>
      <c r="C22" s="4739">
        <f>CPL!O5</f>
        <v>28930.16</v>
      </c>
      <c r="D22" s="4739">
        <f>CPL!P5</f>
        <v>23803.14</v>
      </c>
      <c r="E22" s="4739">
        <f>CPL!Q5</f>
        <v>25935.35</v>
      </c>
      <c r="F22" s="4739">
        <f>CPL!R5</f>
        <v>25439.66</v>
      </c>
      <c r="G22" s="4739">
        <f>CPL!S5</f>
        <v>29493.7</v>
      </c>
      <c r="H22" s="4739">
        <f>CPL!T5</f>
        <v>32433.26</v>
      </c>
      <c r="I22" s="4739">
        <f>CPL!U5</f>
        <v>28571.633000000002</v>
      </c>
      <c r="J22" s="4739">
        <f>CPL!V5</f>
        <v>29580.91</v>
      </c>
      <c r="K22" s="4739">
        <f>CPL!W5</f>
        <v>30626.621999999999</v>
      </c>
      <c r="L22" s="4739">
        <v>0</v>
      </c>
      <c r="M22" s="4740">
        <f>CPL!Y5</f>
        <v>0</v>
      </c>
      <c r="N22" s="6084">
        <f>SUM(B22:M22)</f>
        <v>281060.30499999999</v>
      </c>
      <c r="O22" s="6085">
        <v>247068.53899999999</v>
      </c>
    </row>
    <row r="23" spans="1:15" ht="16.2" customHeight="1">
      <c r="A23" s="3941" t="s">
        <v>1598</v>
      </c>
      <c r="B23" s="4739">
        <f>CPL!N9+CPL!N17</f>
        <v>173.53</v>
      </c>
      <c r="C23" s="4739">
        <f>CPL!O9+CPL!O17</f>
        <v>434.70000000000005</v>
      </c>
      <c r="D23" s="4739">
        <f>CPL!P9+CPL!P17</f>
        <v>186.6</v>
      </c>
      <c r="E23" s="4739">
        <f>CPL!Q9+CPL!Q17</f>
        <v>541.08000000000004</v>
      </c>
      <c r="F23" s="4739">
        <f>CPL!R9+CPL!R17</f>
        <v>685.14</v>
      </c>
      <c r="G23" s="4739">
        <f>CPL!S9+CPL!S17</f>
        <v>1024.3</v>
      </c>
      <c r="H23" s="4739">
        <f>CPL!T9+CPL!T17</f>
        <v>331.78</v>
      </c>
      <c r="I23" s="4739">
        <f>CPL!U9+CPL!U17</f>
        <v>148.68</v>
      </c>
      <c r="J23" s="4739">
        <f>CPL!V9+CPL!V17</f>
        <v>68.17</v>
      </c>
      <c r="K23" s="4739">
        <f>CPL!W9+CPL!W17</f>
        <v>529.76</v>
      </c>
      <c r="L23" s="4739">
        <f>CPL!X9+CPL!X17</f>
        <v>0</v>
      </c>
      <c r="M23" s="4740">
        <f>CPL!Y9+CPL!Y17</f>
        <v>0</v>
      </c>
      <c r="N23" s="6084">
        <f>SUM(B23:M23)</f>
        <v>4123.74</v>
      </c>
      <c r="O23" s="6209">
        <f>21.37+2197.18</f>
        <v>2218.5499999999997</v>
      </c>
    </row>
    <row r="24" spans="1:15" ht="16.2" customHeight="1">
      <c r="A24" s="3942" t="s">
        <v>1599</v>
      </c>
      <c r="B24" s="3932">
        <f>(B22-B23)/B22</f>
        <v>0.99338829309144638</v>
      </c>
      <c r="C24" s="3932">
        <f t="shared" ref="C24:N24" si="16">(C22-C23)/C22</f>
        <v>0.98497415845608871</v>
      </c>
      <c r="D24" s="3932">
        <f>(D22-D23)/D22</f>
        <v>0.99216069812638175</v>
      </c>
      <c r="E24" s="3932">
        <f t="shared" si="16"/>
        <v>0.97913735500002885</v>
      </c>
      <c r="F24" s="3932">
        <f>(F22-F23)/F22</f>
        <v>0.97306803628664851</v>
      </c>
      <c r="G24" s="3932">
        <f t="shared" si="16"/>
        <v>0.96527054930374967</v>
      </c>
      <c r="H24" s="3932">
        <f t="shared" si="16"/>
        <v>0.98977037769252929</v>
      </c>
      <c r="I24" s="3932">
        <f t="shared" si="16"/>
        <v>0.99479623723292254</v>
      </c>
      <c r="J24" s="3932">
        <f t="shared" si="16"/>
        <v>0.99769547319538177</v>
      </c>
      <c r="K24" s="3932">
        <f t="shared" si="16"/>
        <v>0.98270263041088901</v>
      </c>
      <c r="L24" s="3932" t="e">
        <f t="shared" si="16"/>
        <v>#DIV/0!</v>
      </c>
      <c r="M24" s="3943" t="e">
        <f t="shared" si="16"/>
        <v>#DIV/0!</v>
      </c>
      <c r="N24" s="6081">
        <f t="shared" si="16"/>
        <v>0.98532791743750514</v>
      </c>
      <c r="O24" s="6081">
        <f>(O22-O23)/O22</f>
        <v>0.99102050787615659</v>
      </c>
    </row>
    <row r="25" spans="1:15" ht="16.2" customHeight="1" thickBot="1">
      <c r="A25" s="3945" t="s">
        <v>1600</v>
      </c>
      <c r="B25" s="3946">
        <f>B18*B21*B24</f>
        <v>0.92261653863621507</v>
      </c>
      <c r="C25" s="3946">
        <f t="shared" ref="C25:N25" si="17">C18*C21*C24</f>
        <v>0.90411392528568935</v>
      </c>
      <c r="D25" s="3946">
        <f t="shared" si="17"/>
        <v>0.96005243013486852</v>
      </c>
      <c r="E25" s="3946">
        <f>E18*E21*E24</f>
        <v>0.86654048514677762</v>
      </c>
      <c r="F25" s="3946">
        <f t="shared" si="17"/>
        <v>0.92589857945700882</v>
      </c>
      <c r="G25" s="3946">
        <f t="shared" si="17"/>
        <v>0.87369190798908092</v>
      </c>
      <c r="H25" s="3946">
        <f t="shared" si="17"/>
        <v>0.90580858385569896</v>
      </c>
      <c r="I25" s="3946">
        <f t="shared" si="17"/>
        <v>0.87666507468131716</v>
      </c>
      <c r="J25" s="3946">
        <f t="shared" si="17"/>
        <v>0.8810556767102391</v>
      </c>
      <c r="K25" s="3946">
        <f t="shared" si="17"/>
        <v>0.88941796139939078</v>
      </c>
      <c r="L25" s="3946" t="e">
        <f t="shared" si="17"/>
        <v>#DIV/0!</v>
      </c>
      <c r="M25" s="3947" t="e">
        <f t="shared" si="17"/>
        <v>#DIV/0!</v>
      </c>
      <c r="N25" s="6082">
        <f t="shared" si="17"/>
        <v>0.89885431736838839</v>
      </c>
      <c r="O25" s="6087">
        <f>O18*O21*O24</f>
        <v>0.8569027384348803</v>
      </c>
    </row>
    <row r="26" spans="1:15" ht="16.2" customHeight="1" thickBot="1"/>
    <row r="27" spans="1:15" ht="16.2" customHeight="1">
      <c r="A27" s="3936" t="s">
        <v>28</v>
      </c>
      <c r="B27" s="3937" t="s">
        <v>18</v>
      </c>
      <c r="C27" s="3937" t="s">
        <v>85</v>
      </c>
      <c r="D27" s="3937" t="s">
        <v>6</v>
      </c>
      <c r="E27" s="3937" t="s">
        <v>7</v>
      </c>
      <c r="F27" s="3937" t="s">
        <v>8</v>
      </c>
      <c r="G27" s="3937" t="s">
        <v>9</v>
      </c>
      <c r="H27" s="3937" t="s">
        <v>10</v>
      </c>
      <c r="I27" s="3937" t="s">
        <v>11</v>
      </c>
      <c r="J27" s="3937" t="s">
        <v>12</v>
      </c>
      <c r="K27" s="3937" t="s">
        <v>13</v>
      </c>
      <c r="L27" s="3937" t="s">
        <v>14</v>
      </c>
      <c r="M27" s="3938" t="s">
        <v>15</v>
      </c>
      <c r="N27" s="6079" t="s">
        <v>197</v>
      </c>
      <c r="O27" s="6079" t="s">
        <v>1872</v>
      </c>
    </row>
    <row r="28" spans="1:15" ht="16.2" customHeight="1">
      <c r="A28" s="3939" t="s">
        <v>1593</v>
      </c>
      <c r="B28" s="3931">
        <f>년간!F27</f>
        <v>31821</v>
      </c>
      <c r="C28" s="3931">
        <f>년간!G27</f>
        <v>37027</v>
      </c>
      <c r="D28" s="3931">
        <f>년간!H27</f>
        <v>29015</v>
      </c>
      <c r="E28" s="3931">
        <f>년간!I27</f>
        <v>32351</v>
      </c>
      <c r="F28" s="3931">
        <f>년간!J27</f>
        <v>33450</v>
      </c>
      <c r="G28" s="3931">
        <f>년간!K27</f>
        <v>33550</v>
      </c>
      <c r="H28" s="3931">
        <f>년간!L27</f>
        <v>37601</v>
      </c>
      <c r="I28" s="3931">
        <f>년간!M27</f>
        <v>34530</v>
      </c>
      <c r="J28" s="3931">
        <f>년간!N27</f>
        <v>31965</v>
      </c>
      <c r="K28" s="3931">
        <f>년간!O27</f>
        <v>40049</v>
      </c>
      <c r="L28" s="3931">
        <f>년간!P27</f>
        <v>0</v>
      </c>
      <c r="M28" s="3940">
        <f>년간!Q27</f>
        <v>0</v>
      </c>
      <c r="N28" s="6084">
        <f>SUM(B28:M28)</f>
        <v>341359</v>
      </c>
      <c r="O28" s="6085">
        <v>319756</v>
      </c>
    </row>
    <row r="29" spans="1:15" ht="16.2" customHeight="1">
      <c r="A29" s="3941" t="s">
        <v>395</v>
      </c>
      <c r="B29" s="3931">
        <v>2180</v>
      </c>
      <c r="C29" s="3931">
        <v>2165</v>
      </c>
      <c r="D29" s="3931">
        <v>1166</v>
      </c>
      <c r="E29" s="3931">
        <v>1295</v>
      </c>
      <c r="F29" s="3931">
        <v>1435</v>
      </c>
      <c r="G29" s="3931">
        <v>2210</v>
      </c>
      <c r="H29" s="3931">
        <v>2085</v>
      </c>
      <c r="I29" s="3931">
        <f>2285-30</f>
        <v>2255</v>
      </c>
      <c r="J29" s="3931">
        <v>1870</v>
      </c>
      <c r="K29" s="3931">
        <v>2380</v>
      </c>
      <c r="L29" s="3931">
        <v>0</v>
      </c>
      <c r="M29" s="3940">
        <v>0</v>
      </c>
      <c r="N29" s="6084">
        <f>SUM(B29:M29)</f>
        <v>19041</v>
      </c>
      <c r="O29" s="6085">
        <v>16380</v>
      </c>
    </row>
    <row r="30" spans="1:15" ht="16.2" customHeight="1">
      <c r="A30" s="3942" t="s">
        <v>1594</v>
      </c>
      <c r="B30" s="3932">
        <f>(B28-B29)/B28</f>
        <v>0.93149178215643758</v>
      </c>
      <c r="C30" s="3932">
        <f t="shared" ref="C30:N30" si="18">(C28-C29)/C28</f>
        <v>0.94152915440084262</v>
      </c>
      <c r="D30" s="3932">
        <f t="shared" si="18"/>
        <v>0.95981388936756851</v>
      </c>
      <c r="E30" s="3932">
        <f t="shared" si="18"/>
        <v>0.9599703254922568</v>
      </c>
      <c r="F30" s="3932">
        <f t="shared" si="18"/>
        <v>0.95710014947683109</v>
      </c>
      <c r="G30" s="3932">
        <f t="shared" si="18"/>
        <v>0.93412816691505218</v>
      </c>
      <c r="H30" s="3932">
        <f t="shared" si="18"/>
        <v>0.94454934709183269</v>
      </c>
      <c r="I30" s="3932">
        <f t="shared" si="18"/>
        <v>0.93469446857804805</v>
      </c>
      <c r="J30" s="3932">
        <f t="shared" si="18"/>
        <v>0.9414985139996872</v>
      </c>
      <c r="K30" s="3932">
        <f t="shared" si="18"/>
        <v>0.94057279832205554</v>
      </c>
      <c r="L30" s="3932" t="e">
        <f t="shared" si="18"/>
        <v>#DIV/0!</v>
      </c>
      <c r="M30" s="3943" t="e">
        <f t="shared" si="18"/>
        <v>#DIV/0!</v>
      </c>
      <c r="N30" s="6081">
        <f t="shared" si="18"/>
        <v>0.94422001470592543</v>
      </c>
      <c r="O30" s="6081">
        <f>(O28-O29)/O28</f>
        <v>0.9487734397478077</v>
      </c>
    </row>
    <row r="31" spans="1:15" ht="16.2" customHeight="1">
      <c r="A31" s="3941" t="s">
        <v>1595</v>
      </c>
      <c r="B31" s="3931">
        <v>27660</v>
      </c>
      <c r="C31" s="3931">
        <v>33744</v>
      </c>
      <c r="D31" s="3931">
        <v>25578</v>
      </c>
      <c r="E31" s="3931">
        <v>30558</v>
      </c>
      <c r="F31" s="3931">
        <v>31611</v>
      </c>
      <c r="G31" s="3931">
        <v>31186</v>
      </c>
      <c r="H31" s="3931">
        <v>35871</v>
      </c>
      <c r="I31" s="3931">
        <v>31616</v>
      </c>
      <c r="J31" s="3931">
        <v>30276</v>
      </c>
      <c r="K31" s="3931">
        <v>37578</v>
      </c>
      <c r="L31" s="3931">
        <v>0</v>
      </c>
      <c r="M31" s="3940">
        <v>0</v>
      </c>
      <c r="N31" s="6084">
        <f>SUM(B31:M31)</f>
        <v>315678</v>
      </c>
      <c r="O31" s="6085">
        <v>277037</v>
      </c>
    </row>
    <row r="32" spans="1:15" ht="16.2" customHeight="1">
      <c r="A32" s="3939" t="s">
        <v>1602</v>
      </c>
      <c r="B32" s="3931">
        <v>29641</v>
      </c>
      <c r="C32" s="3931">
        <v>34892</v>
      </c>
      <c r="D32" s="3931">
        <v>26469</v>
      </c>
      <c r="E32" s="3931">
        <v>31056</v>
      </c>
      <c r="F32" s="3931">
        <v>32051</v>
      </c>
      <c r="G32" s="3931">
        <v>31340</v>
      </c>
      <c r="H32" s="3931">
        <v>35516</v>
      </c>
      <c r="I32" s="3931">
        <v>32230</v>
      </c>
      <c r="J32" s="3931">
        <v>30095</v>
      </c>
      <c r="K32" s="3931">
        <v>37669</v>
      </c>
      <c r="L32" s="3931">
        <v>0</v>
      </c>
      <c r="M32" s="3940">
        <v>0</v>
      </c>
      <c r="N32" s="6084">
        <f>SUM(B32:M32)</f>
        <v>320959</v>
      </c>
      <c r="O32" s="6085">
        <v>303039</v>
      </c>
    </row>
    <row r="33" spans="1:15" ht="16.2" customHeight="1">
      <c r="A33" s="3942" t="s">
        <v>1596</v>
      </c>
      <c r="B33" s="3932">
        <f>B31/B32</f>
        <v>0.93316689720319823</v>
      </c>
      <c r="C33" s="3932">
        <f t="shared" ref="C33:N33" si="19">C31/C32</f>
        <v>0.96709847529519666</v>
      </c>
      <c r="D33" s="3932">
        <f t="shared" si="19"/>
        <v>0.96633798027881668</v>
      </c>
      <c r="E33" s="3932">
        <f t="shared" si="19"/>
        <v>0.98396445131375576</v>
      </c>
      <c r="F33" s="3932">
        <f t="shared" si="19"/>
        <v>0.98627187919253689</v>
      </c>
      <c r="G33" s="3932">
        <f t="shared" si="19"/>
        <v>0.99508615188257821</v>
      </c>
      <c r="H33" s="3932">
        <f t="shared" si="19"/>
        <v>1.0099954949881744</v>
      </c>
      <c r="I33" s="3932">
        <f t="shared" si="19"/>
        <v>0.98094942600062052</v>
      </c>
      <c r="J33" s="3932">
        <f t="shared" si="19"/>
        <v>1.0060142880877223</v>
      </c>
      <c r="K33" s="3932">
        <f t="shared" si="19"/>
        <v>0.99758422044652106</v>
      </c>
      <c r="L33" s="3932" t="e">
        <f t="shared" si="19"/>
        <v>#DIV/0!</v>
      </c>
      <c r="M33" s="3943" t="e">
        <f t="shared" si="19"/>
        <v>#DIV/0!</v>
      </c>
      <c r="N33" s="6081">
        <f t="shared" si="19"/>
        <v>0.98354618502674795</v>
      </c>
      <c r="O33" s="6081">
        <f>O31/O32</f>
        <v>0.91419586257874397</v>
      </c>
    </row>
    <row r="34" spans="1:15" ht="16.2" customHeight="1">
      <c r="A34" s="3941" t="s">
        <v>1597</v>
      </c>
      <c r="B34" s="3934">
        <f>CRM!N5</f>
        <v>22650.43</v>
      </c>
      <c r="C34" s="3934">
        <f>CRM!O5</f>
        <v>27040.54</v>
      </c>
      <c r="D34" s="3934">
        <f>CRM!P5</f>
        <v>21718.05</v>
      </c>
      <c r="E34" s="3934">
        <f>CRM!Q5</f>
        <v>26465.74</v>
      </c>
      <c r="F34" s="3934">
        <f>CRM!R5</f>
        <v>24555.22</v>
      </c>
      <c r="G34" s="3934">
        <f>CRM!S5</f>
        <v>26319.439999999999</v>
      </c>
      <c r="H34" s="3934">
        <f>CRM!T5</f>
        <v>31018.73</v>
      </c>
      <c r="I34" s="3934">
        <f>CRM!U5</f>
        <v>28360.402999999998</v>
      </c>
      <c r="J34" s="3934">
        <f>CRM!V5</f>
        <v>26496.3</v>
      </c>
      <c r="K34" s="3934">
        <f>CRM!W5</f>
        <v>29912.322</v>
      </c>
      <c r="L34" s="3934">
        <f>CRM!X5</f>
        <v>0</v>
      </c>
      <c r="M34" s="3944">
        <f>CRM!Y5</f>
        <v>0</v>
      </c>
      <c r="N34" s="6084">
        <f>SUM(B34:M34)</f>
        <v>264537.17499999999</v>
      </c>
      <c r="O34" s="6209">
        <v>237754.489</v>
      </c>
    </row>
    <row r="35" spans="1:15" ht="16.2" customHeight="1">
      <c r="A35" s="3941" t="s">
        <v>1598</v>
      </c>
      <c r="B35" s="3934">
        <f>CRM!N8+CRM!N10</f>
        <v>23.24</v>
      </c>
      <c r="C35" s="3934">
        <f>CRM!O8+CRM!O10</f>
        <v>73.63</v>
      </c>
      <c r="D35" s="3934">
        <f>CRM!P8+CRM!P10</f>
        <v>20.329999999999998</v>
      </c>
      <c r="E35" s="3934">
        <f>CRM!Q8+CRM!Q10</f>
        <v>19.04</v>
      </c>
      <c r="F35" s="3934">
        <f>CRM!R8+CRM!R10</f>
        <v>21.05</v>
      </c>
      <c r="G35" s="3934">
        <f>CRM!S8+CRM!S10</f>
        <v>79.36999999999999</v>
      </c>
      <c r="H35" s="3934">
        <f>CRM!T8+CRM!T10</f>
        <v>0</v>
      </c>
      <c r="I35" s="3934">
        <f>CRM!U8+CRM!U10</f>
        <v>20.010000000000002</v>
      </c>
      <c r="J35" s="3934">
        <f>CRM!V8+CRM!V10</f>
        <v>19.64</v>
      </c>
      <c r="K35" s="3934">
        <f>CRM!W8+CRM!W10</f>
        <v>49.84</v>
      </c>
      <c r="L35" s="3934">
        <f>CRM!X8+CRM!X10</f>
        <v>0</v>
      </c>
      <c r="M35" s="3944">
        <f>CRM!Y8+CRM!Y10</f>
        <v>0</v>
      </c>
      <c r="N35" s="6084">
        <f>SUM(B35:M35)</f>
        <v>326.14999999999998</v>
      </c>
      <c r="O35" s="6086">
        <f>29.43+393.21</f>
        <v>422.64</v>
      </c>
    </row>
    <row r="36" spans="1:15" ht="16.2" customHeight="1">
      <c r="A36" s="3942" t="s">
        <v>1599</v>
      </c>
      <c r="B36" s="3932">
        <f>(B34-B35)/B34</f>
        <v>0.99897397091357643</v>
      </c>
      <c r="C36" s="3932">
        <f t="shared" ref="C36:N36" si="20">(C34-C35)/C34</f>
        <v>0.99727705141983103</v>
      </c>
      <c r="D36" s="3932">
        <f t="shared" si="20"/>
        <v>0.99906391227573366</v>
      </c>
      <c r="E36" s="3932">
        <f t="shared" si="20"/>
        <v>0.99928057934522141</v>
      </c>
      <c r="F36" s="3932">
        <f t="shared" si="20"/>
        <v>0.99914274846651752</v>
      </c>
      <c r="G36" s="3932">
        <f t="shared" si="20"/>
        <v>0.99698435832981258</v>
      </c>
      <c r="H36" s="3932">
        <f t="shared" si="20"/>
        <v>1</v>
      </c>
      <c r="I36" s="3932">
        <f t="shared" si="20"/>
        <v>0.99929443879905377</v>
      </c>
      <c r="J36" s="3932">
        <f t="shared" si="20"/>
        <v>0.99925876443126027</v>
      </c>
      <c r="K36" s="3932">
        <f t="shared" si="20"/>
        <v>0.99833379702184266</v>
      </c>
      <c r="L36" s="3932" t="e">
        <f t="shared" si="20"/>
        <v>#DIV/0!</v>
      </c>
      <c r="M36" s="3943" t="e">
        <f t="shared" si="20"/>
        <v>#DIV/0!</v>
      </c>
      <c r="N36" s="6081">
        <f t="shared" si="20"/>
        <v>0.99876709199756131</v>
      </c>
      <c r="O36" s="6081">
        <f>(O34-O35)/O34</f>
        <v>0.99822236794864461</v>
      </c>
    </row>
    <row r="37" spans="1:15" ht="16.2" customHeight="1" thickBot="1">
      <c r="A37" s="3945" t="s">
        <v>1600</v>
      </c>
      <c r="B37" s="3946">
        <f>B30*B33*B36</f>
        <v>0.8683454333763716</v>
      </c>
      <c r="C37" s="3946">
        <f t="shared" ref="C37:N37" si="21">C30*C33*C36</f>
        <v>0.90807202499890705</v>
      </c>
      <c r="D37" s="3946">
        <f t="shared" si="21"/>
        <v>0.92663638961043371</v>
      </c>
      <c r="E37" s="3946">
        <f t="shared" si="21"/>
        <v>0.94389712663074632</v>
      </c>
      <c r="F37" s="3946">
        <f t="shared" si="21"/>
        <v>0.94315175101689275</v>
      </c>
      <c r="G37" s="3946">
        <f t="shared" si="21"/>
        <v>0.92673484944481477</v>
      </c>
      <c r="H37" s="3946">
        <f t="shared" si="21"/>
        <v>0.9539905853567725</v>
      </c>
      <c r="I37" s="3946">
        <f t="shared" si="21"/>
        <v>0.91624108183745823</v>
      </c>
      <c r="J37" s="3946">
        <f t="shared" si="21"/>
        <v>0.94645888790617361</v>
      </c>
      <c r="K37" s="3946">
        <f t="shared" si="21"/>
        <v>0.93673718256352989</v>
      </c>
      <c r="L37" s="3946" t="e">
        <f t="shared" si="21"/>
        <v>#DIV/0!</v>
      </c>
      <c r="M37" s="3947" t="e">
        <f t="shared" si="21"/>
        <v>#DIV/0!</v>
      </c>
      <c r="N37" s="6082">
        <f t="shared" si="21"/>
        <v>0.927539011362849</v>
      </c>
      <c r="O37" s="6087">
        <f>O30*O33*O36</f>
        <v>0.86582289775664778</v>
      </c>
    </row>
    <row r="38" spans="1:15" s="299" customFormat="1" ht="16.2" customHeight="1" thickBot="1"/>
    <row r="39" spans="1:15" ht="16.2" customHeight="1">
      <c r="A39" s="3936" t="s">
        <v>29</v>
      </c>
      <c r="B39" s="3937" t="s">
        <v>18</v>
      </c>
      <c r="C39" s="3937" t="s">
        <v>85</v>
      </c>
      <c r="D39" s="3937" t="s">
        <v>6</v>
      </c>
      <c r="E39" s="3937" t="s">
        <v>7</v>
      </c>
      <c r="F39" s="3937" t="s">
        <v>8</v>
      </c>
      <c r="G39" s="3937" t="s">
        <v>9</v>
      </c>
      <c r="H39" s="3937" t="s">
        <v>10</v>
      </c>
      <c r="I39" s="3937" t="s">
        <v>11</v>
      </c>
      <c r="J39" s="3937" t="s">
        <v>12</v>
      </c>
      <c r="K39" s="3937" t="s">
        <v>13</v>
      </c>
      <c r="L39" s="3937" t="s">
        <v>14</v>
      </c>
      <c r="M39" s="3938" t="s">
        <v>15</v>
      </c>
      <c r="N39" s="6079" t="s">
        <v>197</v>
      </c>
      <c r="O39" s="6079" t="s">
        <v>1872</v>
      </c>
    </row>
    <row r="40" spans="1:15" ht="16.2" customHeight="1">
      <c r="A40" s="3939" t="s">
        <v>1593</v>
      </c>
      <c r="B40" s="3931">
        <f>년간!F28</f>
        <v>37400</v>
      </c>
      <c r="C40" s="3931">
        <f>년간!G28</f>
        <v>38881</v>
      </c>
      <c r="D40" s="3931">
        <f>년간!H28</f>
        <v>42720</v>
      </c>
      <c r="E40" s="3931">
        <f>년간!I28</f>
        <v>35393</v>
      </c>
      <c r="F40" s="3931">
        <f>년간!J28</f>
        <v>36471</v>
      </c>
      <c r="G40" s="3931">
        <f>년간!K28</f>
        <v>37440</v>
      </c>
      <c r="H40" s="3931">
        <f>년간!L28</f>
        <v>44640</v>
      </c>
      <c r="I40" s="3931">
        <f>년간!M28</f>
        <v>42632</v>
      </c>
      <c r="J40" s="3931">
        <f>년간!N28</f>
        <v>41086</v>
      </c>
      <c r="K40" s="3931">
        <f>년간!O28</f>
        <v>44640</v>
      </c>
      <c r="L40" s="3931">
        <f>년간!P28</f>
        <v>3040</v>
      </c>
      <c r="M40" s="3940">
        <f>년간!Q28</f>
        <v>0</v>
      </c>
      <c r="N40" s="6084">
        <f>SUM(B40:M40)</f>
        <v>404343</v>
      </c>
      <c r="O40" s="6085">
        <v>372767</v>
      </c>
    </row>
    <row r="41" spans="1:15" ht="16.2" customHeight="1">
      <c r="A41" s="3941" t="s">
        <v>395</v>
      </c>
      <c r="B41" s="3931">
        <f>(비가동!N17+비가동!N19+비가동!N21)*60</f>
        <v>0</v>
      </c>
      <c r="C41" s="3931">
        <f>(비가동!O17+비가동!O19+비가동!O21)*60</f>
        <v>215</v>
      </c>
      <c r="D41" s="3931">
        <f>(비가동!P17+비가동!P19+비가동!P21)*60</f>
        <v>60</v>
      </c>
      <c r="E41" s="3931">
        <f>(비가동!Q17+비가동!Q19+비가동!Q21)*60</f>
        <v>0</v>
      </c>
      <c r="F41" s="3931">
        <f>(비가동!R17+비가동!R19+비가동!R21)*60</f>
        <v>305</v>
      </c>
      <c r="G41" s="3931">
        <f>(비가동!S17+비가동!S19+비가동!S21)*60</f>
        <v>214.99999999999997</v>
      </c>
      <c r="H41" s="3931">
        <f>(비가동!T17+비가동!T19+비가동!T21)*60</f>
        <v>15</v>
      </c>
      <c r="I41" s="3931">
        <f>(비가동!U17+비가동!U19+비가동!U21)*60</f>
        <v>540</v>
      </c>
      <c r="J41" s="3931">
        <f>(비가동!V17+비가동!V19+비가동!V21)*60</f>
        <v>11</v>
      </c>
      <c r="K41" s="3931">
        <f>(비가동!W17+비가동!W19+비가동!W21)*60</f>
        <v>90</v>
      </c>
      <c r="L41" s="3931">
        <f>(비가동!X17+비가동!X19+비가동!X21)*60</f>
        <v>0</v>
      </c>
      <c r="M41" s="3940">
        <f>(비가동!Y17+비가동!Y19+비가동!Y21)*60</f>
        <v>0</v>
      </c>
      <c r="N41" s="6084">
        <f>SUM(B41:M41)</f>
        <v>1451</v>
      </c>
      <c r="O41" s="6085">
        <v>7296</v>
      </c>
    </row>
    <row r="42" spans="1:15" ht="16.2" customHeight="1">
      <c r="A42" s="3942" t="s">
        <v>1594</v>
      </c>
      <c r="B42" s="3932">
        <f>(B40-B41)/B40</f>
        <v>1</v>
      </c>
      <c r="C42" s="3932">
        <f t="shared" ref="C42:N42" si="22">(C40-C41)/C40</f>
        <v>0.99447030683367199</v>
      </c>
      <c r="D42" s="3932">
        <f t="shared" si="22"/>
        <v>0.9985955056179775</v>
      </c>
      <c r="E42" s="3932">
        <f t="shared" si="22"/>
        <v>1</v>
      </c>
      <c r="F42" s="3932">
        <f t="shared" si="22"/>
        <v>0.99163719119300264</v>
      </c>
      <c r="G42" s="3932">
        <f t="shared" si="22"/>
        <v>0.9942574786324786</v>
      </c>
      <c r="H42" s="3932">
        <f t="shared" si="22"/>
        <v>0.99966397849462363</v>
      </c>
      <c r="I42" s="3932">
        <f t="shared" si="22"/>
        <v>0.98733345843497844</v>
      </c>
      <c r="J42" s="3932">
        <f t="shared" si="22"/>
        <v>0.99973226889938183</v>
      </c>
      <c r="K42" s="3932">
        <f t="shared" si="22"/>
        <v>0.99798387096774188</v>
      </c>
      <c r="L42" s="3932">
        <f t="shared" si="22"/>
        <v>1</v>
      </c>
      <c r="M42" s="3943" t="e">
        <f t="shared" si="22"/>
        <v>#DIV/0!</v>
      </c>
      <c r="N42" s="6081">
        <f t="shared" si="22"/>
        <v>0.99641146254541313</v>
      </c>
      <c r="O42" s="6081">
        <f>(O40-O41)/O40</f>
        <v>0.98042745200084769</v>
      </c>
    </row>
    <row r="43" spans="1:15" ht="16.2" customHeight="1">
      <c r="A43" s="3941" t="s">
        <v>1595</v>
      </c>
      <c r="B43" s="3931">
        <v>35210</v>
      </c>
      <c r="C43" s="3931">
        <v>35034</v>
      </c>
      <c r="D43" s="3931">
        <v>30836</v>
      </c>
      <c r="E43" s="3931">
        <v>32489</v>
      </c>
      <c r="F43" s="3931">
        <v>33156</v>
      </c>
      <c r="G43" s="3931">
        <v>33587</v>
      </c>
      <c r="H43" s="3931">
        <v>41748</v>
      </c>
      <c r="I43" s="3931">
        <v>38024</v>
      </c>
      <c r="J43" s="3931">
        <v>38956</v>
      </c>
      <c r="K43" s="3931">
        <v>40490</v>
      </c>
      <c r="L43" s="3931">
        <v>0</v>
      </c>
      <c r="M43" s="3940">
        <v>0</v>
      </c>
      <c r="N43" s="6084">
        <f>SUM(B43:M43)</f>
        <v>359530</v>
      </c>
      <c r="O43" s="6085">
        <v>330942</v>
      </c>
    </row>
    <row r="44" spans="1:15" ht="16.2" customHeight="1">
      <c r="A44" s="3939" t="s">
        <v>1602</v>
      </c>
      <c r="B44" s="3931">
        <v>37400</v>
      </c>
      <c r="C44" s="3931">
        <v>38666</v>
      </c>
      <c r="D44" s="3931">
        <v>34056</v>
      </c>
      <c r="E44" s="3931">
        <v>35393</v>
      </c>
      <c r="F44" s="3931">
        <v>35773</v>
      </c>
      <c r="G44" s="3931">
        <v>37225</v>
      </c>
      <c r="H44" s="3931">
        <v>44625</v>
      </c>
      <c r="I44" s="3931">
        <v>41844</v>
      </c>
      <c r="J44" s="3931">
        <v>41074</v>
      </c>
      <c r="K44" s="3931">
        <v>44550</v>
      </c>
      <c r="L44" s="3931">
        <v>0</v>
      </c>
      <c r="M44" s="3940">
        <v>0</v>
      </c>
      <c r="N44" s="6084">
        <f>SUM(B44:M44)</f>
        <v>390606</v>
      </c>
      <c r="O44" s="6085">
        <v>365465</v>
      </c>
    </row>
    <row r="45" spans="1:15" ht="16.2" customHeight="1">
      <c r="A45" s="3942" t="s">
        <v>1596</v>
      </c>
      <c r="B45" s="3932">
        <f>B43/B44</f>
        <v>0.94144385026737964</v>
      </c>
      <c r="C45" s="3932">
        <f t="shared" ref="C45:N45" si="23">C43/C44</f>
        <v>0.90606734598872396</v>
      </c>
      <c r="D45" s="3932">
        <f t="shared" si="23"/>
        <v>0.90544984731031242</v>
      </c>
      <c r="E45" s="3932">
        <f t="shared" si="23"/>
        <v>0.91794987709434073</v>
      </c>
      <c r="F45" s="3932">
        <f t="shared" si="23"/>
        <v>0.92684426802336961</v>
      </c>
      <c r="G45" s="3932">
        <f t="shared" si="23"/>
        <v>0.90226997985224988</v>
      </c>
      <c r="H45" s="3932">
        <f t="shared" si="23"/>
        <v>0.93552941176470583</v>
      </c>
      <c r="I45" s="3932">
        <f t="shared" si="23"/>
        <v>0.9087085364687888</v>
      </c>
      <c r="J45" s="3932">
        <f t="shared" si="23"/>
        <v>0.94843453279446854</v>
      </c>
      <c r="K45" s="3932">
        <f t="shared" si="23"/>
        <v>0.90886644219977553</v>
      </c>
      <c r="L45" s="3932" t="e">
        <f t="shared" si="23"/>
        <v>#DIV/0!</v>
      </c>
      <c r="M45" s="3943" t="e">
        <f t="shared" si="23"/>
        <v>#DIV/0!</v>
      </c>
      <c r="N45" s="6081">
        <f t="shared" si="23"/>
        <v>0.92044157027797835</v>
      </c>
      <c r="O45" s="6081">
        <f>O43/O44</f>
        <v>0.90553678190798026</v>
      </c>
    </row>
    <row r="46" spans="1:15" ht="16.2" customHeight="1">
      <c r="A46" s="3941" t="s">
        <v>1597</v>
      </c>
      <c r="B46" s="3934">
        <f>CGL!N5</f>
        <v>24738.14</v>
      </c>
      <c r="C46" s="3934">
        <f>CGL!O5</f>
        <v>24620.850000000002</v>
      </c>
      <c r="D46" s="3934">
        <f>CGL!P5</f>
        <v>26927.78</v>
      </c>
      <c r="E46" s="3934">
        <f>CGL!Q5</f>
        <v>24694.04</v>
      </c>
      <c r="F46" s="3934">
        <f>CGL!R5</f>
        <v>22811.49</v>
      </c>
      <c r="G46" s="3934">
        <f>CGL!S5</f>
        <v>24990.170000000002</v>
      </c>
      <c r="H46" s="3934">
        <f>CGL!T5</f>
        <v>30848.92</v>
      </c>
      <c r="I46" s="3934">
        <f>CGL!U5</f>
        <v>27730.79</v>
      </c>
      <c r="J46" s="3934">
        <f>CGL!V5</f>
        <v>29266.38</v>
      </c>
      <c r="K46" s="3934">
        <f>CGL!W5</f>
        <v>27208.309999999998</v>
      </c>
      <c r="L46" s="3934">
        <v>0</v>
      </c>
      <c r="M46" s="3944">
        <f>CGL!Y5</f>
        <v>0</v>
      </c>
      <c r="N46" s="6084">
        <f>SUM(B46:M46)</f>
        <v>263836.87</v>
      </c>
      <c r="O46" s="6209">
        <v>239665.67</v>
      </c>
    </row>
    <row r="47" spans="1:15" ht="16.2" customHeight="1">
      <c r="A47" s="3941" t="s">
        <v>1598</v>
      </c>
      <c r="B47" s="3934">
        <f>CGL!N9</f>
        <v>4.84</v>
      </c>
      <c r="C47" s="3934">
        <f>CGL!O9</f>
        <v>41.36</v>
      </c>
      <c r="D47" s="3934">
        <f>CGL!P9</f>
        <v>22.59</v>
      </c>
      <c r="E47" s="3934">
        <f>CGL!Q9</f>
        <v>0</v>
      </c>
      <c r="F47" s="3934">
        <f>CGL!R9</f>
        <v>26.65</v>
      </c>
      <c r="G47" s="3934">
        <f>CGL!S9</f>
        <v>40.56</v>
      </c>
      <c r="H47" s="3934">
        <f>CGL!T9</f>
        <v>37.85</v>
      </c>
      <c r="I47" s="3934">
        <f>CGL!U9</f>
        <v>7.47</v>
      </c>
      <c r="J47" s="3934">
        <f>CGL!V9</f>
        <v>0</v>
      </c>
      <c r="K47" s="3934">
        <f>CGL!W9</f>
        <v>24.21</v>
      </c>
      <c r="L47" s="3934">
        <f>CGL!X9</f>
        <v>0</v>
      </c>
      <c r="M47" s="3944">
        <f>CGL!Y9</f>
        <v>0</v>
      </c>
      <c r="N47" s="6084">
        <f>SUM(B47:M47)</f>
        <v>205.53</v>
      </c>
      <c r="O47" s="6086">
        <f>330.85</f>
        <v>330.85</v>
      </c>
    </row>
    <row r="48" spans="1:15" ht="16.2" customHeight="1">
      <c r="A48" s="3942" t="s">
        <v>1599</v>
      </c>
      <c r="B48" s="3932">
        <f>(B46-B47)/B46</f>
        <v>0.99980435069087648</v>
      </c>
      <c r="C48" s="3932">
        <f t="shared" ref="C48:N48" si="24">(C46-C47)/C46</f>
        <v>0.99832012298519346</v>
      </c>
      <c r="D48" s="3932">
        <f t="shared" si="24"/>
        <v>0.99916108940283976</v>
      </c>
      <c r="E48" s="3932">
        <f t="shared" si="24"/>
        <v>1</v>
      </c>
      <c r="F48" s="3932">
        <f t="shared" si="24"/>
        <v>0.99883172909792384</v>
      </c>
      <c r="G48" s="3932">
        <f t="shared" si="24"/>
        <v>0.99837696182138813</v>
      </c>
      <c r="H48" s="3932">
        <f t="shared" si="24"/>
        <v>0.99877305267088767</v>
      </c>
      <c r="I48" s="3932">
        <f t="shared" si="24"/>
        <v>0.9997306243348999</v>
      </c>
      <c r="J48" s="3932">
        <f t="shared" si="24"/>
        <v>1</v>
      </c>
      <c r="K48" s="3932">
        <f t="shared" si="24"/>
        <v>0.99911019831808745</v>
      </c>
      <c r="L48" s="3932" t="e">
        <f t="shared" si="24"/>
        <v>#DIV/0!</v>
      </c>
      <c r="M48" s="3943" t="e">
        <f t="shared" si="24"/>
        <v>#DIV/0!</v>
      </c>
      <c r="N48" s="6081">
        <f t="shared" si="24"/>
        <v>0.99922099591311853</v>
      </c>
      <c r="O48" s="6081">
        <f>(O46-O47)/O46</f>
        <v>0.99861953528847081</v>
      </c>
    </row>
    <row r="49" spans="1:15" ht="16.2" customHeight="1" thickBot="1">
      <c r="A49" s="3945" t="s">
        <v>1600</v>
      </c>
      <c r="B49" s="3946">
        <f>B42*B45*B48</f>
        <v>0.94125965742849627</v>
      </c>
      <c r="C49" s="3946">
        <f t="shared" ref="C49:N49" si="25">C42*C45*C48</f>
        <v>0.89954340651380538</v>
      </c>
      <c r="D49" s="3946">
        <f t="shared" si="25"/>
        <v>0.90341962345641136</v>
      </c>
      <c r="E49" s="3946">
        <f t="shared" si="25"/>
        <v>0.91794987709434073</v>
      </c>
      <c r="F49" s="3946">
        <f t="shared" si="25"/>
        <v>0.9180194967197125</v>
      </c>
      <c r="G49" s="3946">
        <f t="shared" si="25"/>
        <v>0.89563266604420311</v>
      </c>
      <c r="H49" s="3946">
        <f t="shared" si="25"/>
        <v>0.93406759415108009</v>
      </c>
      <c r="I49" s="3946">
        <f t="shared" si="25"/>
        <v>0.89695665862100826</v>
      </c>
      <c r="J49" s="3946">
        <f t="shared" si="25"/>
        <v>0.94818060737313925</v>
      </c>
      <c r="K49" s="3946">
        <f t="shared" si="25"/>
        <v>0.90622696975581007</v>
      </c>
      <c r="L49" s="3946" t="e">
        <f t="shared" si="25"/>
        <v>#DIV/0!</v>
      </c>
      <c r="M49" s="3947" t="e">
        <f t="shared" si="25"/>
        <v>#DIV/0!</v>
      </c>
      <c r="N49" s="6082">
        <f t="shared" si="25"/>
        <v>0.91642407656421376</v>
      </c>
      <c r="O49" s="6087">
        <f>O42*O45*O48</f>
        <v>0.88658752509680072</v>
      </c>
    </row>
    <row r="50" spans="1:15" ht="16.2" customHeight="1" thickBot="1"/>
    <row r="51" spans="1:15" ht="16.2" customHeight="1">
      <c r="A51" s="3936" t="s">
        <v>505</v>
      </c>
      <c r="B51" s="3937" t="s">
        <v>18</v>
      </c>
      <c r="C51" s="3937" t="s">
        <v>85</v>
      </c>
      <c r="D51" s="3937" t="s">
        <v>6</v>
      </c>
      <c r="E51" s="3937" t="s">
        <v>7</v>
      </c>
      <c r="F51" s="3937" t="s">
        <v>8</v>
      </c>
      <c r="G51" s="3937" t="s">
        <v>9</v>
      </c>
      <c r="H51" s="3937" t="s">
        <v>10</v>
      </c>
      <c r="I51" s="3937" t="s">
        <v>11</v>
      </c>
      <c r="J51" s="3937" t="s">
        <v>12</v>
      </c>
      <c r="K51" s="3937" t="s">
        <v>13</v>
      </c>
      <c r="L51" s="3937" t="s">
        <v>14</v>
      </c>
      <c r="M51" s="3938" t="s">
        <v>15</v>
      </c>
      <c r="N51" s="6079" t="s">
        <v>197</v>
      </c>
      <c r="O51" s="6079" t="s">
        <v>1872</v>
      </c>
    </row>
    <row r="52" spans="1:15" ht="16.2" customHeight="1">
      <c r="A52" s="3939" t="s">
        <v>1593</v>
      </c>
      <c r="B52" s="3931">
        <f>년간!F29</f>
        <v>39981</v>
      </c>
      <c r="C52" s="3931">
        <f>년간!G29</f>
        <v>35453</v>
      </c>
      <c r="D52" s="3931">
        <f>년간!H29</f>
        <v>37664</v>
      </c>
      <c r="E52" s="3931">
        <f>년간!I29</f>
        <v>38495</v>
      </c>
      <c r="F52" s="3931">
        <f>년간!J29</f>
        <v>40320</v>
      </c>
      <c r="G52" s="3931">
        <f>년간!K29</f>
        <v>41569</v>
      </c>
      <c r="H52" s="3931">
        <f>년간!L29</f>
        <v>44640</v>
      </c>
      <c r="I52" s="3931">
        <f>년간!M29</f>
        <v>38160</v>
      </c>
      <c r="J52" s="3931">
        <f>년간!N29</f>
        <v>39964</v>
      </c>
      <c r="K52" s="3931">
        <f>년간!O29</f>
        <v>42170</v>
      </c>
      <c r="L52" s="3931">
        <f>년간!P29</f>
        <v>42474</v>
      </c>
      <c r="M52" s="3940">
        <f>년간!Q29</f>
        <v>42450</v>
      </c>
      <c r="N52" s="6084">
        <f>SUM(B52:M52)</f>
        <v>483340</v>
      </c>
      <c r="O52" s="6085">
        <v>371052</v>
      </c>
    </row>
    <row r="53" spans="1:15" ht="16.2" customHeight="1">
      <c r="A53" s="3941" t="s">
        <v>395</v>
      </c>
      <c r="B53" s="3931">
        <v>4464</v>
      </c>
      <c r="C53" s="3931">
        <v>4878</v>
      </c>
      <c r="D53" s="3931">
        <v>4170</v>
      </c>
      <c r="E53" s="3931">
        <v>4744</v>
      </c>
      <c r="F53" s="3931">
        <v>4523</v>
      </c>
      <c r="G53" s="3931">
        <v>4913</v>
      </c>
      <c r="H53" s="3931">
        <v>5756</v>
      </c>
      <c r="I53" s="3931">
        <f>5729-25</f>
        <v>5704</v>
      </c>
      <c r="J53" s="3931">
        <v>5918</v>
      </c>
      <c r="K53" s="3931">
        <v>5104</v>
      </c>
      <c r="L53" s="3931">
        <v>5628</v>
      </c>
      <c r="M53" s="3940">
        <v>7066</v>
      </c>
      <c r="N53" s="6084">
        <f>SUM(B53:M53)</f>
        <v>62868</v>
      </c>
      <c r="O53" s="6085">
        <v>51995</v>
      </c>
    </row>
    <row r="54" spans="1:15" ht="16.2" customHeight="1">
      <c r="A54" s="3942" t="s">
        <v>1594</v>
      </c>
      <c r="B54" s="3932">
        <f>(B52-B53)/B52</f>
        <v>0.8883469648082839</v>
      </c>
      <c r="C54" s="3932">
        <f t="shared" ref="C54:N54" si="26">(C52-C53)/C52</f>
        <v>0.86240938707584691</v>
      </c>
      <c r="D54" s="3932">
        <f t="shared" si="26"/>
        <v>0.88928419711129991</v>
      </c>
      <c r="E54" s="3932">
        <f t="shared" si="26"/>
        <v>0.87676321600207818</v>
      </c>
      <c r="F54" s="3932">
        <f t="shared" si="26"/>
        <v>0.88782242063492067</v>
      </c>
      <c r="G54" s="3932">
        <f t="shared" si="26"/>
        <v>0.88181096490172961</v>
      </c>
      <c r="H54" s="3932">
        <f t="shared" si="26"/>
        <v>0.87105734767025089</v>
      </c>
      <c r="I54" s="3932">
        <f t="shared" si="26"/>
        <v>0.85052410901467501</v>
      </c>
      <c r="J54" s="3932">
        <f t="shared" si="26"/>
        <v>0.85191672505254734</v>
      </c>
      <c r="K54" s="3932">
        <f t="shared" si="26"/>
        <v>0.87896608963718281</v>
      </c>
      <c r="L54" s="3932">
        <f t="shared" si="26"/>
        <v>0.86749540895606725</v>
      </c>
      <c r="M54" s="3943">
        <f t="shared" si="26"/>
        <v>0.833545347467609</v>
      </c>
      <c r="N54" s="6081">
        <f t="shared" si="26"/>
        <v>0.86993006993006994</v>
      </c>
      <c r="O54" s="6081">
        <f>(O52-O53)/O52</f>
        <v>0.85987139268889534</v>
      </c>
    </row>
    <row r="55" spans="1:15" ht="16.2" customHeight="1">
      <c r="A55" s="3941" t="s">
        <v>1595</v>
      </c>
      <c r="B55" s="3931">
        <v>34264</v>
      </c>
      <c r="C55" s="3931">
        <v>29079</v>
      </c>
      <c r="D55" s="3931">
        <v>29892</v>
      </c>
      <c r="E55" s="3931">
        <v>33447</v>
      </c>
      <c r="F55" s="3931">
        <v>30496</v>
      </c>
      <c r="G55" s="3931">
        <v>34434</v>
      </c>
      <c r="H55" s="3931">
        <v>37788</v>
      </c>
      <c r="I55" s="3931">
        <v>31092</v>
      </c>
      <c r="J55" s="3931">
        <v>34318</v>
      </c>
      <c r="K55" s="3931">
        <v>37558</v>
      </c>
      <c r="L55" s="3931">
        <v>33382</v>
      </c>
      <c r="M55" s="3940">
        <v>33104</v>
      </c>
      <c r="N55" s="6084">
        <f>SUM(B55:M55)</f>
        <v>398854</v>
      </c>
      <c r="O55" s="6085">
        <v>305944</v>
      </c>
    </row>
    <row r="56" spans="1:15" ht="16.2" customHeight="1">
      <c r="A56" s="3939" t="s">
        <v>1602</v>
      </c>
      <c r="B56" s="3931">
        <v>39043</v>
      </c>
      <c r="C56" s="3931">
        <v>34001</v>
      </c>
      <c r="D56" s="3931">
        <v>32758</v>
      </c>
      <c r="E56" s="3931">
        <v>37799</v>
      </c>
      <c r="F56" s="3931">
        <v>39371</v>
      </c>
      <c r="G56" s="3931">
        <v>40600</v>
      </c>
      <c r="H56" s="3931">
        <v>43275</v>
      </c>
      <c r="I56" s="3931">
        <v>37002</v>
      </c>
      <c r="J56" s="3931">
        <v>38865</v>
      </c>
      <c r="K56" s="3931">
        <v>41281</v>
      </c>
      <c r="L56" s="3931">
        <v>40889</v>
      </c>
      <c r="M56" s="3940">
        <v>39713</v>
      </c>
      <c r="N56" s="6084">
        <f>SUM(B56:M56)</f>
        <v>464597</v>
      </c>
      <c r="O56" s="6085">
        <v>353934</v>
      </c>
    </row>
    <row r="57" spans="1:15" ht="16.2" customHeight="1">
      <c r="A57" s="3942" t="s">
        <v>1596</v>
      </c>
      <c r="B57" s="3932">
        <f>B55/B56</f>
        <v>0.87759649617088853</v>
      </c>
      <c r="C57" s="3932">
        <f t="shared" ref="C57:N57" si="27">C55/C56</f>
        <v>0.85523955177788891</v>
      </c>
      <c r="D57" s="3932">
        <f t="shared" si="27"/>
        <v>0.91250992124061303</v>
      </c>
      <c r="E57" s="3932">
        <f t="shared" si="27"/>
        <v>0.88486467895976084</v>
      </c>
      <c r="F57" s="3932">
        <f t="shared" si="27"/>
        <v>0.77458027482156921</v>
      </c>
      <c r="G57" s="3932">
        <f t="shared" si="27"/>
        <v>0.848128078817734</v>
      </c>
      <c r="H57" s="3932">
        <f t="shared" si="27"/>
        <v>0.87320623916811091</v>
      </c>
      <c r="I57" s="3932">
        <f t="shared" si="27"/>
        <v>0.8402789038430355</v>
      </c>
      <c r="J57" s="3932">
        <f t="shared" si="27"/>
        <v>0.88300527466872503</v>
      </c>
      <c r="K57" s="3932">
        <f t="shared" si="27"/>
        <v>0.90981323126862235</v>
      </c>
      <c r="L57" s="3932">
        <f t="shared" si="27"/>
        <v>0.81640539020274405</v>
      </c>
      <c r="M57" s="3943">
        <f t="shared" si="27"/>
        <v>0.83358094326794752</v>
      </c>
      <c r="N57" s="6081">
        <f t="shared" si="27"/>
        <v>0.85849456625849929</v>
      </c>
      <c r="O57" s="6081">
        <f>O55/O56</f>
        <v>0.86440974871021148</v>
      </c>
    </row>
    <row r="58" spans="1:15" ht="16.2" customHeight="1">
      <c r="A58" s="3941" t="s">
        <v>1597</v>
      </c>
      <c r="B58" s="3934">
        <f>'#1CCL'!N5</f>
        <v>13714.31</v>
      </c>
      <c r="C58" s="3934">
        <f>'#1CCL'!O5</f>
        <v>11408.93</v>
      </c>
      <c r="D58" s="3934">
        <f>'#1CCL'!P5</f>
        <v>13299.08</v>
      </c>
      <c r="E58" s="3934">
        <f>'#1CCL'!Q5</f>
        <v>12905.32</v>
      </c>
      <c r="F58" s="3934">
        <f>'#1CCL'!R5</f>
        <v>12638.958000000001</v>
      </c>
      <c r="G58" s="3934">
        <f>'#1CCL'!S5</f>
        <v>13592.15</v>
      </c>
      <c r="H58" s="3934">
        <f>'#1CCL'!T5</f>
        <v>15058.49</v>
      </c>
      <c r="I58" s="3934">
        <f>'#1CCL'!U5</f>
        <v>12414.97</v>
      </c>
      <c r="J58" s="3934">
        <f>'#1CCL'!V5</f>
        <v>13015.86</v>
      </c>
      <c r="K58" s="3934">
        <f>'#1CCL'!W5</f>
        <v>13640.470000000001</v>
      </c>
      <c r="L58" s="3934">
        <f>'#1CCL'!X5</f>
        <v>13281.05</v>
      </c>
      <c r="M58" s="3944">
        <f>'#1CCL'!Y5</f>
        <v>12661.900000000001</v>
      </c>
      <c r="N58" s="6084">
        <f>SUM(B58:M58)</f>
        <v>157631.48799999998</v>
      </c>
      <c r="O58" s="6209">
        <v>123961.10799999999</v>
      </c>
    </row>
    <row r="59" spans="1:15" ht="16.2" customHeight="1">
      <c r="A59" s="3941" t="s">
        <v>1598</v>
      </c>
      <c r="B59" s="3934">
        <f>'#1CCL'!N8+'#1CCL'!N10</f>
        <v>1.82</v>
      </c>
      <c r="C59" s="3934">
        <f>'#1CCL'!O8+'#1CCL'!O10</f>
        <v>1.69</v>
      </c>
      <c r="D59" s="3934">
        <f>'#1CCL'!P8+'#1CCL'!P10</f>
        <v>8.17</v>
      </c>
      <c r="E59" s="3934">
        <f>'#1CCL'!Q8+'#1CCL'!Q10</f>
        <v>4.93</v>
      </c>
      <c r="F59" s="3934">
        <f>'#1CCL'!R8+'#1CCL'!R10</f>
        <v>44.01</v>
      </c>
      <c r="G59" s="3934">
        <f>'#1CCL'!S8+'#1CCL'!S10</f>
        <v>17.64</v>
      </c>
      <c r="H59" s="3934">
        <f>'#1CCL'!T8+'#1CCL'!T10</f>
        <v>4.5999999999999996</v>
      </c>
      <c r="I59" s="3934">
        <f>'#1CCL'!U8+'#1CCL'!U10</f>
        <v>6.48</v>
      </c>
      <c r="J59" s="3934">
        <f>'#1CCL'!V8+'#1CCL'!V10</f>
        <v>0</v>
      </c>
      <c r="K59" s="3934">
        <f>'#1CCL'!W8+'#1CCL'!W10</f>
        <v>2.2799999999999998</v>
      </c>
      <c r="L59" s="3934">
        <f>'#1CCL'!X8+'#1CCL'!X10</f>
        <v>41.760000000000005</v>
      </c>
      <c r="M59" s="3944">
        <f>'#1CCL'!Y8+'#1CCL'!Y10</f>
        <v>133.07999999999998</v>
      </c>
      <c r="N59" s="6084">
        <f>SUM(B59:M59)</f>
        <v>266.45999999999998</v>
      </c>
      <c r="O59" s="6086">
        <f>69.54+1524.24</f>
        <v>1593.78</v>
      </c>
    </row>
    <row r="60" spans="1:15" ht="16.2" customHeight="1">
      <c r="A60" s="3942" t="s">
        <v>1599</v>
      </c>
      <c r="B60" s="3932">
        <f>(B58-B59)/B58</f>
        <v>0.99986729190167056</v>
      </c>
      <c r="C60" s="3932">
        <f t="shared" ref="C60:N60" si="28">(C58-C59)/C58</f>
        <v>0.99985187042080192</v>
      </c>
      <c r="D60" s="3932">
        <f t="shared" si="28"/>
        <v>0.9993856717908306</v>
      </c>
      <c r="E60" s="3932">
        <f t="shared" si="28"/>
        <v>0.99961798700070981</v>
      </c>
      <c r="F60" s="3932">
        <f t="shared" si="28"/>
        <v>0.99651790915042204</v>
      </c>
      <c r="G60" s="3932">
        <f t="shared" si="28"/>
        <v>0.9987021920741016</v>
      </c>
      <c r="H60" s="3932">
        <f t="shared" si="28"/>
        <v>0.9996945244841946</v>
      </c>
      <c r="I60" s="3932">
        <f t="shared" si="28"/>
        <v>0.99947804948380869</v>
      </c>
      <c r="J60" s="3932">
        <f t="shared" si="28"/>
        <v>1</v>
      </c>
      <c r="K60" s="3932">
        <f t="shared" si="28"/>
        <v>0.99983285033433589</v>
      </c>
      <c r="L60" s="3932">
        <f t="shared" si="28"/>
        <v>0.99685567029715272</v>
      </c>
      <c r="M60" s="3943">
        <f t="shared" si="28"/>
        <v>0.98948972902960852</v>
      </c>
      <c r="N60" s="6081">
        <f t="shared" si="28"/>
        <v>0.99830960169582372</v>
      </c>
      <c r="O60" s="6081">
        <f>(O58-O59)/O58</f>
        <v>0.98714290291758289</v>
      </c>
    </row>
    <row r="61" spans="1:15" ht="16.2" customHeight="1" thickBot="1">
      <c r="A61" s="3945" t="s">
        <v>1600</v>
      </c>
      <c r="B61" s="3946">
        <f>B54*B57*B60</f>
        <v>0.77950672311487657</v>
      </c>
      <c r="C61" s="3946">
        <f t="shared" ref="C61:N61" si="29">C54*C57*C60</f>
        <v>0.73745736221908786</v>
      </c>
      <c r="D61" s="3946">
        <f t="shared" si="29"/>
        <v>0.81098213721042589</v>
      </c>
      <c r="E61" s="3946">
        <f t="shared" si="29"/>
        <v>0.77552042954810774</v>
      </c>
      <c r="F61" s="3946">
        <f t="shared" si="29"/>
        <v>0.68529513643605922</v>
      </c>
      <c r="G61" s="3946">
        <f t="shared" si="29"/>
        <v>0.74691802373842853</v>
      </c>
      <c r="H61" s="3946">
        <f t="shared" si="29"/>
        <v>0.7603803620987728</v>
      </c>
      <c r="I61" s="3946">
        <f t="shared" si="29"/>
        <v>0.71430443974262881</v>
      </c>
      <c r="J61" s="3946">
        <f t="shared" si="29"/>
        <v>0.75224696179990524</v>
      </c>
      <c r="K61" s="3946">
        <f t="shared" si="29"/>
        <v>0.79956130944011339</v>
      </c>
      <c r="L61" s="3946">
        <f t="shared" si="29"/>
        <v>0.70600102573794909</v>
      </c>
      <c r="M61" s="3947">
        <f t="shared" si="29"/>
        <v>0.68752469151731832</v>
      </c>
      <c r="N61" s="6082">
        <f t="shared" si="29"/>
        <v>0.74556779749191748</v>
      </c>
      <c r="O61" s="6087">
        <f>O54*O57*O60</f>
        <v>0.73372477574323591</v>
      </c>
    </row>
    <row r="62" spans="1:15" ht="16.2" customHeight="1" thickBot="1"/>
    <row r="63" spans="1:15" ht="16.2" customHeight="1">
      <c r="A63" s="3936" t="s">
        <v>492</v>
      </c>
      <c r="B63" s="3937" t="s">
        <v>18</v>
      </c>
      <c r="C63" s="3937" t="s">
        <v>85</v>
      </c>
      <c r="D63" s="3937" t="s">
        <v>6</v>
      </c>
      <c r="E63" s="3937" t="s">
        <v>7</v>
      </c>
      <c r="F63" s="3937" t="s">
        <v>8</v>
      </c>
      <c r="G63" s="3937" t="s">
        <v>9</v>
      </c>
      <c r="H63" s="3937" t="s">
        <v>10</v>
      </c>
      <c r="I63" s="3937" t="s">
        <v>11</v>
      </c>
      <c r="J63" s="3937" t="s">
        <v>12</v>
      </c>
      <c r="K63" s="3937" t="s">
        <v>13</v>
      </c>
      <c r="L63" s="3937" t="s">
        <v>14</v>
      </c>
      <c r="M63" s="3938" t="s">
        <v>15</v>
      </c>
      <c r="N63" s="6079" t="s">
        <v>197</v>
      </c>
      <c r="O63" s="6079" t="s">
        <v>1872</v>
      </c>
    </row>
    <row r="64" spans="1:15" ht="16.2" customHeight="1">
      <c r="A64" s="3939" t="s">
        <v>1593</v>
      </c>
      <c r="B64" s="3931">
        <f>년간!F30</f>
        <v>40541</v>
      </c>
      <c r="C64" s="3931">
        <f>년간!G30</f>
        <v>38291</v>
      </c>
      <c r="D64" s="3931">
        <f>년간!H30</f>
        <v>34258</v>
      </c>
      <c r="E64" s="3931">
        <f>년간!I30</f>
        <v>37226</v>
      </c>
      <c r="F64" s="3931">
        <f>년간!J30</f>
        <v>35225</v>
      </c>
      <c r="G64" s="3931">
        <f>년간!K30</f>
        <v>41564</v>
      </c>
      <c r="H64" s="3931">
        <f>년간!L30</f>
        <v>40057</v>
      </c>
      <c r="I64" s="3931">
        <f>년간!M30</f>
        <v>35409</v>
      </c>
      <c r="J64" s="3931">
        <f>년간!N30</f>
        <v>37491</v>
      </c>
      <c r="K64" s="3931">
        <f>년간!O30</f>
        <v>41140</v>
      </c>
      <c r="L64" s="3931">
        <f>년간!P30</f>
        <v>41490</v>
      </c>
      <c r="M64" s="3940">
        <f>년간!Q30</f>
        <v>41836</v>
      </c>
      <c r="N64" s="6084">
        <f>SUM(B64:M64)</f>
        <v>464528</v>
      </c>
      <c r="O64" s="6085">
        <v>373237</v>
      </c>
    </row>
    <row r="65" spans="1:15" ht="16.2" customHeight="1">
      <c r="A65" s="3941" t="s">
        <v>395</v>
      </c>
      <c r="B65" s="3931">
        <v>8898</v>
      </c>
      <c r="C65" s="3931">
        <v>8094</v>
      </c>
      <c r="D65" s="3931">
        <v>7982</v>
      </c>
      <c r="E65" s="3931">
        <v>9166</v>
      </c>
      <c r="F65" s="3931">
        <v>8664</v>
      </c>
      <c r="G65" s="3931">
        <v>9230</v>
      </c>
      <c r="H65" s="3931">
        <v>9171</v>
      </c>
      <c r="I65" s="3931">
        <f>8714-100</f>
        <v>8614</v>
      </c>
      <c r="J65" s="3931">
        <v>9866</v>
      </c>
      <c r="K65" s="3931">
        <v>10608</v>
      </c>
      <c r="L65" s="3931">
        <v>10181</v>
      </c>
      <c r="M65" s="3940">
        <v>9955</v>
      </c>
      <c r="N65" s="6084">
        <f>SUM(B65:M65)</f>
        <v>110429</v>
      </c>
      <c r="O65" s="6085">
        <v>102041</v>
      </c>
    </row>
    <row r="66" spans="1:15" ht="16.2" customHeight="1">
      <c r="A66" s="3942" t="s">
        <v>1594</v>
      </c>
      <c r="B66" s="3932">
        <f>(B64-B65)/B64</f>
        <v>0.78051848745714214</v>
      </c>
      <c r="C66" s="3932">
        <f t="shared" ref="C66:N66" si="30">(C64-C65)/C64</f>
        <v>0.7886187354730877</v>
      </c>
      <c r="D66" s="3932">
        <f t="shared" si="30"/>
        <v>0.76700332768988266</v>
      </c>
      <c r="E66" s="3932">
        <f t="shared" si="30"/>
        <v>0.7537742438080911</v>
      </c>
      <c r="F66" s="3932">
        <f t="shared" si="30"/>
        <v>0.75403832505322921</v>
      </c>
      <c r="G66" s="3932">
        <f t="shared" si="30"/>
        <v>0.77793282648445772</v>
      </c>
      <c r="H66" s="3932">
        <f t="shared" si="30"/>
        <v>0.77105125196594848</v>
      </c>
      <c r="I66" s="3932">
        <f t="shared" si="30"/>
        <v>0.75672851534920504</v>
      </c>
      <c r="J66" s="3932">
        <f t="shared" si="30"/>
        <v>0.73684350910885277</v>
      </c>
      <c r="K66" s="3932">
        <f t="shared" si="30"/>
        <v>0.74214876033057853</v>
      </c>
      <c r="L66" s="3932">
        <f t="shared" si="30"/>
        <v>0.75461557001687152</v>
      </c>
      <c r="M66" s="3943">
        <f t="shared" si="30"/>
        <v>0.76204704082608277</v>
      </c>
      <c r="N66" s="6081">
        <f t="shared" si="30"/>
        <v>0.76227697792167537</v>
      </c>
      <c r="O66" s="6081">
        <f>(O64-O65)/O64</f>
        <v>0.72660534727264448</v>
      </c>
    </row>
    <row r="67" spans="1:15" ht="16.2" customHeight="1">
      <c r="A67" s="3941" t="s">
        <v>1595</v>
      </c>
      <c r="B67" s="3931">
        <v>9773</v>
      </c>
      <c r="C67" s="3931">
        <v>27652</v>
      </c>
      <c r="D67" s="3931">
        <v>19714</v>
      </c>
      <c r="E67" s="3931">
        <v>24496</v>
      </c>
      <c r="F67" s="3931">
        <v>22916</v>
      </c>
      <c r="G67" s="3931">
        <v>27831</v>
      </c>
      <c r="H67" s="3931">
        <v>27063</v>
      </c>
      <c r="I67" s="3931">
        <v>23724</v>
      </c>
      <c r="J67" s="3931">
        <v>24602</v>
      </c>
      <c r="K67" s="3931">
        <v>25148</v>
      </c>
      <c r="L67" s="3931">
        <v>26123</v>
      </c>
      <c r="M67" s="3940">
        <v>27232</v>
      </c>
      <c r="N67" s="6084">
        <f>SUM(B67:M67)</f>
        <v>286274</v>
      </c>
      <c r="O67" s="6085">
        <v>228112</v>
      </c>
    </row>
    <row r="68" spans="1:15" ht="16.2" customHeight="1">
      <c r="A68" s="3939" t="s">
        <v>1602</v>
      </c>
      <c r="B68" s="3931">
        <v>12093</v>
      </c>
      <c r="C68" s="3931">
        <v>35051</v>
      </c>
      <c r="D68" s="3931">
        <v>27941</v>
      </c>
      <c r="E68" s="3931">
        <v>33990</v>
      </c>
      <c r="F68" s="3931">
        <v>30975</v>
      </c>
      <c r="G68" s="3931">
        <v>38292</v>
      </c>
      <c r="H68" s="3931">
        <v>36287</v>
      </c>
      <c r="I68" s="3931">
        <v>31656</v>
      </c>
      <c r="J68" s="3931">
        <v>32617</v>
      </c>
      <c r="K68" s="3931">
        <v>36493</v>
      </c>
      <c r="L68" s="3931">
        <v>37202</v>
      </c>
      <c r="M68" s="3940">
        <v>36624</v>
      </c>
      <c r="N68" s="6084">
        <f>SUM(B68:M68)</f>
        <v>389221</v>
      </c>
      <c r="O68" s="6085">
        <v>332575</v>
      </c>
    </row>
    <row r="69" spans="1:15" ht="16.2" customHeight="1">
      <c r="A69" s="3942" t="s">
        <v>1596</v>
      </c>
      <c r="B69" s="3932">
        <f>B67/B68</f>
        <v>0.80815347721822539</v>
      </c>
      <c r="C69" s="3932">
        <f t="shared" ref="C69:N69" si="31">C67/C68</f>
        <v>0.78890759179481329</v>
      </c>
      <c r="D69" s="3932">
        <f t="shared" si="31"/>
        <v>0.70555814036720232</v>
      </c>
      <c r="E69" s="3932">
        <f t="shared" si="31"/>
        <v>0.72068255369226242</v>
      </c>
      <c r="F69" s="3932">
        <f t="shared" si="31"/>
        <v>0.73982243744955611</v>
      </c>
      <c r="G69" s="3932">
        <f t="shared" si="31"/>
        <v>0.72680977749921649</v>
      </c>
      <c r="H69" s="3932">
        <f t="shared" si="31"/>
        <v>0.7458042825254223</v>
      </c>
      <c r="I69" s="3932">
        <f t="shared" si="31"/>
        <v>0.74943138741470816</v>
      </c>
      <c r="J69" s="3932">
        <f t="shared" si="31"/>
        <v>0.7542692460986602</v>
      </c>
      <c r="K69" s="3932">
        <f t="shared" si="31"/>
        <v>0.68911846107472663</v>
      </c>
      <c r="L69" s="3932">
        <f t="shared" si="31"/>
        <v>0.70219343046072791</v>
      </c>
      <c r="M69" s="3943">
        <f t="shared" si="31"/>
        <v>0.74355613805155085</v>
      </c>
      <c r="N69" s="6081">
        <f t="shared" si="31"/>
        <v>0.73550502156872322</v>
      </c>
      <c r="O69" s="6081">
        <f>O67/O68</f>
        <v>0.68589641434262949</v>
      </c>
    </row>
    <row r="70" spans="1:15" ht="16.2" customHeight="1">
      <c r="A70" s="3941" t="s">
        <v>1597</v>
      </c>
      <c r="B70" s="3934">
        <f>'#2CCL'!N5</f>
        <v>5146.8100000000004</v>
      </c>
      <c r="C70" s="3934">
        <f>'#2CCL'!O5</f>
        <v>5270.54</v>
      </c>
      <c r="D70" s="3934">
        <f>'#2CCL'!P5</f>
        <v>4212.8039999999992</v>
      </c>
      <c r="E70" s="3934">
        <f>'#2CCL'!Q5</f>
        <v>4553.6120000000001</v>
      </c>
      <c r="F70" s="3934">
        <f>'#2CCL'!R5</f>
        <v>4030.7400000000002</v>
      </c>
      <c r="G70" s="3934">
        <f>'#2CCL'!S5</f>
        <v>5254.96</v>
      </c>
      <c r="H70" s="3934">
        <f>'#2CCL'!T5</f>
        <v>4973.76</v>
      </c>
      <c r="I70" s="3934">
        <f>'#2CCL'!U5</f>
        <v>4617.4400000000005</v>
      </c>
      <c r="J70" s="3934">
        <f>'#2CCL'!V5</f>
        <v>4099.0349999999999</v>
      </c>
      <c r="K70" s="3934">
        <f>'#2CCL'!W5</f>
        <v>4427.88</v>
      </c>
      <c r="L70" s="3934">
        <f>'#2CCL'!X5</f>
        <v>4859.99</v>
      </c>
      <c r="M70" s="3944">
        <f>'#2CCL'!Y5</f>
        <v>4664.7700000000004</v>
      </c>
      <c r="N70" s="6084">
        <f>SUM(B70:M70)</f>
        <v>56112.341</v>
      </c>
      <c r="O70" s="6209">
        <v>42325.625</v>
      </c>
    </row>
    <row r="71" spans="1:15" ht="16.2" customHeight="1">
      <c r="A71" s="3941" t="s">
        <v>1598</v>
      </c>
      <c r="B71" s="3934">
        <f>'#2CCL'!N8+'#2CCL'!N10</f>
        <v>2.29</v>
      </c>
      <c r="C71" s="3934">
        <f>'#2CCL'!O8+'#2CCL'!O10</f>
        <v>0</v>
      </c>
      <c r="D71" s="3934">
        <f>'#2CCL'!P8+'#2CCL'!P10</f>
        <v>15.12</v>
      </c>
      <c r="E71" s="3934">
        <f>'#2CCL'!Q8+'#2CCL'!Q10</f>
        <v>16.82</v>
      </c>
      <c r="F71" s="3934">
        <f>'#2CCL'!R8+'#2CCL'!R10</f>
        <v>40.199999999999996</v>
      </c>
      <c r="G71" s="3934">
        <f>'#2CCL'!S8+'#2CCL'!S10</f>
        <v>4.9000000000000004</v>
      </c>
      <c r="H71" s="3934">
        <f>'#2CCL'!T8+'#2CCL'!T10</f>
        <v>1.97</v>
      </c>
      <c r="I71" s="3934">
        <f>'#2CCL'!U8+'#2CCL'!U10</f>
        <v>8.39</v>
      </c>
      <c r="J71" s="3934">
        <f>'#2CCL'!V8+'#2CCL'!V10</f>
        <v>8.67</v>
      </c>
      <c r="K71" s="3934">
        <f>'#2CCL'!W8+'#2CCL'!W10</f>
        <v>2.2400000000000002</v>
      </c>
      <c r="L71" s="3934">
        <f>'#2CCL'!X8+'#2CCL'!X10</f>
        <v>1.46</v>
      </c>
      <c r="M71" s="3944">
        <f>'#2CCL'!Y8+'#2CCL'!Y10</f>
        <v>3.81</v>
      </c>
      <c r="N71" s="6084">
        <f>SUM(B71:M71)</f>
        <v>105.87</v>
      </c>
      <c r="O71" s="6086">
        <f>69.51+214.773</f>
        <v>284.28300000000002</v>
      </c>
    </row>
    <row r="72" spans="1:15" ht="16.2" customHeight="1">
      <c r="A72" s="3942" t="s">
        <v>1599</v>
      </c>
      <c r="B72" s="3932">
        <f>(B70-B71)/B70</f>
        <v>0.9995550642048181</v>
      </c>
      <c r="C72" s="3932">
        <f t="shared" ref="C72:N72" si="32">(C70-C71)/C70</f>
        <v>1</v>
      </c>
      <c r="D72" s="3932">
        <f t="shared" si="32"/>
        <v>0.99641094150119491</v>
      </c>
      <c r="E72" s="3932">
        <f t="shared" si="32"/>
        <v>0.99630622898920684</v>
      </c>
      <c r="F72" s="3932">
        <f t="shared" si="32"/>
        <v>0.99002664523139672</v>
      </c>
      <c r="G72" s="3932">
        <f t="shared" si="32"/>
        <v>0.99906754761216077</v>
      </c>
      <c r="H72" s="3932">
        <f t="shared" si="32"/>
        <v>0.99960392137939902</v>
      </c>
      <c r="I72" s="3932">
        <f t="shared" si="32"/>
        <v>0.9981829758480889</v>
      </c>
      <c r="J72" s="3932">
        <f t="shared" si="32"/>
        <v>0.99788486802381537</v>
      </c>
      <c r="K72" s="3932">
        <f t="shared" si="32"/>
        <v>0.99949411456498372</v>
      </c>
      <c r="L72" s="3932">
        <f t="shared" si="32"/>
        <v>0.9996995878592343</v>
      </c>
      <c r="M72" s="3943">
        <f t="shared" si="32"/>
        <v>0.99918323947375742</v>
      </c>
      <c r="N72" s="6081">
        <f t="shared" si="32"/>
        <v>0.99811324927612621</v>
      </c>
      <c r="O72" s="6081">
        <f>(O70-O71)/O70</f>
        <v>0.99328343054591628</v>
      </c>
    </row>
    <row r="73" spans="1:15" ht="16.2" customHeight="1" thickBot="1">
      <c r="A73" s="3945" t="s">
        <v>1600</v>
      </c>
      <c r="B73" s="3946">
        <f>B66*B69*B72</f>
        <v>0.63049807363592902</v>
      </c>
      <c r="C73" s="3946">
        <f t="shared" ref="C73:N73" si="33">C66*C69*C72</f>
        <v>0.6221473074463445</v>
      </c>
      <c r="D73" s="3946">
        <f t="shared" si="33"/>
        <v>0.53922316711310958</v>
      </c>
      <c r="E73" s="3946">
        <f t="shared" si="33"/>
        <v>0.54122537251734371</v>
      </c>
      <c r="F73" s="3946">
        <f t="shared" si="33"/>
        <v>0.55229079101702894</v>
      </c>
      <c r="G73" s="3946">
        <f t="shared" si="33"/>
        <v>0.56488196738228735</v>
      </c>
      <c r="H73" s="3946">
        <f t="shared" si="33"/>
        <v>0.57482555943475266</v>
      </c>
      <c r="I73" s="3946">
        <f t="shared" si="33"/>
        <v>0.56608563750169172</v>
      </c>
      <c r="J73" s="3946">
        <f t="shared" si="33"/>
        <v>0.55460285344671423</v>
      </c>
      <c r="K73" s="3946">
        <f t="shared" si="33"/>
        <v>0.51116968742303859</v>
      </c>
      <c r="L73" s="3946">
        <f t="shared" si="33"/>
        <v>0.52972691157282659</v>
      </c>
      <c r="M73" s="3947">
        <f t="shared" si="33"/>
        <v>0.56616195795743174</v>
      </c>
      <c r="N73" s="6082">
        <f t="shared" si="33"/>
        <v>0.55960072217183288</v>
      </c>
      <c r="O73" s="6087">
        <f>O66*O69*O72</f>
        <v>0.49502862530254632</v>
      </c>
    </row>
  </sheetData>
  <phoneticPr fontId="22" type="noConversion"/>
  <pageMargins left="0.7" right="0.7" top="0.75" bottom="0.75" header="0.3" footer="0.3"/>
  <pageSetup paperSize="9" scale="65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02"/>
  <sheetViews>
    <sheetView workbookViewId="0">
      <selection activeCell="X12" sqref="X12"/>
    </sheetView>
  </sheetViews>
  <sheetFormatPr defaultRowHeight="14.4"/>
  <cols>
    <col min="1" max="1" width="15.796875" style="299" bestFit="1" customWidth="1"/>
    <col min="2" max="2" width="12.5" style="299" hidden="1" customWidth="1"/>
    <col min="3" max="5" width="10.296875" style="299" hidden="1" customWidth="1"/>
    <col min="6" max="6" width="9.296875" style="299" hidden="1" customWidth="1"/>
    <col min="7" max="7" width="10.296875" style="299" hidden="1" customWidth="1"/>
    <col min="8" max="8" width="10.5" style="299" bestFit="1" customWidth="1"/>
    <col min="9" max="11" width="8.796875" style="299"/>
    <col min="12" max="15" width="0" style="299" hidden="1" customWidth="1"/>
    <col min="16" max="16" width="9.59765625" style="299" hidden="1" customWidth="1"/>
    <col min="17" max="20" width="0" style="299" hidden="1" customWidth="1"/>
    <col min="21" max="21" width="9.796875" style="299" customWidth="1"/>
    <col min="24" max="24" width="8.796875" customWidth="1"/>
  </cols>
  <sheetData>
    <row r="1" spans="1:21" ht="15" thickBot="1">
      <c r="A1" s="300" t="s">
        <v>1737</v>
      </c>
    </row>
    <row r="2" spans="1:21" ht="19.2">
      <c r="A2" s="3936" t="s">
        <v>0</v>
      </c>
      <c r="B2" s="3949" t="s">
        <v>27</v>
      </c>
      <c r="C2" s="3949" t="s">
        <v>28</v>
      </c>
      <c r="D2" s="3949" t="s">
        <v>29</v>
      </c>
      <c r="E2" s="3949" t="s">
        <v>505</v>
      </c>
      <c r="F2" s="3949" t="s">
        <v>492</v>
      </c>
      <c r="G2" s="3954" t="s">
        <v>16</v>
      </c>
      <c r="H2" s="3959" t="s">
        <v>1270</v>
      </c>
      <c r="I2" s="3936" t="s">
        <v>18</v>
      </c>
      <c r="J2" s="3949" t="s">
        <v>85</v>
      </c>
      <c r="K2" s="3949" t="s">
        <v>6</v>
      </c>
      <c r="L2" s="3949" t="s">
        <v>7</v>
      </c>
      <c r="M2" s="3949" t="s">
        <v>8</v>
      </c>
      <c r="N2" s="3949" t="s">
        <v>9</v>
      </c>
      <c r="O2" s="3949" t="s">
        <v>10</v>
      </c>
      <c r="P2" s="3949" t="s">
        <v>11</v>
      </c>
      <c r="Q2" s="3949" t="s">
        <v>12</v>
      </c>
      <c r="R2" s="3949" t="s">
        <v>13</v>
      </c>
      <c r="S2" s="3949" t="s">
        <v>14</v>
      </c>
      <c r="T2" s="3949" t="s">
        <v>15</v>
      </c>
      <c r="U2" s="3950" t="s">
        <v>197</v>
      </c>
    </row>
    <row r="3" spans="1:21" ht="34.799999999999997">
      <c r="A3" s="3939" t="s">
        <v>1593</v>
      </c>
      <c r="B3" s="3931">
        <v>254721</v>
      </c>
      <c r="C3" s="3931">
        <v>319756</v>
      </c>
      <c r="D3" s="3931">
        <v>372767</v>
      </c>
      <c r="E3" s="3931">
        <v>371052</v>
      </c>
      <c r="F3" s="3931">
        <v>373237</v>
      </c>
      <c r="G3" s="3955">
        <f>SUM(B3:F3)</f>
        <v>1691533</v>
      </c>
      <c r="H3" s="3960">
        <v>1825514.4807508551</v>
      </c>
      <c r="I3" s="3888">
        <f t="shared" ref="I3:T3" si="0">(I17+I29+I41+I53+I65)</f>
        <v>176272</v>
      </c>
      <c r="J3" s="3886">
        <f t="shared" si="0"/>
        <v>178022</v>
      </c>
      <c r="K3" s="3886">
        <f t="shared" si="0"/>
        <v>167397</v>
      </c>
      <c r="L3" s="3886">
        <f t="shared" si="0"/>
        <v>168405</v>
      </c>
      <c r="M3" s="3886">
        <f t="shared" si="0"/>
        <v>172076</v>
      </c>
      <c r="N3" s="3886">
        <f t="shared" si="0"/>
        <v>183383</v>
      </c>
      <c r="O3" s="3886">
        <f t="shared" si="0"/>
        <v>199333</v>
      </c>
      <c r="P3" s="3886">
        <f t="shared" si="0"/>
        <v>179561</v>
      </c>
      <c r="Q3" s="3886">
        <f t="shared" si="0"/>
        <v>179366</v>
      </c>
      <c r="R3" s="3886">
        <f t="shared" si="0"/>
        <v>200719</v>
      </c>
      <c r="S3" s="3886">
        <f t="shared" si="0"/>
        <v>87574</v>
      </c>
      <c r="T3" s="3886">
        <f t="shared" si="0"/>
        <v>84286</v>
      </c>
      <c r="U3" s="3958">
        <f>SUM(I3:T3)</f>
        <v>1976394</v>
      </c>
    </row>
    <row r="4" spans="1:21" ht="17.399999999999999">
      <c r="A4" s="3941" t="s">
        <v>395</v>
      </c>
      <c r="B4" s="3931">
        <v>1602</v>
      </c>
      <c r="C4" s="3931">
        <v>16380</v>
      </c>
      <c r="D4" s="3931">
        <v>7296</v>
      </c>
      <c r="E4" s="3931">
        <v>51995</v>
      </c>
      <c r="F4" s="3931">
        <v>102041</v>
      </c>
      <c r="G4" s="3955">
        <f>SUM(B4:F4)</f>
        <v>179314</v>
      </c>
      <c r="H4" s="3960">
        <v>193758.84470731398</v>
      </c>
      <c r="I4" s="3888">
        <f t="shared" ref="I4:T4" si="1">(I18+I30+I42+I54+I66)</f>
        <v>16202</v>
      </c>
      <c r="J4" s="3886">
        <f t="shared" si="1"/>
        <v>15797</v>
      </c>
      <c r="K4" s="3886">
        <f t="shared" si="1"/>
        <v>13378</v>
      </c>
      <c r="L4" s="3886">
        <f t="shared" si="1"/>
        <v>130</v>
      </c>
      <c r="M4" s="3886">
        <f t="shared" si="1"/>
        <v>375</v>
      </c>
      <c r="N4" s="3886">
        <f t="shared" si="1"/>
        <v>303</v>
      </c>
      <c r="O4" s="3886">
        <f t="shared" si="1"/>
        <v>15</v>
      </c>
      <c r="P4" s="3886">
        <f t="shared" si="1"/>
        <v>1115</v>
      </c>
      <c r="Q4" s="3886">
        <f t="shared" si="1"/>
        <v>331</v>
      </c>
      <c r="R4" s="3886">
        <f t="shared" si="1"/>
        <v>220</v>
      </c>
      <c r="S4" s="3886">
        <f t="shared" si="1"/>
        <v>0</v>
      </c>
      <c r="T4" s="3886">
        <f t="shared" si="1"/>
        <v>0</v>
      </c>
      <c r="U4" s="3958">
        <f>SUM(I4:T4)</f>
        <v>47866</v>
      </c>
    </row>
    <row r="5" spans="1:21" ht="17.399999999999999">
      <c r="A5" s="3942" t="s">
        <v>1594</v>
      </c>
      <c r="B5" s="3932">
        <f>(B3-B4)/B3</f>
        <v>0.99371076589680474</v>
      </c>
      <c r="C5" s="3932">
        <f t="shared" ref="C5:U5" si="2">(C3-C4)/C3</f>
        <v>0.9487734397478077</v>
      </c>
      <c r="D5" s="3932">
        <f t="shared" si="2"/>
        <v>0.98042745200084769</v>
      </c>
      <c r="E5" s="3932">
        <f t="shared" si="2"/>
        <v>0.85987139268889534</v>
      </c>
      <c r="F5" s="3932">
        <f t="shared" si="2"/>
        <v>0.72660534727264448</v>
      </c>
      <c r="G5" s="3948">
        <f t="shared" si="2"/>
        <v>0.89399320025089668</v>
      </c>
      <c r="H5" s="3961">
        <f t="shared" si="2"/>
        <v>0.89386069146511582</v>
      </c>
      <c r="I5" s="3951">
        <f t="shared" si="2"/>
        <v>0.90808523191431423</v>
      </c>
      <c r="J5" s="3932">
        <f t="shared" si="2"/>
        <v>0.91126377638718814</v>
      </c>
      <c r="K5" s="3932">
        <f t="shared" si="2"/>
        <v>0.92008219980047434</v>
      </c>
      <c r="L5" s="3932">
        <f t="shared" si="2"/>
        <v>0.99922805142365134</v>
      </c>
      <c r="M5" s="3932">
        <f t="shared" si="2"/>
        <v>0.99782073037495056</v>
      </c>
      <c r="N5" s="3932">
        <f t="shared" si="2"/>
        <v>0.99834772034485209</v>
      </c>
      <c r="O5" s="3932">
        <f t="shared" si="2"/>
        <v>0.99992474903804185</v>
      </c>
      <c r="P5" s="3932">
        <f t="shared" si="2"/>
        <v>0.99379041105808053</v>
      </c>
      <c r="Q5" s="3932">
        <f t="shared" si="2"/>
        <v>0.99815461124181837</v>
      </c>
      <c r="R5" s="3932">
        <f t="shared" si="2"/>
        <v>0.99890394033449748</v>
      </c>
      <c r="S5" s="3932">
        <f t="shared" si="2"/>
        <v>1</v>
      </c>
      <c r="T5" s="3932">
        <f t="shared" si="2"/>
        <v>1</v>
      </c>
      <c r="U5" s="3943">
        <f t="shared" si="2"/>
        <v>0.9757811448526964</v>
      </c>
    </row>
    <row r="6" spans="1:21" ht="17.399999999999999">
      <c r="A6" s="3941" t="s">
        <v>1595</v>
      </c>
      <c r="B6" s="3931">
        <v>220154</v>
      </c>
      <c r="C6" s="3931">
        <v>277037</v>
      </c>
      <c r="D6" s="3931">
        <v>330942</v>
      </c>
      <c r="E6" s="3931">
        <v>305944</v>
      </c>
      <c r="F6" s="3931">
        <v>228112</v>
      </c>
      <c r="G6" s="3955">
        <f>SUM(B6:F6)</f>
        <v>1362189</v>
      </c>
      <c r="H6" s="3960">
        <v>1492483.8869396404</v>
      </c>
      <c r="I6" s="3888">
        <f t="shared" ref="I6:T6" si="3">(I20+I32+I44+I56+I68)</f>
        <v>131546</v>
      </c>
      <c r="J6" s="3886">
        <f t="shared" si="3"/>
        <v>151550</v>
      </c>
      <c r="K6" s="3886">
        <f t="shared" si="3"/>
        <v>124947</v>
      </c>
      <c r="L6" s="3886">
        <f t="shared" si="3"/>
        <v>0</v>
      </c>
      <c r="M6" s="3886">
        <f t="shared" si="3"/>
        <v>0</v>
      </c>
      <c r="N6" s="3886">
        <f t="shared" si="3"/>
        <v>0</v>
      </c>
      <c r="O6" s="3886">
        <f t="shared" si="3"/>
        <v>0</v>
      </c>
      <c r="P6" s="3886">
        <f t="shared" si="3"/>
        <v>0</v>
      </c>
      <c r="Q6" s="3886">
        <f t="shared" si="3"/>
        <v>0</v>
      </c>
      <c r="R6" s="3886">
        <f t="shared" si="3"/>
        <v>0</v>
      </c>
      <c r="S6" s="3886">
        <f t="shared" si="3"/>
        <v>0</v>
      </c>
      <c r="T6" s="3886">
        <f t="shared" si="3"/>
        <v>0</v>
      </c>
      <c r="U6" s="3958">
        <f>SUM(I6:T6)</f>
        <v>408043</v>
      </c>
    </row>
    <row r="7" spans="1:21" ht="34.799999999999997">
      <c r="A7" s="3939" t="s">
        <v>1602</v>
      </c>
      <c r="B7" s="3931">
        <v>253010</v>
      </c>
      <c r="C7" s="3931">
        <v>303039</v>
      </c>
      <c r="D7" s="3931">
        <v>365465</v>
      </c>
      <c r="E7" s="3931">
        <v>353934</v>
      </c>
      <c r="F7" s="3931">
        <v>332575</v>
      </c>
      <c r="G7" s="3955">
        <f>SUM(B7:F7)</f>
        <v>1608023</v>
      </c>
      <c r="H7" s="3960">
        <v>1690676.5183026791</v>
      </c>
      <c r="I7" s="3888">
        <f t="shared" ref="I7:T7" si="4">(I21+I33+I45+I57+I69)</f>
        <v>144046</v>
      </c>
      <c r="J7" s="3886">
        <f t="shared" si="4"/>
        <v>170535</v>
      </c>
      <c r="K7" s="3886">
        <f t="shared" si="4"/>
        <v>140784</v>
      </c>
      <c r="L7" s="3886">
        <f t="shared" si="4"/>
        <v>0</v>
      </c>
      <c r="M7" s="3886">
        <f t="shared" si="4"/>
        <v>0</v>
      </c>
      <c r="N7" s="3886">
        <f t="shared" si="4"/>
        <v>0</v>
      </c>
      <c r="O7" s="3886">
        <f t="shared" si="4"/>
        <v>0</v>
      </c>
      <c r="P7" s="3886">
        <f t="shared" si="4"/>
        <v>0</v>
      </c>
      <c r="Q7" s="3886">
        <f t="shared" si="4"/>
        <v>0</v>
      </c>
      <c r="R7" s="3886">
        <f t="shared" si="4"/>
        <v>0</v>
      </c>
      <c r="S7" s="3886">
        <f t="shared" si="4"/>
        <v>0</v>
      </c>
      <c r="T7" s="3886">
        <f t="shared" si="4"/>
        <v>0</v>
      </c>
      <c r="U7" s="3958">
        <f>SUM(I7:T7)</f>
        <v>455365</v>
      </c>
    </row>
    <row r="8" spans="1:21" ht="17.399999999999999">
      <c r="A8" s="3942" t="s">
        <v>1596</v>
      </c>
      <c r="B8" s="3932">
        <f>B6/B7</f>
        <v>0.87013952017706808</v>
      </c>
      <c r="C8" s="3932">
        <f t="shared" ref="C8:U8" si="5">C6/C7</f>
        <v>0.91419586257874397</v>
      </c>
      <c r="D8" s="3932">
        <f t="shared" si="5"/>
        <v>0.90553678190798026</v>
      </c>
      <c r="E8" s="3932">
        <f t="shared" si="5"/>
        <v>0.86440974871021148</v>
      </c>
      <c r="F8" s="3932">
        <f t="shared" si="5"/>
        <v>0.68589641434262949</v>
      </c>
      <c r="G8" s="3948">
        <f t="shared" si="5"/>
        <v>0.84712034591545027</v>
      </c>
      <c r="H8" s="3961">
        <f t="shared" si="5"/>
        <v>0.88277318031126961</v>
      </c>
      <c r="I8" s="3951">
        <f t="shared" si="5"/>
        <v>0.91322216514169086</v>
      </c>
      <c r="J8" s="3932">
        <f t="shared" si="5"/>
        <v>0.88867387926232155</v>
      </c>
      <c r="K8" s="3932">
        <f t="shared" si="5"/>
        <v>0.88750852369587452</v>
      </c>
      <c r="L8" s="3932" t="e">
        <f t="shared" si="5"/>
        <v>#DIV/0!</v>
      </c>
      <c r="M8" s="3932" t="e">
        <f t="shared" si="5"/>
        <v>#DIV/0!</v>
      </c>
      <c r="N8" s="3932" t="e">
        <f t="shared" si="5"/>
        <v>#DIV/0!</v>
      </c>
      <c r="O8" s="3932" t="e">
        <f t="shared" si="5"/>
        <v>#DIV/0!</v>
      </c>
      <c r="P8" s="3932" t="e">
        <f t="shared" si="5"/>
        <v>#DIV/0!</v>
      </c>
      <c r="Q8" s="3932" t="e">
        <f t="shared" si="5"/>
        <v>#DIV/0!</v>
      </c>
      <c r="R8" s="3932" t="e">
        <f t="shared" si="5"/>
        <v>#DIV/0!</v>
      </c>
      <c r="S8" s="3932" t="e">
        <f t="shared" si="5"/>
        <v>#DIV/0!</v>
      </c>
      <c r="T8" s="3932" t="e">
        <f t="shared" si="5"/>
        <v>#DIV/0!</v>
      </c>
      <c r="U8" s="3943">
        <f t="shared" si="5"/>
        <v>0.89607896961777911</v>
      </c>
    </row>
    <row r="9" spans="1:21" ht="17.399999999999999">
      <c r="A9" s="3941" t="s">
        <v>1597</v>
      </c>
      <c r="B9" s="3933">
        <v>247068.53899999999</v>
      </c>
      <c r="C9" s="3934">
        <v>237754.489</v>
      </c>
      <c r="D9" s="3934">
        <v>239665.67</v>
      </c>
      <c r="E9" s="3934">
        <v>123961.10799999999</v>
      </c>
      <c r="F9" s="3934">
        <v>42325.625</v>
      </c>
      <c r="G9" s="3956">
        <f>SUM(B9:F9)</f>
        <v>890775.43099999998</v>
      </c>
      <c r="H9" s="3960">
        <v>968526.21549999993</v>
      </c>
      <c r="I9" s="3888">
        <f t="shared" ref="I9:T9" si="6">(I23+I35+I47+I59+I71)</f>
        <v>92495.56</v>
      </c>
      <c r="J9" s="3886">
        <f t="shared" si="6"/>
        <v>97271.02</v>
      </c>
      <c r="K9" s="3886">
        <f t="shared" si="6"/>
        <v>89960.854000000007</v>
      </c>
      <c r="L9" s="3886">
        <f t="shared" si="6"/>
        <v>94554.062000000005</v>
      </c>
      <c r="M9" s="3886">
        <f t="shared" si="6"/>
        <v>89476.068000000014</v>
      </c>
      <c r="N9" s="3886">
        <f t="shared" si="6"/>
        <v>99650.42</v>
      </c>
      <c r="O9" s="3886">
        <f t="shared" si="6"/>
        <v>114333.16</v>
      </c>
      <c r="P9" s="3886">
        <f t="shared" si="6"/>
        <v>101695.236</v>
      </c>
      <c r="Q9" s="3886">
        <f t="shared" si="6"/>
        <v>102458.485</v>
      </c>
      <c r="R9" s="3886">
        <f t="shared" si="6"/>
        <v>105815.60400000001</v>
      </c>
      <c r="S9" s="3886">
        <f t="shared" si="6"/>
        <v>20126.993999999999</v>
      </c>
      <c r="T9" s="3886">
        <f t="shared" si="6"/>
        <v>17326.670000000002</v>
      </c>
      <c r="U9" s="3958">
        <f>SUM(I9:T9)</f>
        <v>1025164.1330000001</v>
      </c>
    </row>
    <row r="10" spans="1:21" ht="17.399999999999999">
      <c r="A10" s="3941" t="s">
        <v>1598</v>
      </c>
      <c r="B10" s="3933">
        <f>21.37+2197.18</f>
        <v>2218.5499999999997</v>
      </c>
      <c r="C10" s="3934">
        <f>29.43+393.21</f>
        <v>422.64</v>
      </c>
      <c r="D10" s="3934">
        <f>330.85</f>
        <v>330.85</v>
      </c>
      <c r="E10" s="3934">
        <f>69.54+1524.24</f>
        <v>1593.78</v>
      </c>
      <c r="F10" s="3934">
        <f>69.51+214.773</f>
        <v>284.28300000000002</v>
      </c>
      <c r="G10" s="3956">
        <f>SUM(B10:F10)</f>
        <v>4850.1030000000001</v>
      </c>
      <c r="H10" s="3960">
        <v>3566.5515</v>
      </c>
      <c r="I10" s="3888">
        <f t="shared" ref="I10:T10" si="7">(I24+I36+I48+I60+I72)</f>
        <v>205.72</v>
      </c>
      <c r="J10" s="3886">
        <f t="shared" si="7"/>
        <v>551.38000000000011</v>
      </c>
      <c r="K10" s="3886">
        <f t="shared" si="7"/>
        <v>252.81</v>
      </c>
      <c r="L10" s="3886">
        <f t="shared" si="7"/>
        <v>581.87</v>
      </c>
      <c r="M10" s="3886">
        <f t="shared" si="7"/>
        <v>817.05</v>
      </c>
      <c r="N10" s="3886">
        <f t="shared" si="7"/>
        <v>1166.77</v>
      </c>
      <c r="O10" s="3886">
        <f t="shared" si="7"/>
        <v>376.20000000000005</v>
      </c>
      <c r="P10" s="3886">
        <f t="shared" si="7"/>
        <v>191.02999999999997</v>
      </c>
      <c r="Q10" s="3886">
        <f t="shared" si="7"/>
        <v>96.48</v>
      </c>
      <c r="R10" s="3886">
        <f t="shared" si="7"/>
        <v>608.33000000000004</v>
      </c>
      <c r="S10" s="3886">
        <f t="shared" si="7"/>
        <v>43.220000000000006</v>
      </c>
      <c r="T10" s="3886">
        <f t="shared" si="7"/>
        <v>136.88999999999999</v>
      </c>
      <c r="U10" s="3958">
        <f>SUM(I10:T10)</f>
        <v>5027.75</v>
      </c>
    </row>
    <row r="11" spans="1:21" ht="17.399999999999999">
      <c r="A11" s="3942" t="s">
        <v>1599</v>
      </c>
      <c r="B11" s="3932">
        <f>(B9-B10)/B9</f>
        <v>0.99102050787615659</v>
      </c>
      <c r="C11" s="3932">
        <f t="shared" ref="C11:U11" si="8">(C9-C10)/C9</f>
        <v>0.99822236794864461</v>
      </c>
      <c r="D11" s="3932">
        <f t="shared" si="8"/>
        <v>0.99861953528847081</v>
      </c>
      <c r="E11" s="3932">
        <f t="shared" si="8"/>
        <v>0.98714290291758289</v>
      </c>
      <c r="F11" s="3932">
        <f t="shared" si="8"/>
        <v>0.99328343054591628</v>
      </c>
      <c r="G11" s="3948">
        <f t="shared" si="8"/>
        <v>0.99455518997133185</v>
      </c>
      <c r="H11" s="3961">
        <f t="shared" si="8"/>
        <v>0.99631754779279902</v>
      </c>
      <c r="I11" s="3951">
        <f t="shared" si="8"/>
        <v>0.99777589324287563</v>
      </c>
      <c r="J11" s="3932">
        <f t="shared" si="8"/>
        <v>0.99433150798665415</v>
      </c>
      <c r="K11" s="3932">
        <f t="shared" si="8"/>
        <v>0.99718977767818884</v>
      </c>
      <c r="L11" s="3932">
        <f t="shared" si="8"/>
        <v>0.99384616601664355</v>
      </c>
      <c r="M11" s="3932">
        <f t="shared" si="8"/>
        <v>0.99086850799031534</v>
      </c>
      <c r="N11" s="3932">
        <f t="shared" si="8"/>
        <v>0.98829136896763703</v>
      </c>
      <c r="O11" s="3932">
        <f t="shared" si="8"/>
        <v>0.99670961600291641</v>
      </c>
      <c r="P11" s="3932">
        <f t="shared" si="8"/>
        <v>0.99812154425798272</v>
      </c>
      <c r="Q11" s="3932">
        <f t="shared" si="8"/>
        <v>0.99905835031622814</v>
      </c>
      <c r="R11" s="3932">
        <f t="shared" si="8"/>
        <v>0.99425103692646311</v>
      </c>
      <c r="S11" s="3932">
        <f t="shared" si="8"/>
        <v>0.9978526351227609</v>
      </c>
      <c r="T11" s="3932">
        <f t="shared" si="8"/>
        <v>0.99209946285119999</v>
      </c>
      <c r="U11" s="3943">
        <f t="shared" si="8"/>
        <v>0.99509566337900746</v>
      </c>
    </row>
    <row r="12" spans="1:21" ht="19.8" thickBot="1">
      <c r="A12" s="3945" t="s">
        <v>1600</v>
      </c>
      <c r="B12" s="3946">
        <f>B5*B8*B11</f>
        <v>0.8569027384348803</v>
      </c>
      <c r="C12" s="3946">
        <f t="shared" ref="C12:T12" si="9">C5*C8*C11</f>
        <v>0.86582289775664778</v>
      </c>
      <c r="D12" s="3946">
        <f t="shared" si="9"/>
        <v>0.88658752509680072</v>
      </c>
      <c r="E12" s="3946">
        <f t="shared" si="9"/>
        <v>0.73372477574323591</v>
      </c>
      <c r="F12" s="3946">
        <f t="shared" si="9"/>
        <v>0.49502862530254632</v>
      </c>
      <c r="G12" s="3957">
        <f t="shared" si="9"/>
        <v>0.75319636644251964</v>
      </c>
      <c r="H12" s="3962">
        <f t="shared" si="9"/>
        <v>0.78617050979851544</v>
      </c>
      <c r="I12" s="3952">
        <f t="shared" si="9"/>
        <v>0.82743914644900884</v>
      </c>
      <c r="J12" s="3952">
        <f t="shared" si="9"/>
        <v>0.80522587787828526</v>
      </c>
      <c r="K12" s="3952">
        <f t="shared" si="9"/>
        <v>0.81428602124659555</v>
      </c>
      <c r="L12" s="3952" t="e">
        <f t="shared" si="9"/>
        <v>#DIV/0!</v>
      </c>
      <c r="M12" s="3952" t="e">
        <f t="shared" si="9"/>
        <v>#DIV/0!</v>
      </c>
      <c r="N12" s="3952" t="e">
        <f t="shared" si="9"/>
        <v>#DIV/0!</v>
      </c>
      <c r="O12" s="3952" t="e">
        <f t="shared" si="9"/>
        <v>#DIV/0!</v>
      </c>
      <c r="P12" s="3952" t="e">
        <f t="shared" si="9"/>
        <v>#DIV/0!</v>
      </c>
      <c r="Q12" s="3952" t="e">
        <f t="shared" si="9"/>
        <v>#DIV/0!</v>
      </c>
      <c r="R12" s="3952" t="e">
        <f t="shared" si="9"/>
        <v>#DIV/0!</v>
      </c>
      <c r="S12" s="3952" t="e">
        <f t="shared" si="9"/>
        <v>#DIV/0!</v>
      </c>
      <c r="T12" s="3952" t="e">
        <f t="shared" si="9"/>
        <v>#DIV/0!</v>
      </c>
      <c r="U12" s="3953">
        <v>0.78617050979851544</v>
      </c>
    </row>
    <row r="13" spans="1:21" ht="15" thickBot="1">
      <c r="A13" s="299" t="s">
        <v>1741</v>
      </c>
    </row>
    <row r="14" spans="1:21" ht="14.4" customHeight="1">
      <c r="A14" s="299" t="s">
        <v>1742</v>
      </c>
    </row>
    <row r="15" spans="1:21" s="299" customFormat="1" ht="30.6" customHeight="1" thickBot="1"/>
    <row r="16" spans="1:21" ht="19.2">
      <c r="A16" s="7731" t="s">
        <v>27</v>
      </c>
      <c r="B16" s="7732"/>
      <c r="C16" s="7732"/>
      <c r="D16" s="7732"/>
      <c r="E16" s="7732"/>
      <c r="F16" s="7732"/>
      <c r="G16" s="7732"/>
      <c r="H16" s="7733"/>
      <c r="I16" s="5030" t="s">
        <v>18</v>
      </c>
      <c r="J16" s="3937" t="s">
        <v>85</v>
      </c>
      <c r="K16" s="3937" t="s">
        <v>6</v>
      </c>
      <c r="L16" s="3937" t="s">
        <v>7</v>
      </c>
      <c r="M16" s="3937" t="s">
        <v>8</v>
      </c>
      <c r="N16" s="3937" t="s">
        <v>9</v>
      </c>
      <c r="O16" s="3937" t="s">
        <v>10</v>
      </c>
      <c r="P16" s="3937" t="s">
        <v>11</v>
      </c>
      <c r="Q16" s="3937" t="s">
        <v>12</v>
      </c>
      <c r="R16" s="3937" t="s">
        <v>13</v>
      </c>
      <c r="S16" s="3937" t="s">
        <v>14</v>
      </c>
      <c r="T16" s="3938" t="s">
        <v>15</v>
      </c>
    </row>
    <row r="17" spans="1:24" ht="34.799999999999997" hidden="1">
      <c r="A17" s="3939" t="s">
        <v>1593</v>
      </c>
      <c r="B17" s="3915"/>
      <c r="C17" s="3915"/>
      <c r="D17" s="3915"/>
      <c r="E17" s="3915"/>
      <c r="F17" s="3915"/>
      <c r="G17" s="3915"/>
      <c r="H17" s="5036"/>
      <c r="I17" s="5031">
        <f>년간!F26</f>
        <v>26529</v>
      </c>
      <c r="J17" s="3931">
        <f>년간!G26</f>
        <v>28370</v>
      </c>
      <c r="K17" s="3931">
        <f>년간!H26</f>
        <v>23740</v>
      </c>
      <c r="L17" s="3931">
        <f>년간!I26</f>
        <v>24940</v>
      </c>
      <c r="M17" s="3931">
        <f>년간!J26</f>
        <v>26610</v>
      </c>
      <c r="N17" s="3931">
        <f>년간!K26</f>
        <v>29260</v>
      </c>
      <c r="O17" s="3931">
        <f>년간!L26</f>
        <v>32395</v>
      </c>
      <c r="P17" s="3931">
        <f>년간!M26</f>
        <v>28830</v>
      </c>
      <c r="Q17" s="3931">
        <f>년간!N26</f>
        <v>28860</v>
      </c>
      <c r="R17" s="3931">
        <f>년간!O26</f>
        <v>32720</v>
      </c>
      <c r="S17" s="3931">
        <f>년간!P26</f>
        <v>570</v>
      </c>
      <c r="T17" s="3940">
        <f>년간!Q26</f>
        <v>0</v>
      </c>
    </row>
    <row r="18" spans="1:24" ht="17.399999999999999" hidden="1">
      <c r="A18" s="3941" t="s">
        <v>395</v>
      </c>
      <c r="B18" s="3915"/>
      <c r="C18" s="3915"/>
      <c r="D18" s="3915"/>
      <c r="E18" s="3915"/>
      <c r="F18" s="3915"/>
      <c r="G18" s="3915"/>
      <c r="H18" s="5036"/>
      <c r="I18" s="5031">
        <v>660</v>
      </c>
      <c r="J18" s="3931">
        <f>(비가동!O5+비가동!O7+비가동!O9)*60</f>
        <v>444.99999999999994</v>
      </c>
      <c r="K18" s="3931">
        <f>(비가동!P5+비가동!P7+비가동!P9)*60</f>
        <v>0</v>
      </c>
      <c r="L18" s="3931">
        <f>(비가동!Q5+비가동!Q7+비가동!Q9)*60</f>
        <v>130</v>
      </c>
      <c r="M18" s="3931">
        <f>(비가동!R5+비가동!R7+비가동!R9)*60</f>
        <v>70</v>
      </c>
      <c r="N18" s="3931">
        <f>(비가동!S5+비가동!S7+비가동!S9)*60</f>
        <v>88</v>
      </c>
      <c r="O18" s="3931">
        <f>(비가동!T5+비가동!T7+비가동!T9)*60</f>
        <v>0</v>
      </c>
      <c r="P18" s="3931">
        <f>(비가동!U5+비가동!U7+비가동!U9)*60</f>
        <v>574.99999999999989</v>
      </c>
      <c r="Q18" s="3931">
        <f>(비가동!V5+비가동!V7+비가동!V9)*60</f>
        <v>320</v>
      </c>
      <c r="R18" s="3931">
        <f>(비가동!W5+비가동!W7+비가동!W9)*60</f>
        <v>130</v>
      </c>
      <c r="S18" s="3931">
        <f>(비가동!X5+비가동!X7+비가동!X9)*60</f>
        <v>0</v>
      </c>
      <c r="T18" s="3940">
        <f>(비가동!Y5+비가동!Y7+비가동!Y9)*60</f>
        <v>0</v>
      </c>
    </row>
    <row r="19" spans="1:24" ht="17.399999999999999">
      <c r="A19" s="7728" t="s">
        <v>1594</v>
      </c>
      <c r="B19" s="7729"/>
      <c r="C19" s="7729"/>
      <c r="D19" s="7729"/>
      <c r="E19" s="7729"/>
      <c r="F19" s="7729"/>
      <c r="G19" s="7729"/>
      <c r="H19" s="7730"/>
      <c r="I19" s="5032">
        <f>(I17-I18)/I17</f>
        <v>0.97512156507972403</v>
      </c>
      <c r="J19" s="3932">
        <f t="shared" ref="J19:T19" si="10">(J17-J18)/J17</f>
        <v>0.98431441663729291</v>
      </c>
      <c r="K19" s="3932">
        <f t="shared" si="10"/>
        <v>1</v>
      </c>
      <c r="L19" s="3932">
        <f t="shared" si="10"/>
        <v>0.99478748997594224</v>
      </c>
      <c r="M19" s="3932">
        <f t="shared" si="10"/>
        <v>0.99736940999624202</v>
      </c>
      <c r="N19" s="3932">
        <f t="shared" si="10"/>
        <v>0.99699248120300754</v>
      </c>
      <c r="O19" s="3932">
        <f t="shared" si="10"/>
        <v>1</v>
      </c>
      <c r="P19" s="3932">
        <f t="shared" si="10"/>
        <v>0.98005549774540412</v>
      </c>
      <c r="Q19" s="3932">
        <f t="shared" si="10"/>
        <v>0.98891198891198895</v>
      </c>
      <c r="R19" s="3932">
        <f t="shared" si="10"/>
        <v>0.99602689486552565</v>
      </c>
      <c r="S19" s="3932">
        <f t="shared" si="10"/>
        <v>1</v>
      </c>
      <c r="T19" s="3943" t="e">
        <f t="shared" si="10"/>
        <v>#DIV/0!</v>
      </c>
      <c r="U19" s="7726" t="s">
        <v>1748</v>
      </c>
      <c r="V19" s="7727"/>
      <c r="W19" s="7727"/>
      <c r="X19" s="7727"/>
    </row>
    <row r="20" spans="1:24" ht="17.399999999999999" hidden="1" customHeight="1">
      <c r="A20" s="3941" t="s">
        <v>1595</v>
      </c>
      <c r="B20" s="3915"/>
      <c r="C20" s="3915"/>
      <c r="D20" s="3915"/>
      <c r="E20" s="3915"/>
      <c r="F20" s="3915"/>
      <c r="G20" s="3915"/>
      <c r="H20" s="5036"/>
      <c r="I20" s="5031">
        <v>24639</v>
      </c>
      <c r="J20" s="3931">
        <v>26041</v>
      </c>
      <c r="K20" s="3931">
        <v>18927</v>
      </c>
      <c r="L20" s="3931"/>
      <c r="M20" s="3931"/>
      <c r="N20" s="3931"/>
      <c r="O20" s="3931"/>
      <c r="P20" s="3931"/>
      <c r="Q20" s="3931"/>
      <c r="R20" s="3931"/>
      <c r="S20" s="3931"/>
      <c r="T20" s="3940"/>
      <c r="U20" s="5050"/>
      <c r="V20" s="5051"/>
      <c r="W20" s="5051"/>
      <c r="X20" s="5051"/>
    </row>
    <row r="21" spans="1:24" ht="34.799999999999997" hidden="1" customHeight="1">
      <c r="A21" s="3939" t="s">
        <v>1602</v>
      </c>
      <c r="B21" s="3915"/>
      <c r="C21" s="3915"/>
      <c r="D21" s="3915"/>
      <c r="E21" s="3915"/>
      <c r="F21" s="3915"/>
      <c r="G21" s="3915"/>
      <c r="H21" s="5036"/>
      <c r="I21" s="5031">
        <v>25869</v>
      </c>
      <c r="J21" s="3931">
        <v>27925</v>
      </c>
      <c r="K21" s="3931">
        <v>19560</v>
      </c>
      <c r="L21" s="3931"/>
      <c r="M21" s="3931"/>
      <c r="N21" s="3931"/>
      <c r="O21" s="3931"/>
      <c r="P21" s="3931"/>
      <c r="Q21" s="3931"/>
      <c r="R21" s="3931"/>
      <c r="S21" s="3931"/>
      <c r="T21" s="3940"/>
      <c r="U21" s="5050"/>
      <c r="V21" s="5051"/>
      <c r="W21" s="5051"/>
      <c r="X21" s="5051"/>
    </row>
    <row r="22" spans="1:24" ht="17.399999999999999">
      <c r="A22" s="7728" t="s">
        <v>1596</v>
      </c>
      <c r="B22" s="7729"/>
      <c r="C22" s="7729"/>
      <c r="D22" s="7729"/>
      <c r="E22" s="7729"/>
      <c r="F22" s="7729"/>
      <c r="G22" s="7729"/>
      <c r="H22" s="7730"/>
      <c r="I22" s="5032">
        <f>I20/I21</f>
        <v>0.95245274266496582</v>
      </c>
      <c r="J22" s="3932">
        <f t="shared" ref="J22:T22" si="11">J20/J21</f>
        <v>0.93253357206803944</v>
      </c>
      <c r="K22" s="3932">
        <f t="shared" si="11"/>
        <v>0.96763803680981597</v>
      </c>
      <c r="L22" s="3932" t="e">
        <f t="shared" si="11"/>
        <v>#DIV/0!</v>
      </c>
      <c r="M22" s="3932" t="e">
        <f t="shared" si="11"/>
        <v>#DIV/0!</v>
      </c>
      <c r="N22" s="3932" t="e">
        <f t="shared" si="11"/>
        <v>#DIV/0!</v>
      </c>
      <c r="O22" s="3932" t="e">
        <f t="shared" si="11"/>
        <v>#DIV/0!</v>
      </c>
      <c r="P22" s="3932" t="e">
        <f t="shared" si="11"/>
        <v>#DIV/0!</v>
      </c>
      <c r="Q22" s="3932" t="e">
        <f t="shared" si="11"/>
        <v>#DIV/0!</v>
      </c>
      <c r="R22" s="3932" t="e">
        <f t="shared" si="11"/>
        <v>#DIV/0!</v>
      </c>
      <c r="S22" s="3932" t="e">
        <f t="shared" si="11"/>
        <v>#DIV/0!</v>
      </c>
      <c r="T22" s="3943" t="e">
        <f t="shared" si="11"/>
        <v>#DIV/0!</v>
      </c>
      <c r="U22" s="7726" t="s">
        <v>1749</v>
      </c>
      <c r="V22" s="7727"/>
      <c r="W22" s="7727"/>
      <c r="X22" s="7727"/>
    </row>
    <row r="23" spans="1:24" ht="17.399999999999999" hidden="1" customHeight="1">
      <c r="A23" s="3941" t="s">
        <v>1597</v>
      </c>
      <c r="B23" s="3915"/>
      <c r="C23" s="3915"/>
      <c r="D23" s="3915"/>
      <c r="E23" s="3915"/>
      <c r="F23" s="3915"/>
      <c r="G23" s="3915"/>
      <c r="H23" s="5036"/>
      <c r="I23" s="5033">
        <f>CPL!N5</f>
        <v>26245.87</v>
      </c>
      <c r="J23" s="4739">
        <f>CPL!O5</f>
        <v>28930.16</v>
      </c>
      <c r="K23" s="4739">
        <f>CPL!P5</f>
        <v>23803.14</v>
      </c>
      <c r="L23" s="4739">
        <f>CPL!Q5</f>
        <v>25935.35</v>
      </c>
      <c r="M23" s="4739">
        <f>CPL!R5</f>
        <v>25439.66</v>
      </c>
      <c r="N23" s="4739">
        <f>CPL!S5</f>
        <v>29493.7</v>
      </c>
      <c r="O23" s="4739">
        <f>CPL!T5</f>
        <v>32433.26</v>
      </c>
      <c r="P23" s="4739">
        <f>CPL!U5</f>
        <v>28571.633000000002</v>
      </c>
      <c r="Q23" s="4739">
        <f>CPL!V5</f>
        <v>29580.91</v>
      </c>
      <c r="R23" s="4739">
        <f>CPL!W5</f>
        <v>30626.621999999999</v>
      </c>
      <c r="S23" s="4739">
        <f>CPL!X5</f>
        <v>652.48</v>
      </c>
      <c r="T23" s="4740">
        <f>CPL!Y5</f>
        <v>0</v>
      </c>
      <c r="U23" s="5050"/>
      <c r="V23" s="5051"/>
      <c r="W23" s="5051"/>
      <c r="X23" s="5051"/>
    </row>
    <row r="24" spans="1:24" ht="17.399999999999999" hidden="1" customHeight="1">
      <c r="A24" s="3941" t="s">
        <v>1598</v>
      </c>
      <c r="B24" s="3915"/>
      <c r="C24" s="3915"/>
      <c r="D24" s="3915"/>
      <c r="E24" s="3915"/>
      <c r="F24" s="3915"/>
      <c r="G24" s="3915"/>
      <c r="H24" s="5036"/>
      <c r="I24" s="5033">
        <f>CPL!N9+CPL!N17</f>
        <v>173.53</v>
      </c>
      <c r="J24" s="4739">
        <f>CPL!O9+CPL!O17</f>
        <v>434.70000000000005</v>
      </c>
      <c r="K24" s="4739">
        <f>CPL!P9+CPL!P17</f>
        <v>186.6</v>
      </c>
      <c r="L24" s="4739">
        <f>CPL!Q9+CPL!Q17</f>
        <v>541.08000000000004</v>
      </c>
      <c r="M24" s="4739">
        <f>CPL!R9+CPL!R17</f>
        <v>685.14</v>
      </c>
      <c r="N24" s="4739">
        <f>CPL!S9+CPL!S17</f>
        <v>1024.3</v>
      </c>
      <c r="O24" s="4739">
        <f>CPL!T9+CPL!T17</f>
        <v>331.78</v>
      </c>
      <c r="P24" s="4739">
        <f>CPL!U9+CPL!U17</f>
        <v>148.68</v>
      </c>
      <c r="Q24" s="4739">
        <f>CPL!V9+CPL!V17</f>
        <v>68.17</v>
      </c>
      <c r="R24" s="4739">
        <f>CPL!W9+CPL!W17</f>
        <v>529.76</v>
      </c>
      <c r="S24" s="4739">
        <f>CPL!X9+CPL!X17</f>
        <v>0</v>
      </c>
      <c r="T24" s="4740">
        <f>CPL!Y9+CPL!Y17</f>
        <v>0</v>
      </c>
      <c r="U24" s="5050"/>
      <c r="V24" s="5051"/>
      <c r="W24" s="5051"/>
      <c r="X24" s="5051"/>
    </row>
    <row r="25" spans="1:24" ht="17.399999999999999">
      <c r="A25" s="7728" t="s">
        <v>1599</v>
      </c>
      <c r="B25" s="7729"/>
      <c r="C25" s="7729"/>
      <c r="D25" s="7729"/>
      <c r="E25" s="7729"/>
      <c r="F25" s="7729"/>
      <c r="G25" s="7729"/>
      <c r="H25" s="7730"/>
      <c r="I25" s="5032">
        <f>(I23-I24)/I23</f>
        <v>0.99338829309144638</v>
      </c>
      <c r="J25" s="3932">
        <f t="shared" ref="J25:T25" si="12">(J23-J24)/J23</f>
        <v>0.98497415845608871</v>
      </c>
      <c r="K25" s="3932">
        <f>(K23-K24)/K23</f>
        <v>0.99216069812638175</v>
      </c>
      <c r="L25" s="3932">
        <f t="shared" si="12"/>
        <v>0.97913735500002885</v>
      </c>
      <c r="M25" s="3932">
        <f t="shared" si="12"/>
        <v>0.97306803628664851</v>
      </c>
      <c r="N25" s="3932">
        <f t="shared" si="12"/>
        <v>0.96527054930374967</v>
      </c>
      <c r="O25" s="3932">
        <f t="shared" si="12"/>
        <v>0.98977037769252929</v>
      </c>
      <c r="P25" s="3932">
        <f t="shared" si="12"/>
        <v>0.99479623723292254</v>
      </c>
      <c r="Q25" s="3932">
        <f t="shared" si="12"/>
        <v>0.99769547319538177</v>
      </c>
      <c r="R25" s="3932">
        <f t="shared" si="12"/>
        <v>0.98270263041088901</v>
      </c>
      <c r="S25" s="3932">
        <f t="shared" si="12"/>
        <v>1</v>
      </c>
      <c r="T25" s="3943" t="e">
        <f t="shared" si="12"/>
        <v>#DIV/0!</v>
      </c>
      <c r="U25" s="5052" t="s">
        <v>1751</v>
      </c>
    </row>
    <row r="26" spans="1:24" ht="19.8" thickBot="1">
      <c r="A26" s="7738" t="s">
        <v>1600</v>
      </c>
      <c r="B26" s="7739"/>
      <c r="C26" s="7739"/>
      <c r="D26" s="7739"/>
      <c r="E26" s="7739"/>
      <c r="F26" s="7739"/>
      <c r="G26" s="7739"/>
      <c r="H26" s="7740"/>
      <c r="I26" s="5034">
        <f>I19*I22*I25</f>
        <v>0.92261653863621507</v>
      </c>
      <c r="J26" s="3946">
        <f t="shared" ref="J26:T26" si="13">J19*J22*J25</f>
        <v>0.90411392528568935</v>
      </c>
      <c r="K26" s="3946">
        <f t="shared" si="13"/>
        <v>0.96005243013486852</v>
      </c>
      <c r="L26" s="3946" t="e">
        <f t="shared" si="13"/>
        <v>#DIV/0!</v>
      </c>
      <c r="M26" s="3946" t="e">
        <f t="shared" si="13"/>
        <v>#DIV/0!</v>
      </c>
      <c r="N26" s="3946" t="e">
        <f t="shared" si="13"/>
        <v>#DIV/0!</v>
      </c>
      <c r="O26" s="3946" t="e">
        <f t="shared" si="13"/>
        <v>#DIV/0!</v>
      </c>
      <c r="P26" s="3946" t="e">
        <f t="shared" si="13"/>
        <v>#DIV/0!</v>
      </c>
      <c r="Q26" s="3946" t="e">
        <f t="shared" si="13"/>
        <v>#DIV/0!</v>
      </c>
      <c r="R26" s="3946" t="e">
        <f t="shared" si="13"/>
        <v>#DIV/0!</v>
      </c>
      <c r="S26" s="3946" t="e">
        <f t="shared" si="13"/>
        <v>#DIV/0!</v>
      </c>
      <c r="T26" s="3947" t="e">
        <f t="shared" si="13"/>
        <v>#DIV/0!</v>
      </c>
      <c r="U26" s="5050" t="s">
        <v>1750</v>
      </c>
      <c r="V26" s="5051"/>
      <c r="W26" s="5051"/>
      <c r="X26" s="5051"/>
    </row>
    <row r="27" spans="1:24" ht="15" thickBot="1"/>
    <row r="28" spans="1:24" ht="19.2">
      <c r="A28" s="7731" t="s">
        <v>28</v>
      </c>
      <c r="B28" s="7732"/>
      <c r="C28" s="7732"/>
      <c r="D28" s="7732"/>
      <c r="E28" s="7732"/>
      <c r="F28" s="7732"/>
      <c r="G28" s="7732"/>
      <c r="H28" s="7733"/>
      <c r="I28" s="5030" t="s">
        <v>18</v>
      </c>
      <c r="J28" s="3937" t="s">
        <v>85</v>
      </c>
      <c r="K28" s="3937" t="s">
        <v>6</v>
      </c>
      <c r="L28" s="3937" t="s">
        <v>7</v>
      </c>
      <c r="M28" s="3937" t="s">
        <v>8</v>
      </c>
      <c r="N28" s="3937" t="s">
        <v>9</v>
      </c>
      <c r="O28" s="3937" t="s">
        <v>10</v>
      </c>
      <c r="P28" s="3937" t="s">
        <v>11</v>
      </c>
      <c r="Q28" s="3937" t="s">
        <v>12</v>
      </c>
      <c r="R28" s="3937" t="s">
        <v>13</v>
      </c>
      <c r="S28" s="3937" t="s">
        <v>14</v>
      </c>
      <c r="T28" s="3938" t="s">
        <v>15</v>
      </c>
    </row>
    <row r="29" spans="1:24" ht="34.799999999999997" hidden="1">
      <c r="A29" s="3939" t="s">
        <v>1593</v>
      </c>
      <c r="B29" s="3915"/>
      <c r="C29" s="3915"/>
      <c r="D29" s="3915"/>
      <c r="E29" s="3915"/>
      <c r="F29" s="3915"/>
      <c r="G29" s="3915"/>
      <c r="H29" s="5036"/>
      <c r="I29" s="5031">
        <f>년간!F27</f>
        <v>31821</v>
      </c>
      <c r="J29" s="3931">
        <f>년간!G27</f>
        <v>37027</v>
      </c>
      <c r="K29" s="3931">
        <f>년간!H27</f>
        <v>29015</v>
      </c>
      <c r="L29" s="3931">
        <f>년간!I27</f>
        <v>32351</v>
      </c>
      <c r="M29" s="3931">
        <f>년간!J27</f>
        <v>33450</v>
      </c>
      <c r="N29" s="3931">
        <f>년간!K27</f>
        <v>33550</v>
      </c>
      <c r="O29" s="3931">
        <f>년간!L27</f>
        <v>37601</v>
      </c>
      <c r="P29" s="3931">
        <f>년간!M27</f>
        <v>34530</v>
      </c>
      <c r="Q29" s="3931">
        <f>년간!N27</f>
        <v>31965</v>
      </c>
      <c r="R29" s="3931">
        <f>년간!O27</f>
        <v>40049</v>
      </c>
      <c r="S29" s="3931">
        <f>년간!P27</f>
        <v>0</v>
      </c>
      <c r="T29" s="3940">
        <f>년간!Q27</f>
        <v>0</v>
      </c>
    </row>
    <row r="30" spans="1:24" ht="17.399999999999999" hidden="1">
      <c r="A30" s="3941" t="s">
        <v>395</v>
      </c>
      <c r="B30" s="3915"/>
      <c r="C30" s="3915"/>
      <c r="D30" s="3915"/>
      <c r="E30" s="3915"/>
      <c r="F30" s="3915"/>
      <c r="G30" s="3915"/>
      <c r="H30" s="5036"/>
      <c r="I30" s="5031">
        <v>2180</v>
      </c>
      <c r="J30" s="3931">
        <v>2165</v>
      </c>
      <c r="K30" s="3931">
        <v>1166</v>
      </c>
      <c r="L30" s="3931"/>
      <c r="M30" s="3931"/>
      <c r="N30" s="3931"/>
      <c r="O30" s="3931"/>
      <c r="P30" s="3931"/>
      <c r="Q30" s="3931"/>
      <c r="R30" s="3931"/>
      <c r="S30" s="3931"/>
      <c r="T30" s="3940"/>
    </row>
    <row r="31" spans="1:24" ht="17.399999999999999">
      <c r="A31" s="7728" t="s">
        <v>1594</v>
      </c>
      <c r="B31" s="7729"/>
      <c r="C31" s="7729"/>
      <c r="D31" s="7729"/>
      <c r="E31" s="7729"/>
      <c r="F31" s="7729"/>
      <c r="G31" s="7729"/>
      <c r="H31" s="7730"/>
      <c r="I31" s="5032">
        <f>(I29-I30)/I29</f>
        <v>0.93149178215643758</v>
      </c>
      <c r="J31" s="3932">
        <f t="shared" ref="J31:T31" si="14">(J29-J30)/J29</f>
        <v>0.94152915440084262</v>
      </c>
      <c r="K31" s="3932">
        <f t="shared" si="14"/>
        <v>0.95981388936756851</v>
      </c>
      <c r="L31" s="3932">
        <f t="shared" si="14"/>
        <v>1</v>
      </c>
      <c r="M31" s="3932">
        <f t="shared" si="14"/>
        <v>1</v>
      </c>
      <c r="N31" s="3932">
        <f t="shared" si="14"/>
        <v>1</v>
      </c>
      <c r="O31" s="3932">
        <f t="shared" si="14"/>
        <v>1</v>
      </c>
      <c r="P31" s="3932">
        <f t="shared" si="14"/>
        <v>1</v>
      </c>
      <c r="Q31" s="3932">
        <f t="shared" si="14"/>
        <v>1</v>
      </c>
      <c r="R31" s="3932">
        <f t="shared" si="14"/>
        <v>1</v>
      </c>
      <c r="S31" s="3932" t="e">
        <f t="shared" si="14"/>
        <v>#DIV/0!</v>
      </c>
      <c r="T31" s="3943" t="e">
        <f t="shared" si="14"/>
        <v>#DIV/0!</v>
      </c>
    </row>
    <row r="32" spans="1:24" ht="17.399999999999999" hidden="1">
      <c r="A32" s="3941" t="s">
        <v>1595</v>
      </c>
      <c r="B32" s="3915"/>
      <c r="C32" s="3915"/>
      <c r="D32" s="3915"/>
      <c r="E32" s="3915"/>
      <c r="F32" s="3915"/>
      <c r="G32" s="3915"/>
      <c r="H32" s="5036"/>
      <c r="I32" s="5031">
        <v>27660</v>
      </c>
      <c r="J32" s="3931">
        <v>33744</v>
      </c>
      <c r="K32" s="3931">
        <v>25578</v>
      </c>
      <c r="L32" s="3931"/>
      <c r="M32" s="3931"/>
      <c r="N32" s="3931"/>
      <c r="O32" s="3931"/>
      <c r="P32" s="3931"/>
      <c r="Q32" s="3931"/>
      <c r="R32" s="3931"/>
      <c r="S32" s="3931"/>
      <c r="T32" s="3940"/>
    </row>
    <row r="33" spans="1:20" ht="34.799999999999997" hidden="1">
      <c r="A33" s="3939" t="s">
        <v>1602</v>
      </c>
      <c r="B33" s="3915"/>
      <c r="C33" s="3915"/>
      <c r="D33" s="3915"/>
      <c r="E33" s="3915"/>
      <c r="F33" s="3915"/>
      <c r="G33" s="3915"/>
      <c r="H33" s="5036"/>
      <c r="I33" s="5031">
        <v>29641</v>
      </c>
      <c r="J33" s="3931">
        <v>34892</v>
      </c>
      <c r="K33" s="3931">
        <v>26469</v>
      </c>
      <c r="L33" s="3931"/>
      <c r="M33" s="3931"/>
      <c r="N33" s="3931"/>
      <c r="O33" s="3931"/>
      <c r="P33" s="3931"/>
      <c r="Q33" s="3931"/>
      <c r="R33" s="3931"/>
      <c r="S33" s="3931"/>
      <c r="T33" s="3940"/>
    </row>
    <row r="34" spans="1:20" ht="17.399999999999999">
      <c r="A34" s="7728" t="s">
        <v>1596</v>
      </c>
      <c r="B34" s="7729"/>
      <c r="C34" s="7729"/>
      <c r="D34" s="7729"/>
      <c r="E34" s="7729"/>
      <c r="F34" s="7729"/>
      <c r="G34" s="7729"/>
      <c r="H34" s="7730"/>
      <c r="I34" s="5032">
        <f>I32/I33</f>
        <v>0.93316689720319823</v>
      </c>
      <c r="J34" s="3932">
        <f t="shared" ref="J34:T34" si="15">J32/J33</f>
        <v>0.96709847529519666</v>
      </c>
      <c r="K34" s="3932">
        <f t="shared" si="15"/>
        <v>0.96633798027881668</v>
      </c>
      <c r="L34" s="3932" t="e">
        <f t="shared" si="15"/>
        <v>#DIV/0!</v>
      </c>
      <c r="M34" s="3932" t="e">
        <f t="shared" si="15"/>
        <v>#DIV/0!</v>
      </c>
      <c r="N34" s="3932" t="e">
        <f t="shared" si="15"/>
        <v>#DIV/0!</v>
      </c>
      <c r="O34" s="3932" t="e">
        <f t="shared" si="15"/>
        <v>#DIV/0!</v>
      </c>
      <c r="P34" s="3932" t="e">
        <f t="shared" si="15"/>
        <v>#DIV/0!</v>
      </c>
      <c r="Q34" s="3932" t="e">
        <f t="shared" si="15"/>
        <v>#DIV/0!</v>
      </c>
      <c r="R34" s="3932" t="e">
        <f t="shared" si="15"/>
        <v>#DIV/0!</v>
      </c>
      <c r="S34" s="3932" t="e">
        <f t="shared" si="15"/>
        <v>#DIV/0!</v>
      </c>
      <c r="T34" s="3943" t="e">
        <f t="shared" si="15"/>
        <v>#DIV/0!</v>
      </c>
    </row>
    <row r="35" spans="1:20" ht="17.399999999999999" hidden="1">
      <c r="A35" s="3941" t="s">
        <v>1597</v>
      </c>
      <c r="B35" s="3915"/>
      <c r="C35" s="3915"/>
      <c r="D35" s="3915"/>
      <c r="E35" s="3915"/>
      <c r="F35" s="3915"/>
      <c r="G35" s="3915"/>
      <c r="H35" s="5036"/>
      <c r="I35" s="5035">
        <f>CRM!N5</f>
        <v>22650.43</v>
      </c>
      <c r="J35" s="3934">
        <f>CRM!O5</f>
        <v>27040.54</v>
      </c>
      <c r="K35" s="3934">
        <f>CRM!P5</f>
        <v>21718.05</v>
      </c>
      <c r="L35" s="3934">
        <f>CRM!Q5</f>
        <v>26465.74</v>
      </c>
      <c r="M35" s="3934">
        <f>CRM!R5</f>
        <v>24555.22</v>
      </c>
      <c r="N35" s="3934">
        <f>CRM!S5</f>
        <v>26319.439999999999</v>
      </c>
      <c r="O35" s="3934">
        <f>CRM!T5</f>
        <v>31018.73</v>
      </c>
      <c r="P35" s="3934">
        <f>CRM!U5</f>
        <v>28360.402999999998</v>
      </c>
      <c r="Q35" s="3934">
        <f>CRM!V5</f>
        <v>26496.3</v>
      </c>
      <c r="R35" s="3934">
        <f>CRM!W5</f>
        <v>29912.322</v>
      </c>
      <c r="S35" s="3934">
        <f>CRM!X5</f>
        <v>0</v>
      </c>
      <c r="T35" s="3944">
        <f>CRM!Y5</f>
        <v>0</v>
      </c>
    </row>
    <row r="36" spans="1:20" ht="17.399999999999999" hidden="1">
      <c r="A36" s="3941" t="s">
        <v>1598</v>
      </c>
      <c r="B36" s="3915"/>
      <c r="C36" s="3915"/>
      <c r="D36" s="3915"/>
      <c r="E36" s="3915"/>
      <c r="F36" s="3915"/>
      <c r="G36" s="3915"/>
      <c r="H36" s="5036"/>
      <c r="I36" s="5035">
        <f>CRM!N8+CRM!N10</f>
        <v>23.24</v>
      </c>
      <c r="J36" s="3934">
        <f>CRM!O8+CRM!O10</f>
        <v>73.63</v>
      </c>
      <c r="K36" s="3934">
        <f>CRM!P8+CRM!P10</f>
        <v>20.329999999999998</v>
      </c>
      <c r="L36" s="3934">
        <f>CRM!Q8+CRM!Q10</f>
        <v>19.04</v>
      </c>
      <c r="M36" s="3934">
        <f>CRM!R8+CRM!R10</f>
        <v>21.05</v>
      </c>
      <c r="N36" s="3934">
        <f>CRM!S8+CRM!S10</f>
        <v>79.36999999999999</v>
      </c>
      <c r="O36" s="3934">
        <f>CRM!T8+CRM!T10</f>
        <v>0</v>
      </c>
      <c r="P36" s="3934">
        <f>CRM!U8+CRM!U10</f>
        <v>20.010000000000002</v>
      </c>
      <c r="Q36" s="3934">
        <f>CRM!V8+CRM!V10</f>
        <v>19.64</v>
      </c>
      <c r="R36" s="3934">
        <f>CRM!W8+CRM!W10</f>
        <v>49.84</v>
      </c>
      <c r="S36" s="3934">
        <f>CRM!X8+CRM!X10</f>
        <v>0</v>
      </c>
      <c r="T36" s="3944">
        <f>CRM!Y8+CRM!Y10</f>
        <v>0</v>
      </c>
    </row>
    <row r="37" spans="1:20" ht="17.399999999999999">
      <c r="A37" s="7728" t="s">
        <v>1599</v>
      </c>
      <c r="B37" s="7729"/>
      <c r="C37" s="7729"/>
      <c r="D37" s="7729"/>
      <c r="E37" s="7729"/>
      <c r="F37" s="7729"/>
      <c r="G37" s="7729"/>
      <c r="H37" s="7730"/>
      <c r="I37" s="5032">
        <f>(I35-I36)/I35</f>
        <v>0.99897397091357643</v>
      </c>
      <c r="J37" s="3932">
        <f t="shared" ref="J37:T37" si="16">(J35-J36)/J35</f>
        <v>0.99727705141983103</v>
      </c>
      <c r="K37" s="3932">
        <f t="shared" si="16"/>
        <v>0.99906391227573366</v>
      </c>
      <c r="L37" s="3932">
        <f t="shared" si="16"/>
        <v>0.99928057934522141</v>
      </c>
      <c r="M37" s="3932">
        <f t="shared" si="16"/>
        <v>0.99914274846651752</v>
      </c>
      <c r="N37" s="3932">
        <f t="shared" si="16"/>
        <v>0.99698435832981258</v>
      </c>
      <c r="O37" s="3932">
        <f t="shared" si="16"/>
        <v>1</v>
      </c>
      <c r="P37" s="3932">
        <f t="shared" si="16"/>
        <v>0.99929443879905377</v>
      </c>
      <c r="Q37" s="3932">
        <f t="shared" si="16"/>
        <v>0.99925876443126027</v>
      </c>
      <c r="R37" s="3932">
        <f t="shared" si="16"/>
        <v>0.99833379702184266</v>
      </c>
      <c r="S37" s="3932" t="e">
        <f t="shared" si="16"/>
        <v>#DIV/0!</v>
      </c>
      <c r="T37" s="3943" t="e">
        <f t="shared" si="16"/>
        <v>#DIV/0!</v>
      </c>
    </row>
    <row r="38" spans="1:20" ht="19.8" thickBot="1">
      <c r="A38" s="7738" t="s">
        <v>1600</v>
      </c>
      <c r="B38" s="7739"/>
      <c r="C38" s="7739"/>
      <c r="D38" s="7739"/>
      <c r="E38" s="7739"/>
      <c r="F38" s="7739"/>
      <c r="G38" s="7739"/>
      <c r="H38" s="7740"/>
      <c r="I38" s="5034">
        <f>I31*I34*I37</f>
        <v>0.8683454333763716</v>
      </c>
      <c r="J38" s="3946">
        <f t="shared" ref="J38:T38" si="17">J31*J34*J37</f>
        <v>0.90807202499890705</v>
      </c>
      <c r="K38" s="3946">
        <f t="shared" si="17"/>
        <v>0.92663638961043371</v>
      </c>
      <c r="L38" s="3946" t="e">
        <f t="shared" si="17"/>
        <v>#DIV/0!</v>
      </c>
      <c r="M38" s="3946" t="e">
        <f t="shared" si="17"/>
        <v>#DIV/0!</v>
      </c>
      <c r="N38" s="3946" t="e">
        <f t="shared" si="17"/>
        <v>#DIV/0!</v>
      </c>
      <c r="O38" s="3946" t="e">
        <f t="shared" si="17"/>
        <v>#DIV/0!</v>
      </c>
      <c r="P38" s="3946" t="e">
        <f t="shared" si="17"/>
        <v>#DIV/0!</v>
      </c>
      <c r="Q38" s="3946" t="e">
        <f t="shared" si="17"/>
        <v>#DIV/0!</v>
      </c>
      <c r="R38" s="3946" t="e">
        <f t="shared" si="17"/>
        <v>#DIV/0!</v>
      </c>
      <c r="S38" s="3946" t="e">
        <f t="shared" si="17"/>
        <v>#DIV/0!</v>
      </c>
      <c r="T38" s="3947" t="e">
        <f t="shared" si="17"/>
        <v>#DIV/0!</v>
      </c>
    </row>
    <row r="39" spans="1:20" ht="15" thickBot="1"/>
    <row r="40" spans="1:20" ht="19.2">
      <c r="A40" s="7731" t="s">
        <v>29</v>
      </c>
      <c r="B40" s="7732"/>
      <c r="C40" s="7732"/>
      <c r="D40" s="7732"/>
      <c r="E40" s="7732"/>
      <c r="F40" s="7732"/>
      <c r="G40" s="7732"/>
      <c r="H40" s="7733"/>
      <c r="I40" s="5030" t="s">
        <v>18</v>
      </c>
      <c r="J40" s="3937" t="s">
        <v>85</v>
      </c>
      <c r="K40" s="3937" t="s">
        <v>6</v>
      </c>
      <c r="L40" s="3937" t="s">
        <v>7</v>
      </c>
      <c r="M40" s="3937" t="s">
        <v>8</v>
      </c>
      <c r="N40" s="3937" t="s">
        <v>9</v>
      </c>
      <c r="O40" s="3937" t="s">
        <v>10</v>
      </c>
      <c r="P40" s="3937" t="s">
        <v>11</v>
      </c>
      <c r="Q40" s="3937" t="s">
        <v>12</v>
      </c>
      <c r="R40" s="3937" t="s">
        <v>13</v>
      </c>
      <c r="S40" s="3937" t="s">
        <v>14</v>
      </c>
      <c r="T40" s="3938" t="s">
        <v>15</v>
      </c>
    </row>
    <row r="41" spans="1:20" ht="34.799999999999997" hidden="1">
      <c r="A41" s="3939" t="s">
        <v>1593</v>
      </c>
      <c r="B41" s="3915"/>
      <c r="C41" s="3915"/>
      <c r="D41" s="3915"/>
      <c r="E41" s="3915"/>
      <c r="F41" s="3915"/>
      <c r="G41" s="3915"/>
      <c r="H41" s="5036"/>
      <c r="I41" s="5031">
        <f>년간!F28</f>
        <v>37400</v>
      </c>
      <c r="J41" s="3931">
        <f>년간!G28</f>
        <v>38881</v>
      </c>
      <c r="K41" s="3931">
        <f>년간!H28</f>
        <v>42720</v>
      </c>
      <c r="L41" s="3931">
        <f>년간!I28</f>
        <v>35393</v>
      </c>
      <c r="M41" s="3931">
        <f>년간!J28</f>
        <v>36471</v>
      </c>
      <c r="N41" s="3931">
        <f>년간!K28</f>
        <v>37440</v>
      </c>
      <c r="O41" s="3931">
        <f>년간!L28</f>
        <v>44640</v>
      </c>
      <c r="P41" s="3931">
        <f>년간!M28</f>
        <v>42632</v>
      </c>
      <c r="Q41" s="3931">
        <f>년간!N28</f>
        <v>41086</v>
      </c>
      <c r="R41" s="3931">
        <f>년간!O28</f>
        <v>44640</v>
      </c>
      <c r="S41" s="3931">
        <f>년간!P28</f>
        <v>3040</v>
      </c>
      <c r="T41" s="3940">
        <f>년간!Q28</f>
        <v>0</v>
      </c>
    </row>
    <row r="42" spans="1:20" ht="17.399999999999999" hidden="1">
      <c r="A42" s="3941" t="s">
        <v>395</v>
      </c>
      <c r="B42" s="3915"/>
      <c r="C42" s="3915"/>
      <c r="D42" s="3915"/>
      <c r="E42" s="3915"/>
      <c r="F42" s="3915"/>
      <c r="G42" s="3915"/>
      <c r="H42" s="5036"/>
      <c r="I42" s="5031">
        <f>(비가동!N17+비가동!N19+비가동!N21)*60</f>
        <v>0</v>
      </c>
      <c r="J42" s="3931">
        <f>(비가동!O17+비가동!O19+비가동!O21)*60</f>
        <v>215</v>
      </c>
      <c r="K42" s="3931">
        <f>(비가동!P17+비가동!P19+비가동!P21)*60</f>
        <v>60</v>
      </c>
      <c r="L42" s="3931">
        <f>(비가동!Q17+비가동!Q19+비가동!Q21)*60</f>
        <v>0</v>
      </c>
      <c r="M42" s="3931">
        <f>(비가동!R17+비가동!R19+비가동!R21)*60</f>
        <v>305</v>
      </c>
      <c r="N42" s="3931">
        <f>(비가동!S17+비가동!S19+비가동!S21)*60</f>
        <v>214.99999999999997</v>
      </c>
      <c r="O42" s="3931">
        <f>(비가동!T17+비가동!T19+비가동!T21)*60</f>
        <v>15</v>
      </c>
      <c r="P42" s="3931">
        <f>(비가동!U17+비가동!U19+비가동!U21)*60</f>
        <v>540</v>
      </c>
      <c r="Q42" s="3931">
        <f>(비가동!V17+비가동!V19+비가동!V21)*60</f>
        <v>11</v>
      </c>
      <c r="R42" s="3931">
        <f>(비가동!W17+비가동!W19+비가동!W21)*60</f>
        <v>90</v>
      </c>
      <c r="S42" s="3931">
        <f>(비가동!X17+비가동!X19+비가동!X21)*60</f>
        <v>0</v>
      </c>
      <c r="T42" s="3940">
        <f>(비가동!Y17+비가동!Y19+비가동!Y21)*60</f>
        <v>0</v>
      </c>
    </row>
    <row r="43" spans="1:20" ht="17.399999999999999">
      <c r="A43" s="7728" t="s">
        <v>1594</v>
      </c>
      <c r="B43" s="7729"/>
      <c r="C43" s="7729"/>
      <c r="D43" s="7729"/>
      <c r="E43" s="7729"/>
      <c r="F43" s="7729"/>
      <c r="G43" s="7729"/>
      <c r="H43" s="7730"/>
      <c r="I43" s="5032">
        <f>(I41-I42)/I41</f>
        <v>1</v>
      </c>
      <c r="J43" s="3932">
        <f t="shared" ref="J43:T43" si="18">(J41-J42)/J41</f>
        <v>0.99447030683367199</v>
      </c>
      <c r="K43" s="3932">
        <f t="shared" si="18"/>
        <v>0.9985955056179775</v>
      </c>
      <c r="L43" s="3932">
        <f t="shared" si="18"/>
        <v>1</v>
      </c>
      <c r="M43" s="3932">
        <f t="shared" si="18"/>
        <v>0.99163719119300264</v>
      </c>
      <c r="N43" s="3932">
        <f t="shared" si="18"/>
        <v>0.9942574786324786</v>
      </c>
      <c r="O43" s="3932">
        <f t="shared" si="18"/>
        <v>0.99966397849462363</v>
      </c>
      <c r="P43" s="3932">
        <f t="shared" si="18"/>
        <v>0.98733345843497844</v>
      </c>
      <c r="Q43" s="3932">
        <f t="shared" si="18"/>
        <v>0.99973226889938183</v>
      </c>
      <c r="R43" s="3932">
        <f t="shared" si="18"/>
        <v>0.99798387096774188</v>
      </c>
      <c r="S43" s="3932">
        <f t="shared" si="18"/>
        <v>1</v>
      </c>
      <c r="T43" s="3943" t="e">
        <f t="shared" si="18"/>
        <v>#DIV/0!</v>
      </c>
    </row>
    <row r="44" spans="1:20" ht="17.399999999999999" hidden="1">
      <c r="A44" s="3941" t="s">
        <v>1595</v>
      </c>
      <c r="B44" s="3915"/>
      <c r="C44" s="3915"/>
      <c r="D44" s="3915"/>
      <c r="E44" s="3915"/>
      <c r="F44" s="3915"/>
      <c r="G44" s="3915"/>
      <c r="H44" s="5036"/>
      <c r="I44" s="5031">
        <v>35210</v>
      </c>
      <c r="J44" s="3931">
        <v>35034</v>
      </c>
      <c r="K44" s="3931">
        <v>30836</v>
      </c>
      <c r="L44" s="3931"/>
      <c r="M44" s="3931"/>
      <c r="N44" s="3931"/>
      <c r="O44" s="3931"/>
      <c r="P44" s="3931"/>
      <c r="Q44" s="3931"/>
      <c r="R44" s="3931"/>
      <c r="S44" s="3931"/>
      <c r="T44" s="3940"/>
    </row>
    <row r="45" spans="1:20" ht="34.799999999999997" hidden="1">
      <c r="A45" s="3939" t="s">
        <v>1602</v>
      </c>
      <c r="B45" s="3915"/>
      <c r="C45" s="3915"/>
      <c r="D45" s="3915"/>
      <c r="E45" s="3915"/>
      <c r="F45" s="3915"/>
      <c r="G45" s="3915"/>
      <c r="H45" s="5036"/>
      <c r="I45" s="5031">
        <v>37400</v>
      </c>
      <c r="J45" s="3931">
        <v>38666</v>
      </c>
      <c r="K45" s="3931">
        <v>34056</v>
      </c>
      <c r="L45" s="3931"/>
      <c r="M45" s="3931"/>
      <c r="N45" s="3931"/>
      <c r="O45" s="3931"/>
      <c r="P45" s="3931"/>
      <c r="Q45" s="3931"/>
      <c r="R45" s="3931"/>
      <c r="S45" s="3931"/>
      <c r="T45" s="3940"/>
    </row>
    <row r="46" spans="1:20" ht="17.399999999999999">
      <c r="A46" s="7728" t="s">
        <v>1596</v>
      </c>
      <c r="B46" s="7729"/>
      <c r="C46" s="7729"/>
      <c r="D46" s="7729"/>
      <c r="E46" s="7729"/>
      <c r="F46" s="7729"/>
      <c r="G46" s="7729"/>
      <c r="H46" s="7730"/>
      <c r="I46" s="5032">
        <f>I44/I45</f>
        <v>0.94144385026737964</v>
      </c>
      <c r="J46" s="3932">
        <f t="shared" ref="J46:T46" si="19">J44/J45</f>
        <v>0.90606734598872396</v>
      </c>
      <c r="K46" s="3932">
        <f t="shared" si="19"/>
        <v>0.90544984731031242</v>
      </c>
      <c r="L46" s="3932" t="e">
        <f t="shared" si="19"/>
        <v>#DIV/0!</v>
      </c>
      <c r="M46" s="3932" t="e">
        <f t="shared" si="19"/>
        <v>#DIV/0!</v>
      </c>
      <c r="N46" s="3932" t="e">
        <f t="shared" si="19"/>
        <v>#DIV/0!</v>
      </c>
      <c r="O46" s="3932" t="e">
        <f t="shared" si="19"/>
        <v>#DIV/0!</v>
      </c>
      <c r="P46" s="3932" t="e">
        <f t="shared" si="19"/>
        <v>#DIV/0!</v>
      </c>
      <c r="Q46" s="3932" t="e">
        <f t="shared" si="19"/>
        <v>#DIV/0!</v>
      </c>
      <c r="R46" s="3932" t="e">
        <f t="shared" si="19"/>
        <v>#DIV/0!</v>
      </c>
      <c r="S46" s="3932" t="e">
        <f t="shared" si="19"/>
        <v>#DIV/0!</v>
      </c>
      <c r="T46" s="3943" t="e">
        <f t="shared" si="19"/>
        <v>#DIV/0!</v>
      </c>
    </row>
    <row r="47" spans="1:20" ht="17.399999999999999" hidden="1">
      <c r="A47" s="3941" t="s">
        <v>1597</v>
      </c>
      <c r="B47" s="3915"/>
      <c r="C47" s="3915"/>
      <c r="D47" s="3915"/>
      <c r="E47" s="3915"/>
      <c r="F47" s="3915"/>
      <c r="G47" s="3915"/>
      <c r="H47" s="5036"/>
      <c r="I47" s="5035">
        <f>CGL!N5</f>
        <v>24738.14</v>
      </c>
      <c r="J47" s="3934">
        <f>CGL!O5</f>
        <v>24620.850000000002</v>
      </c>
      <c r="K47" s="3934">
        <f>CGL!P5</f>
        <v>26927.78</v>
      </c>
      <c r="L47" s="3934">
        <f>CGL!Q5</f>
        <v>24694.04</v>
      </c>
      <c r="M47" s="3934">
        <f>CGL!R5</f>
        <v>22811.49</v>
      </c>
      <c r="N47" s="3934">
        <f>CGL!S5</f>
        <v>24990.170000000002</v>
      </c>
      <c r="O47" s="3934">
        <f>CGL!T5</f>
        <v>30848.92</v>
      </c>
      <c r="P47" s="3934">
        <f>CGL!U5</f>
        <v>27730.79</v>
      </c>
      <c r="Q47" s="3934">
        <f>CGL!V5</f>
        <v>29266.38</v>
      </c>
      <c r="R47" s="3934">
        <f>CGL!W5</f>
        <v>27208.309999999998</v>
      </c>
      <c r="S47" s="3934">
        <f>CGL!X5</f>
        <v>1333.4739999999999</v>
      </c>
      <c r="T47" s="3944">
        <f>CGL!Y5</f>
        <v>0</v>
      </c>
    </row>
    <row r="48" spans="1:20" ht="17.399999999999999" hidden="1">
      <c r="A48" s="3941" t="s">
        <v>1598</v>
      </c>
      <c r="B48" s="3915"/>
      <c r="C48" s="3915"/>
      <c r="D48" s="3915"/>
      <c r="E48" s="3915"/>
      <c r="F48" s="3915"/>
      <c r="G48" s="3915"/>
      <c r="H48" s="5036"/>
      <c r="I48" s="5035">
        <f>CGL!N9</f>
        <v>4.84</v>
      </c>
      <c r="J48" s="3934">
        <f>CGL!O9</f>
        <v>41.36</v>
      </c>
      <c r="K48" s="3934">
        <f>CGL!P9</f>
        <v>22.59</v>
      </c>
      <c r="L48" s="3934">
        <f>CGL!Q9</f>
        <v>0</v>
      </c>
      <c r="M48" s="3934">
        <f>CGL!R9</f>
        <v>26.65</v>
      </c>
      <c r="N48" s="3934">
        <f>CGL!S9</f>
        <v>40.56</v>
      </c>
      <c r="O48" s="3934">
        <f>CGL!T9</f>
        <v>37.85</v>
      </c>
      <c r="P48" s="3934">
        <f>CGL!U9</f>
        <v>7.47</v>
      </c>
      <c r="Q48" s="3934">
        <f>CGL!V9</f>
        <v>0</v>
      </c>
      <c r="R48" s="3934">
        <f>CGL!W9</f>
        <v>24.21</v>
      </c>
      <c r="S48" s="3934">
        <f>CGL!X9</f>
        <v>0</v>
      </c>
      <c r="T48" s="3944">
        <f>CGL!Y9</f>
        <v>0</v>
      </c>
    </row>
    <row r="49" spans="1:20" ht="17.399999999999999">
      <c r="A49" s="7728" t="s">
        <v>1599</v>
      </c>
      <c r="B49" s="7729"/>
      <c r="C49" s="7729"/>
      <c r="D49" s="7729"/>
      <c r="E49" s="7729"/>
      <c r="F49" s="7729"/>
      <c r="G49" s="7729"/>
      <c r="H49" s="7730"/>
      <c r="I49" s="5032">
        <f>(I47-I48)/I47</f>
        <v>0.99980435069087648</v>
      </c>
      <c r="J49" s="3932">
        <f t="shared" ref="J49:T49" si="20">(J47-J48)/J47</f>
        <v>0.99832012298519346</v>
      </c>
      <c r="K49" s="3932">
        <f t="shared" si="20"/>
        <v>0.99916108940283976</v>
      </c>
      <c r="L49" s="3932">
        <f t="shared" si="20"/>
        <v>1</v>
      </c>
      <c r="M49" s="3932">
        <f t="shared" si="20"/>
        <v>0.99883172909792384</v>
      </c>
      <c r="N49" s="3932">
        <f t="shared" si="20"/>
        <v>0.99837696182138813</v>
      </c>
      <c r="O49" s="3932">
        <f t="shared" si="20"/>
        <v>0.99877305267088767</v>
      </c>
      <c r="P49" s="3932">
        <f t="shared" si="20"/>
        <v>0.9997306243348999</v>
      </c>
      <c r="Q49" s="3932">
        <f t="shared" si="20"/>
        <v>1</v>
      </c>
      <c r="R49" s="3932">
        <f t="shared" si="20"/>
        <v>0.99911019831808745</v>
      </c>
      <c r="S49" s="3932">
        <f t="shared" si="20"/>
        <v>1</v>
      </c>
      <c r="T49" s="3943" t="e">
        <f t="shared" si="20"/>
        <v>#DIV/0!</v>
      </c>
    </row>
    <row r="50" spans="1:20" ht="19.8" thickBot="1">
      <c r="A50" s="7738" t="s">
        <v>1600</v>
      </c>
      <c r="B50" s="7739"/>
      <c r="C50" s="7739"/>
      <c r="D50" s="7739"/>
      <c r="E50" s="7739"/>
      <c r="F50" s="7739"/>
      <c r="G50" s="7739"/>
      <c r="H50" s="7740"/>
      <c r="I50" s="5034">
        <f>I43*I46*I49</f>
        <v>0.94125965742849627</v>
      </c>
      <c r="J50" s="3946">
        <f t="shared" ref="J50:T50" si="21">J43*J46*J49</f>
        <v>0.89954340651380538</v>
      </c>
      <c r="K50" s="3946">
        <f t="shared" si="21"/>
        <v>0.90341962345641136</v>
      </c>
      <c r="L50" s="3946" t="e">
        <f t="shared" si="21"/>
        <v>#DIV/0!</v>
      </c>
      <c r="M50" s="3946" t="e">
        <f t="shared" si="21"/>
        <v>#DIV/0!</v>
      </c>
      <c r="N50" s="3946" t="e">
        <f t="shared" si="21"/>
        <v>#DIV/0!</v>
      </c>
      <c r="O50" s="3946" t="e">
        <f t="shared" si="21"/>
        <v>#DIV/0!</v>
      </c>
      <c r="P50" s="3946" t="e">
        <f t="shared" si="21"/>
        <v>#DIV/0!</v>
      </c>
      <c r="Q50" s="3946" t="e">
        <f t="shared" si="21"/>
        <v>#DIV/0!</v>
      </c>
      <c r="R50" s="3946" t="e">
        <f t="shared" si="21"/>
        <v>#DIV/0!</v>
      </c>
      <c r="S50" s="3946" t="e">
        <f t="shared" si="21"/>
        <v>#DIV/0!</v>
      </c>
      <c r="T50" s="3947" t="e">
        <f t="shared" si="21"/>
        <v>#DIV/0!</v>
      </c>
    </row>
    <row r="51" spans="1:20" ht="15" thickBot="1"/>
    <row r="52" spans="1:20" ht="19.2">
      <c r="A52" s="7731" t="s">
        <v>505</v>
      </c>
      <c r="B52" s="7732"/>
      <c r="C52" s="7732"/>
      <c r="D52" s="7732"/>
      <c r="E52" s="7732"/>
      <c r="F52" s="7732"/>
      <c r="G52" s="7732"/>
      <c r="H52" s="7733"/>
      <c r="I52" s="5030" t="s">
        <v>18</v>
      </c>
      <c r="J52" s="3937" t="s">
        <v>85</v>
      </c>
      <c r="K52" s="3937" t="s">
        <v>6</v>
      </c>
      <c r="L52" s="3937" t="s">
        <v>7</v>
      </c>
      <c r="M52" s="3937" t="s">
        <v>8</v>
      </c>
      <c r="N52" s="3937" t="s">
        <v>9</v>
      </c>
      <c r="O52" s="3937" t="s">
        <v>10</v>
      </c>
      <c r="P52" s="3937" t="s">
        <v>11</v>
      </c>
      <c r="Q52" s="3937" t="s">
        <v>12</v>
      </c>
      <c r="R52" s="3937" t="s">
        <v>13</v>
      </c>
      <c r="S52" s="3937" t="s">
        <v>14</v>
      </c>
      <c r="T52" s="3938" t="s">
        <v>15</v>
      </c>
    </row>
    <row r="53" spans="1:20" ht="34.799999999999997" hidden="1">
      <c r="A53" s="3939" t="s">
        <v>1593</v>
      </c>
      <c r="B53" s="3915"/>
      <c r="C53" s="3915"/>
      <c r="D53" s="3915"/>
      <c r="E53" s="3915"/>
      <c r="F53" s="3915"/>
      <c r="G53" s="3915"/>
      <c r="H53" s="5036"/>
      <c r="I53" s="5031">
        <f>년간!F29</f>
        <v>39981</v>
      </c>
      <c r="J53" s="3931">
        <f>년간!G29</f>
        <v>35453</v>
      </c>
      <c r="K53" s="3931">
        <f>년간!H29</f>
        <v>37664</v>
      </c>
      <c r="L53" s="3931">
        <f>년간!I29</f>
        <v>38495</v>
      </c>
      <c r="M53" s="3931">
        <f>년간!J29</f>
        <v>40320</v>
      </c>
      <c r="N53" s="3931">
        <f>년간!K29</f>
        <v>41569</v>
      </c>
      <c r="O53" s="3931">
        <f>년간!L29</f>
        <v>44640</v>
      </c>
      <c r="P53" s="3931">
        <f>년간!M29</f>
        <v>38160</v>
      </c>
      <c r="Q53" s="3931">
        <f>년간!N29</f>
        <v>39964</v>
      </c>
      <c r="R53" s="3931">
        <f>년간!O29</f>
        <v>42170</v>
      </c>
      <c r="S53" s="3931">
        <f>년간!P29</f>
        <v>42474</v>
      </c>
      <c r="T53" s="3940">
        <f>년간!Q29</f>
        <v>42450</v>
      </c>
    </row>
    <row r="54" spans="1:20" ht="17.399999999999999" hidden="1">
      <c r="A54" s="3941" t="s">
        <v>395</v>
      </c>
      <c r="B54" s="3915"/>
      <c r="C54" s="3915"/>
      <c r="D54" s="3915"/>
      <c r="E54" s="3915"/>
      <c r="F54" s="3915"/>
      <c r="G54" s="3915"/>
      <c r="H54" s="5036"/>
      <c r="I54" s="5031">
        <v>4464</v>
      </c>
      <c r="J54" s="3931">
        <v>4878</v>
      </c>
      <c r="K54" s="3931">
        <v>4170</v>
      </c>
      <c r="L54" s="3931"/>
      <c r="M54" s="3931"/>
      <c r="N54" s="3931"/>
      <c r="O54" s="3931"/>
      <c r="P54" s="3931"/>
      <c r="Q54" s="3931"/>
      <c r="R54" s="3931"/>
      <c r="S54" s="3931"/>
      <c r="T54" s="3940"/>
    </row>
    <row r="55" spans="1:20" ht="17.399999999999999">
      <c r="A55" s="7728" t="s">
        <v>1594</v>
      </c>
      <c r="B55" s="7729"/>
      <c r="C55" s="7729"/>
      <c r="D55" s="7729"/>
      <c r="E55" s="7729"/>
      <c r="F55" s="7729"/>
      <c r="G55" s="7729"/>
      <c r="H55" s="7730"/>
      <c r="I55" s="5032">
        <f>(I53-I54)/I53</f>
        <v>0.8883469648082839</v>
      </c>
      <c r="J55" s="3932">
        <f t="shared" ref="J55:T55" si="22">(J53-J54)/J53</f>
        <v>0.86240938707584691</v>
      </c>
      <c r="K55" s="3932">
        <f t="shared" si="22"/>
        <v>0.88928419711129991</v>
      </c>
      <c r="L55" s="3932">
        <f t="shared" si="22"/>
        <v>1</v>
      </c>
      <c r="M55" s="3932">
        <f t="shared" si="22"/>
        <v>1</v>
      </c>
      <c r="N55" s="3932">
        <f t="shared" si="22"/>
        <v>1</v>
      </c>
      <c r="O55" s="3932">
        <f t="shared" si="22"/>
        <v>1</v>
      </c>
      <c r="P55" s="3932">
        <f t="shared" si="22"/>
        <v>1</v>
      </c>
      <c r="Q55" s="3932">
        <f t="shared" si="22"/>
        <v>1</v>
      </c>
      <c r="R55" s="3932">
        <f t="shared" si="22"/>
        <v>1</v>
      </c>
      <c r="S55" s="3932">
        <f t="shared" si="22"/>
        <v>1</v>
      </c>
      <c r="T55" s="3943">
        <f t="shared" si="22"/>
        <v>1</v>
      </c>
    </row>
    <row r="56" spans="1:20" ht="17.399999999999999" hidden="1">
      <c r="A56" s="3941" t="s">
        <v>1595</v>
      </c>
      <c r="B56" s="3915"/>
      <c r="C56" s="3915"/>
      <c r="D56" s="3915"/>
      <c r="E56" s="3915"/>
      <c r="F56" s="3915"/>
      <c r="G56" s="3915"/>
      <c r="H56" s="5036"/>
      <c r="I56" s="5031">
        <v>34264</v>
      </c>
      <c r="J56" s="3931">
        <v>29079</v>
      </c>
      <c r="K56" s="3931">
        <v>29892</v>
      </c>
      <c r="L56" s="3931"/>
      <c r="M56" s="3931"/>
      <c r="N56" s="3931"/>
      <c r="O56" s="3931"/>
      <c r="P56" s="3931"/>
      <c r="Q56" s="3931"/>
      <c r="R56" s="3931"/>
      <c r="S56" s="3931"/>
      <c r="T56" s="3940"/>
    </row>
    <row r="57" spans="1:20" ht="34.799999999999997" hidden="1">
      <c r="A57" s="3939" t="s">
        <v>1602</v>
      </c>
      <c r="B57" s="3915"/>
      <c r="C57" s="3915"/>
      <c r="D57" s="3915"/>
      <c r="E57" s="3915"/>
      <c r="F57" s="3915"/>
      <c r="G57" s="3915"/>
      <c r="H57" s="5036"/>
      <c r="I57" s="5031">
        <v>39043</v>
      </c>
      <c r="J57" s="3931">
        <v>34001</v>
      </c>
      <c r="K57" s="3931">
        <v>32758</v>
      </c>
      <c r="L57" s="3931"/>
      <c r="M57" s="3931"/>
      <c r="N57" s="3931"/>
      <c r="O57" s="3931"/>
      <c r="P57" s="3931"/>
      <c r="Q57" s="3931"/>
      <c r="R57" s="3931"/>
      <c r="S57" s="3931"/>
      <c r="T57" s="3940"/>
    </row>
    <row r="58" spans="1:20" ht="17.399999999999999">
      <c r="A58" s="7728" t="s">
        <v>1596</v>
      </c>
      <c r="B58" s="7729"/>
      <c r="C58" s="7729"/>
      <c r="D58" s="7729"/>
      <c r="E58" s="7729"/>
      <c r="F58" s="7729"/>
      <c r="G58" s="7729"/>
      <c r="H58" s="7730"/>
      <c r="I58" s="5032">
        <f>I56/I57</f>
        <v>0.87759649617088853</v>
      </c>
      <c r="J58" s="3932">
        <f t="shared" ref="J58:T58" si="23">J56/J57</f>
        <v>0.85523955177788891</v>
      </c>
      <c r="K58" s="3932">
        <f t="shared" si="23"/>
        <v>0.91250992124061303</v>
      </c>
      <c r="L58" s="3932" t="e">
        <f t="shared" si="23"/>
        <v>#DIV/0!</v>
      </c>
      <c r="M58" s="3932" t="e">
        <f t="shared" si="23"/>
        <v>#DIV/0!</v>
      </c>
      <c r="N58" s="3932" t="e">
        <f t="shared" si="23"/>
        <v>#DIV/0!</v>
      </c>
      <c r="O58" s="3932" t="e">
        <f t="shared" si="23"/>
        <v>#DIV/0!</v>
      </c>
      <c r="P58" s="3932" t="e">
        <f t="shared" si="23"/>
        <v>#DIV/0!</v>
      </c>
      <c r="Q58" s="3932" t="e">
        <f t="shared" si="23"/>
        <v>#DIV/0!</v>
      </c>
      <c r="R58" s="3932" t="e">
        <f t="shared" si="23"/>
        <v>#DIV/0!</v>
      </c>
      <c r="S58" s="3932" t="e">
        <f t="shared" si="23"/>
        <v>#DIV/0!</v>
      </c>
      <c r="T58" s="3943" t="e">
        <f t="shared" si="23"/>
        <v>#DIV/0!</v>
      </c>
    </row>
    <row r="59" spans="1:20" ht="17.399999999999999" hidden="1">
      <c r="A59" s="3941" t="s">
        <v>1597</v>
      </c>
      <c r="B59" s="3915"/>
      <c r="C59" s="3915"/>
      <c r="D59" s="3915"/>
      <c r="E59" s="3915"/>
      <c r="F59" s="3915"/>
      <c r="G59" s="3915"/>
      <c r="H59" s="5036"/>
      <c r="I59" s="5035">
        <f>'#1CCL'!N5</f>
        <v>13714.31</v>
      </c>
      <c r="J59" s="3934">
        <f>'#1CCL'!O5</f>
        <v>11408.93</v>
      </c>
      <c r="K59" s="3934">
        <f>'#1CCL'!P5</f>
        <v>13299.08</v>
      </c>
      <c r="L59" s="3934">
        <f>'#1CCL'!Q5</f>
        <v>12905.32</v>
      </c>
      <c r="M59" s="3934">
        <f>'#1CCL'!R5</f>
        <v>12638.958000000001</v>
      </c>
      <c r="N59" s="3934">
        <f>'#1CCL'!S5</f>
        <v>13592.15</v>
      </c>
      <c r="O59" s="3934">
        <f>'#1CCL'!T5</f>
        <v>15058.49</v>
      </c>
      <c r="P59" s="3934">
        <f>'#1CCL'!U5</f>
        <v>12414.97</v>
      </c>
      <c r="Q59" s="3934">
        <f>'#1CCL'!V5</f>
        <v>13015.86</v>
      </c>
      <c r="R59" s="3934">
        <f>'#1CCL'!W5</f>
        <v>13640.470000000001</v>
      </c>
      <c r="S59" s="3934">
        <f>'#1CCL'!X5</f>
        <v>13281.05</v>
      </c>
      <c r="T59" s="3944">
        <f>'#1CCL'!Y5</f>
        <v>12661.900000000001</v>
      </c>
    </row>
    <row r="60" spans="1:20" ht="17.399999999999999" hidden="1">
      <c r="A60" s="3941" t="s">
        <v>1598</v>
      </c>
      <c r="B60" s="3915"/>
      <c r="C60" s="3915"/>
      <c r="D60" s="3915"/>
      <c r="E60" s="3915"/>
      <c r="F60" s="3915"/>
      <c r="G60" s="3915"/>
      <c r="H60" s="5036"/>
      <c r="I60" s="5035">
        <f>'#1CCL'!N8+'#1CCL'!N10</f>
        <v>1.82</v>
      </c>
      <c r="J60" s="3934">
        <f>'#1CCL'!O8+'#1CCL'!O10</f>
        <v>1.69</v>
      </c>
      <c r="K60" s="3934">
        <f>'#1CCL'!P8+'#1CCL'!P10</f>
        <v>8.17</v>
      </c>
      <c r="L60" s="3934">
        <f>'#1CCL'!Q8+'#1CCL'!Q10</f>
        <v>4.93</v>
      </c>
      <c r="M60" s="3934">
        <f>'#1CCL'!R8+'#1CCL'!R10</f>
        <v>44.01</v>
      </c>
      <c r="N60" s="3934">
        <f>'#1CCL'!S8+'#1CCL'!S10</f>
        <v>17.64</v>
      </c>
      <c r="O60" s="3934">
        <f>'#1CCL'!T8+'#1CCL'!T10</f>
        <v>4.5999999999999996</v>
      </c>
      <c r="P60" s="3934">
        <f>'#1CCL'!U8+'#1CCL'!U10</f>
        <v>6.48</v>
      </c>
      <c r="Q60" s="3934">
        <f>'#1CCL'!V8+'#1CCL'!V10</f>
        <v>0</v>
      </c>
      <c r="R60" s="3934">
        <f>'#1CCL'!W8+'#1CCL'!W10</f>
        <v>2.2799999999999998</v>
      </c>
      <c r="S60" s="3934">
        <f>'#1CCL'!X8+'#1CCL'!X10</f>
        <v>41.760000000000005</v>
      </c>
      <c r="T60" s="3944">
        <f>'#1CCL'!Y8+'#1CCL'!Y10</f>
        <v>133.07999999999998</v>
      </c>
    </row>
    <row r="61" spans="1:20" ht="17.399999999999999">
      <c r="A61" s="7728" t="s">
        <v>1599</v>
      </c>
      <c r="B61" s="7729"/>
      <c r="C61" s="7729"/>
      <c r="D61" s="7729"/>
      <c r="E61" s="7729"/>
      <c r="F61" s="7729"/>
      <c r="G61" s="7729"/>
      <c r="H61" s="7730"/>
      <c r="I61" s="5032">
        <f>(I59-I60)/I59</f>
        <v>0.99986729190167056</v>
      </c>
      <c r="J61" s="3932">
        <f t="shared" ref="J61:T61" si="24">(J59-J60)/J59</f>
        <v>0.99985187042080192</v>
      </c>
      <c r="K61" s="3932">
        <f t="shared" si="24"/>
        <v>0.9993856717908306</v>
      </c>
      <c r="L61" s="3932">
        <f t="shared" si="24"/>
        <v>0.99961798700070981</v>
      </c>
      <c r="M61" s="3932">
        <f t="shared" si="24"/>
        <v>0.99651790915042204</v>
      </c>
      <c r="N61" s="3932">
        <f t="shared" si="24"/>
        <v>0.9987021920741016</v>
      </c>
      <c r="O61" s="3932">
        <f t="shared" si="24"/>
        <v>0.9996945244841946</v>
      </c>
      <c r="P61" s="3932">
        <f t="shared" si="24"/>
        <v>0.99947804948380869</v>
      </c>
      <c r="Q61" s="3932">
        <f t="shared" si="24"/>
        <v>1</v>
      </c>
      <c r="R61" s="3932">
        <f t="shared" si="24"/>
        <v>0.99983285033433589</v>
      </c>
      <c r="S61" s="3932">
        <f t="shared" si="24"/>
        <v>0.99685567029715272</v>
      </c>
      <c r="T61" s="3943">
        <f t="shared" si="24"/>
        <v>0.98948972902960852</v>
      </c>
    </row>
    <row r="62" spans="1:20" ht="19.8" thickBot="1">
      <c r="A62" s="7738" t="s">
        <v>1600</v>
      </c>
      <c r="B62" s="7739"/>
      <c r="C62" s="7739"/>
      <c r="D62" s="7739"/>
      <c r="E62" s="7739"/>
      <c r="F62" s="7739"/>
      <c r="G62" s="7739"/>
      <c r="H62" s="7740"/>
      <c r="I62" s="5034">
        <f>I55*I58*I61</f>
        <v>0.77950672311487657</v>
      </c>
      <c r="J62" s="3946">
        <f t="shared" ref="J62:T62" si="25">J55*J58*J61</f>
        <v>0.73745736221908786</v>
      </c>
      <c r="K62" s="3946">
        <f t="shared" si="25"/>
        <v>0.81098213721042589</v>
      </c>
      <c r="L62" s="3946" t="e">
        <f t="shared" si="25"/>
        <v>#DIV/0!</v>
      </c>
      <c r="M62" s="3946" t="e">
        <f t="shared" si="25"/>
        <v>#DIV/0!</v>
      </c>
      <c r="N62" s="3946" t="e">
        <f t="shared" si="25"/>
        <v>#DIV/0!</v>
      </c>
      <c r="O62" s="3946" t="e">
        <f t="shared" si="25"/>
        <v>#DIV/0!</v>
      </c>
      <c r="P62" s="3946" t="e">
        <f t="shared" si="25"/>
        <v>#DIV/0!</v>
      </c>
      <c r="Q62" s="3946" t="e">
        <f t="shared" si="25"/>
        <v>#DIV/0!</v>
      </c>
      <c r="R62" s="3946" t="e">
        <f t="shared" si="25"/>
        <v>#DIV/0!</v>
      </c>
      <c r="S62" s="3946" t="e">
        <f t="shared" si="25"/>
        <v>#DIV/0!</v>
      </c>
      <c r="T62" s="3947" t="e">
        <f t="shared" si="25"/>
        <v>#DIV/0!</v>
      </c>
    </row>
    <row r="63" spans="1:20" ht="15" thickBot="1"/>
    <row r="64" spans="1:20" ht="19.2">
      <c r="A64" s="7731" t="s">
        <v>492</v>
      </c>
      <c r="B64" s="7732"/>
      <c r="C64" s="7732"/>
      <c r="D64" s="7732"/>
      <c r="E64" s="7732"/>
      <c r="F64" s="7732"/>
      <c r="G64" s="7732"/>
      <c r="H64" s="7733"/>
      <c r="I64" s="5030" t="s">
        <v>18</v>
      </c>
      <c r="J64" s="3937" t="s">
        <v>85</v>
      </c>
      <c r="K64" s="3937" t="s">
        <v>6</v>
      </c>
      <c r="L64" s="3937" t="s">
        <v>7</v>
      </c>
      <c r="M64" s="3937" t="s">
        <v>8</v>
      </c>
      <c r="N64" s="3937" t="s">
        <v>9</v>
      </c>
      <c r="O64" s="3937" t="s">
        <v>10</v>
      </c>
      <c r="P64" s="3937" t="s">
        <v>11</v>
      </c>
      <c r="Q64" s="3937" t="s">
        <v>12</v>
      </c>
      <c r="R64" s="3937" t="s">
        <v>13</v>
      </c>
      <c r="S64" s="3937" t="s">
        <v>14</v>
      </c>
      <c r="T64" s="3938" t="s">
        <v>15</v>
      </c>
    </row>
    <row r="65" spans="1:20" ht="34.799999999999997" hidden="1">
      <c r="A65" s="3939" t="s">
        <v>1593</v>
      </c>
      <c r="B65" s="3915"/>
      <c r="C65" s="3915"/>
      <c r="D65" s="3915"/>
      <c r="E65" s="3915"/>
      <c r="F65" s="3915"/>
      <c r="G65" s="3915"/>
      <c r="H65" s="5036"/>
      <c r="I65" s="5031">
        <f>년간!F30</f>
        <v>40541</v>
      </c>
      <c r="J65" s="3931">
        <f>년간!G30</f>
        <v>38291</v>
      </c>
      <c r="K65" s="3931">
        <f>년간!H30</f>
        <v>34258</v>
      </c>
      <c r="L65" s="3931">
        <f>년간!I30</f>
        <v>37226</v>
      </c>
      <c r="M65" s="3931">
        <f>년간!J30</f>
        <v>35225</v>
      </c>
      <c r="N65" s="3931">
        <f>년간!K30</f>
        <v>41564</v>
      </c>
      <c r="O65" s="3931">
        <f>년간!L30</f>
        <v>40057</v>
      </c>
      <c r="P65" s="3931">
        <f>년간!M30</f>
        <v>35409</v>
      </c>
      <c r="Q65" s="3931">
        <f>년간!N30</f>
        <v>37491</v>
      </c>
      <c r="R65" s="3931">
        <f>년간!O30</f>
        <v>41140</v>
      </c>
      <c r="S65" s="3931">
        <f>년간!P30</f>
        <v>41490</v>
      </c>
      <c r="T65" s="3940">
        <f>년간!Q30</f>
        <v>41836</v>
      </c>
    </row>
    <row r="66" spans="1:20" ht="17.399999999999999" hidden="1">
      <c r="A66" s="3941" t="s">
        <v>395</v>
      </c>
      <c r="B66" s="3915"/>
      <c r="C66" s="3915"/>
      <c r="D66" s="3915"/>
      <c r="E66" s="3915"/>
      <c r="F66" s="3915"/>
      <c r="G66" s="3915"/>
      <c r="H66" s="5036"/>
      <c r="I66" s="5031">
        <v>8898</v>
      </c>
      <c r="J66" s="3931">
        <v>8094</v>
      </c>
      <c r="K66" s="3931">
        <v>7982</v>
      </c>
      <c r="L66" s="3931"/>
      <c r="M66" s="3931"/>
      <c r="N66" s="3931"/>
      <c r="O66" s="3931"/>
      <c r="P66" s="3931"/>
      <c r="Q66" s="3931"/>
      <c r="R66" s="3931"/>
      <c r="S66" s="3931"/>
      <c r="T66" s="3940"/>
    </row>
    <row r="67" spans="1:20" ht="17.399999999999999">
      <c r="A67" s="7728" t="s">
        <v>1594</v>
      </c>
      <c r="B67" s="7729"/>
      <c r="C67" s="7729"/>
      <c r="D67" s="7729"/>
      <c r="E67" s="7729"/>
      <c r="F67" s="7729"/>
      <c r="G67" s="7729"/>
      <c r="H67" s="7730"/>
      <c r="I67" s="5032">
        <f>(I65-I66)/I65</f>
        <v>0.78051848745714214</v>
      </c>
      <c r="J67" s="3932">
        <f t="shared" ref="J67:T67" si="26">(J65-J66)/J65</f>
        <v>0.7886187354730877</v>
      </c>
      <c r="K67" s="3932">
        <f t="shared" si="26"/>
        <v>0.76700332768988266</v>
      </c>
      <c r="L67" s="3932">
        <f t="shared" si="26"/>
        <v>1</v>
      </c>
      <c r="M67" s="3932">
        <f t="shared" si="26"/>
        <v>1</v>
      </c>
      <c r="N67" s="3932">
        <f t="shared" si="26"/>
        <v>1</v>
      </c>
      <c r="O67" s="3932">
        <f t="shared" si="26"/>
        <v>1</v>
      </c>
      <c r="P67" s="3932">
        <f t="shared" si="26"/>
        <v>1</v>
      </c>
      <c r="Q67" s="3932">
        <f t="shared" si="26"/>
        <v>1</v>
      </c>
      <c r="R67" s="3932">
        <f t="shared" si="26"/>
        <v>1</v>
      </c>
      <c r="S67" s="3932">
        <f t="shared" si="26"/>
        <v>1</v>
      </c>
      <c r="T67" s="3943">
        <f t="shared" si="26"/>
        <v>1</v>
      </c>
    </row>
    <row r="68" spans="1:20" ht="17.399999999999999" hidden="1">
      <c r="A68" s="3941" t="s">
        <v>1595</v>
      </c>
      <c r="B68" s="3915"/>
      <c r="C68" s="3915"/>
      <c r="D68" s="3915"/>
      <c r="E68" s="3915"/>
      <c r="F68" s="3915"/>
      <c r="G68" s="3915"/>
      <c r="H68" s="5036"/>
      <c r="I68" s="5031">
        <v>9773</v>
      </c>
      <c r="J68" s="3931">
        <v>27652</v>
      </c>
      <c r="K68" s="3931">
        <v>19714</v>
      </c>
      <c r="L68" s="3931"/>
      <c r="M68" s="3931"/>
      <c r="N68" s="3931"/>
      <c r="O68" s="3931"/>
      <c r="P68" s="3931"/>
      <c r="Q68" s="3931"/>
      <c r="R68" s="3931"/>
      <c r="S68" s="3931"/>
      <c r="T68" s="3940"/>
    </row>
    <row r="69" spans="1:20" ht="34.799999999999997" hidden="1">
      <c r="A69" s="3939" t="s">
        <v>1602</v>
      </c>
      <c r="B69" s="3915"/>
      <c r="C69" s="3915"/>
      <c r="D69" s="3915"/>
      <c r="E69" s="3915"/>
      <c r="F69" s="3915"/>
      <c r="G69" s="3915"/>
      <c r="H69" s="5036"/>
      <c r="I69" s="5031">
        <v>12093</v>
      </c>
      <c r="J69" s="3931">
        <v>35051</v>
      </c>
      <c r="K69" s="3931">
        <v>27941</v>
      </c>
      <c r="L69" s="3931"/>
      <c r="M69" s="3931"/>
      <c r="N69" s="3931"/>
      <c r="O69" s="3931"/>
      <c r="P69" s="3931"/>
      <c r="Q69" s="3931"/>
      <c r="R69" s="3931"/>
      <c r="S69" s="3931"/>
      <c r="T69" s="3940"/>
    </row>
    <row r="70" spans="1:20" ht="17.399999999999999">
      <c r="A70" s="7728" t="s">
        <v>1596</v>
      </c>
      <c r="B70" s="7729"/>
      <c r="C70" s="7729"/>
      <c r="D70" s="7729"/>
      <c r="E70" s="7729"/>
      <c r="F70" s="7729"/>
      <c r="G70" s="7729"/>
      <c r="H70" s="7730"/>
      <c r="I70" s="5032">
        <f>I68/I69</f>
        <v>0.80815347721822539</v>
      </c>
      <c r="J70" s="3932">
        <f t="shared" ref="J70:T70" si="27">J68/J69</f>
        <v>0.78890759179481329</v>
      </c>
      <c r="K70" s="3932">
        <f t="shared" si="27"/>
        <v>0.70555814036720232</v>
      </c>
      <c r="L70" s="3932" t="e">
        <f t="shared" si="27"/>
        <v>#DIV/0!</v>
      </c>
      <c r="M70" s="3932" t="e">
        <f t="shared" si="27"/>
        <v>#DIV/0!</v>
      </c>
      <c r="N70" s="3932" t="e">
        <f t="shared" si="27"/>
        <v>#DIV/0!</v>
      </c>
      <c r="O70" s="3932" t="e">
        <f t="shared" si="27"/>
        <v>#DIV/0!</v>
      </c>
      <c r="P70" s="3932" t="e">
        <f t="shared" si="27"/>
        <v>#DIV/0!</v>
      </c>
      <c r="Q70" s="3932" t="e">
        <f t="shared" si="27"/>
        <v>#DIV/0!</v>
      </c>
      <c r="R70" s="3932" t="e">
        <f t="shared" si="27"/>
        <v>#DIV/0!</v>
      </c>
      <c r="S70" s="3932" t="e">
        <f t="shared" si="27"/>
        <v>#DIV/0!</v>
      </c>
      <c r="T70" s="3943" t="e">
        <f t="shared" si="27"/>
        <v>#DIV/0!</v>
      </c>
    </row>
    <row r="71" spans="1:20" ht="17.399999999999999" hidden="1">
      <c r="A71" s="3941" t="s">
        <v>1597</v>
      </c>
      <c r="B71" s="3915"/>
      <c r="C71" s="3915"/>
      <c r="D71" s="3915"/>
      <c r="E71" s="3915"/>
      <c r="F71" s="3915"/>
      <c r="G71" s="3915"/>
      <c r="H71" s="5036"/>
      <c r="I71" s="5035">
        <f>'#2CCL'!N5</f>
        <v>5146.8100000000004</v>
      </c>
      <c r="J71" s="3934">
        <f>'#2CCL'!O5</f>
        <v>5270.54</v>
      </c>
      <c r="K71" s="3934">
        <f>'#2CCL'!P5</f>
        <v>4212.8039999999992</v>
      </c>
      <c r="L71" s="3934">
        <f>'#2CCL'!Q5</f>
        <v>4553.6120000000001</v>
      </c>
      <c r="M71" s="3934">
        <f>'#2CCL'!R5</f>
        <v>4030.7400000000002</v>
      </c>
      <c r="N71" s="3934">
        <f>'#2CCL'!S5</f>
        <v>5254.96</v>
      </c>
      <c r="O71" s="3934">
        <f>'#2CCL'!T5</f>
        <v>4973.76</v>
      </c>
      <c r="P71" s="3934">
        <f>'#2CCL'!U5</f>
        <v>4617.4400000000005</v>
      </c>
      <c r="Q71" s="3934">
        <f>'#2CCL'!V5</f>
        <v>4099.0349999999999</v>
      </c>
      <c r="R71" s="3934">
        <f>'#2CCL'!W5</f>
        <v>4427.88</v>
      </c>
      <c r="S71" s="3934">
        <f>'#2CCL'!X5</f>
        <v>4859.99</v>
      </c>
      <c r="T71" s="3944">
        <f>'#2CCL'!Y5</f>
        <v>4664.7700000000004</v>
      </c>
    </row>
    <row r="72" spans="1:20" ht="17.399999999999999" hidden="1">
      <c r="A72" s="3941" t="s">
        <v>1598</v>
      </c>
      <c r="B72" s="3915"/>
      <c r="C72" s="3915"/>
      <c r="D72" s="3915"/>
      <c r="E72" s="3915"/>
      <c r="F72" s="3915"/>
      <c r="G72" s="3915"/>
      <c r="H72" s="5036"/>
      <c r="I72" s="5035">
        <f>'#2CCL'!N8+'#2CCL'!N10</f>
        <v>2.29</v>
      </c>
      <c r="J72" s="3934">
        <f>'#2CCL'!O8+'#2CCL'!O10</f>
        <v>0</v>
      </c>
      <c r="K72" s="3934">
        <f>'#2CCL'!P8+'#2CCL'!P10</f>
        <v>15.12</v>
      </c>
      <c r="L72" s="3934">
        <f>'#2CCL'!Q8+'#2CCL'!Q10</f>
        <v>16.82</v>
      </c>
      <c r="M72" s="3934">
        <f>'#2CCL'!R8+'#2CCL'!R10</f>
        <v>40.199999999999996</v>
      </c>
      <c r="N72" s="3934">
        <f>'#2CCL'!S8+'#2CCL'!S10</f>
        <v>4.9000000000000004</v>
      </c>
      <c r="O72" s="3934">
        <f>'#2CCL'!T8+'#2CCL'!T10</f>
        <v>1.97</v>
      </c>
      <c r="P72" s="3934">
        <f>'#2CCL'!U8+'#2CCL'!U10</f>
        <v>8.39</v>
      </c>
      <c r="Q72" s="3934">
        <f>'#2CCL'!V8+'#2CCL'!V10</f>
        <v>8.67</v>
      </c>
      <c r="R72" s="3934">
        <f>'#2CCL'!W8+'#2CCL'!W10</f>
        <v>2.2400000000000002</v>
      </c>
      <c r="S72" s="3934">
        <f>'#2CCL'!X8+'#2CCL'!X10</f>
        <v>1.46</v>
      </c>
      <c r="T72" s="3944">
        <f>'#2CCL'!Y8+'#2CCL'!Y10</f>
        <v>3.81</v>
      </c>
    </row>
    <row r="73" spans="1:20" ht="17.399999999999999">
      <c r="A73" s="7728" t="s">
        <v>1599</v>
      </c>
      <c r="B73" s="7729"/>
      <c r="C73" s="7729"/>
      <c r="D73" s="7729"/>
      <c r="E73" s="7729"/>
      <c r="F73" s="7729"/>
      <c r="G73" s="7729"/>
      <c r="H73" s="7730"/>
      <c r="I73" s="5032">
        <f>(I71-I72)/I71</f>
        <v>0.9995550642048181</v>
      </c>
      <c r="J73" s="3932">
        <f t="shared" ref="J73:T73" si="28">(J71-J72)/J71</f>
        <v>1</v>
      </c>
      <c r="K73" s="3932">
        <f t="shared" si="28"/>
        <v>0.99641094150119491</v>
      </c>
      <c r="L73" s="3932">
        <f t="shared" si="28"/>
        <v>0.99630622898920684</v>
      </c>
      <c r="M73" s="3932">
        <f t="shared" si="28"/>
        <v>0.99002664523139672</v>
      </c>
      <c r="N73" s="3932">
        <f t="shared" si="28"/>
        <v>0.99906754761216077</v>
      </c>
      <c r="O73" s="3932">
        <f t="shared" si="28"/>
        <v>0.99960392137939902</v>
      </c>
      <c r="P73" s="3932">
        <f t="shared" si="28"/>
        <v>0.9981829758480889</v>
      </c>
      <c r="Q73" s="3932">
        <f t="shared" si="28"/>
        <v>0.99788486802381537</v>
      </c>
      <c r="R73" s="3932">
        <f t="shared" si="28"/>
        <v>0.99949411456498372</v>
      </c>
      <c r="S73" s="3932">
        <f t="shared" si="28"/>
        <v>0.9996995878592343</v>
      </c>
      <c r="T73" s="3943">
        <f t="shared" si="28"/>
        <v>0.99918323947375742</v>
      </c>
    </row>
    <row r="74" spans="1:20" ht="19.8" thickBot="1">
      <c r="A74" s="7738" t="s">
        <v>1600</v>
      </c>
      <c r="B74" s="7739"/>
      <c r="C74" s="7739"/>
      <c r="D74" s="7739"/>
      <c r="E74" s="7739"/>
      <c r="F74" s="7739"/>
      <c r="G74" s="7739"/>
      <c r="H74" s="7740"/>
      <c r="I74" s="5034">
        <f>I67*I70*I73</f>
        <v>0.63049807363592902</v>
      </c>
      <c r="J74" s="3946">
        <f t="shared" ref="J74:T74" si="29">J67*J70*J73</f>
        <v>0.6221473074463445</v>
      </c>
      <c r="K74" s="3946">
        <f t="shared" si="29"/>
        <v>0.53922316711310958</v>
      </c>
      <c r="L74" s="3946" t="e">
        <f t="shared" si="29"/>
        <v>#DIV/0!</v>
      </c>
      <c r="M74" s="3946" t="e">
        <f t="shared" si="29"/>
        <v>#DIV/0!</v>
      </c>
      <c r="N74" s="3946" t="e">
        <f t="shared" si="29"/>
        <v>#DIV/0!</v>
      </c>
      <c r="O74" s="3946" t="e">
        <f t="shared" si="29"/>
        <v>#DIV/0!</v>
      </c>
      <c r="P74" s="3946" t="e">
        <f t="shared" si="29"/>
        <v>#DIV/0!</v>
      </c>
      <c r="Q74" s="3946" t="e">
        <f t="shared" si="29"/>
        <v>#DIV/0!</v>
      </c>
      <c r="R74" s="3946" t="e">
        <f t="shared" si="29"/>
        <v>#DIV/0!</v>
      </c>
      <c r="S74" s="3946" t="e">
        <f t="shared" si="29"/>
        <v>#DIV/0!</v>
      </c>
      <c r="T74" s="3947" t="e">
        <f t="shared" si="29"/>
        <v>#DIV/0!</v>
      </c>
    </row>
    <row r="76" spans="1:20" s="299" customFormat="1"/>
    <row r="77" spans="1:20" s="299" customFormat="1"/>
    <row r="78" spans="1:20" s="299" customFormat="1"/>
    <row r="79" spans="1:20" s="299" customFormat="1"/>
    <row r="80" spans="1:20" s="299" customFormat="1"/>
    <row r="81" spans="1:21" s="299" customFormat="1"/>
    <row r="82" spans="1:21" ht="15" thickBot="1">
      <c r="A82" s="300" t="s">
        <v>1738</v>
      </c>
    </row>
    <row r="83" spans="1:21" ht="14.4" customHeight="1">
      <c r="A83" s="7693" t="s">
        <v>1739</v>
      </c>
      <c r="B83" s="7746" t="s">
        <v>1181</v>
      </c>
      <c r="H83" s="7744" t="s">
        <v>1616</v>
      </c>
      <c r="I83" s="7741" t="s">
        <v>1731</v>
      </c>
      <c r="J83" s="7742"/>
      <c r="K83" s="7742"/>
      <c r="L83" s="7742"/>
      <c r="M83" s="7742"/>
      <c r="N83" s="7742"/>
      <c r="O83" s="7742"/>
      <c r="P83" s="7742"/>
      <c r="Q83" s="7742"/>
      <c r="R83" s="7742"/>
      <c r="S83" s="7742"/>
      <c r="T83" s="7742"/>
      <c r="U83" s="7743"/>
    </row>
    <row r="84" spans="1:21" ht="18" thickBot="1">
      <c r="A84" s="7694"/>
      <c r="B84" s="7747"/>
      <c r="H84" s="7745"/>
      <c r="I84" s="4204" t="s">
        <v>18</v>
      </c>
      <c r="J84" s="4143" t="s">
        <v>5</v>
      </c>
      <c r="K84" s="4143" t="s">
        <v>6</v>
      </c>
      <c r="L84" s="4143" t="s">
        <v>7</v>
      </c>
      <c r="M84" s="4143" t="s">
        <v>8</v>
      </c>
      <c r="N84" s="4143" t="s">
        <v>9</v>
      </c>
      <c r="O84" s="4143" t="s">
        <v>10</v>
      </c>
      <c r="P84" s="4143" t="s">
        <v>11</v>
      </c>
      <c r="Q84" s="4143" t="s">
        <v>12</v>
      </c>
      <c r="R84" s="4143" t="s">
        <v>13</v>
      </c>
      <c r="S84" s="4143" t="s">
        <v>14</v>
      </c>
      <c r="T84" s="4143" t="s">
        <v>15</v>
      </c>
      <c r="U84" s="4144" t="s">
        <v>197</v>
      </c>
    </row>
    <row r="85" spans="1:21" ht="17.399999999999999">
      <c r="A85" s="4136" t="s">
        <v>1619</v>
      </c>
      <c r="B85" s="4138">
        <v>355898.17418181821</v>
      </c>
      <c r="H85" s="4139">
        <v>360000</v>
      </c>
      <c r="I85" s="5017">
        <f>운영KPI!I75</f>
        <v>347440.63200000004</v>
      </c>
      <c r="J85" s="5008">
        <f>운영KPI!J75</f>
        <v>345244.908</v>
      </c>
      <c r="K85" s="5008">
        <f>운영KPI!K75</f>
        <v>346861.152</v>
      </c>
      <c r="L85" s="5008">
        <f>운영KPI!L75</f>
        <v>342782.03700000001</v>
      </c>
      <c r="M85" s="5008">
        <f>운영KPI!M75</f>
        <v>344127.88080000004</v>
      </c>
      <c r="N85" s="5008">
        <f>운영KPI!N75</f>
        <v>349306.25199999998</v>
      </c>
      <c r="O85" s="5008">
        <f>운영KPI!O75</f>
        <v>358549.47085714282</v>
      </c>
      <c r="P85" s="5008">
        <f>운영KPI!P75</f>
        <v>363015.22950000002</v>
      </c>
      <c r="Q85" s="5008">
        <f>운영KPI!Q75</f>
        <v>367896.19866666663</v>
      </c>
      <c r="R85" s="5008">
        <f>운영KPI!R75</f>
        <v>369817.97640000004</v>
      </c>
      <c r="S85" s="5008">
        <f>운영KPI!S75</f>
        <v>346861.152</v>
      </c>
      <c r="T85" s="5008">
        <f>운영KPI!T75</f>
        <v>363872.36799999996</v>
      </c>
      <c r="U85" s="5009">
        <f>SUM(I85:T85)</f>
        <v>4245775.2572238091</v>
      </c>
    </row>
    <row r="86" spans="1:21" ht="18" thickBot="1">
      <c r="A86" s="4200" t="s">
        <v>1620</v>
      </c>
      <c r="B86" s="4201">
        <v>48880.698636363639</v>
      </c>
      <c r="H86" s="4206">
        <v>50255.45</v>
      </c>
      <c r="I86" s="5007">
        <f>운영KPI!I76</f>
        <v>50372.811000000002</v>
      </c>
      <c r="J86" s="5016">
        <f>운영KPI!J76</f>
        <v>72345.774000000005</v>
      </c>
      <c r="K86" s="5016">
        <f>운영KPI!K76</f>
        <v>61221.726999999999</v>
      </c>
      <c r="L86" s="5016">
        <f>운영KPI!L76</f>
        <v>55213.883000000002</v>
      </c>
      <c r="M86" s="5016">
        <f>운영KPI!M76</f>
        <v>53606.952999999994</v>
      </c>
      <c r="N86" s="5016">
        <f>운영KPI!N76</f>
        <v>58038.332999999999</v>
      </c>
      <c r="O86" s="5016">
        <f>운영KPI!O76</f>
        <v>57152.304000000004</v>
      </c>
      <c r="P86" s="5016">
        <f>운영KPI!P76</f>
        <v>53453.247000000003</v>
      </c>
      <c r="Q86" s="5016">
        <f>운영KPI!Q76</f>
        <v>55359.846999999994</v>
      </c>
      <c r="R86" s="5016">
        <f>운영KPI!R76</f>
        <v>43702.084999999999</v>
      </c>
      <c r="S86" s="5016">
        <f>운영KPI!S76</f>
        <v>30504.932000000001</v>
      </c>
      <c r="T86" s="5016">
        <f>운영KPI!T76</f>
        <v>27028.213000000003</v>
      </c>
      <c r="U86" s="5010">
        <f>SUM(I86:T86)</f>
        <v>618000.10900000005</v>
      </c>
    </row>
    <row r="87" spans="1:21" ht="17.399999999999999">
      <c r="A87" s="4220" t="s">
        <v>1621</v>
      </c>
      <c r="B87" s="4212">
        <f>B85/B86</f>
        <v>7.280955144062859</v>
      </c>
      <c r="H87" s="4213">
        <f>H85/H86</f>
        <v>7.1634021782712125</v>
      </c>
      <c r="I87" s="5011">
        <f t="shared" ref="I87:U87" si="30">I85/I86</f>
        <v>6.897384225787996</v>
      </c>
      <c r="J87" s="5012">
        <f t="shared" si="30"/>
        <v>4.7721503124702211</v>
      </c>
      <c r="K87" s="5012">
        <f t="shared" si="30"/>
        <v>5.665654482435623</v>
      </c>
      <c r="L87" s="5012">
        <f t="shared" si="30"/>
        <v>6.2082581114608439</v>
      </c>
      <c r="M87" s="5012">
        <f t="shared" si="30"/>
        <v>6.4194635498122805</v>
      </c>
      <c r="N87" s="5012">
        <f t="shared" si="30"/>
        <v>6.0185438475636435</v>
      </c>
      <c r="O87" s="5012">
        <f t="shared" si="30"/>
        <v>6.2735785919871718</v>
      </c>
      <c r="P87" s="5012">
        <f t="shared" si="30"/>
        <v>6.7912661975426865</v>
      </c>
      <c r="Q87" s="5012">
        <f t="shared" si="30"/>
        <v>6.645542186319024</v>
      </c>
      <c r="R87" s="5012">
        <f t="shared" si="30"/>
        <v>8.462250174104966</v>
      </c>
      <c r="S87" s="5012">
        <f t="shared" si="30"/>
        <v>11.370658095549926</v>
      </c>
      <c r="T87" s="5012">
        <f t="shared" si="30"/>
        <v>13.4626868598379</v>
      </c>
      <c r="U87" s="5037">
        <f t="shared" si="30"/>
        <v>6.8701852886304406</v>
      </c>
    </row>
    <row r="88" spans="1:21" ht="17.399999999999999">
      <c r="A88" s="4027" t="s">
        <v>1634</v>
      </c>
      <c r="B88" s="4001">
        <f>IF(B87="측정불가","측정불가",IF(B87&lt;4,1,IF(B87&lt;10,2,IF(B87&lt;20,3,IF(B87&lt;=30,4,IF(B87&gt;30,5,))))))</f>
        <v>2</v>
      </c>
      <c r="H88" s="4014">
        <f>IF(H87="측정불가","측정불가",IF(H87&lt;4,1,IF(H87&lt;10,2,IF(H87&lt;20,3,IF(H87&lt;=30,4,IF(H87&gt;30,5,))))))</f>
        <v>2</v>
      </c>
      <c r="I88" s="5013">
        <f t="shared" ref="I88:U88" si="31">IF(I87="측정불가","측정불가",IF(I87&lt;4,1,IF(I87&lt;10,2,IF(I87&lt;20,3,IF(I87&lt;=30,4,IF(I87&gt;30,5,))))))</f>
        <v>2</v>
      </c>
      <c r="J88" s="5014">
        <f t="shared" si="31"/>
        <v>2</v>
      </c>
      <c r="K88" s="5014">
        <f t="shared" si="31"/>
        <v>2</v>
      </c>
      <c r="L88" s="5014">
        <f t="shared" si="31"/>
        <v>2</v>
      </c>
      <c r="M88" s="5014">
        <f t="shared" si="31"/>
        <v>2</v>
      </c>
      <c r="N88" s="5014">
        <f t="shared" si="31"/>
        <v>2</v>
      </c>
      <c r="O88" s="5014">
        <f t="shared" si="31"/>
        <v>2</v>
      </c>
      <c r="P88" s="5014">
        <f t="shared" si="31"/>
        <v>2</v>
      </c>
      <c r="Q88" s="5014">
        <f t="shared" si="31"/>
        <v>2</v>
      </c>
      <c r="R88" s="5014">
        <f t="shared" si="31"/>
        <v>2</v>
      </c>
      <c r="S88" s="5014">
        <f t="shared" si="31"/>
        <v>3</v>
      </c>
      <c r="T88" s="5014">
        <f t="shared" si="31"/>
        <v>3</v>
      </c>
      <c r="U88" s="5015">
        <f t="shared" si="31"/>
        <v>2</v>
      </c>
    </row>
    <row r="89" spans="1:21" ht="15" thickBot="1"/>
    <row r="90" spans="1:21" ht="14.4" customHeight="1">
      <c r="A90" s="7735" t="s">
        <v>1735</v>
      </c>
      <c r="B90" s="4958"/>
      <c r="C90" s="4958"/>
      <c r="H90" s="7734" t="s">
        <v>1740</v>
      </c>
      <c r="I90" s="5045" t="s">
        <v>935</v>
      </c>
      <c r="J90" s="5045" t="s">
        <v>1726</v>
      </c>
      <c r="K90" s="5045" t="s">
        <v>1729</v>
      </c>
      <c r="L90" s="5045" t="s">
        <v>7</v>
      </c>
      <c r="M90" s="5045" t="s">
        <v>8</v>
      </c>
      <c r="N90" s="5045" t="s">
        <v>9</v>
      </c>
      <c r="O90" s="5045" t="s">
        <v>10</v>
      </c>
      <c r="P90" s="5045" t="s">
        <v>11</v>
      </c>
      <c r="Q90" s="5045" t="s">
        <v>12</v>
      </c>
      <c r="R90" s="5045" t="s">
        <v>13</v>
      </c>
      <c r="S90" s="5045" t="s">
        <v>14</v>
      </c>
      <c r="T90" s="5046" t="s">
        <v>15</v>
      </c>
      <c r="U90" s="5047" t="s">
        <v>1710</v>
      </c>
    </row>
    <row r="91" spans="1:21" ht="14.4" customHeight="1">
      <c r="A91" s="7736"/>
      <c r="B91" s="5043" t="s">
        <v>1713</v>
      </c>
      <c r="H91" s="7734"/>
      <c r="I91" s="5038">
        <f>I96*12</f>
        <v>347440.63199999998</v>
      </c>
      <c r="J91" s="5038">
        <f>(I96+J96)/2*12</f>
        <v>345244.908</v>
      </c>
      <c r="K91" s="5038">
        <f>(I96+J96+K96)/3*12</f>
        <v>346859.272</v>
      </c>
      <c r="L91" s="5038">
        <f>(I96+J96+K96+L96)/4*12</f>
        <v>260144.454</v>
      </c>
      <c r="M91" s="5038">
        <f>(I96+J96+K96+L96+M96)/5*12</f>
        <v>208115.56319999998</v>
      </c>
      <c r="N91" s="5038">
        <f>(I96+J96+K96+L96+M96+N96)/6*12</f>
        <v>173429.636</v>
      </c>
      <c r="O91" s="5038">
        <f>(I96+J96+K96+L96+M96+N96+O96)/7*12</f>
        <v>148653.9737142857</v>
      </c>
      <c r="P91" s="5038">
        <f>(I96+J96+K96+L96+M96+N96+O96+P96)/8*12</f>
        <v>130072.227</v>
      </c>
      <c r="Q91" s="5038">
        <f>(I96+J96+K96+L96+M96+N96+O96+P96+Q96)/9*12</f>
        <v>115619.75733333334</v>
      </c>
      <c r="R91" s="5038">
        <f>(I96+J96+K96+L96+M96+N96+O96+P96+Q96+R96)/10*12</f>
        <v>104057.78159999999</v>
      </c>
      <c r="S91" s="5038">
        <f>(I96+J96+K96)/3*12</f>
        <v>346859.272</v>
      </c>
      <c r="T91" s="5039">
        <f>(I96+J96+K96+L96+M96+N96+O96+P96+Q96+R96+S96+T96)/12*12</f>
        <v>86714.817999999999</v>
      </c>
      <c r="U91" s="5041">
        <f>S91</f>
        <v>346859.272</v>
      </c>
    </row>
    <row r="92" spans="1:21" ht="14.4" customHeight="1">
      <c r="A92" s="7736"/>
      <c r="B92" s="4962" t="s">
        <v>1732</v>
      </c>
      <c r="H92" s="5028" t="s">
        <v>1733</v>
      </c>
      <c r="I92" s="5020">
        <v>20478.670999999998</v>
      </c>
      <c r="J92" s="5020">
        <v>41063.466999999997</v>
      </c>
      <c r="K92" s="5020">
        <v>33466</v>
      </c>
      <c r="L92" s="5020"/>
      <c r="M92" s="5020"/>
      <c r="N92" s="5020"/>
      <c r="O92" s="5020"/>
      <c r="P92" s="5020"/>
      <c r="Q92" s="5020"/>
      <c r="R92" s="5020"/>
      <c r="S92" s="5020"/>
      <c r="T92" s="5018"/>
      <c r="U92" s="5024">
        <f>AVERAGE(I92:T92)</f>
        <v>31669.379333333331</v>
      </c>
    </row>
    <row r="93" spans="1:21" ht="14.4" customHeight="1">
      <c r="A93" s="7736"/>
      <c r="B93" s="4968"/>
      <c r="H93" s="5040" t="s">
        <v>1734</v>
      </c>
      <c r="I93" s="5021">
        <v>29894.14</v>
      </c>
      <c r="J93" s="5021">
        <v>31282.307000000001</v>
      </c>
      <c r="K93" s="5021">
        <v>29708</v>
      </c>
      <c r="L93" s="5021"/>
      <c r="M93" s="5021"/>
      <c r="N93" s="5021"/>
      <c r="O93" s="5021"/>
      <c r="P93" s="5021"/>
      <c r="Q93" s="5021"/>
      <c r="R93" s="5021"/>
      <c r="S93" s="5021"/>
      <c r="T93" s="5022"/>
      <c r="U93" s="5023">
        <f>AVERAGE(I93:T93)</f>
        <v>30294.815666666665</v>
      </c>
    </row>
    <row r="94" spans="1:21" ht="14.4" customHeight="1">
      <c r="A94" s="7736"/>
      <c r="B94" s="4968"/>
      <c r="H94" s="5044" t="s">
        <v>1718</v>
      </c>
      <c r="I94" s="5038">
        <f t="shared" ref="I94:U94" si="32">SUM(I92:I93)</f>
        <v>50372.811000000002</v>
      </c>
      <c r="J94" s="5038">
        <f t="shared" si="32"/>
        <v>72345.774000000005</v>
      </c>
      <c r="K94" s="5038">
        <f t="shared" si="32"/>
        <v>63174</v>
      </c>
      <c r="L94" s="5038">
        <f t="shared" si="32"/>
        <v>0</v>
      </c>
      <c r="M94" s="5038">
        <f t="shared" si="32"/>
        <v>0</v>
      </c>
      <c r="N94" s="5038">
        <f t="shared" si="32"/>
        <v>0</v>
      </c>
      <c r="O94" s="5038">
        <f t="shared" si="32"/>
        <v>0</v>
      </c>
      <c r="P94" s="5038">
        <f t="shared" si="32"/>
        <v>0</v>
      </c>
      <c r="Q94" s="5038">
        <f t="shared" si="32"/>
        <v>0</v>
      </c>
      <c r="R94" s="5038">
        <f t="shared" si="32"/>
        <v>0</v>
      </c>
      <c r="S94" s="5038">
        <f t="shared" si="32"/>
        <v>0</v>
      </c>
      <c r="T94" s="5039">
        <f t="shared" si="32"/>
        <v>0</v>
      </c>
      <c r="U94" s="5041">
        <f t="shared" si="32"/>
        <v>61964.194999999992</v>
      </c>
    </row>
    <row r="95" spans="1:21" ht="14.4" customHeight="1">
      <c r="A95" s="7736"/>
      <c r="B95" s="4968"/>
      <c r="H95" s="5029" t="s">
        <v>1719</v>
      </c>
      <c r="I95" s="5025">
        <f t="shared" ref="I95:U95" si="33">I91/I94</f>
        <v>6.8973842257879943</v>
      </c>
      <c r="J95" s="5025">
        <f t="shared" si="33"/>
        <v>4.7721503124702211</v>
      </c>
      <c r="K95" s="5025">
        <f t="shared" si="33"/>
        <v>5.490538386044892</v>
      </c>
      <c r="L95" s="5025" t="e">
        <f t="shared" si="33"/>
        <v>#DIV/0!</v>
      </c>
      <c r="M95" s="5025" t="e">
        <f t="shared" si="33"/>
        <v>#DIV/0!</v>
      </c>
      <c r="N95" s="5025" t="e">
        <f t="shared" si="33"/>
        <v>#DIV/0!</v>
      </c>
      <c r="O95" s="5025" t="e">
        <f t="shared" si="33"/>
        <v>#DIV/0!</v>
      </c>
      <c r="P95" s="5025" t="e">
        <f t="shared" si="33"/>
        <v>#DIV/0!</v>
      </c>
      <c r="Q95" s="5025" t="e">
        <f t="shared" si="33"/>
        <v>#DIV/0!</v>
      </c>
      <c r="R95" s="5025" t="e">
        <f t="shared" si="33"/>
        <v>#DIV/0!</v>
      </c>
      <c r="S95" s="5025" t="e">
        <f t="shared" si="33"/>
        <v>#DIV/0!</v>
      </c>
      <c r="T95" s="5026" t="e">
        <f t="shared" si="33"/>
        <v>#DIV/0!</v>
      </c>
      <c r="U95" s="5042">
        <f t="shared" si="33"/>
        <v>5.5977370802606252</v>
      </c>
    </row>
    <row r="96" spans="1:21" ht="15" thickBot="1">
      <c r="A96" s="7737"/>
      <c r="B96" s="5019" t="s">
        <v>1723</v>
      </c>
      <c r="H96" s="5020" t="s">
        <v>1736</v>
      </c>
      <c r="I96" s="5020">
        <f>28992.906-39.52</f>
        <v>28953.385999999999</v>
      </c>
      <c r="J96" s="5020">
        <f>28602.822-15.39</f>
        <v>28587.432000000001</v>
      </c>
      <c r="K96" s="5020">
        <v>29174</v>
      </c>
      <c r="L96" s="5020"/>
      <c r="M96" s="5020"/>
      <c r="N96" s="5020"/>
      <c r="O96" s="5020"/>
      <c r="P96" s="5020"/>
      <c r="Q96" s="5020"/>
      <c r="R96" s="5020"/>
      <c r="S96" s="5020"/>
      <c r="T96" s="5018"/>
      <c r="U96" s="5027"/>
    </row>
    <row r="98" spans="1:1">
      <c r="A98" s="299" t="s">
        <v>1743</v>
      </c>
    </row>
    <row r="99" spans="1:1">
      <c r="A99" s="299" t="s">
        <v>1744</v>
      </c>
    </row>
    <row r="100" spans="1:1" ht="15.6">
      <c r="A100" s="5048" t="s">
        <v>1745</v>
      </c>
    </row>
    <row r="101" spans="1:1" ht="15.6">
      <c r="A101" s="5049" t="s">
        <v>1746</v>
      </c>
    </row>
    <row r="102" spans="1:1" ht="15.6">
      <c r="A102" s="301" t="s">
        <v>1747</v>
      </c>
    </row>
  </sheetData>
  <mergeCells count="33">
    <mergeCell ref="I83:U83"/>
    <mergeCell ref="A74:H74"/>
    <mergeCell ref="A73:H73"/>
    <mergeCell ref="A70:H70"/>
    <mergeCell ref="A83:A84"/>
    <mergeCell ref="H83:H84"/>
    <mergeCell ref="B83:B84"/>
    <mergeCell ref="A64:H64"/>
    <mergeCell ref="A62:H62"/>
    <mergeCell ref="A61:H61"/>
    <mergeCell ref="A58:H58"/>
    <mergeCell ref="A55:H55"/>
    <mergeCell ref="A16:H16"/>
    <mergeCell ref="H90:H91"/>
    <mergeCell ref="A90:A96"/>
    <mergeCell ref="A38:H38"/>
    <mergeCell ref="A37:H37"/>
    <mergeCell ref="A34:H34"/>
    <mergeCell ref="A31:H31"/>
    <mergeCell ref="A28:H28"/>
    <mergeCell ref="A26:H26"/>
    <mergeCell ref="A52:H52"/>
    <mergeCell ref="A50:H50"/>
    <mergeCell ref="A49:H49"/>
    <mergeCell ref="A46:H46"/>
    <mergeCell ref="A43:H43"/>
    <mergeCell ref="A40:H40"/>
    <mergeCell ref="A67:H67"/>
    <mergeCell ref="U19:X19"/>
    <mergeCell ref="U22:X22"/>
    <mergeCell ref="A25:H25"/>
    <mergeCell ref="A22:H22"/>
    <mergeCell ref="A19:H19"/>
  </mergeCells>
  <phoneticPr fontId="22" type="noConversion"/>
  <pageMargins left="0.7" right="0.7" top="0.75" bottom="0.75" header="0.3" footer="0.3"/>
  <pageSetup paperSize="9" scale="85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3" sqref="E3"/>
    </sheetView>
  </sheetViews>
  <sheetFormatPr defaultRowHeight="15.6"/>
  <cols>
    <col min="1" max="5" width="14.5" style="713" customWidth="1"/>
  </cols>
  <sheetData>
    <row r="1" spans="1:5" ht="36" customHeight="1" thickBot="1">
      <c r="A1" s="4902" t="s">
        <v>210</v>
      </c>
      <c r="B1" s="4903" t="s">
        <v>245</v>
      </c>
      <c r="C1" s="4904" t="s">
        <v>211</v>
      </c>
      <c r="D1" s="4905" t="s">
        <v>210</v>
      </c>
      <c r="E1" s="4906" t="s">
        <v>722</v>
      </c>
    </row>
    <row r="2" spans="1:5" ht="36" customHeight="1" thickTop="1">
      <c r="A2" s="4907" t="s">
        <v>2</v>
      </c>
      <c r="B2" s="4900" t="s">
        <v>246</v>
      </c>
      <c r="C2" s="4910">
        <v>433825.23423139862</v>
      </c>
      <c r="D2" s="4901" t="s">
        <v>2</v>
      </c>
      <c r="E2" s="4913">
        <v>1106418.8897122799</v>
      </c>
    </row>
    <row r="3" spans="1:5" ht="36" customHeight="1">
      <c r="A3" s="4908" t="s">
        <v>3</v>
      </c>
      <c r="B3" s="4896" t="s">
        <v>246</v>
      </c>
      <c r="C3" s="4911">
        <v>433825.23423139902</v>
      </c>
      <c r="D3" s="4897" t="s">
        <v>3</v>
      </c>
      <c r="E3" s="4914">
        <v>1125542.8369687099</v>
      </c>
    </row>
    <row r="4" spans="1:5" ht="36" customHeight="1">
      <c r="A4" s="4908" t="s">
        <v>4</v>
      </c>
      <c r="B4" s="4896" t="s">
        <v>246</v>
      </c>
      <c r="C4" s="4911">
        <v>433825.23423139902</v>
      </c>
      <c r="D4" s="4897" t="s">
        <v>4</v>
      </c>
      <c r="E4" s="4914">
        <v>2192114.6797475726</v>
      </c>
    </row>
    <row r="5" spans="1:5" ht="36" customHeight="1">
      <c r="A5" s="4908" t="s">
        <v>193</v>
      </c>
      <c r="B5" s="4896" t="s">
        <v>724</v>
      </c>
      <c r="C5" s="4911">
        <v>703178.23423139902</v>
      </c>
      <c r="D5" s="4897" t="s">
        <v>193</v>
      </c>
      <c r="E5" s="4914">
        <v>1050760.9204814299</v>
      </c>
    </row>
    <row r="6" spans="1:5" ht="36" customHeight="1" thickBot="1">
      <c r="A6" s="4909" t="s">
        <v>212</v>
      </c>
      <c r="B6" s="4898" t="s">
        <v>724</v>
      </c>
      <c r="C6" s="4912">
        <v>864348.23423139902</v>
      </c>
      <c r="D6" s="4899" t="s">
        <v>212</v>
      </c>
      <c r="E6" s="4915">
        <v>1303502.9430036</v>
      </c>
    </row>
    <row r="7" spans="1:5">
      <c r="E7" s="4916"/>
    </row>
  </sheetData>
  <phoneticPr fontId="22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topLeftCell="A10" workbookViewId="0">
      <selection activeCell="P17" sqref="P17"/>
    </sheetView>
  </sheetViews>
  <sheetFormatPr defaultRowHeight="17.399999999999999"/>
  <cols>
    <col min="1" max="1" width="9.796875" style="1535" customWidth="1"/>
    <col min="2" max="2" width="12.296875" style="1535" customWidth="1"/>
    <col min="3" max="3" width="8.69921875" style="1535" customWidth="1"/>
    <col min="4" max="4" width="9.69921875" style="1535" customWidth="1"/>
    <col min="12" max="12" width="12.69921875" customWidth="1"/>
  </cols>
  <sheetData>
    <row r="1" spans="1:14" ht="14.4">
      <c r="A1"/>
      <c r="B1"/>
      <c r="C1"/>
      <c r="D1"/>
    </row>
    <row r="2" spans="1:14" ht="18" thickBot="1">
      <c r="A2" s="5673" t="s">
        <v>1806</v>
      </c>
      <c r="D2"/>
      <c r="F2" s="5673" t="s">
        <v>1807</v>
      </c>
      <c r="K2" s="5673" t="s">
        <v>1808</v>
      </c>
    </row>
    <row r="3" spans="1:14" ht="14.4" customHeight="1">
      <c r="A3" s="7132" t="s">
        <v>252</v>
      </c>
      <c r="B3" s="7220" t="s">
        <v>253</v>
      </c>
      <c r="C3" s="7220" t="s">
        <v>254</v>
      </c>
      <c r="D3" s="7230" t="s">
        <v>1813</v>
      </c>
      <c r="F3" s="7132" t="s">
        <v>282</v>
      </c>
      <c r="G3" s="7220" t="s">
        <v>283</v>
      </c>
      <c r="H3" s="7220" t="s">
        <v>254</v>
      </c>
      <c r="I3" s="7230" t="s">
        <v>1813</v>
      </c>
      <c r="K3" s="7132" t="s">
        <v>252</v>
      </c>
      <c r="L3" s="7223" t="s">
        <v>253</v>
      </c>
      <c r="M3" s="7225" t="s">
        <v>234</v>
      </c>
      <c r="N3" s="7230" t="s">
        <v>1813</v>
      </c>
    </row>
    <row r="4" spans="1:14" ht="14.4" customHeight="1">
      <c r="A4" s="7562"/>
      <c r="B4" s="7443"/>
      <c r="C4" s="7443"/>
      <c r="D4" s="7444"/>
      <c r="F4" s="7562"/>
      <c r="G4" s="7443"/>
      <c r="H4" s="7443"/>
      <c r="I4" s="7444"/>
      <c r="K4" s="7562"/>
      <c r="L4" s="7444"/>
      <c r="M4" s="7398"/>
      <c r="N4" s="7444"/>
    </row>
    <row r="5" spans="1:14" ht="18" thickBot="1">
      <c r="A5" s="5658" t="s">
        <v>1799</v>
      </c>
      <c r="B5" s="3836" t="s">
        <v>265</v>
      </c>
      <c r="C5" s="5672" t="s">
        <v>266</v>
      </c>
      <c r="D5" s="5680">
        <v>-6710.1319199494028</v>
      </c>
      <c r="F5" s="7104" t="s">
        <v>1799</v>
      </c>
      <c r="G5" s="3836" t="s">
        <v>265</v>
      </c>
      <c r="H5" s="5672" t="s">
        <v>294</v>
      </c>
      <c r="I5" s="5684">
        <v>-9209.0128081982311</v>
      </c>
      <c r="K5" s="5687" t="s">
        <v>1799</v>
      </c>
      <c r="L5" s="5688" t="s">
        <v>265</v>
      </c>
      <c r="M5" s="3440" t="s">
        <v>235</v>
      </c>
      <c r="N5" s="5689">
        <v>109414.49145940205</v>
      </c>
    </row>
    <row r="6" spans="1:14">
      <c r="A6" s="5658" t="s">
        <v>267</v>
      </c>
      <c r="B6" s="3836" t="s">
        <v>268</v>
      </c>
      <c r="C6" s="5672" t="s">
        <v>266</v>
      </c>
      <c r="D6" s="5680">
        <v>110203.96503967902</v>
      </c>
      <c r="F6" s="7104"/>
      <c r="G6" s="3836" t="s">
        <v>295</v>
      </c>
      <c r="H6" s="5672" t="s">
        <v>761</v>
      </c>
      <c r="I6" s="5684">
        <v>-404.02874624999987</v>
      </c>
      <c r="K6" s="5659" t="s">
        <v>267</v>
      </c>
      <c r="L6" s="1070" t="s">
        <v>536</v>
      </c>
      <c r="M6" s="926" t="s">
        <v>235</v>
      </c>
      <c r="N6" s="5690">
        <v>131711.83448443442</v>
      </c>
    </row>
    <row r="7" spans="1:14">
      <c r="A7" s="5658" t="s">
        <v>265</v>
      </c>
      <c r="B7" s="3836" t="s">
        <v>821</v>
      </c>
      <c r="C7" s="5672" t="s">
        <v>271</v>
      </c>
      <c r="D7" s="5680">
        <v>-30026.478170750001</v>
      </c>
      <c r="F7" s="5658" t="s">
        <v>267</v>
      </c>
      <c r="G7" s="3836" t="s">
        <v>297</v>
      </c>
      <c r="H7" s="5672" t="s">
        <v>294</v>
      </c>
      <c r="I7" s="5684">
        <v>2958.0990342419746</v>
      </c>
      <c r="K7" s="7447" t="s">
        <v>313</v>
      </c>
      <c r="L7" s="5660" t="s">
        <v>314</v>
      </c>
      <c r="M7" s="917" t="s">
        <v>235</v>
      </c>
      <c r="N7" s="5690">
        <v>-52576.543449273006</v>
      </c>
    </row>
    <row r="8" spans="1:14" ht="18" thickBot="1">
      <c r="A8" s="7104" t="s">
        <v>272</v>
      </c>
      <c r="B8" s="7145" t="s">
        <v>273</v>
      </c>
      <c r="C8" s="5672" t="s">
        <v>274</v>
      </c>
      <c r="D8" s="5680">
        <v>66168.040186221711</v>
      </c>
      <c r="F8" s="7104" t="s">
        <v>300</v>
      </c>
      <c r="G8" s="7145" t="s">
        <v>275</v>
      </c>
      <c r="H8" s="5672" t="s">
        <v>276</v>
      </c>
      <c r="I8" s="7750">
        <v>-34502.447485183926</v>
      </c>
      <c r="K8" s="7754"/>
      <c r="L8" s="5688" t="s">
        <v>315</v>
      </c>
      <c r="M8" s="3440" t="s">
        <v>270</v>
      </c>
      <c r="N8" s="5691">
        <v>-42553.915432652328</v>
      </c>
    </row>
    <row r="9" spans="1:14">
      <c r="A9" s="7104"/>
      <c r="B9" s="7145"/>
      <c r="C9" s="5672" t="s">
        <v>334</v>
      </c>
      <c r="D9" s="5681"/>
      <c r="F9" s="7104"/>
      <c r="G9" s="7145"/>
      <c r="H9" s="5672" t="s">
        <v>277</v>
      </c>
      <c r="I9" s="7750"/>
      <c r="K9" s="7449" t="s">
        <v>272</v>
      </c>
      <c r="L9" s="7452" t="s">
        <v>273</v>
      </c>
      <c r="M9" s="926" t="s">
        <v>317</v>
      </c>
      <c r="N9" s="7748">
        <v>596.03908651541133</v>
      </c>
    </row>
    <row r="10" spans="1:14">
      <c r="A10" s="7104"/>
      <c r="B10" s="7145" t="s">
        <v>275</v>
      </c>
      <c r="C10" s="5672" t="s">
        <v>276</v>
      </c>
      <c r="D10" s="5680">
        <v>-7891.2560720521224</v>
      </c>
      <c r="F10" s="7104"/>
      <c r="G10" s="7145" t="s">
        <v>303</v>
      </c>
      <c r="H10" s="5672" t="s">
        <v>304</v>
      </c>
      <c r="I10" s="7750">
        <v>-6461.892322759235</v>
      </c>
      <c r="K10" s="7753"/>
      <c r="L10" s="7453"/>
      <c r="M10" s="3262" t="s">
        <v>719</v>
      </c>
      <c r="N10" s="7749"/>
    </row>
    <row r="11" spans="1:14">
      <c r="A11" s="7104"/>
      <c r="B11" s="7145"/>
      <c r="C11" s="5672" t="s">
        <v>277</v>
      </c>
      <c r="D11" s="5682"/>
      <c r="F11" s="7104"/>
      <c r="G11" s="7145"/>
      <c r="H11" s="5672" t="s">
        <v>277</v>
      </c>
      <c r="I11" s="7750"/>
      <c r="K11" s="7753"/>
      <c r="L11" s="7758" t="s">
        <v>275</v>
      </c>
      <c r="M11" s="3262" t="s">
        <v>319</v>
      </c>
      <c r="N11" s="7752">
        <v>61353.655059318306</v>
      </c>
    </row>
    <row r="12" spans="1:14">
      <c r="A12" s="5658" t="s">
        <v>758</v>
      </c>
      <c r="B12" s="3836" t="s">
        <v>776</v>
      </c>
      <c r="C12" s="5672" t="s">
        <v>280</v>
      </c>
      <c r="D12" s="5680">
        <v>-5484.5180814281775</v>
      </c>
      <c r="F12" s="5658" t="s">
        <v>1146</v>
      </c>
      <c r="G12" s="3836" t="s">
        <v>774</v>
      </c>
      <c r="H12" s="5672" t="s">
        <v>280</v>
      </c>
      <c r="I12" s="5685">
        <v>127124.0505736364</v>
      </c>
      <c r="K12" s="7753"/>
      <c r="L12" s="7453"/>
      <c r="M12" s="3262" t="s">
        <v>719</v>
      </c>
      <c r="N12" s="7749"/>
    </row>
    <row r="13" spans="1:14">
      <c r="A13" s="5658" t="s">
        <v>416</v>
      </c>
      <c r="B13" s="3836" t="s">
        <v>417</v>
      </c>
      <c r="C13" s="5672" t="s">
        <v>418</v>
      </c>
      <c r="D13" s="5680">
        <v>38041.330871403101</v>
      </c>
      <c r="F13" s="5658" t="s">
        <v>306</v>
      </c>
      <c r="G13" s="3836" t="s">
        <v>307</v>
      </c>
      <c r="H13" s="5672" t="s">
        <v>280</v>
      </c>
      <c r="I13" s="5685">
        <v>21388.39517363636</v>
      </c>
      <c r="K13" s="7753"/>
      <c r="L13" s="5692" t="s">
        <v>320</v>
      </c>
      <c r="M13" s="3262" t="s">
        <v>321</v>
      </c>
      <c r="N13" s="5693">
        <v>41515.276985270924</v>
      </c>
    </row>
    <row r="14" spans="1:14" s="299" customFormat="1" ht="18" thickBot="1">
      <c r="A14" s="5656" t="s">
        <v>56</v>
      </c>
      <c r="B14" s="5657" t="s">
        <v>1800</v>
      </c>
      <c r="C14" s="5675" t="s">
        <v>1801</v>
      </c>
      <c r="D14" s="5683">
        <v>9634.0720000000001</v>
      </c>
      <c r="F14" s="5656" t="s">
        <v>1802</v>
      </c>
      <c r="G14" s="5657" t="s">
        <v>1800</v>
      </c>
      <c r="H14" s="5675" t="s">
        <v>1801</v>
      </c>
      <c r="I14" s="5686">
        <v>21868</v>
      </c>
      <c r="K14" s="7753"/>
      <c r="L14" s="5692" t="s">
        <v>322</v>
      </c>
      <c r="M14" s="3262" t="s">
        <v>317</v>
      </c>
      <c r="N14" s="5693">
        <v>2609.2195178311404</v>
      </c>
    </row>
    <row r="15" spans="1:14" ht="18" thickBot="1">
      <c r="A15" s="7393" t="s">
        <v>308</v>
      </c>
      <c r="B15" s="7755"/>
      <c r="C15" s="5674" t="s">
        <v>1801</v>
      </c>
      <c r="D15" s="5677">
        <f>SUM(D5:D14)</f>
        <v>173935.02385312412</v>
      </c>
      <c r="F15" s="7393" t="s">
        <v>308</v>
      </c>
      <c r="G15" s="7755"/>
      <c r="H15" s="5674" t="s">
        <v>1801</v>
      </c>
      <c r="I15" s="5677">
        <f>SUM(I5:I14)</f>
        <v>122761.16341912333</v>
      </c>
      <c r="K15" s="7757"/>
      <c r="L15" s="5694" t="s">
        <v>303</v>
      </c>
      <c r="M15" s="3235" t="s">
        <v>324</v>
      </c>
      <c r="N15" s="5689">
        <v>3055.4273615219699</v>
      </c>
    </row>
    <row r="16" spans="1:14" ht="18" thickBot="1">
      <c r="K16" s="1101" t="s">
        <v>758</v>
      </c>
      <c r="L16" s="1102" t="s">
        <v>776</v>
      </c>
      <c r="M16" s="945" t="s">
        <v>334</v>
      </c>
      <c r="N16" s="5695">
        <v>114881.03032870067</v>
      </c>
    </row>
    <row r="17" spans="1:14" ht="34.799999999999997">
      <c r="D17" s="726"/>
      <c r="K17" s="7447" t="s">
        <v>335</v>
      </c>
      <c r="L17" s="5698" t="s">
        <v>1817</v>
      </c>
      <c r="M17" s="917" t="s">
        <v>334</v>
      </c>
      <c r="N17" s="5690">
        <v>89902.101403136301</v>
      </c>
    </row>
    <row r="18" spans="1:14">
      <c r="K18" s="7753"/>
      <c r="L18" s="5692" t="s">
        <v>336</v>
      </c>
      <c r="M18" s="3262" t="s">
        <v>334</v>
      </c>
      <c r="N18" s="5693">
        <v>-28755.637887114935</v>
      </c>
    </row>
    <row r="19" spans="1:14" ht="18" thickBot="1">
      <c r="K19" s="7754"/>
      <c r="L19" s="5688" t="s">
        <v>337</v>
      </c>
      <c r="M19" s="3440" t="s">
        <v>334</v>
      </c>
      <c r="N19" s="5691">
        <v>505.32926768068273</v>
      </c>
    </row>
    <row r="20" spans="1:14" ht="18" thickBot="1">
      <c r="K20" s="7393" t="s">
        <v>308</v>
      </c>
      <c r="L20" s="7394"/>
      <c r="M20" s="5674" t="s">
        <v>1801</v>
      </c>
      <c r="N20" s="5677">
        <f>SUM(N5:N19)</f>
        <v>431658.30818477157</v>
      </c>
    </row>
    <row r="22" spans="1:14" ht="18" thickBot="1">
      <c r="A22" s="5673" t="s">
        <v>1809</v>
      </c>
      <c r="F22" s="5673" t="s">
        <v>1814</v>
      </c>
      <c r="K22" s="304" t="s">
        <v>1816</v>
      </c>
    </row>
    <row r="23" spans="1:14" ht="14.4" customHeight="1">
      <c r="A23" s="7132" t="s">
        <v>252</v>
      </c>
      <c r="B23" s="7220" t="s">
        <v>253</v>
      </c>
      <c r="C23" s="7220" t="s">
        <v>234</v>
      </c>
      <c r="D23" s="7230" t="s">
        <v>1813</v>
      </c>
      <c r="F23" s="7132" t="s">
        <v>252</v>
      </c>
      <c r="G23" s="7220" t="s">
        <v>253</v>
      </c>
      <c r="H23" s="7220" t="s">
        <v>234</v>
      </c>
      <c r="I23" s="7230" t="s">
        <v>1813</v>
      </c>
      <c r="K23" s="7132" t="s">
        <v>252</v>
      </c>
      <c r="L23" s="7220" t="s">
        <v>253</v>
      </c>
      <c r="M23" s="7220" t="s">
        <v>234</v>
      </c>
      <c r="N23" s="7230" t="s">
        <v>1813</v>
      </c>
    </row>
    <row r="24" spans="1:14" ht="14.4" customHeight="1">
      <c r="A24" s="7562"/>
      <c r="B24" s="7443"/>
      <c r="C24" s="7443"/>
      <c r="D24" s="7444"/>
      <c r="F24" s="7562"/>
      <c r="G24" s="7443"/>
      <c r="H24" s="7443"/>
      <c r="I24" s="7444"/>
      <c r="K24" s="7562"/>
      <c r="L24" s="7443"/>
      <c r="M24" s="7443"/>
      <c r="N24" s="7444"/>
    </row>
    <row r="25" spans="1:14">
      <c r="A25" s="7104" t="s">
        <v>1799</v>
      </c>
      <c r="B25" s="3836" t="s">
        <v>265</v>
      </c>
      <c r="C25" s="5672" t="s">
        <v>266</v>
      </c>
      <c r="D25" s="5693">
        <v>69430.346372912638</v>
      </c>
      <c r="F25" s="7104" t="s">
        <v>1810</v>
      </c>
      <c r="G25" s="3836" t="s">
        <v>265</v>
      </c>
      <c r="H25" s="5672" t="s">
        <v>235</v>
      </c>
      <c r="I25" s="5680">
        <v>120590.90691454252</v>
      </c>
      <c r="K25" s="7104" t="s">
        <v>1810</v>
      </c>
      <c r="L25" s="3836" t="s">
        <v>265</v>
      </c>
      <c r="M25" s="5672" t="s">
        <v>235</v>
      </c>
      <c r="N25" s="5680">
        <f>D5+I5+N5+D25+I25</f>
        <v>283516.60001870955</v>
      </c>
    </row>
    <row r="26" spans="1:14">
      <c r="A26" s="7104"/>
      <c r="B26" s="3836" t="s">
        <v>852</v>
      </c>
      <c r="C26" s="5672" t="s">
        <v>761</v>
      </c>
      <c r="D26" s="5693">
        <v>41341.395809250003</v>
      </c>
      <c r="F26" s="7104"/>
      <c r="G26" s="3836" t="s">
        <v>852</v>
      </c>
      <c r="H26" s="5672" t="s">
        <v>761</v>
      </c>
      <c r="I26" s="5680">
        <v>6066.5874821999978</v>
      </c>
      <c r="K26" s="7104"/>
      <c r="L26" s="3836" t="s">
        <v>852</v>
      </c>
      <c r="M26" s="5672" t="s">
        <v>761</v>
      </c>
      <c r="N26" s="5680">
        <f>I6+D26+I26</f>
        <v>47003.954545200002</v>
      </c>
    </row>
    <row r="27" spans="1:14">
      <c r="A27" s="5658" t="s">
        <v>267</v>
      </c>
      <c r="B27" s="3836" t="s">
        <v>268</v>
      </c>
      <c r="C27" s="5672" t="s">
        <v>266</v>
      </c>
      <c r="D27" s="5693">
        <v>53245.808687588869</v>
      </c>
      <c r="F27" s="5658" t="s">
        <v>267</v>
      </c>
      <c r="G27" s="3836" t="s">
        <v>268</v>
      </c>
      <c r="H27" s="5672" t="s">
        <v>235</v>
      </c>
      <c r="I27" s="5680">
        <v>42857.367133202089</v>
      </c>
      <c r="K27" s="5658" t="s">
        <v>267</v>
      </c>
      <c r="L27" s="3836" t="s">
        <v>268</v>
      </c>
      <c r="M27" s="5672" t="s">
        <v>235</v>
      </c>
      <c r="N27" s="5680">
        <f>D6+I7+N6+D27+I27</f>
        <v>340977.07437914639</v>
      </c>
    </row>
    <row r="28" spans="1:14">
      <c r="A28" s="7104" t="s">
        <v>313</v>
      </c>
      <c r="B28" s="7145" t="s">
        <v>358</v>
      </c>
      <c r="C28" s="5672" t="s">
        <v>359</v>
      </c>
      <c r="D28" s="7756">
        <v>104992.37962735834</v>
      </c>
      <c r="F28" s="7104" t="s">
        <v>313</v>
      </c>
      <c r="G28" s="7145" t="s">
        <v>358</v>
      </c>
      <c r="H28" s="5672" t="s">
        <v>359</v>
      </c>
      <c r="I28" s="7750">
        <v>365422.13423775998</v>
      </c>
      <c r="K28" s="7104" t="s">
        <v>313</v>
      </c>
      <c r="L28" s="7145" t="s">
        <v>358</v>
      </c>
      <c r="M28" s="5672" t="s">
        <v>359</v>
      </c>
      <c r="N28" s="7750">
        <f>D28+I28</f>
        <v>470414.51386511832</v>
      </c>
    </row>
    <row r="29" spans="1:14">
      <c r="A29" s="7104"/>
      <c r="B29" s="7145"/>
      <c r="C29" s="5672" t="s">
        <v>277</v>
      </c>
      <c r="D29" s="7756"/>
      <c r="F29" s="7104"/>
      <c r="G29" s="7145"/>
      <c r="H29" s="5672" t="s">
        <v>277</v>
      </c>
      <c r="I29" s="7750">
        <v>0</v>
      </c>
      <c r="K29" s="7104"/>
      <c r="L29" s="7145"/>
      <c r="M29" s="5672" t="s">
        <v>277</v>
      </c>
      <c r="N29" s="7750">
        <v>0</v>
      </c>
    </row>
    <row r="30" spans="1:14">
      <c r="A30" s="5658" t="s">
        <v>1803</v>
      </c>
      <c r="B30" s="3836" t="s">
        <v>780</v>
      </c>
      <c r="C30" s="5672" t="s">
        <v>277</v>
      </c>
      <c r="D30" s="5696">
        <v>69278.904561609394</v>
      </c>
      <c r="F30" s="7104" t="s">
        <v>272</v>
      </c>
      <c r="G30" s="7145" t="s">
        <v>273</v>
      </c>
      <c r="H30" s="5672" t="s">
        <v>274</v>
      </c>
      <c r="I30" s="7750">
        <v>38809.717004054473</v>
      </c>
      <c r="K30" s="7104" t="s">
        <v>272</v>
      </c>
      <c r="L30" s="7145" t="s">
        <v>273</v>
      </c>
      <c r="M30" s="5672" t="s">
        <v>274</v>
      </c>
      <c r="N30" s="7750">
        <f>D8+N9+D31+I30</f>
        <v>44242.510037312706</v>
      </c>
    </row>
    <row r="31" spans="1:14">
      <c r="A31" s="7104" t="s">
        <v>300</v>
      </c>
      <c r="B31" s="7145" t="s">
        <v>273</v>
      </c>
      <c r="C31" s="5672" t="s">
        <v>274</v>
      </c>
      <c r="D31" s="7756">
        <v>-61331.286239478883</v>
      </c>
      <c r="F31" s="7104"/>
      <c r="G31" s="7145"/>
      <c r="H31" s="5672" t="s">
        <v>277</v>
      </c>
      <c r="I31" s="7750"/>
      <c r="K31" s="7104"/>
      <c r="L31" s="7145"/>
      <c r="M31" s="5672" t="s">
        <v>277</v>
      </c>
      <c r="N31" s="7750"/>
    </row>
    <row r="32" spans="1:14">
      <c r="A32" s="7104"/>
      <c r="B32" s="7145"/>
      <c r="C32" s="5672" t="s">
        <v>277</v>
      </c>
      <c r="D32" s="7756"/>
      <c r="F32" s="7104"/>
      <c r="G32" s="7145" t="s">
        <v>275</v>
      </c>
      <c r="H32" s="5672" t="s">
        <v>276</v>
      </c>
      <c r="I32" s="7750">
        <v>35816.091273839185</v>
      </c>
      <c r="K32" s="7104"/>
      <c r="L32" s="7145" t="s">
        <v>275</v>
      </c>
      <c r="M32" s="5672" t="s">
        <v>276</v>
      </c>
      <c r="N32" s="7750">
        <f>D10+I8+N11+D33+I32</f>
        <v>101576.98869163834</v>
      </c>
    </row>
    <row r="33" spans="1:14">
      <c r="A33" s="7104"/>
      <c r="B33" s="7145" t="s">
        <v>275</v>
      </c>
      <c r="C33" s="5672" t="s">
        <v>276</v>
      </c>
      <c r="D33" s="7756">
        <v>46800.945915716889</v>
      </c>
      <c r="F33" s="7104"/>
      <c r="G33" s="7145"/>
      <c r="H33" s="5672" t="s">
        <v>277</v>
      </c>
      <c r="I33" s="7750"/>
      <c r="K33" s="7104"/>
      <c r="L33" s="7145"/>
      <c r="M33" s="5672" t="s">
        <v>277</v>
      </c>
      <c r="N33" s="7750"/>
    </row>
    <row r="34" spans="1:14">
      <c r="A34" s="7104"/>
      <c r="B34" s="7145"/>
      <c r="C34" s="5672" t="s">
        <v>277</v>
      </c>
      <c r="D34" s="7756"/>
      <c r="F34" s="5658" t="s">
        <v>1811</v>
      </c>
      <c r="G34" s="3836" t="s">
        <v>776</v>
      </c>
      <c r="H34" s="5672" t="s">
        <v>280</v>
      </c>
      <c r="I34" s="3644">
        <v>95155.972648710856</v>
      </c>
      <c r="K34" s="5658" t="s">
        <v>1811</v>
      </c>
      <c r="L34" s="3836" t="s">
        <v>776</v>
      </c>
      <c r="M34" s="5672" t="s">
        <v>280</v>
      </c>
      <c r="N34" s="3644">
        <f>D12+I12+N16+I34+D30</f>
        <v>400955.44003122917</v>
      </c>
    </row>
    <row r="35" spans="1:14" ht="18" thickBot="1">
      <c r="A35" s="5656" t="s">
        <v>1804</v>
      </c>
      <c r="B35" s="5657" t="s">
        <v>1805</v>
      </c>
      <c r="C35" s="5675" t="s">
        <v>765</v>
      </c>
      <c r="D35" s="5697">
        <v>43529.105714985002</v>
      </c>
      <c r="F35" s="5656" t="s">
        <v>1812</v>
      </c>
      <c r="G35" s="5657" t="s">
        <v>1805</v>
      </c>
      <c r="H35" s="5675" t="s">
        <v>765</v>
      </c>
      <c r="I35" s="4888">
        <v>20047.687512</v>
      </c>
      <c r="K35" s="5656" t="s">
        <v>1815</v>
      </c>
      <c r="L35" s="5657" t="s">
        <v>1805</v>
      </c>
      <c r="M35" s="5675" t="s">
        <v>765</v>
      </c>
      <c r="N35" s="4888">
        <f>D13+D14+I13+I14+N17+N18+N19+D35+I35</f>
        <v>216160.38405572652</v>
      </c>
    </row>
    <row r="36" spans="1:14" ht="18" thickBot="1">
      <c r="A36" s="7393" t="s">
        <v>308</v>
      </c>
      <c r="B36" s="7755"/>
      <c r="C36" s="5674" t="s">
        <v>1801</v>
      </c>
      <c r="D36" s="5679">
        <f>SUM(D25:D35)</f>
        <v>367287.60044994229</v>
      </c>
      <c r="F36" s="7485" t="s">
        <v>308</v>
      </c>
      <c r="G36" s="7751"/>
      <c r="H36" s="5676" t="s">
        <v>1801</v>
      </c>
      <c r="I36" s="5678">
        <f>SUM(I25:I27)+I28+SUM(I30:I34)</f>
        <v>704718.77669430908</v>
      </c>
      <c r="K36" s="7485" t="s">
        <v>308</v>
      </c>
      <c r="L36" s="7751"/>
      <c r="M36" s="5676" t="s">
        <v>1801</v>
      </c>
      <c r="N36" s="5678">
        <f>SUM(N25:N27)+N28+SUM(N30:N34)</f>
        <v>1688687.0815683545</v>
      </c>
    </row>
    <row r="39" spans="1:14" ht="14.4" customHeight="1"/>
    <row r="40" spans="1:14" ht="14.4" customHeight="1"/>
  </sheetData>
  <mergeCells count="73">
    <mergeCell ref="H3:H4"/>
    <mergeCell ref="A15:B15"/>
    <mergeCell ref="D3:D4"/>
    <mergeCell ref="A8:A11"/>
    <mergeCell ref="B8:B9"/>
    <mergeCell ref="B10:B11"/>
    <mergeCell ref="A3:A4"/>
    <mergeCell ref="B3:B4"/>
    <mergeCell ref="C3:C4"/>
    <mergeCell ref="F8:F11"/>
    <mergeCell ref="G8:G9"/>
    <mergeCell ref="G10:G11"/>
    <mergeCell ref="F5:F6"/>
    <mergeCell ref="F3:F4"/>
    <mergeCell ref="G3:G4"/>
    <mergeCell ref="N3:N4"/>
    <mergeCell ref="A23:A24"/>
    <mergeCell ref="B23:B24"/>
    <mergeCell ref="C23:C24"/>
    <mergeCell ref="A25:A26"/>
    <mergeCell ref="K7:K8"/>
    <mergeCell ref="K9:K15"/>
    <mergeCell ref="L9:L10"/>
    <mergeCell ref="L11:L12"/>
    <mergeCell ref="F15:G15"/>
    <mergeCell ref="I3:I4"/>
    <mergeCell ref="I8:I9"/>
    <mergeCell ref="I10:I11"/>
    <mergeCell ref="K3:K4"/>
    <mergeCell ref="L3:L4"/>
    <mergeCell ref="M3:M4"/>
    <mergeCell ref="A36:B36"/>
    <mergeCell ref="D23:D24"/>
    <mergeCell ref="D28:D29"/>
    <mergeCell ref="D31:D32"/>
    <mergeCell ref="D33:D34"/>
    <mergeCell ref="A31:A34"/>
    <mergeCell ref="B31:B32"/>
    <mergeCell ref="B33:B34"/>
    <mergeCell ref="A28:A29"/>
    <mergeCell ref="B28:B29"/>
    <mergeCell ref="F36:G36"/>
    <mergeCell ref="I23:I24"/>
    <mergeCell ref="I28:I29"/>
    <mergeCell ref="I30:I31"/>
    <mergeCell ref="I32:I33"/>
    <mergeCell ref="F30:F33"/>
    <mergeCell ref="G30:G31"/>
    <mergeCell ref="G32:G33"/>
    <mergeCell ref="F28:F29"/>
    <mergeCell ref="G28:G29"/>
    <mergeCell ref="F23:F24"/>
    <mergeCell ref="G23:G24"/>
    <mergeCell ref="H23:H24"/>
    <mergeCell ref="F25:F26"/>
    <mergeCell ref="K36:L36"/>
    <mergeCell ref="N11:N12"/>
    <mergeCell ref="L23:L24"/>
    <mergeCell ref="M23:M24"/>
    <mergeCell ref="N23:N24"/>
    <mergeCell ref="K25:K26"/>
    <mergeCell ref="K28:K29"/>
    <mergeCell ref="L28:L29"/>
    <mergeCell ref="N28:N29"/>
    <mergeCell ref="K23:K24"/>
    <mergeCell ref="K30:K33"/>
    <mergeCell ref="K17:K19"/>
    <mergeCell ref="K20:L20"/>
    <mergeCell ref="N9:N10"/>
    <mergeCell ref="L30:L31"/>
    <mergeCell ref="N30:N31"/>
    <mergeCell ref="L32:L33"/>
    <mergeCell ref="N32:N33"/>
  </mergeCells>
  <phoneticPr fontId="22" type="noConversion"/>
  <pageMargins left="0.7" right="0.7" top="0.75" bottom="0.75" header="0.3" footer="0.3"/>
  <pageSetup paperSize="9"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>
      <selection sqref="A1:G14"/>
    </sheetView>
  </sheetViews>
  <sheetFormatPr defaultRowHeight="14.4"/>
  <cols>
    <col min="1" max="1" width="7.09765625" customWidth="1"/>
    <col min="3" max="3" width="8.796875" style="299"/>
    <col min="4" max="4" width="12.3984375" customWidth="1"/>
    <col min="5" max="5" width="10.69921875" customWidth="1"/>
    <col min="6" max="6" width="21.3984375" customWidth="1"/>
    <col min="7" max="7" width="19" customWidth="1"/>
  </cols>
  <sheetData>
    <row r="1" spans="1:7" s="299" customFormat="1" ht="42.6" customHeight="1">
      <c r="A1" s="7761" t="s">
        <v>1929</v>
      </c>
      <c r="B1" s="7761"/>
      <c r="C1" s="7761"/>
      <c r="D1" s="7761"/>
      <c r="E1" s="7761"/>
      <c r="F1" s="7761"/>
      <c r="G1" s="7761"/>
    </row>
    <row r="2" spans="1:7" ht="15" thickBot="1">
      <c r="G2" s="875" t="s">
        <v>1930</v>
      </c>
    </row>
    <row r="3" spans="1:7" ht="24" customHeight="1" thickBot="1">
      <c r="A3" s="6115" t="s">
        <v>1874</v>
      </c>
      <c r="B3" s="6116" t="s">
        <v>1875</v>
      </c>
      <c r="C3" s="6116" t="s">
        <v>1916</v>
      </c>
      <c r="D3" s="6116" t="s">
        <v>1876</v>
      </c>
      <c r="E3" s="6116" t="s">
        <v>1877</v>
      </c>
      <c r="F3" s="6116" t="s">
        <v>1878</v>
      </c>
      <c r="G3" s="6117" t="s">
        <v>1879</v>
      </c>
    </row>
    <row r="4" spans="1:7" ht="24" customHeight="1" thickTop="1">
      <c r="A4" s="6111">
        <v>1</v>
      </c>
      <c r="B4" s="7764" t="s">
        <v>1880</v>
      </c>
      <c r="C4" s="7766" t="s">
        <v>1917</v>
      </c>
      <c r="D4" s="6112" t="s">
        <v>1893</v>
      </c>
      <c r="E4" s="6113"/>
      <c r="F4" s="6113"/>
      <c r="G4" s="6114"/>
    </row>
    <row r="5" spans="1:7" ht="24" customHeight="1">
      <c r="A5" s="3888">
        <v>2</v>
      </c>
      <c r="B5" s="7763"/>
      <c r="C5" s="7760"/>
      <c r="D5" s="3886" t="s">
        <v>1894</v>
      </c>
      <c r="E5" s="3915"/>
      <c r="F5" s="3915"/>
      <c r="G5" s="5036"/>
    </row>
    <row r="6" spans="1:7" ht="24" customHeight="1">
      <c r="A6" s="3888">
        <v>3</v>
      </c>
      <c r="B6" s="7763"/>
      <c r="C6" s="7760"/>
      <c r="D6" s="3886" t="s">
        <v>1895</v>
      </c>
      <c r="E6" s="3915"/>
      <c r="F6" s="3915"/>
      <c r="G6" s="5036"/>
    </row>
    <row r="7" spans="1:7" s="299" customFormat="1" ht="24" customHeight="1" thickBot="1">
      <c r="A7" s="6118">
        <v>4</v>
      </c>
      <c r="B7" s="6119" t="s">
        <v>1887</v>
      </c>
      <c r="C7" s="7767"/>
      <c r="D7" s="6119" t="s">
        <v>1896</v>
      </c>
      <c r="E7" s="6120"/>
      <c r="F7" s="6120"/>
      <c r="G7" s="6121"/>
    </row>
    <row r="8" spans="1:7" ht="24" customHeight="1">
      <c r="A8" s="6106">
        <v>5</v>
      </c>
      <c r="B8" s="7762" t="s">
        <v>1881</v>
      </c>
      <c r="C8" s="7759" t="s">
        <v>1918</v>
      </c>
      <c r="D8" s="1389" t="s">
        <v>1897</v>
      </c>
      <c r="E8" s="6122"/>
      <c r="F8" s="6122"/>
      <c r="G8" s="6123"/>
    </row>
    <row r="9" spans="1:7" ht="24" customHeight="1">
      <c r="A9" s="3888">
        <v>6</v>
      </c>
      <c r="B9" s="7763"/>
      <c r="C9" s="7760"/>
      <c r="D9" s="3886" t="s">
        <v>1898</v>
      </c>
      <c r="E9" s="3915"/>
      <c r="F9" s="3915"/>
      <c r="G9" s="5036"/>
    </row>
    <row r="10" spans="1:7" ht="24" customHeight="1">
      <c r="A10" s="3888">
        <v>7</v>
      </c>
      <c r="B10" s="7763"/>
      <c r="C10" s="7760"/>
      <c r="D10" s="3886" t="s">
        <v>1899</v>
      </c>
      <c r="E10" s="3915"/>
      <c r="F10" s="3915"/>
      <c r="G10" s="5036"/>
    </row>
    <row r="11" spans="1:7" s="299" customFormat="1" ht="24" customHeight="1" thickBot="1">
      <c r="A11" s="6107">
        <v>8</v>
      </c>
      <c r="B11" s="6108" t="s">
        <v>1888</v>
      </c>
      <c r="C11" s="7767"/>
      <c r="D11" s="6108" t="s">
        <v>1900</v>
      </c>
      <c r="E11" s="6109"/>
      <c r="F11" s="6109"/>
      <c r="G11" s="6110"/>
    </row>
    <row r="12" spans="1:7" ht="24" customHeight="1">
      <c r="A12" s="6111">
        <v>9</v>
      </c>
      <c r="B12" s="7764" t="s">
        <v>1882</v>
      </c>
      <c r="C12" s="7759" t="s">
        <v>1919</v>
      </c>
      <c r="D12" s="6112" t="s">
        <v>1901</v>
      </c>
      <c r="E12" s="6113"/>
      <c r="F12" s="6113"/>
      <c r="G12" s="6114"/>
    </row>
    <row r="13" spans="1:7" ht="24" customHeight="1">
      <c r="A13" s="3888">
        <v>10</v>
      </c>
      <c r="B13" s="7763"/>
      <c r="C13" s="7760"/>
      <c r="D13" s="3886" t="s">
        <v>1902</v>
      </c>
      <c r="E13" s="3915"/>
      <c r="F13" s="3915"/>
      <c r="G13" s="5036"/>
    </row>
    <row r="14" spans="1:7" ht="24" customHeight="1" thickBot="1">
      <c r="A14" s="6118">
        <v>11</v>
      </c>
      <c r="B14" s="7765"/>
      <c r="C14" s="7767"/>
      <c r="D14" s="6119" t="s">
        <v>1903</v>
      </c>
      <c r="E14" s="6120"/>
      <c r="F14" s="6120"/>
      <c r="G14" s="6121"/>
    </row>
    <row r="15" spans="1:7" ht="24" customHeight="1">
      <c r="A15" s="6106">
        <v>12</v>
      </c>
      <c r="B15" s="7762" t="s">
        <v>1883</v>
      </c>
      <c r="C15" s="7759" t="s">
        <v>1920</v>
      </c>
      <c r="D15" s="1389" t="s">
        <v>1904</v>
      </c>
      <c r="E15" s="6122"/>
      <c r="F15" s="6122"/>
      <c r="G15" s="6123"/>
    </row>
    <row r="16" spans="1:7" ht="24" customHeight="1">
      <c r="A16" s="3888">
        <v>13</v>
      </c>
      <c r="B16" s="7763"/>
      <c r="C16" s="7760"/>
      <c r="D16" s="3886" t="s">
        <v>1905</v>
      </c>
      <c r="E16" s="3915"/>
      <c r="F16" s="3915"/>
      <c r="G16" s="5036"/>
    </row>
    <row r="17" spans="1:7" ht="24" customHeight="1">
      <c r="A17" s="3888">
        <v>14</v>
      </c>
      <c r="B17" s="7763"/>
      <c r="C17" s="7760"/>
      <c r="D17" s="3886" t="s">
        <v>1906</v>
      </c>
      <c r="E17" s="3915"/>
      <c r="F17" s="3915"/>
      <c r="G17" s="5036"/>
    </row>
    <row r="18" spans="1:7" s="299" customFormat="1" ht="24" customHeight="1">
      <c r="A18" s="6118">
        <v>15</v>
      </c>
      <c r="B18" s="6119" t="s">
        <v>1889</v>
      </c>
      <c r="C18" s="7760"/>
      <c r="D18" s="6119" t="s">
        <v>1907</v>
      </c>
      <c r="E18" s="6120"/>
      <c r="F18" s="6120"/>
      <c r="G18" s="6121"/>
    </row>
    <row r="19" spans="1:7" s="299" customFormat="1" ht="24" customHeight="1" thickBot="1">
      <c r="A19" s="6118">
        <v>16</v>
      </c>
      <c r="B19" s="6119" t="s">
        <v>1927</v>
      </c>
      <c r="C19" s="7760"/>
      <c r="D19" s="6119" t="s">
        <v>1928</v>
      </c>
      <c r="E19" s="6120"/>
      <c r="F19" s="6120"/>
      <c r="G19" s="6121"/>
    </row>
    <row r="20" spans="1:7" ht="24" customHeight="1">
      <c r="A20" s="6130">
        <v>17</v>
      </c>
      <c r="B20" s="7762" t="s">
        <v>1884</v>
      </c>
      <c r="C20" s="7759" t="s">
        <v>1921</v>
      </c>
      <c r="D20" s="1389" t="s">
        <v>1908</v>
      </c>
      <c r="E20" s="6122"/>
      <c r="F20" s="6122"/>
      <c r="G20" s="6123"/>
    </row>
    <row r="21" spans="1:7" ht="24" customHeight="1">
      <c r="A21" s="3888">
        <v>18</v>
      </c>
      <c r="B21" s="7763"/>
      <c r="C21" s="7760"/>
      <c r="D21" s="3886" t="s">
        <v>1909</v>
      </c>
      <c r="E21" s="3915"/>
      <c r="F21" s="3915"/>
      <c r="G21" s="5036"/>
    </row>
    <row r="22" spans="1:7" ht="24" customHeight="1">
      <c r="A22" s="6118">
        <v>19</v>
      </c>
      <c r="B22" s="7763"/>
      <c r="C22" s="7760"/>
      <c r="D22" s="3886" t="s">
        <v>1910</v>
      </c>
      <c r="E22" s="3915"/>
      <c r="F22" s="3915"/>
      <c r="G22" s="5036"/>
    </row>
    <row r="23" spans="1:7" s="299" customFormat="1" ht="24" customHeight="1" thickBot="1">
      <c r="A23" s="6107">
        <v>20</v>
      </c>
      <c r="B23" s="6108" t="s">
        <v>1890</v>
      </c>
      <c r="C23" s="7767"/>
      <c r="D23" s="6108" t="s">
        <v>1911</v>
      </c>
      <c r="E23" s="6109"/>
      <c r="F23" s="6109"/>
      <c r="G23" s="6110"/>
    </row>
    <row r="24" spans="1:7" ht="24" customHeight="1">
      <c r="A24" s="6128">
        <v>21</v>
      </c>
      <c r="B24" s="6112" t="s">
        <v>1885</v>
      </c>
      <c r="C24" s="6112" t="s">
        <v>1922</v>
      </c>
      <c r="D24" s="6112" t="s">
        <v>1912</v>
      </c>
      <c r="E24" s="6113"/>
      <c r="F24" s="6113"/>
      <c r="G24" s="6114"/>
    </row>
    <row r="25" spans="1:7" ht="24" customHeight="1" thickBot="1">
      <c r="A25" s="6118">
        <v>22</v>
      </c>
      <c r="B25" s="6119" t="s">
        <v>1886</v>
      </c>
      <c r="C25" s="6119" t="s">
        <v>1923</v>
      </c>
      <c r="D25" s="6119" t="s">
        <v>1418</v>
      </c>
      <c r="E25" s="6120"/>
      <c r="F25" s="6120"/>
      <c r="G25" s="6121"/>
    </row>
    <row r="26" spans="1:7" ht="24" customHeight="1" thickBot="1">
      <c r="A26" s="6124">
        <v>23</v>
      </c>
      <c r="B26" s="6125" t="s">
        <v>1891</v>
      </c>
      <c r="C26" s="6125" t="s">
        <v>1924</v>
      </c>
      <c r="D26" s="6125" t="s">
        <v>1913</v>
      </c>
      <c r="E26" s="6126"/>
      <c r="F26" s="6126"/>
      <c r="G26" s="6127"/>
    </row>
    <row r="27" spans="1:7" ht="24" customHeight="1" thickBot="1">
      <c r="A27" s="6118">
        <v>24</v>
      </c>
      <c r="B27" s="6129" t="s">
        <v>1892</v>
      </c>
      <c r="C27" s="6129" t="s">
        <v>1925</v>
      </c>
      <c r="D27" s="6129" t="s">
        <v>1914</v>
      </c>
      <c r="E27" s="6131"/>
      <c r="F27" s="6131"/>
      <c r="G27" s="6132"/>
    </row>
    <row r="28" spans="1:7" ht="24" customHeight="1" thickBot="1">
      <c r="A28" s="6124">
        <v>25</v>
      </c>
      <c r="B28" s="6125" t="s">
        <v>1080</v>
      </c>
      <c r="C28" s="6125" t="s">
        <v>1926</v>
      </c>
      <c r="D28" s="6125" t="s">
        <v>1915</v>
      </c>
      <c r="E28" s="6126"/>
      <c r="F28" s="6126"/>
      <c r="G28" s="6127"/>
    </row>
  </sheetData>
  <mergeCells count="11">
    <mergeCell ref="C15:C19"/>
    <mergeCell ref="A1:G1"/>
    <mergeCell ref="B20:B22"/>
    <mergeCell ref="B15:B17"/>
    <mergeCell ref="B12:B14"/>
    <mergeCell ref="B8:B10"/>
    <mergeCell ref="B4:B6"/>
    <mergeCell ref="C4:C7"/>
    <mergeCell ref="C8:C11"/>
    <mergeCell ref="C12:C14"/>
    <mergeCell ref="C20:C23"/>
  </mergeCells>
  <phoneticPr fontId="2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O7" sqref="O7"/>
    </sheetView>
  </sheetViews>
  <sheetFormatPr defaultRowHeight="14.4"/>
  <cols>
    <col min="6" max="6" width="20.69921875" customWidth="1"/>
    <col min="7" max="9" width="20.69921875" style="299" customWidth="1"/>
  </cols>
  <sheetData>
    <row r="1" spans="1:10" ht="48.6" customHeight="1">
      <c r="A1" s="7769" t="s">
        <v>1931</v>
      </c>
      <c r="B1" s="7769"/>
      <c r="C1" s="7769"/>
      <c r="D1" s="7769"/>
      <c r="E1" s="7769"/>
      <c r="F1" s="7769"/>
      <c r="G1" s="7769"/>
      <c r="H1" s="7769"/>
      <c r="I1" s="7769"/>
      <c r="J1" s="7769"/>
    </row>
    <row r="2" spans="1:10" ht="15" thickBot="1">
      <c r="A2" s="299"/>
      <c r="B2" s="299"/>
      <c r="C2" s="299"/>
      <c r="D2" s="299"/>
      <c r="E2" s="299"/>
      <c r="F2" s="299"/>
      <c r="J2" s="875" t="s">
        <v>1930</v>
      </c>
    </row>
    <row r="3" spans="1:10" ht="24.6" customHeight="1" thickBot="1">
      <c r="A3" s="6115" t="s">
        <v>1874</v>
      </c>
      <c r="B3" s="6116" t="s">
        <v>1875</v>
      </c>
      <c r="C3" s="6116" t="s">
        <v>1916</v>
      </c>
      <c r="D3" s="6116" t="s">
        <v>1876</v>
      </c>
      <c r="E3" s="6116" t="s">
        <v>1877</v>
      </c>
      <c r="F3" s="6116" t="s">
        <v>1932</v>
      </c>
      <c r="G3" s="6116" t="s">
        <v>1933</v>
      </c>
      <c r="H3" s="6116" t="s">
        <v>1934</v>
      </c>
      <c r="I3" s="6116" t="s">
        <v>1935</v>
      </c>
      <c r="J3" s="6117" t="s">
        <v>251</v>
      </c>
    </row>
    <row r="4" spans="1:10" ht="48" customHeight="1" thickTop="1">
      <c r="A4" s="6111">
        <v>1</v>
      </c>
      <c r="B4" s="7764" t="s">
        <v>1880</v>
      </c>
      <c r="C4" s="7766" t="s">
        <v>1917</v>
      </c>
      <c r="D4" s="6112" t="s">
        <v>1893</v>
      </c>
      <c r="E4" s="6113"/>
      <c r="F4" s="6113"/>
      <c r="G4" s="6133"/>
      <c r="H4" s="6133"/>
      <c r="I4" s="6133"/>
      <c r="J4" s="6114"/>
    </row>
    <row r="5" spans="1:10" ht="48" customHeight="1">
      <c r="A5" s="3888">
        <v>2</v>
      </c>
      <c r="B5" s="7763"/>
      <c r="C5" s="7760"/>
      <c r="D5" s="3886" t="s">
        <v>1894</v>
      </c>
      <c r="E5" s="3915"/>
      <c r="F5" s="3915"/>
      <c r="G5" s="6134"/>
      <c r="H5" s="6134"/>
      <c r="I5" s="6134"/>
      <c r="J5" s="5036"/>
    </row>
    <row r="6" spans="1:10" ht="48" customHeight="1">
      <c r="A6" s="3888">
        <v>3</v>
      </c>
      <c r="B6" s="7763"/>
      <c r="C6" s="7760"/>
      <c r="D6" s="3886" t="s">
        <v>1895</v>
      </c>
      <c r="E6" s="3915"/>
      <c r="F6" s="3915"/>
      <c r="G6" s="6134"/>
      <c r="H6" s="6134"/>
      <c r="I6" s="6134"/>
      <c r="J6" s="5036"/>
    </row>
    <row r="7" spans="1:10" ht="48" customHeight="1" thickBot="1">
      <c r="A7" s="6118">
        <v>4</v>
      </c>
      <c r="B7" s="6119" t="s">
        <v>1887</v>
      </c>
      <c r="C7" s="7767"/>
      <c r="D7" s="6119" t="s">
        <v>1896</v>
      </c>
      <c r="E7" s="6120"/>
      <c r="F7" s="6120"/>
      <c r="G7" s="6135"/>
      <c r="H7" s="6135"/>
      <c r="I7" s="6135"/>
      <c r="J7" s="6121"/>
    </row>
    <row r="8" spans="1:10" ht="48" customHeight="1">
      <c r="A8" s="6106">
        <v>5</v>
      </c>
      <c r="B8" s="7762" t="s">
        <v>1881</v>
      </c>
      <c r="C8" s="7759" t="s">
        <v>1918</v>
      </c>
      <c r="D8" s="1389" t="s">
        <v>1897</v>
      </c>
      <c r="E8" s="6122"/>
      <c r="F8" s="6122"/>
      <c r="G8" s="6136"/>
      <c r="H8" s="6136"/>
      <c r="I8" s="6136"/>
      <c r="J8" s="6123"/>
    </row>
    <row r="9" spans="1:10" ht="48" customHeight="1">
      <c r="A9" s="3888">
        <v>6</v>
      </c>
      <c r="B9" s="7763"/>
      <c r="C9" s="7760"/>
      <c r="D9" s="3886" t="s">
        <v>1898</v>
      </c>
      <c r="E9" s="3915"/>
      <c r="F9" s="3915"/>
      <c r="G9" s="6134"/>
      <c r="H9" s="6134"/>
      <c r="I9" s="6134"/>
      <c r="J9" s="5036"/>
    </row>
    <row r="10" spans="1:10" ht="48" customHeight="1">
      <c r="A10" s="3888">
        <v>7</v>
      </c>
      <c r="B10" s="7763"/>
      <c r="C10" s="7760"/>
      <c r="D10" s="3886" t="s">
        <v>1899</v>
      </c>
      <c r="E10" s="3915"/>
      <c r="F10" s="3915"/>
      <c r="G10" s="6134"/>
      <c r="H10" s="6134"/>
      <c r="I10" s="6134"/>
      <c r="J10" s="5036"/>
    </row>
    <row r="11" spans="1:10" ht="48" customHeight="1" thickBot="1">
      <c r="A11" s="6107">
        <v>8</v>
      </c>
      <c r="B11" s="6108" t="s">
        <v>1888</v>
      </c>
      <c r="C11" s="7767"/>
      <c r="D11" s="6108" t="s">
        <v>1900</v>
      </c>
      <c r="E11" s="6109"/>
      <c r="F11" s="6109"/>
      <c r="G11" s="6137"/>
      <c r="H11" s="6137"/>
      <c r="I11" s="6137"/>
      <c r="J11" s="6110"/>
    </row>
    <row r="12" spans="1:10" ht="48" customHeight="1">
      <c r="A12" s="6111">
        <v>9</v>
      </c>
      <c r="B12" s="7764" t="s">
        <v>1882</v>
      </c>
      <c r="C12" s="7759" t="s">
        <v>1919</v>
      </c>
      <c r="D12" s="6112" t="s">
        <v>1901</v>
      </c>
      <c r="E12" s="6113"/>
      <c r="F12" s="6113"/>
      <c r="G12" s="6133"/>
      <c r="H12" s="6133"/>
      <c r="I12" s="6133"/>
      <c r="J12" s="6114"/>
    </row>
    <row r="13" spans="1:10" ht="48" customHeight="1">
      <c r="A13" s="3888">
        <v>10</v>
      </c>
      <c r="B13" s="7763"/>
      <c r="C13" s="7760"/>
      <c r="D13" s="3886" t="s">
        <v>1902</v>
      </c>
      <c r="E13" s="3915"/>
      <c r="F13" s="3915"/>
      <c r="G13" s="6134"/>
      <c r="H13" s="6134"/>
      <c r="I13" s="6134"/>
      <c r="J13" s="5036"/>
    </row>
    <row r="14" spans="1:10" ht="48" customHeight="1" thickBot="1">
      <c r="A14" s="6107">
        <v>11</v>
      </c>
      <c r="B14" s="7768"/>
      <c r="C14" s="7767"/>
      <c r="D14" s="6108" t="s">
        <v>1903</v>
      </c>
      <c r="E14" s="6109"/>
      <c r="F14" s="6109"/>
      <c r="G14" s="6137"/>
      <c r="H14" s="6137"/>
      <c r="I14" s="6137"/>
      <c r="J14" s="6110"/>
    </row>
    <row r="15" spans="1:10">
      <c r="A15" t="s">
        <v>1937</v>
      </c>
    </row>
    <row r="16" spans="1:10">
      <c r="A16" t="s">
        <v>1936</v>
      </c>
    </row>
  </sheetData>
  <mergeCells count="7">
    <mergeCell ref="B12:B14"/>
    <mergeCell ref="C12:C14"/>
    <mergeCell ref="A1:J1"/>
    <mergeCell ref="B4:B6"/>
    <mergeCell ref="C4:C7"/>
    <mergeCell ref="B8:B10"/>
    <mergeCell ref="C8:C11"/>
  </mergeCells>
  <phoneticPr fontId="2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성과개선</vt:lpstr>
      <vt:lpstr>성과개선 요약</vt:lpstr>
      <vt:lpstr>스크</vt:lpstr>
      <vt:lpstr>년간</vt:lpstr>
      <vt:lpstr>L D</vt:lpstr>
      <vt:lpstr>게시판</vt:lpstr>
      <vt:lpstr>종합평가</vt:lpstr>
      <vt:lpstr>종합</vt:lpstr>
      <vt:lpstr>CPL</vt:lpstr>
      <vt:lpstr>CRM</vt:lpstr>
      <vt:lpstr>CGL</vt:lpstr>
      <vt:lpstr>CGL 보정</vt:lpstr>
      <vt:lpstr>#1CCL</vt:lpstr>
      <vt:lpstr>1CCL보정</vt:lpstr>
      <vt:lpstr>#2CCL</vt:lpstr>
      <vt:lpstr>2CCL보정</vt:lpstr>
      <vt:lpstr>비가동</vt:lpstr>
      <vt:lpstr>고장</vt:lpstr>
      <vt:lpstr>협력사</vt:lpstr>
      <vt:lpstr>성과개선 실적</vt:lpstr>
      <vt:lpstr>SSCL</vt:lpstr>
      <vt:lpstr>경쟁사</vt:lpstr>
      <vt:lpstr>20년경영목표</vt:lpstr>
      <vt:lpstr>운영KPI</vt:lpstr>
      <vt:lpstr>설비종합효율</vt:lpstr>
      <vt:lpstr>임원미션</vt:lpstr>
      <vt:lpstr>개선금액</vt:lpstr>
      <vt:lpstr>20년 실질개선금액</vt:lpstr>
      <vt:lpstr>성과개선 과제선정 일정</vt:lpstr>
      <vt:lpstr>GL 공사관련 일정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이선구</dc:creator>
  <cp:lastModifiedBy>seah</cp:lastModifiedBy>
  <cp:lastPrinted>2021-01-20T11:26:40Z</cp:lastPrinted>
  <dcterms:created xsi:type="dcterms:W3CDTF">2009-02-12T02:33:17Z</dcterms:created>
  <dcterms:modified xsi:type="dcterms:W3CDTF">2021-01-21T02:34:17Z</dcterms:modified>
</cp:coreProperties>
</file>